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28.xml"/>
  <Override ContentType="application/vnd.openxmlformats-officedocument.spreadsheetml.worksheet+xml" PartName="/xl/worksheets/sheet23.xml"/>
  <Override ContentType="application/vnd.openxmlformats-officedocument.spreadsheetml.worksheet+xml" PartName="/xl/worksheets/sheet10.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3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29.xml"/>
  <Override ContentType="application/vnd.openxmlformats-officedocument.spreadsheetml.worksheet+xml" PartName="/xl/worksheets/sheet20.xml"/>
  <Override ContentType="application/vnd.openxmlformats-officedocument.spreadsheetml.worksheet+xml" PartName="/xl/worksheets/sheet1.xml"/>
  <Override ContentType="application/vnd.openxmlformats-officedocument.spreadsheetml.worksheet+xml" PartName="/xl/worksheets/sheet24.xml"/>
  <Override ContentType="application/vnd.openxmlformats-officedocument.spreadsheetml.worksheet+xml" PartName="/xl/worksheets/sheet9.xml"/>
  <Override ContentType="application/vnd.openxmlformats-officedocument.spreadsheetml.worksheet+xml" PartName="/xl/worksheets/sheet33.xml"/>
  <Override ContentType="application/vnd.openxmlformats-officedocument.spreadsheetml.worksheet+xml" PartName="/xl/worksheets/sheet4.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25.xml"/>
  <Override ContentType="application/vnd.openxmlformats-officedocument.spreadsheetml.worksheet+xml" PartName="/xl/worksheets/sheet8.xml"/>
  <Override ContentType="application/vnd.openxmlformats-officedocument.spreadsheetml.worksheet+xml" PartName="/xl/worksheets/sheet34.xml"/>
  <Override ContentType="application/vnd.openxmlformats-officedocument.spreadsheetml.worksheet+xml" PartName="/xl/worksheets/sheet21.xml"/>
  <Override ContentType="application/vnd.openxmlformats-officedocument.spreadsheetml.worksheet+xml" PartName="/xl/worksheets/sheet30.xml"/>
  <Override ContentType="application/vnd.openxmlformats-officedocument.spreadsheetml.worksheet+xml" PartName="/xl/worksheets/sheet27.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8.xml"/>
  <Override ContentType="application/vnd.openxmlformats-officedocument.spreadsheetml.worksheet+xml" PartName="/xl/worksheets/sheet26.xml"/>
  <Override ContentType="application/vnd.openxmlformats-officedocument.spreadsheetml.worksheet+xml" PartName="/xl/worksheets/sheet31.xml"/>
  <Override ContentType="application/vnd.openxmlformats-officedocument.spreadsheetml.worksheet+xml" PartName="/xl/worksheets/sheet3.xml"/>
  <Override ContentType="application/vnd.openxmlformats-officedocument.spreadsheetml.worksheet+xml" PartName="/xl/worksheets/sheet22.xml"/>
  <Override ContentType="application/vnd.openxmlformats-officedocument.spreadsheetml.worksheet+xml" PartName="/xl/worksheets/sheet7.xml"/>
  <Override ContentType="application/vnd.openxmlformats-officedocument.spreadsheetml.worksheet+xml" PartName="/xl/worksheets/sheet35.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26.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5.xml"/>
  <Override ContentType="application/vnd.openxmlformats-officedocument.drawing+xml" PartName="/xl/drawings/drawing30.xml"/>
  <Override ContentType="application/vnd.openxmlformats-officedocument.drawing+xml" PartName="/xl/drawings/drawing34.xml"/>
  <Override ContentType="application/vnd.openxmlformats-officedocument.drawing+xml" PartName="/xl/drawings/drawing21.xml"/>
  <Override ContentType="application/vnd.openxmlformats-officedocument.drawing+xml" PartName="/xl/drawings/drawing27.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31.xml"/>
  <Override ContentType="application/vnd.openxmlformats-officedocument.drawing+xml" PartName="/xl/drawings/drawing22.xml"/>
  <Override ContentType="application/vnd.openxmlformats-officedocument.drawing+xml" PartName="/xl/drawings/drawing35.xml"/>
  <Override ContentType="application/vnd.openxmlformats-officedocument.drawing+xml" PartName="/xl/drawings/drawing10.xml"/>
  <Override ContentType="application/vnd.openxmlformats-officedocument.drawing+xml" PartName="/xl/drawings/drawing28.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32.xml"/>
  <Override ContentType="application/vnd.openxmlformats-officedocument.drawing+xml" PartName="/xl/drawings/drawing23.xml"/>
  <Override ContentType="application/vnd.openxmlformats-officedocument.drawing+xml" PartName="/xl/drawings/drawing33.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5.xml"/>
  <Override ContentType="application/vnd.openxmlformats-officedocument.drawing+xml" PartName="/xl/drawings/drawing29.xml"/>
  <Override ContentType="application/vnd.openxmlformats-officedocument.drawing+xml" PartName="/xl/drawings/drawing24.xml"/>
  <Override ContentType="application/vnd.openxmlformats-officedocument.drawing+xml" PartName="/xl/drawings/drawing11.xml"/>
  <Override ContentType="application/vnd.openxmlformats-officedocument.drawing+xml" PartName="/xl/drawings/drawing20.xml"/>
  <Override ContentType="application/vnd.ms-excel.documenttasks+xml" PartName="/xl/documenttasks/documenttask3.xml"/>
  <Override ContentType="application/vnd.ms-excel.documenttasks+xml" PartName="/xl/documenttasks/documenttask2.xml"/>
  <Override ContentType="application/vnd.ms-excel.documenttasks+xml" PartName="/xl/documenttasks/documenttask4.xml"/>
  <Override ContentType="application/vnd.ms-excel.documenttasks+xml" PartName="/xl/documenttasks/documenttask5.xml"/>
  <Override ContentType="application/vnd.ms-excel.documenttasks+xml" PartName="/xl/documenttasks/documenttask6.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ms-excel.threadedcomments+xml" PartName="/xl/threadedComments/threadedComment4.xml"/>
  <Override ContentType="application/vnd.ms-excel.threadedcomments+xml" PartName="/xl/threadedComments/threadedComment5.xml"/>
  <Override ContentType="application/vnd.ms-excel.threadedcomments+xml" PartName="/xl/threadedComments/threadedComment6.xml"/>
  <Override ContentType="application/vnd.ms-excel.threadedcomments+xml" PartName="/xl/threadedComments/threadedComment3.xml"/>
  <Override ContentType="application/vnd.ms-excel.threadedcomments+xml" PartName="/xl/threadedComments/threadedComment2.xml"/>
  <Override ContentType="application/vnd.openxmlformats-officedocument.spreadsheetml.styles+xml" PartName="/xl/styles.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oogle Categories" sheetId="3" r:id="rId7"/>
    <sheet state="visible" name="Global Attributes" sheetId="4" r:id="rId8"/>
    <sheet state="hidden" name="Copy of Global Attributes" sheetId="5" r:id="rId9"/>
    <sheet state="visible" name="Sales Tax" sheetId="6" r:id="rId10"/>
    <sheet state="visible" name="Schema" sheetId="7" r:id="rId11"/>
    <sheet state="visible" name="Schema Template Form" sheetId="8" r:id="rId12"/>
    <sheet state="visible" name="Shipping" sheetId="9" r:id="rId13"/>
    <sheet state="hidden" name="Data Master Location" sheetId="10" r:id="rId14"/>
    <sheet state="visible" name="Ohio zips" sheetId="11" r:id="rId15"/>
    <sheet state="visible" name="State Zones" sheetId="12" r:id="rId16"/>
    <sheet state="hidden" name="Photos" sheetId="13" r:id="rId17"/>
    <sheet state="hidden" name="Dropdowns" sheetId="14" r:id="rId18"/>
    <sheet state="hidden" name="Copy of Dropdowns" sheetId="15" r:id="rId19"/>
    <sheet state="hidden" name="Dropdown templates" sheetId="16" r:id="rId20"/>
    <sheet state="visible" name="Lead Times" sheetId="17" r:id="rId21"/>
    <sheet state="hidden" name="Copy of Lead Times" sheetId="18" r:id="rId22"/>
    <sheet state="visible" name="Front Page Boxes" sheetId="19" r:id="rId23"/>
    <sheet state="visible" name="Checks" sheetId="20" r:id="rId24"/>
    <sheet state="visible" name="Distance &amp; States" sheetId="21" r:id="rId25"/>
    <sheet state="hidden" name="Wood Samples Idea" sheetId="22" r:id="rId26"/>
    <sheet state="hidden" name="Competitor Sites" sheetId="23" r:id="rId27"/>
    <sheet state="hidden" name="Characters" sheetId="24" r:id="rId28"/>
    <sheet state="hidden" name="DropdownContentStandards" sheetId="25" r:id="rId29"/>
    <sheet state="hidden" name="Collections" sheetId="26" r:id="rId30"/>
    <sheet state="hidden" name="Related Collections" sheetId="27" r:id="rId31"/>
    <sheet state="visible" name="Collection Photos" sheetId="28" r:id="rId32"/>
    <sheet state="hidden" name="Master Copy of Global Attribute" sheetId="29" r:id="rId33"/>
    <sheet state="hidden" name="191 Items" sheetId="30" r:id="rId34"/>
    <sheet state="hidden" name="Global Attributes - Hardware" sheetId="31" r:id="rId35"/>
    <sheet state="hidden" name="Global Attributes - Stain" sheetId="32" r:id="rId36"/>
    <sheet state="hidden" name="Global Attributes - Poly" sheetId="33" r:id="rId37"/>
    <sheet state="hidden" name="Bed Dropdowns" sheetId="34" r:id="rId38"/>
    <sheet state="hidden" name="Pictures" sheetId="35" r:id="rId39"/>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tc={200ffef6-5b69-4ea7-b334-06ce87698d5a}</author>
    <author>tc={473b4d77-66c8-4fad-bffc-2f7f69f552d0}</author>
    <author>tc={508edd2b-f23c-4105-8bac-321b640670ea}</author>
    <author>tc={528879cf-3930-448e-9459-d2c2b6a89aaf}</author>
    <author>tc={67776c2a-3451-48e1-99aa-4087f9088b52}</author>
    <author>tc={6f79e0aa-532a-4182-84ec-cf3f447b0a11}</author>
    <author>tc={7c01e590-c59c-415f-8cc6-d6c5ba739241}</author>
    <author>tc={83809265-57e8-4807-8c7e-de674a4f53bc}</author>
    <author>tc={86818e43-172b-434b-abfa-643af01bb573}</author>
    <author>tc={8a06f838-9dbe-4d1c-83e0-3c54da1aed54}</author>
    <author>tc={8a7d09b7-741d-4924-8187-915aa317e91a}</author>
    <author>tc={cc322832-fed1-4c33-b579-fc0a4ea58e56}</author>
    <author>tc={e2ed3cdb-a78d-4914-9fb4-e36e64360b8b}</author>
  </authors>
  <commentList>
    <comment authorId="0" xr:uid="{200ffef6-5b69-4ea7-b334-06ce87698d5a}" ref="C12">
      <text>
        <t xml:space="preserve">[Threaded comment]
 Your version of Excel allows you to read this threaded comment; however, any edits to it will get removed if the file is opened in a newer version of Excel. Learn more: https://go.microsoft.com/fwlink/?linkid=870924
Comment:
	Not sure how we should lay this out
</t>
      </text>
    </comment>
    <comment authorId="1" xr:uid="{473b4d77-66c8-4fad-bffc-2f7f69f552d0}" ref="A1">
      <text>
        <t xml:space="preserve">[Threaded comment]
 Your version of Excel allows you to read this threaded comment; however, any edits to it will get removed if the file is opened in a newer version of Excel. Learn more: https://go.microsoft.com/fwlink/?linkid=870924
Comment:
	I removed the temporary hardware from the top of the sheet and have now added the actual list of pulls and knobs. Right now they have column D to distinguish Pull or Knob, but we need other ways to sort them so the customer doesn't have to scroll through 2,000 hardware choices each time. Any thoughts on how to do that?
Reply:
	We will find a way for this. Why did you add H1# here?
Reply:
	I forgot to take it off. I have corrected it.
</t>
      </text>
    </comment>
    <comment authorId="2" xr:uid="{508edd2b-f23c-4105-8bac-321b640670ea}" ref="A1">
      <text>
        <t xml:space="preserve">[Threaded comment]
 Your version of Excel allows you to read this threaded comment; however, any edits to it will get removed if the file is opened in a newer version of Excel. Learn more: https://go.microsoft.com/fwlink/?linkid=870924
Comment:
	Why this is added Twice?
</t>
      </text>
    </comment>
    <comment authorId="3" xr:uid="{528879cf-3930-448e-9459-d2c2b6a89aaf}" ref="A1">
      <text>
        <t xml:space="preserve">[Threaded comment]
 Your version of Excel allows you to read this threaded comment; however, any edits to it will get removed if the file is opened in a newer version of Excel. Learn more: https://go.microsoft.com/fwlink/?linkid=870924
Comment:
	This is unique
</t>
      </text>
    </comment>
    <comment authorId="4" xr:uid="{67776c2a-3451-48e1-99aa-4087f9088b52}" ref="A1">
      <text>
        <t xml:space="preserve">[Threaded comment]
 Your version of Excel allows you to read this threaded comment; however, any edits to it will get removed if the file is opened in a newer version of Excel. Learn more: https://go.microsoft.com/fwlink/?linkid=870924
Comment:
	Fix Global Attribute Names
</t>
      </text>
    </comment>
    <comment authorId="5" xr:uid="{6f79e0aa-532a-4182-84ec-cf3f447b0a11}" ref="A1">
      <text>
        <t xml:space="preserve">[Threaded comment]
 Your version of Excel allows you to read this threaded comment; however, any edits to it will get removed if the file is opened in a newer version of Excel. Learn more: https://go.microsoft.com/fwlink/?linkid=870924
Comment:
	Does the picture name need to go on the global attribute file?
</t>
      </text>
    </comment>
    <comment authorId="6" xr:uid="{7c01e590-c59c-415f-8cc6-d6c5ba739241}" ref="A1">
      <text>
        <t xml:space="preserve">[Threaded comment]
 Your version of Excel allows you to read this threaded comment; however, any edits to it will get removed if the file is opened in a newer version of Excel. Learn more: https://go.microsoft.com/fwlink/?linkid=870924
Comment:
	Is this column necessary? I am thinking we don't need it because we will use the Modified item # for the picture name.
</t>
      </text>
    </comment>
    <comment authorId="7" xr:uid="{83809265-57e8-4807-8c7e-de674a4f53bc}" ref="A1">
      <text>
        <t xml:space="preserve">[Threaded comment]
 Your version of Excel allows you to read this threaded comment; however, any edits to it will get removed if the file is opened in a newer version of Excel. Learn more: https://go.microsoft.com/fwlink/?linkid=870924
Comment:
	Why both are same values?
</t>
      </text>
    </comment>
    <comment authorId="8" xr:uid="{86818e43-172b-434b-abfa-643af01bb573}" ref="A1">
      <text>
        <t xml:space="preserve">[Threaded comment]
 Your version of Excel allows you to read this threaded comment; however, any edits to it will get removed if the file is opened in a newer version of Excel. Learn more: https://go.microsoft.com/fwlink/?linkid=870924
Comment:
	We need to add the WEIGHT
</t>
      </text>
    </comment>
    <comment authorId="9" xr:uid="{8a06f838-9dbe-4d1c-83e0-3c54da1aed54}" ref="A1">
      <text>
        <t xml:space="preserve">[Threaded comment]
 Your version of Excel allows you to read this threaded comment; however, any edits to it will get removed if the file is opened in a newer version of Excel. Learn more: https://go.microsoft.com/fwlink/?linkid=870924
Comment:
	We have two Hardwares here. Both are having same H1 values!
Reply:
	Yes. We need them both. Customers can choose two different hardware options. That's why there are two hardware dropdowns.
We have addressed this by having the second hardware use the first one as a parent.
Reply:
	But both are referred to H1 in the Global Attributes. Has the same value for H1
Reply:
	I didn't know if that would be an issue. If it needs to be H1 and H2 that is fine. It's the same list of hardware twice.
Reply:
	Shall we have a google meet now?
Reply:
	Keith isn't here right now and I don't have the set up for it. I can see if it would be convenient later when he gets here.
Reply:
	I need some clarification to send to my guys in order to complete few parts of the module. 
I am not feeling  well today.  So I will email my queries by tomorrow.
Reply:
	Keith is here now if you still want to meet. But if you're not up to it, tomorrow should be fine as well.
</t>
      </text>
    </comment>
    <comment authorId="10" xr:uid="{8a7d09b7-741d-4924-8187-915aa317e91a}" ref="A1">
      <text>
        <t xml:space="preserve">[Threaded comment]
 Your version of Excel allows you to read this threaded comment; however, any edits to it will get removed if the file is opened in a newer version of Excel. Learn more: https://go.microsoft.com/fwlink/?linkid=870924
Comment:
	Hidden Item Number
</t>
      </text>
    </comment>
    <comment authorId="11" xr:uid="{cc322832-fed1-4c33-b579-fc0a4ea58e56}" ref="A1">
      <text>
        <t xml:space="preserve">[Threaded comment]
 Your version of Excel allows you to read this threaded comment; however, any edits to it will get removed if the file is opened in a newer version of Excel. Learn more: https://go.microsoft.com/fwlink/?linkid=870924
Comment:
	Sometimes one item may be a part of 2 or more collections. How should we handle this?
Reply:
	We have now added the Related Collections tab (Name may change) Which shows the item # and all the collections it belongs to.
</t>
      </text>
    </comment>
    <comment authorId="12" xr:uid="{e2ed3cdb-a78d-4914-9fb4-e36e64360b8b}" ref="A1">
      <text>
        <t xml:space="preserve">[Threaded comment]
 Your version of Excel allows you to read this threaded comment; however, any edits to it will get removed if the file is opened in a newer version of Excel. Learn more: https://go.microsoft.com/fwlink/?linkid=870924
Comment:
	Berlin Gardens has added assembly videos for some of their items. I thought it would be nice to include. Wasn't sure how or where we should put it.
</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tc={212bcbd5-da9d-4bf8-ab6c-4fa0e5ad88ec}</author>
  </authors>
  <commentList>
    <comment authorId="0" xr:uid="{212bcbd5-da9d-4bf8-ab6c-4fa0e5ad88ec}" ref="O104">
      <text>
        <t xml:space="preserve">[Threaded comment]
 Your version of Excel allows you to read this threaded comment; however, any edits to it will get removed if the file is opened in a newer version of Excel. Learn more: https://go.microsoft.com/fwlink/?linkid=870924
Comment:
	Why both are same values?
</t>
      </text>
    </comment>
  </commentList>
</comments>
</file>

<file path=xl/comments3.xml><?xml version="1.0" encoding="utf-8"?>
<comments xmlns:r="http://schemas.openxmlformats.org/officeDocument/2006/relationships" xmlns="http://schemas.openxmlformats.org/spreadsheetml/2006/main" xmlns:xr="http://schemas.microsoft.com/office/spreadsheetml/2014/revision">
  <authors>
    <author>tc={09299dd3-3ca6-42b8-a935-687d7391a5c6}</author>
    <author>tc={0c368bef-27b1-4ff3-9f03-020c68859d53}</author>
    <author>tc={19801dae-1edc-4751-bad1-41be587852d2}</author>
    <author>tc={28f4a15c-2072-4c00-ace8-77752241ac29}</author>
    <author>tc={c5aebb26-6588-4d2c-86d0-4cf55715e2c2}</author>
    <author>tc={d2171828-849f-4fe7-b698-6c570fae40fe}</author>
    <author>tc={faf881e4-a276-404b-b518-dc6be8d148c0}</author>
  </authors>
  <commentList>
    <comment authorId="0" xr:uid="{09299dd3-3ca6-42b8-a935-687d7391a5c6}" ref="B441">
      <text>
        <t xml:space="preserve">[Threaded comment]
 Your version of Excel allows you to read this threaded comment; however, any edits to it will get removed if the file is opened in a newer version of Excel. Learn more: https://go.microsoft.com/fwlink/?linkid=870924
Comment:
	This # should be I586-2-ORB (that's an I on the front). The tag in the photo also needs to be corrected.
Reply:
	Done
</t>
      </text>
    </comment>
    <comment authorId="1" xr:uid="{0c368bef-27b1-4ff3-9f03-020c68859d53}" ref="G1">
      <text>
        <t xml:space="preserve">[Threaded comment]
 Your version of Excel allows you to read this threaded comment; however, any edits to it will get removed if the file is opened in a newer version of Excel. Learn more: https://go.microsoft.com/fwlink/?linkid=870924
Comment:
	Shall we add like this here?
Reply:
	I'm fine with this.
</t>
      </text>
    </comment>
    <comment authorId="2" xr:uid="{19801dae-1edc-4751-bad1-41be587852d2}" ref="F1">
      <text>
        <t xml:space="preserve">[Threaded comment]
 Your version of Excel allows you to read this threaded comment; however, any edits to it will get removed if the file is opened in a newer version of Excel. Learn more: https://go.microsoft.com/fwlink/?linkid=870924
Comment:
	Lets Keep this one
Reply:
	Sounds Good
</t>
      </text>
    </comment>
    <comment authorId="3" xr:uid="{28f4a15c-2072-4c00-ace8-77752241ac29}" ref="B1397">
      <text>
        <t xml:space="preserve">[Threaded comment]
 Your version of Excel allows you to read this threaded comment; however, any edits to it will get removed if the file is opened in a newer version of Excel. Learn more: https://go.microsoft.com/fwlink/?linkid=870924
Comment:
	Why this is added twice?
Reply:
	Apparently they had the image in .jpg and.png and I missed that it was duplicated. I removed the second instance.
Reply:
	I have send the meet link. Matt and I are in the meet. Can you join?
Reply:
	I had messaged you both that Keith was running late and we needed to push it to 11:30. Matt said that was ok. I hope that works for you too
</t>
      </text>
    </comment>
    <comment authorId="4" xr:uid="{c5aebb26-6588-4d2c-86d0-4cf55715e2c2}" ref="B513">
      <text>
        <t xml:space="preserve">[Threaded comment]
 Your version of Excel allows you to read this threaded comment; however, any edits to it will get removed if the file is opened in a newer version of Excel. Learn more: https://go.microsoft.com/fwlink/?linkid=870924
Comment:
	Why the photo name is here?
Reply:
	Just a mistake
</t>
      </text>
    </comment>
    <comment authorId="5" xr:uid="{d2171828-849f-4fe7-b698-6c570fae40fe}" ref="A7">
      <text>
        <t xml:space="preserve">[Threaded comment]
 Your version of Excel allows you to read this threaded comment; however, any edits to it will get removed if the file is opened in a newer version of Excel. Learn more: https://go.microsoft.com/fwlink/?linkid=870924
Comment:
	Do we really need the parent column (column e)? Can we just have our data once?
</t>
      </text>
    </comment>
    <comment authorId="6" xr:uid="{faf881e4-a276-404b-b518-dc6be8d148c0}" ref="H66">
      <text>
        <t xml:space="preserve">[Threaded comment]
 Your version of Excel allows you to read this threaded comment; however, any edits to it will get removed if the file is opened in a newer version of Excel. Learn more: https://go.microsoft.com/fwlink/?linkid=870924
Comment:
	Items with an "" has a special note that goes along with it. Same for "*" Wasn't sure how to add that in.
</t>
      </text>
    </comment>
  </commentList>
</comments>
</file>

<file path=xl/comments4.xml><?xml version="1.0" encoding="utf-8"?>
<comments xmlns:r="http://schemas.openxmlformats.org/officeDocument/2006/relationships" xmlns="http://schemas.openxmlformats.org/spreadsheetml/2006/main" xmlns:xr="http://schemas.microsoft.com/office/spreadsheetml/2014/revision">
  <authors>
    <author>tc={22f00ff8-87f7-4345-aa32-a57d8407e8b0}</author>
    <author>tc={45d3fc8f-9ecf-46c6-8750-54c955286cc9}</author>
    <author>tc={926bb923-e08d-4100-9ad4-c1aa19e17e84}</author>
    <author>tc={9f7c21f7-b634-42f5-adfd-e83ab9490f9e}</author>
    <author>tc={ac4bb6dc-3bf6-4d85-9316-b02b14124820}</author>
    <author>tc={b4bd6ae6-0131-4268-8b6c-21c81e56f951}</author>
    <author>tc={d3261b1d-d5cf-4960-8b09-da2523bff3ac}</author>
    <author>tc={efc8cbc8-b45d-401c-90a9-b62c7f41ebdc}</author>
  </authors>
  <commentList>
    <comment authorId="0" xr:uid="{22f00ff8-87f7-4345-aa32-a57d8407e8b0}" ref="I12">
      <text>
        <t xml:space="preserve">[Threaded comment]
 Your version of Excel allows you to read this threaded comment; however, any edits to it will get removed if the file is opened in a newer version of Excel. Learn more: https://go.microsoft.com/fwlink/?linkid=870924
Comment:
	We need to match this with the Global Attributes
Reply:
	When I tweak my data extraction, this will be correct when output. I can manually address this small dataset in the meantime.
1 total reaction
harish@ohiowebtech.com reacted with 👍 at 2024-03-06 2:49 PM UTC
</t>
      </text>
    </comment>
    <comment authorId="1" xr:uid="{45d3fc8f-9ecf-46c6-8750-54c955286cc9}" ref="K337">
      <text>
        <t xml:space="preserve">[Threaded comment]
 Your version of Excel allows you to read this threaded comment; however, any edits to it will get removed if the file is opened in a newer version of Excel. Learn more: https://go.microsoft.com/fwlink/?linkid=870924
Comment:
	If two values are chosen, take the highest value. If there are conflicting values, take the higher one.
</t>
      </text>
    </comment>
    <comment authorId="2" xr:uid="{926bb923-e08d-4100-9ad4-c1aa19e17e84}" ref="I76">
      <text>
        <t xml:space="preserve">[Threaded comment]
 Your version of Excel allows you to read this threaded comment; however, any edits to it will get removed if the file is opened in a newer version of Excel. Learn more: https://go.microsoft.com/fwlink/?linkid=870924
Comment:
	Rustic QSWO is one of the Global Attributes
</t>
      </text>
    </comment>
    <comment authorId="3" xr:uid="{9f7c21f7-b634-42f5-adfd-e83ab9490f9e}" ref="I8">
      <text>
        <t xml:space="preserve">[Threaded comment]
 Your version of Excel allows you to read this threaded comment; however, any edits to it will get removed if the file is opened in a newer version of Excel. Learn more: https://go.microsoft.com/fwlink/?linkid=870924
Comment:
	Can you please let me know why you have add this?
Reply:
	I'm not sure who or why this was added. It was most likely a mistake.
Reply:
	I have deleted it.
1 total reaction
harish@ohiowebtech.com reacted with 👍 at 2024-04-21 5:11 AM UTC
</t>
      </text>
    </comment>
    <comment authorId="4" xr:uid="{ac4bb6dc-3bf6-4d85-9316-b02b14124820}" ref="K34">
      <text>
        <t xml:space="preserve">[Threaded comment]
 Your version of Excel allows you to read this threaded comment; however, any edits to it will get removed if the file is opened in a newer version of Excel. Learn more: https://go.microsoft.com/fwlink/?linkid=870924
Comment:
	We don't want to charge for the default hardware. We only want to charge for a change. We are not sure how to handle this.
</t>
      </text>
    </comment>
    <comment authorId="5" xr:uid="{b4bd6ae6-0131-4268-8b6c-21c81e56f951}" ref="A340">
      <text>
        <t xml:space="preserve">[Threaded comment]
 Your version of Excel allows you to read this threaded comment; however, any edits to it will get removed if the file is opened in a newer version of Excel. Learn more: https://go.microsoft.com/fwlink/?linkid=870924
Comment:
	Here is the item Keith requested I add where it has 1 dropdown. It still has two options for the dropdown as it can be Standard or Natural. But there is no top or bottom. It doesn't come two toned or anything.
</t>
      </text>
    </comment>
    <comment authorId="6" xr:uid="{d3261b1d-d5cf-4960-8b09-da2523bff3ac}" ref="A2">
      <text>
        <t xml:space="preserve">[Threaded comment]
 Your version of Excel allows you to read this threaded comment; however, any edits to it will get removed if the file is opened in a newer version of Excel. Learn more: https://go.microsoft.com/fwlink/?linkid=870924
Comment:
	Is this okay if its not unique? or should we add the vendor # here?
Reply:
	Do we want an item line in here or should we have it in another tab.
</t>
      </text>
    </comment>
    <comment authorId="7" xr:uid="{efc8cbc8-b45d-401c-90a9-b62c7f41ebdc}" ref="A345">
      <text>
        <t xml:space="preserve">[Threaded comment]
 Your version of Excel allows you to read this threaded comment; however, any edits to it will get removed if the file is opened in a newer version of Excel. Learn more: https://go.microsoft.com/fwlink/?linkid=870924
Comment:
	Harish, I wasn't sure how to handle this item. It didn't seem to fit in the 2-in-1 template. It needs a combination of the Universal Fabric groups and then the Standard or Natural colors in order to get to the right price. I am open for suggestions as I've tried to make it work a number of ways.
</t>
      </text>
    </comment>
  </commentList>
</comments>
</file>

<file path=xl/comments5.xml><?xml version="1.0" encoding="utf-8"?>
<comments xmlns:r="http://schemas.openxmlformats.org/officeDocument/2006/relationships" xmlns="http://schemas.openxmlformats.org/spreadsheetml/2006/main" xmlns:xr="http://schemas.microsoft.com/office/spreadsheetml/2014/revision">
  <authors>
    <author>tc={4e9a36dc-6339-4914-820c-83342e2021f0}</author>
  </authors>
  <commentList>
    <comment authorId="0" xr:uid="{4e9a36dc-6339-4914-820c-83342e2021f0}" ref="B1">
      <text>
        <t xml:space="preserve">[Threaded comment]
 Your version of Excel allows you to read this threaded comment; however, any edits to it will get removed if the file is opened in a newer version of Excel. Learn more: https://go.microsoft.com/fwlink/?linkid=870924
Comment:
	We are envisioning that Harish uploads only columns a &amp; b. The other columns we can use so that we can understand and things quickly.
</t>
      </text>
    </comment>
  </commentList>
</comments>
</file>

<file path=xl/comments6.xml><?xml version="1.0" encoding="utf-8"?>
<comments xmlns:r="http://schemas.openxmlformats.org/officeDocument/2006/relationships" xmlns="http://schemas.openxmlformats.org/spreadsheetml/2006/main" xmlns:xr="http://schemas.microsoft.com/office/spreadsheetml/2014/revision">
  <authors>
    <author>tc={3ad25ac9-4679-4d83-b4b1-bf4f180ca8b2}</author>
  </authors>
  <commentList>
    <comment authorId="0" xr:uid="{3ad25ac9-4679-4d83-b4b1-bf4f180ca8b2}" ref="E33">
      <text>
        <t xml:space="preserve">[Threaded comment]
 Your version of Excel allows you to read this threaded comment; however, any edits to it will get removed if the file is opened in a newer version of Excel. Learn more: https://go.microsoft.com/fwlink/?linkid=870924
Comment:
	What shall we do about this? Should they just stay in the description?
We are thinking this should be on the item master itself on the items on which we need to take care.
</t>
      </text>
    </comment>
  </commentList>
</comments>
</file>

<file path=xl/sharedStrings.xml><?xml version="1.0" encoding="utf-8"?>
<sst xmlns="http://schemas.openxmlformats.org/spreadsheetml/2006/main" count="51726" uniqueCount="10393">
  <si>
    <t>Department</t>
  </si>
  <si>
    <t>Discount Amount</t>
  </si>
  <si>
    <t>Discount Type</t>
  </si>
  <si>
    <t>Discount Text</t>
  </si>
  <si>
    <t>Page title and focus keyphrase</t>
  </si>
  <si>
    <t>SEO title</t>
  </si>
  <si>
    <t>Meta description</t>
  </si>
  <si>
    <t>Description</t>
  </si>
  <si>
    <t>Slug / URL</t>
  </si>
  <si>
    <t>Rosie's Edits</t>
  </si>
  <si>
    <t>Triggers</t>
  </si>
  <si>
    <t>Blurbs</t>
  </si>
  <si>
    <t>Identifier</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</si>
  <si>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</si>
  <si>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</si>
  <si>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</si>
  <si>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</si>
  <si>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</si>
  <si>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Good sleep is the one thing you cannot fake, and it starts with what you lie down on each night. Millwest's Monarch Rest mattresses are hand-assembled by Amish craftsmen in Sugarcreek, Ohio, using heavier-gauge steel coils and high-density foam built to last decades rather than years. The department spans a full range of comfort levels,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and coordinating foundations and adjustable &lt;a href="https://millwest.com/product-category/mattress-collections/g-motion-bases/"&gt;motion bases&lt;/a&gt;. Shop a single mattress or build a complete sleep system, and choose from named series including &lt;a href="https://millwest.com/quiet-night-series-by-monarch-rest/"&gt;Quiet Night&lt;/a&gt;, &lt;a href="https://millwest.com/elite-series-by-monarch-rest/"&gt;Elite&lt;/a&gt;,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to fit your preference and budget. Every mattress carries an industry-leading &lt;a href="https://millwest.com/warranties/"&gt;twenty-year warranty&lt;/a&gt;. Browse the collection below to find the right match for how you sleep.</t>
  </si>
  <si>
    <t>mattress-collections</t>
  </si>
  <si>
    <t>% discount</t>
  </si>
  <si>
    <t>100/1000</t>
  </si>
  <si>
    <t>Every $1,000 you buy gets you $100 off. For example, a $1,900 purchase qualifies for a $100 discount while a $2,100 purchase qualifies for $200 off. Doesn't include already discounted items.</t>
  </si>
  <si>
    <t>$</t>
  </si>
  <si>
    <t>Bedroom</t>
  </si>
  <si>
    <t>Amish Solid Wood Bedroom Furniture</t>
  </si>
  <si>
    <t>Amish Solid Wood Bedroom Furniture: Get great priced solid-wood, Amish-made bedroom sets shipped to your door. Shop online.</t>
  </si>
  <si>
    <t>The bedroom is the room where you start and end every day, so the furniture in it should be worth waking up to. Millwest's Amish solid wood bedroom pieces are hand-built from solid hardwood, hand-finished, and made to order by skilled craftsmen, then sealed with a durable finish that stands up to generations of daily use. The department covers the whole room: &lt;a href="https://millwest.com/product-category/bedroom-collections/beds/"&gt;beds&lt;/a&gt; in sizes from Twin to California King, along with &lt;a href="https://millwest.com/product-category/bedroom-collections/dressers/"&gt;dressers&lt;/a&gt;, &lt;a href="https://millwest.com/product-category/bedroom-collections/nightstands/"&gt;nightstands&lt;/a&gt;, &lt;a href="https://millwest.com/product-category/bedroom-collections/chests/"&gt;chests&lt;/a&gt;, &lt;a href="https://millwest.com/product-category/bedroom-collections/benches/"&gt;benches&lt;/a&gt;, and &lt;a href="https://millwest.com/product-category/bedroom-collections/armoires/"&gt;armoires&lt;/a&gt;. Start with a single piece or coordinate a full set drawn from named lines like the &lt;a href="https://millwest.com/product/duchess-bedroom-collection/"&gt;Duchess&lt;/a&gt; and &lt;a href="https://millwest.com/product/empire-mission-bedroom-collection/"&gt;Empire Mission&lt;/a&gt; collections. Because everything is made to order, you choose the wood species, stain, and hardware to fit your space. Browse the categories below and build a bedroom you will come home to for years.</t>
  </si>
  <si>
    <t>bedroom-collections</t>
  </si>
  <si>
    <t>Millwest offers &lt;strong&gt;Amish-made&lt;/strong&gt; bedroom collections crafted from&lt;strong&gt; solid wood&lt;/strong&gt;. Our pieces feature a durable water-resistant finish to protect them from everyday wear. Each unique bedframe is hand-crafted with 1-inch solid wood slats, providing strength and stability that lasts for generations.
You'll find a variety of wood options to suit your stylistic preferences, paired with dozens of stain choices. Giving you the ability to&lt;strong&gt; customize&lt;/strong&gt; your furniture. With finish shades ranging from dark, rich stains to lighter, bouyant stains, you can fullfill your design needs.
Bedroom sets include full bed frames in all sizes, from Twin to California King, allowing you to choose the perfect fit for any space or sleeper. All sets are sold by the piece, so you can purchase only what you need. This flexibility makes it easy to create a &lt;strong&gt;personalized, pointed&lt;/strong&gt; look for your space.
Each dresser and end table showcase the cornertsone crafting on the drawers, dovetail; an especially sturdy and aesthetically pleasing way of connecting wood pieces. These drawers function with either side or bottom track ball-bearing slides for better performance. This &lt;strong&gt;high-quality&lt;/strong&gt; construction ensures smooth drawer operation and lasting durability.
Millwest’s Amish-made bedroom collections bring craftsmanship, functionality, and&lt;strong&gt; beauty&lt;/strong&gt; to a new level, adding a refined look to any room it's in. With customizable options, sturdy solid wood construction, and attention to detail, our pieces provide timeless appeal. Whether you are furnishing your daughter's room, a guest room or your own bedroom, our furniture will enhance your space with both style, elegance and heirloom quality.</t>
  </si>
  <si>
    <t>20% off</t>
  </si>
  <si>
    <t>20% off furniture this month! Doesn't include already discounted items.</t>
  </si>
  <si>
    <t>Storewide</t>
  </si>
  <si>
    <t>Outdoor Only</t>
  </si>
  <si>
    <t>Curio</t>
  </si>
  <si>
    <t>Amish Solid Wood Curio Cabinets</t>
  </si>
  <si>
    <t>Amish Solid Wood Curio Cabinets handcrafted from hardwood. Display your china, collectibles, and heirlooms in glass-door cases built to last.</t>
  </si>
  <si>
    <t>Your china, your collectibles, the pieces handed down through the family: they are meant to be seen, not boxed away. Millwest's Amish curio cabinets are handcrafted from solid hardwood by skilled Amish artisans and hand-finished to put your favorite things in their best light. The department covers the full range of display, from corner cabinets that turn an unused angle into a focal point to wall and console styles sized for any room. Choose finishes that match the furniture you already own, and shop a single statement piece or a matching pair to balance a display wall. Because each cabinet is made to order, you choose the wood species and stain. Browse the categories below and give your collection the spotlight it deserves.</t>
  </si>
  <si>
    <t>curio-collections</t>
  </si>
  <si>
    <t>This month only: Take 15% off any outdoor furniture items! (Excludes already discounted items).</t>
  </si>
  <si>
    <t>This month only: Take 15% off your entire purchase! (Excludes already discounted items).</t>
  </si>
  <si>
    <t>Dining</t>
  </si>
  <si>
    <t>Amish Solid Wood Dining Room Furniture</t>
  </si>
  <si>
    <t>Amish Solid Wood Dining Room Furniture: Get great priced solid-wood, Amish-made dining sets shipped to your door. Shop online.</t>
  </si>
  <si>
    <t>The dining room is where holidays unfold and Tuesday dinners stretch into long conversations. Millwest's Amish solid wood dining furniture is handcrafted from solid hardwood by skilled Amish artisans and hand-finished with a durable, water-resistant coating that holds up to a lifetime of family meals. The department covers everything the room needs: &lt;a href="https://millwest.com/product-category/dining-collections/tables/"&gt;tables&lt;/a&gt; and &lt;a href="https://millwest.com/product-category/dining-collections/chairs/"&gt;chairs&lt;/a&gt; to gather around, plus &lt;a href="https://millwest.com/product-category/dining-collections/buffets/"&gt;buffets&lt;/a&gt; and &lt;a href="https://millwest.com/product-category/dining-collections/hutches/"&gt;hutches&lt;/a&gt; for storage and serving. Start with a single table or coordinate a full set drawn from named lines like the &lt;a href="https://millwest.com/product/arlington-dining-collection/"&gt;Arlington&lt;/a&gt; and &lt;a href="https://millwest.com/product/liberty-dining-collection/"&gt;Liberty&lt;/a&gt; collections, in sizes and seating counts for gatherings big and small. Because everything is made to order, you choose the wood species, stain, and configuration to fit your space. Explore the categories below and set the table your family will gather around for generations.</t>
  </si>
  <si>
    <t>dining-collections</t>
  </si>
  <si>
    <t>Our Dining Collections at Millwest showcase &lt;strong&gt;durable&lt;/strong&gt;, high-quality, Amish-made creations that stand the test of time. Expert craftsmanship drives every piece, whether it’s a reclaimed oak barnwood table that seats up to ten or a sleek, modern cherry wood table with a round top for four. Our &lt;strong&gt;artisan woodworkers&lt;/strong&gt; pour their expertise and attention into each creation, ensuring you receive a piece that’s as &lt;strong&gt;functional&lt;/strong&gt; as it is beautiful.
With dozens of stains available, you can easily find the perfect shade to&lt;strong&gt; enhance&lt;/strong&gt; your home. We also offer a wide variety of wood options, allowing you to &lt;strong&gt;personalize&lt;/strong&gt; your furniture to your exact vision. Our collection present a range of styles, including rustic modern designs or the inviting charm of a barndominium aesthetic, we have what you're looking for.
Our goal is to help you bring the artistry of master craftsmen directly into your home, offering furniture that’s both &lt;strong&gt;versatile&lt;/strong&gt; and built to last. Every piece in our Dining Collection reflects our commitment to &lt;strong&gt;quality, style, and craftsmanship&lt;/strong&gt;. From functional pieces to standout statements, our furniture enhances any space with the perfect blend of form and function.</t>
  </si>
  <si>
    <t>Dining room</t>
  </si>
  <si>
    <t>25% off furniture this month! Doesn't include already discounted items.</t>
  </si>
  <si>
    <t>Entertainment</t>
  </si>
  <si>
    <t>Amish Solid Wood TV Stands &amp; Bookcases</t>
  </si>
  <si>
    <t>Amish Solid Wood TV Stands &amp; Bookcases: Get great priced Amish-made furniture shipped right to your door. Shop online.</t>
  </si>
  <si>
    <t>The living room is the one everybody actually uses, and the pieces that anchor it take the most daily wear. Millwest's Amish solid wood entertainment furniture is handcrafted from solid hardwood by skilled Amish artisans and hand-finished to handle years of real life. The department covers the media wall and beyond: &lt;a href="https://millwest.com/product-category/entertainment-collections/tv-stands/"&gt;TV stands&lt;/a&gt; and media consoles sized to your screen, along with bookcases and storage cabinets that keep everyday clutter in order. Start with one substantial piece or coordinate a matching group drawn from named lines like the &lt;a href="https://millwest.com/product/duchess-entertainment-collection/"&gt;Duchess&lt;/a&gt;, &lt;a href="https://millwest.com/product/parkview-collection-2/"&gt;Parkview&lt;/a&gt;, and &lt;a href="https://millwest.com/product/cody-collection-2/"&gt;Cody&lt;/a&gt; collections, in a range of sizes and configurations. Because everything is made to order, you choose the wood species, stain, and layout to fit your room. Browse the categories below and pull your living room together with furniture built to last.</t>
  </si>
  <si>
    <t>entertainment-collections</t>
  </si>
  <si>
    <t>Millwest Amish Furniture offers stunning Entertainment Collections of handcrafted furniture. Each piece &lt;strong&gt;Amish made&lt;/strong&gt;, delivers top-quality craftsmanship, meant to last a lifetime. Choose your perfect combination of TV stands, bookcases, coffee tables, and end tables designed with both &lt;strong&gt;function&lt;/strong&gt; and &lt;strong&gt;style&lt;/strong&gt; in mind.
&lt;strong&gt;Customize&lt;/strong&gt; your furniture with a wide selection of stains, woods, and hardware options for doors and drawers.We want to equip you with the tools to match every preference and design need. Whether you prefer&lt;strong&gt; rustic&lt;/strong&gt;, contemporary, or &lt;strong&gt;classic&lt;/strong&gt; styles for your home, Millwest allows you to create furniture that reflects your furniture goals.
The expert construction is clear in the dovetail seams and hardwood drawer boxes, combining&lt;strong&gt; strength&lt;/strong&gt; and&lt;strong&gt; beauty&lt;/strong&gt;. Adjustable shelves in our bookcases provide versatile storage for organizing or displaying treasured items. Our TV stands offer durable construction, ample space for hosting movie nights, and organizing entertainment essentials.
We believe furniture should reflect your style and provide a reliable foundation for daily life and special moments. Whether hosting guests or relaxing at home. With Millwest, you invest in&lt;strong&gt; heirloom-quality&lt;/strong&gt; furniture that enhances your space for decades. Explore our Entertainment Collections today and discover how customizable, high-quality Amish furniture can elevate your home.</t>
  </si>
  <si>
    <t>200/1000</t>
  </si>
  <si>
    <t>Every $1,000 you buy gets you $200 off. For example, a $1,900 purchase qualifies for a $200 discount while a $2,100 purchase qualifies for $400 off. Doesn't include already discounted items.</t>
  </si>
  <si>
    <t>Occasionals</t>
  </si>
  <si>
    <t>Amish Solid Wood Occasional Furniture</t>
  </si>
  <si>
    <t>Amish Solid Wood Occasional Furniture: end tables, coffee tables, sofa tables, and accent pieces handcrafted by master craftsmen. Shop online!</t>
  </si>
  <si>
    <t>The small surfaces are the ones you reach for without thinking: a spot for the coffee, the lamp, the book you set down mid-chapter. Millwest's Amish solid wood occasional furniture fills those gaps, handcrafted from solid hardwood by skilled Amish artisans and hand-finished to last. The department covers the pieces that finish a room: &lt;a href="https://millwest.com/product-category/occasional-collections/end-tables/"&gt;end tables&lt;/a&gt; and &lt;a href="https://millwest.com/product-category/occasional-collections/coffee-tables/"&gt;coffee tables&lt;/a&gt;, console and sofa tables, and accent stands sized for a living room, bedroom, hallway, or entryway. Start with a single table or coordinate a matching group drawn from named lines like the &lt;a href="https://millwest.com/product/parkview-collection/"&gt;Parkview&lt;/a&gt; and &lt;a href="https://millwest.com/product/chloe-occasional-collection/"&gt;Chloe&lt;/a&gt; collections. Because everything is made to order, you choose the wood species, stain, and size to fit your space. Browse the categories below and pick the surface pieces that complete your room.</t>
  </si>
  <si>
    <t>occasional-collections</t>
  </si>
  <si>
    <t>The Occasionals Collections at Millwest are the perfect way to add surface space and style to any room. We offer a stunning selection of &lt;strong&gt;versatile&lt;/strong&gt;, functional pieces for your home. Each item is Amish-made, created by skilled artisans focused on &lt;strong&gt;quality&lt;/strong&gt; and &lt;strong&gt;durability&lt;/strong&gt;. From end tables to consoles and accent chairs, these pieces are more than just furniture; they are masterworks.
The Occasionals Collection blends&lt;strong&gt; style&lt;/strong&gt; with&lt;strong&gt; practicality&lt;/strong&gt;, offering furniture designed to meet your unique needs of extra storage, a place to showcase décor and everyday essentials. These accents compliment upholstery pieces, bedroom sets, office spaces with their one of a kind wood grain and long lasting quality.Their versatility allows you to &lt;strong&gt;integrate&lt;/strong&gt; them into any space.
Millwest stands out by offering the ability to &lt;strong&gt;personalize&lt;/strong&gt; each piece. Choose from various&lt;strong&gt; woods&lt;/strong&gt; and&lt;strong&gt; stains&lt;/strong&gt; to tailor the furniture to your home. This flexibility lets you create a cohesive look that suits your style, whether it’s rustic, modern, or traditional. You can also customize&lt;strong&gt; knobs&lt;/strong&gt; and &lt;strong&gt;handles&lt;/strong&gt; to reflect your personal taste.
Durable and stylish, invest in a timeless heirloom and let the Occasionals Collection transform your home into a place of&lt;strong&gt; comfort&lt;/strong&gt; and &lt;strong&gt;style&lt;/strong&gt;.</t>
  </si>
  <si>
    <t>Office</t>
  </si>
  <si>
    <t>Amish Solid Wood Office Furniture</t>
  </si>
  <si>
    <t>Amish Solid Wood Office Furniture: desks, file cabinets, hutch tops, and bookcases handcrafted from hardwood. Built to order. Shop online!</t>
  </si>
  <si>
    <t>Most office furniture is particleboard dressed up in veneer, and it shows within a few years. Millwest's Amish solid wood office furniture is the opposite: hand-built from solid hardwood by skilled Amish craftsmen and made to hold up to decades of daily work. The department covers the working office, from &lt;a href="https://millwest.com/product-category/office-collections/desks/"&gt;desks&lt;/a&gt; and &lt;a href="https://millwest.com/product-category/office-collections/file-cabinets/"&gt;file cabinets&lt;/a&gt; to &lt;a href="https://millwest.com/product-category/office-collections/hutch-tops/"&gt;hutch tops&lt;/a&gt;, &lt;a href="https://millwest.com/product-category/office-collections/bookcases/"&gt;bookcases&lt;/a&gt;, and computer armoires, in sizes that run from a compact laptop desk to an executive setup built to anchor a study. Start with one piece or coordinate a desk, hutch, and file cabinet set that grows with your work. Because everything is made to order, you choose the wood species, stain, and configuration to fit the room and the way you work. Browse the categories below and outfit a workspace built to last.</t>
  </si>
  <si>
    <t>office-collections</t>
  </si>
  <si>
    <t>Outdoor</t>
  </si>
  <si>
    <t>Outdoor Furniture from Amish Country</t>
  </si>
  <si>
    <t>Outdoor Furniture from Amish Country: Millwest's eco-friendly poly furniture is durable, water-resistant, and built for your deck or patio.</t>
  </si>
  <si>
    <t>Turn a backyard, patio, or porch into a place you actually want to sit. Millwest's outdoor furniture is built by Amish craftsmen from all-weather poly lumber and marine-grade polymer, with up to 95% recycled content and UV-stable color that will not rot, crack, fade, or need refinishing. The department spans everything a season outside calls for: patio and deep seating, &lt;a href="https://millwest.com/product-category/outdoor-furniture-collections/dining-tables/"&gt;dining tables&lt;/a&gt;, gliders and &lt;a href="https://millwest.com/product-category/outdoor-furniture-collections/rockers/"&gt;rockers&lt;/a&gt;, plus cupholders, side tables, and other &lt;a href="https://millwest.com/product-category/outdoor-furniture-collections/accessory-collections/"&gt;accessories&lt;/a&gt;. Shop a single chair or a coordinated set drawn from named lines like the contoured &lt;a href="https://millwest.com/product/comfo-back-collection/"&gt;Comfo Back&lt;/a&gt; and the modern, modular &lt;a href="https://millwest.com/product/berkley-collection/"&gt;Berkley&lt;/a&gt; collections. Engineered for all-season performance, each piece shrugs off water, salt, chlorine, and harsh sun, and cleans up with simple care. Explore the categories below and build an outdoor space that lasts, shipped direct to your door.</t>
  </si>
  <si>
    <t>outdoor-furniture-collections</t>
  </si>
  <si>
    <t>Millwest Amish Furniture offers a stunning Outdoor Collection, featuring durable and stylish pieces that enhance your outdoor living space. Made from aluminum, HDPE, MGP materials, or a combination of the three. HDPE and MGP furniture uses &lt;strong&gt;95% recycled&lt;/strong&gt;, environmentally friendly resources. With this, you can enjoy lasting quality while helping to protect the planet.
fThe furniture is water-resistant, saltwater-resistant, and&lt;strong&gt; chlorine-resistant&lt;/strong&gt;, making it ideal for all outdoor environments. Colors meant to resist fading and maintain their vibrance for any occasion. Perfect for relaxing by the pool, lounging on the patio, or gathering around the fire, Millwest’s outdoor furniture is built to &lt;strong&gt;endure&lt;/strong&gt; the elements and maintain its beauty for years.
We also offer a variety of accessories like &lt;a href="https://millwest.com/product/mgp-cup-holder/"&gt;cupholders&lt;/a&gt;, &lt;a href="https://millwest.com/product/classic-terrace-add-on-chaise/"&gt;chaise extenders&lt;/a&gt;, and more to make your outdoor experience even better. These thoughtful additions provide extra &lt;strong&gt;comfort&lt;/strong&gt; and&lt;strong&gt; convenience&lt;/strong&gt;.
Millwest makes &lt;strong&gt;outdoor maintenance easy&lt;/strong&gt;. We provide all the products you need to keep your furniture looking pristine. Our &lt;a href="https://millwest.com/product/cleaners/"&gt;cleaning solutions&lt;/a&gt; ensure your furniture stays spotless, while our fabric care products keep cushions and covers fresh and vibrant. From cozy seating to elegant tables, you’ll find furniture that fits both your space and lifestyle. From poolside to fire side, our Outdoor Collection has what you need to elevate your space.</t>
  </si>
  <si>
    <t>total discount</t>
  </si>
  <si>
    <t>Playsets</t>
  </si>
  <si>
    <t>This month take 5% off any playset!</t>
  </si>
  <si>
    <t>Amish Swing Sets &amp; Playset Collections</t>
  </si>
  <si>
    <t>Amish swing sets and playset collections handcrafted by PlayMor in Holmes County, Ohio. Compact, mid-size, and full-scale options. Free Install included.</t>
  </si>
  <si>
    <t>A backyard playset is where a decade of summers happens, so it should outlast the weekends you would otherwise spend assembling a kit. Millwest's playsets are handcrafted by PlayMor's Amish builders in Holmes County, Ohio, then professionally delivered and installed, not shipped as a box to bolt together yourself. The department is built for the long haul: poly-coated sets wrap structural lumber in a tough polymer shell for a low-maintenance, splinter-free finish, while wood-frame sets use strong Southern Yellow Pine that accepts any stain or paint. Shop three tiers sized to your yard and budget, from Compact and Economy sets to full Mid-Sized designs, each backed by an &lt;a href="https://millwest.com/warranties/"&gt;industry-leading warranty&lt;/a&gt;. Browse the collections below and find the swing set your family will grow up with.</t>
  </si>
  <si>
    <t>playset-collections</t>
  </si>
  <si>
    <t>Structures</t>
  </si>
  <si>
    <t>New</t>
  </si>
  <si>
    <t>New this year — stop in and check it out!</t>
  </si>
  <si>
    <t>Outdoor Structures from Amish Country</t>
  </si>
  <si>
    <t>Amish pavilions, pergolas &amp; gazebos handcrafted by Berlin Gardens in Holmes County, Ohio. Install in Ohio only. Shop now!</t>
  </si>
  <si>
    <t>An outdoor structure turns a patch of yard into a room without walls, a place to gather under long after the party ends. Millwest's Berlin Gardens structures are handcrafted in the heart of Amish Country, Ohio, and made to order, built to anchor a backyard for decades rather than bolted together over a weekend. The department covers three ways to shelter a space: pavilions with a true roof for a dining table or hot tub, pergolas that shape a patio with open, filtered shade, and freestanding, railed gazebos that become a destination of their own. Choose the material that fits your yard, from treated pine, cedar, and Douglas fir to low-maintenance vinyl and paintable cellular PVC. Each one is made to order and installed by a Berlin Gardens crew where offered. Explore the categories below and find the structure your family will gather under for years.</t>
  </si>
  <si>
    <t>structures</t>
  </si>
  <si>
    <t>Upholstery</t>
  </si>
  <si>
    <t>Smith Brothers American-Made Upholstery</t>
  </si>
  <si>
    <t>Smith Brothers American-Made Upholstery handcrafted in Berne, Indiana. Solid maple frames, steel coil springs, lifetime warranty. Built to order.</t>
  </si>
  <si>
    <t>Most upholstery is mass-produced and interchangeable. Millwest's Smith Brothers upholstery has been built one piece at a time in Berne, Indiana since 1926, made to order so the piece that arrives is genuinely yours. The heart of this department is choice: hundreds of fabrics and top-grain leathers, eleven wood trim finishes for exposed legs, seat firmness options, and nailhead trims, all specified before your piece is built. The lineup covers the living room, from &lt;a href="https://millwest.com/product-category/upholstery-collections/sofas-upholstery/"&gt;sofas&lt;/a&gt; and &lt;a href="https://millwest.com/product-category/upholstery-collections/loveseats-upholstery/"&gt;loveseats&lt;/a&gt; to &lt;a href="https://millwest.com/product-category/upholstery-collections/sectionals-upholstery/"&gt;sectionals&lt;/a&gt;, &lt;a href="https://millwest.com/product-category/upholstery-collections/chairs-upholstery/"&gt;chairs&lt;/a&gt;, and &lt;a href="https://millwest.com/product-category/upholstery-collections/ottomans-upholstery/"&gt;ottomans&lt;/a&gt;, across four signature frame collections, each with its own silhouette and feel. Shop a single chair or a coordinated grouping, and order fabric swatches first to see your choice at home. Every frame is backed by a &lt;a href="https://millwest.com/warranties/"&gt;lifetime warranty&lt;/a&gt;. Browse the categories below and outfit a room built to last as long as you live in it.</t>
  </si>
  <si>
    <t>upholstery-collections</t>
  </si>
  <si>
    <t>Designing your dream living room proves easy with &lt;strong&gt;Millwest’s Upholstery Collections&lt;/strong&gt;. We offer a wide variety of frames, including cozy sofas, loveseats, stylish pillows, and ottomans. Each piece &lt;strong&gt;enhances&lt;/strong&gt; your space while delivering &lt;strong&gt;comfort&lt;/strong&gt; and &lt;strong&gt;durability&lt;/strong&gt;. Whether you’re refreshing your décor or starting anew, our Upholstery Collections provide endless options to create a living room that reflects your style and personality.
Choose from a range of wood accents and select fabrics that feel just right for your space, assuring your final choice reflects your vision. Ensuring both &lt;strong&gt;comfort&lt;/strong&gt; and&lt;strong&gt; beauty&lt;/strong&gt;, our extensive fabric options let you express your personal taste, whether you lean toward elegant velvets, soft linens, florals or sturdy leathers. Another standout feature is the option to add elegant nailhead trim. This detail adds &lt;strong&gt;sophistication&lt;/strong&gt; to any piece, creating visual interest and refinement. The nailhead trim pairs &lt;strong&gt;seamlessly&lt;/strong&gt; with any color or pattern you choose, making it easy to achieve a &lt;strong&gt;harmonious&lt;/strong&gt; look.
Millwest’s Upholstery Collections help you design a space that balances beauty with practicality. Our pieces are built for lasting &lt;strong&gt;comfort&lt;/strong&gt; and satisfaction.</t>
  </si>
  <si>
    <t>Youth</t>
  </si>
  <si>
    <t>Youth Collections</t>
  </si>
  <si>
    <t>youth-collections</t>
  </si>
  <si>
    <t>Miscellaneous</t>
  </si>
  <si>
    <t>Miscellaneous Collections</t>
  </si>
  <si>
    <t>miscellaneous-collections</t>
  </si>
  <si>
    <t>200 off 1000</t>
  </si>
  <si>
    <t>Accessories</t>
  </si>
  <si>
    <t>Accessory Collections</t>
  </si>
  <si>
    <t>accessory-collections</t>
  </si>
  <si>
    <t>Spruce up your sleep haven for less! This month only, get 20% off ALL bedroom furniture. Dressers, beds, nightstands – the entire dream suite gets a discount. Doesn't include already discounted items.</t>
  </si>
  <si>
    <t>20% off all dining furniture this month! Doesn't include already discounted items.</t>
  </si>
  <si>
    <t>20% off all office furniture this month! Doesn't include already discounted items.</t>
  </si>
  <si>
    <t>Soak up the savings! 20% off ALL outdoor furniture this month. Create your dream patio for less. Don't miss out! Doesn't include already discounted items.</t>
  </si>
  <si>
    <t>Category</t>
  </si>
  <si>
    <t>Google #</t>
  </si>
  <si>
    <t>Item Price, West Zone</t>
  </si>
  <si>
    <t>Item Price, East Zone</t>
  </si>
  <si>
    <t>In Store Shipping</t>
  </si>
  <si>
    <t>Combo, Not needed for upload</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</si>
  <si>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</si>
  <si>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</si>
  <si>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</si>
  <si>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</si>
  <si>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</si>
  <si>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</si>
  <si>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</si>
  <si>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</si>
  <si>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</si>
  <si>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anchors a room: substantial, deliberate, made to hold the things you would rather not leave sitting out. Millwest's Amish armoires are built from solid hardwood, with robust tops and sides made for decades of use. Inside, many pair adjustable shelving with a full-extension clothing rod, and some hide interior drawers behind clean exterior lines, though the configuration varies by line. Most use dovetailed drawers on smooth slides, but joinery and hardware differ from one design to the next. Choose cherry, oak, maple, or walnut, in Shaker, traditional, or contemporary profiles, with flush-inset drawers and hardware finishes to suit the room. Because each piece is made to order, you choose the wood species, stain, and dimensions to match the rest of your bedroom. Browse the armoires below to add storage that doubles as the anchor of the room.</t>
  </si>
  <si>
    <t>armoires</t>
  </si>
  <si>
    <t>Beds</t>
  </si>
  <si>
    <t>Amish Solid Wood Beds</t>
  </si>
  <si>
    <t>Amish Solid Wood Beds combine traditional woodworking with dovetailed slats to create a sturdy foundation for your personal sleep retreat. Shop now!</t>
  </si>
  <si>
    <t>A bed is the most-used piece of furniture you will ever own, so it should be the sturdiest. Millwest's Amish beds are built from solid hardwood, with thick panels and posts made for decades of stability. Most use dovetailed slats and a lag-and-bolt rail system for a squeak-free, supportive foundation, though the joinery varies by line. Choose cherry, oak, maple, or walnut, each with grain that warms the room. Headboard height ranges from low-profile to statement-tall, and many designs offer a matching footboard, from minimalist to substantial. Styles run from clean Shaker lines to traditional panel beds to contemporary platforms, in sizes from Twin to California King. Because each piece is made to order, you choose the wood species, stain, and dimensions to fit your space. Explore the beds below to set the centerpiece your bedroom is built around.</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</si>
  <si>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</si>
  <si>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</si>
  <si>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</si>
  <si>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</si>
  <si>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a bedroom bench earns its place every day. Millwest's Amish benches are built from solid hardwood, with sturdy frames and tightly fitted joints made for years of daily use. Many lift-top styles hide a storage compartment for extra blankets, pillows, or seasonal clothing, and upholstered options add a cushioned seat in fabric or leather, though features vary by line. Choose cherry, oak, maple, or walnut to complement the pieces already in your room. Styles range from clean Shaker lines to traditional Mission profiles, sized to sit neatly at the bed, the window, or the end of a hallway. Because each piece is made to order, you choose the wood species, stain, and upholstery to fit your space. Find the bedroom bench below that suits the spot you have in mind.</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</si>
  <si>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</si>
  <si>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</si>
  <si>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</si>
  <si>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</si>
  <si>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goes up instead of out. Millwest's Amish chests are built from solid hardwood, with no veneer to peel or particleboard to sag. Most use dovetailed drawers on smooth full-extension slides for full reach to what is inside, though joinery and hardware vary by line. Sizes run from compact four-drawer models to six-drawer designs that make the most of vertical space, in Shaker, Mission, and contemporary profiles. Choose cherry, oak, maple, or walnut, each with grain that stands on its own. Because each piece is made to order, you choose the wood species, stain, and hardware to match the rest of your room. Browse the chests below to add storage that fits where a dresser will not.</t>
  </si>
  <si>
    <t>chests</t>
  </si>
  <si>
    <t>Chest on Chests</t>
  </si>
  <si>
    <t>Amish Solid Wood Chest on Chests</t>
  </si>
  <si>
    <t>Amish Solid Wood Chest on Chests save floor space with roomy drawers and smooth slides — efficient storage with authentic craftsmanship. Shop now!</t>
  </si>
  <si>
    <t>Stack one chest atop another and you get serious drawer space in a footprint smaller than a single dresser. Millwest's Amish chest on chests are built from solid hardwood, with sturdy sides and tops made for decades of daily use and no veneer to lift or sag. Most use dovetailed drawers on smooth full-extension slides, though joinery and hardware vary by line. The tall, stacked design suits rooms where floor space is scarce but you still need to store a full wardrobe. Choose cherry, oak, maple, or walnut, in Shaker, Mission, or contemporary profiles, with hardware finishes to match. Because each piece is made to order, you choose the wood species, stain, and dimensions to fit the space you have. Browse the chest on chests below to stack real storage where the floor cannot spare it.</t>
  </si>
  <si>
    <t>Day Beds</t>
  </si>
  <si>
    <t>Amish Solid Wood Day Beds</t>
  </si>
  <si>
    <t>Amish Solid Wood Day Beds combine traditional woodworking with dovetailed slats to create a sturdy foundation for your personal sleep retreat. Shop now!</t>
  </si>
  <si>
    <t>Part bed, part sofa, part landing spot for an afternoon nap, a day bed pulls double duty in guest rooms, sitting areas, and home offices. Millwest's Amish day beds are built from solid hardwood, with thick panels and strong posts made for years of use. Most use dovetailed slats and a lag-and-bolt rail system for a stable, squeak-free frame, though the joinery varies by line. Choose cherry, oak, maple, or walnut, each with grain that brings warmth to a shared space. Headboard height ranges from low-profile to tall, and many styles offer a footboard, from minimalist to more decorative designs. Because each piece is made to order, you choose the wood species, stain, and dimensions to fit the room. Explore the day beds below for seating by day and a real bed by night.</t>
  </si>
  <si>
    <t>Dressers</t>
  </si>
  <si>
    <t>Amish Solid Wood Dressers</t>
  </si>
  <si>
    <t>Amish Solid Wood Dressers come in multiple styles with optional mirrors, creating elegant storage solutions for your bedroom decor. Shop now!</t>
  </si>
  <si>
    <t>A dresser is the workhorse of the bedroom: wide, low, and built to hold the bulk of your everyday wardrobe. Millwest's Amish dressers are built from solid hardwood, with a broad top that gives you room to set out daily items or add an optional beveled mirror. Most use dovetailed drawers on smooth full-extension slides, and many include a felt-lined or hidden jewelry drawer, though those features vary by line. Choose cherry, oak, maple, or walnut, in Shaker, Mission, or contemporary profiles. Because each piece is made to order, you choose the wood species, stain, hardware, and optional mirror to match the rest of your room. Discover the dressers below to set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</si>
  <si>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</si>
  <si>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</si>
  <si>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</si>
  <si>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</si>
  <si>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a full reflection on the outside, and hidden storage for rings, necklaces, and earrings behind the glass. Millwest's Amish jewelry mirrors pair that concealed storage with a solid hardwood frame built to last. Behind the glass, most designs hold lined compartments and hooks sized for everyday jewelry, though the interior layout varies by model. Choose landscape, portrait, or wall-mounted formats in cherry, oak, maple, or walnut. Many are designed to coordinate with a matching dresser, so the mirror reads as part of your bedroom set rather than an afterthought. Because each piece is made to order, you choose the wood species and stain. Browse the jewelry mirrors below to keep your everyday pieces within reach and out of sight.</t>
  </si>
  <si>
    <t>jewelry-mirrors</t>
  </si>
  <si>
    <t>https://millwest.com/product-category/bedroom-collections/armoires/</t>
  </si>
  <si>
    <t>Lingerie Chests</t>
  </si>
  <si>
    <t>Amish Solid Wood Lingerie Chests</t>
  </si>
  <si>
    <t>Amish Solid Wood Lingerie Chests combine skilled craftsmanship with space-saving design to organize delicates in smooth-gliding vertical drawers. Shop now!</t>
  </si>
  <si>
    <t>A lingerie chest solves a specific problem: it stores a lot in a narrow, tall footprint, so it fits where a wider dresser or chest never could. Millwest's Amish lingerie chests are built from solid hardwood throughout, made for years of daily use. Five to seven slim drawers stack vertical storage into minimal floor space, ideal for delicates, scarves, and accessories that deserve a drawer of their own. Most use dovetailed drawers on smooth slides, though joinery and hardware vary by line. Choose cherry, oak, maple, or walnut, in Shaker, Mission, or contemporary profiles. Because each piece is made to order, you choose the wood species, stain, and hardware to match the rest of your room. Shop the lingerie chests below to gain drawers where every inch of floor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</si>
  <si>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</si>
  <si>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</si>
  <si>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</si>
  <si>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</si>
  <si>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it bounces daylight into darker corners, opens up the visual space, and pulls a dresser or vanity together. Millwest's Amish mirrors frame the glass in solid hardwood built for decades of use, with beveled glass available on many designs, though edge and frame details vary by model. Choose landscape, portrait, or wall-mounted formats in cherry, oak, maple, or walnut, each with grain that ties into the rest of your room. Many are designed to coordinate with a matching dresser, so the mirror reads as part of the set rather than an afterthought. Because each piece is made to order, you choose the wood species and stain. Find the mirror below that reflects the light and finishes your bedroom set.</t>
  </si>
  <si>
    <t>mirrors</t>
  </si>
  <si>
    <t>Nightstands</t>
  </si>
  <si>
    <t>Amish Solid Wood Nightstands</t>
  </si>
  <si>
    <t>Amish Solid Wood Nightstands create bedroom storage with one to three drawer configurations, forming functional heirloom pieces. Shop now!</t>
  </si>
  <si>
    <t>A glass of water, a book, the phone you wish you were not reaching for: your nightstand handles all of it. Millwest's Amish nightstands are built from solid hardwood, with tops around 1 to 1.5 inches thick and made for years of daily reach. Most use dovetailed drawers on smooth full-extension slides, though joinery and hardware vary by line. Configurations run from a single drawer over an open shelf to two- and three-drawer designs, so you can match the storage to what lives beside your bed. Choose cherry, oak, maple, or walnut, in clean Shaker lines, Mission detail, or contemporary profiles with rounded front corners. Because each piece is made to order, you choose the wood species, stain, and hardware to match the rest of your room. Browse the nightstands below to find the right companion for your bedside.</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</si>
  <si>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</si>
  <si>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</si>
  <si>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</si>
  <si>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</si>
  <si>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is where you land when you are not quite ready to commit to a full sit-down dinner. Millwest's Amish bar chairs are built by hand from solid hardwood, with the taller frame and raised footrest that counter seating calls for. Using traditional techniques used for generations, these bar chairs stay steady and quiet under years of use The extra height lifts your sightline to island and bar level, which keeps conversation easy, and the compact footprint suits apartments and smaller kitchens. Backed versions add support for lingering, while lower-profile seats tuck neatly out of the way. Because each piece is made to order, you choose the wood species, stain, and hardware to fit your room. Browse the styles below to find the seat that fits your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</si>
  <si>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</si>
  <si>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</si>
  <si>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</si>
  <si>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</si>
  <si>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often backless cousin of the bar chair, made to slide cleanly out of sight when the island or home bar is not in use. Millwest's Amish stools are handbuilt from solid hardwood, sized for counter and bar-height seating. Using traditional techniques used for generations, these bar stools stay steady and quiet under years of use. The range runs from fully backless designs to versions with low backs, so you can trade a clean profile for a little extra support. Their small footprint makes them easy supplemental seating for a crowd, and the raised height keeps the mood casual and conversational. Because each piece is made to order, you choose the wood species, stain, and hardware to fit your room. Shop the options below, backless or backed, built to last.</t>
  </si>
  <si>
    <t>bar-stools</t>
  </si>
  <si>
    <t>Amish Solid Wood Dining Benches</t>
  </si>
  <si>
    <t>Amish Solid Wood Dining Benches use premium wood and authentic joinery to create versatile seating that pairs perfectly with your dining table. Shop now!</t>
  </si>
  <si>
    <t>A dining bench is the friendliest seat at the table: kids squeeze in, adults scoot down, and nobody has to count chairs before dinner. Millwest's Amish benches are made by Amish hands from solid hardwood to seat several people along one clean line. Each is built for the strength that shared seating demands, with traditional joinery construction that vary by line. A bench fits more people in less space than a row of chairs, and its low, open form slides under the table once the meal is over. Pair one with a matching dining set, or stand it alone under a window or in an entryway for casual overflow seating. Because each piece is made to order, you choose the wood species, stain, and hardware to fit your room. Explore the styles below to add flexible seating to your table.</t>
  </si>
  <si>
    <t>Buffets</t>
  </si>
  <si>
    <t>Amish Solid Wood Buffets</t>
  </si>
  <si>
    <t>Amish Solid Wood Buffets blend style with function, offering elegant storage while serving as beautiful dining room accents. Shop now!</t>
  </si>
  <si>
    <t>A buffet pulls double duty in the dining room: it swallows the linens, serving pieces, and spare dishes you have nowhere else to store, and its long top stands ready to load for the next family dinner. Millwest's Amish buffets are built from solid hardwood, with roomy cabinets and drawers below a broad serving surface. Most use sturdy joinery and quality drawer hardware, though the exact build varies by line. Some add open display space or glass fronts to show off a few favorite pieces while the rest stays tucked away. That generous top keeps platters, warmers, and drinks within easy reach when you are hosting. Because each piece is made to order, you choose the wood species, stain, and hardware to fit your room. Discover the options below and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</si>
  <si>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</si>
  <si>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</si>
  <si>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</si>
  <si>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</si>
  <si>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holds you through some of the longest sits in the house, from holiday dinners to conversations that outlast the meal. Millwest's Amish dining chairs are shaped by hand from solid hardwood, with sculpted seats and contoured backs meant for real comfort over a long evening. Each is built to keep the frame quiet and solid for years, with traditional construction joinery that vary by line. Styles range from traditional spindle and slat backs to cleaner contemporary lines, so a chair can match nearly any table. Choose a wood seat for easy wipe-downs or an upholstered seat for a softer landing. Because each piece is made to order, you choose the wood species, stain, and hardware to fit your room. Find the seat below that is built for the long meal and the longer conversation.</t>
  </si>
  <si>
    <t>chairs</t>
  </si>
  <si>
    <t>Display Cabinets</t>
  </si>
  <si>
    <t>Amish Solid Wood Display Cabinets</t>
  </si>
  <si>
    <t>Amish solid wood display cabinets, handcrafted with glass doors, LED lighting &amp; shelves to showcase your treasures. Shop now.</t>
  </si>
  <si>
    <t>A display cabinet does two things at once: it shows off the pieces you are proud of and keeps them safe behind glass. Millwest's Amish display cabinets pair a solid hardwood frame with quality hardwood-plywood backs and base, a deliberate mix that resists warping and holds the case straight for years. Glass doors and sides with adjustable shelves give china, collectibles, and keepsakes a clear view from every angle. Many add touch-dimmable LED lighting, mirrored backs, and felt-lined or enclosed bases, though features vary by line, while the lower cabinet hides what you would rather not show. The look settles into both traditional and contemporary rooms. Because each piece is made to order, you choose the wood species, stain, and hardware to fit your room. View the styles below and give your favorite pieces the showcase they deserve.</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</si>
  <si>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</si>
  <si>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</si>
  <si>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</si>
  <si>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</si>
  <si>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</si>
  <si>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</si>
  <si>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one: open display up top for the china you want seen, closed storage below for linens, serving pieces, and the good tablecloths. Millwest's Amish hutches are built from solid hardwood, usually a glass-doored upper deck over an enclosed cabinet base. Most pair adjustable shelving above with roomy storage below, and many add touch-dimmable LED lighting for the display, though features vary by line. The upper shelves frame your favorite pieces while the base keeps everyday dining gear close but out of sight. Timeless proportions let it settle into traditional and contemporary rooms alike. Because each piece is made to order, you choose the wood species, stain, and hardware to fit your room. View the styles below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</si>
  <si>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</si>
  <si>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</si>
  <si>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</si>
  <si>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</si>
  <si>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waits while dinner cooks. Millwest's Amish kitchen islands are handbuilt from solid hardwood, sized to add real workspace and storage to the busiest room in the house. Most combine drawers, cabinets, and open shelving so utensils, pans, and staples each land somewhere sensible, though the layout varies by line. The thick top gives you room to roll dough, plate a meal, or seat a couple of stools for casual dining. Set in the center of the kitchen, it quickly becomes the spot everyone drifts toward. Because each piece is made to order, you choose the wood species, stain, and hardware to fit your room. Browse the options below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</si>
  <si>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</si>
  <si>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</si>
  <si>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</si>
  <si>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</si>
  <si>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</si>
  <si>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</si>
  <si>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</si>
  <si>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</si>
  <si>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</si>
  <si>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</si>
  <si>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cousin of the buffet: the same dining-room storage and serving job, sized for a narrower wall. Millwest's Amish servers are made from solid hardwood, with drawers for flatware and linens, cabinet space for dishes, and an open top for presenting food and drink. Most use sturdy joinery and quality hardware, though the exact build varies by line. The trimmer footprint fits where a full buffet cannot, which makes a server as at home in a kitchen or entryway as in the dining room. Its top doubles as a landing spot for serving during gatherings and a display surface the rest of the time. Because each piece is made to order, you choose the wood species, stain, and hardware to fit your room. Shop the options below to fit real storage where space is tight.</t>
  </si>
  <si>
    <t>servers</t>
  </si>
  <si>
    <t>Tables</t>
  </si>
  <si>
    <t>Amish Solid Wood Dining Tables</t>
  </si>
  <si>
    <t>Amish Solid Wood Dining Tables display fine work in natural wood, serving as both practical centerpiece and heart of your family dining area. Shop now!</t>
  </si>
  <si>
    <t>A dining table is the heart of the room and one of the longest-lived pieces you will ever buy. Millwest's Amish dining tables are built by hand from solid hardwood, with thick tops meant to shrug off decades of daily meals. Using traditional techniques used for generations, these bases stay steady and quiet under years of use. Many designs extend, with leaves that store away neatly or slide in when extra guests arrive, so the surface grows with the gathering. Profiles run from traditional pedestal and trestle bases to cleaner contemporary lines that suit almost any room. Because each piece is made to order, you choose the wood species, stain, and hardware to fit your room. Find the table below, sized for your family today and ready to host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</si>
  <si>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</si>
  <si>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</si>
  <si>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</si>
  <si>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</si>
  <si>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</si>
  <si>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</si>
  <si>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even when it is not what you are watching. Millwest's Amish TV stands are built from solid hardwood for the media gear, the components, and the everyday life of a room people actually use. Many designs add cable management, adjustable shelving, and open or enclosed component storage, though these features vary by line. Proportions run from compact stands for a casual family space to longer consoles that anchor a media room, in profiles that suit both traditional and contemporary rooms. Choose the size and configuration that fit your screen and your setup. Because each TV stand is made to order, you choose the wood species, stain, and hardware to fit your room. Find your TV stand below,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</si>
  <si>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</si>
  <si>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</si>
  <si>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</si>
  <si>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</si>
  <si>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into a complete media and display story: television, books, components, and framed photos under a single substantial piece. Millwest's Amish wall units are built from solid hardwood on a scale meant to anchor a whole room. Many combine cable management, adjustable shelving, glass display sections, and generous component storage, though configurations vary by line. Sizes range from units scaled to a great room to designs that fill a finished basement wall, in styles that read equally well as traditional or contemporary. Plan the mix of open shelving, closed cabinets, and display glass around what you want seen and what you want tucked away. Because each wall unit is made to order, you choose the wood species, stain, and hardware to fit your room. Browse the wall units below,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</si>
  <si>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</si>
  <si>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</si>
  <si>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</si>
  <si>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</si>
  <si>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and that deep, cloud-like feel is exactly the point. Monarch Rest Extra Plush mattresses rate 1 to 2 on an 8-point firmness scale, the softest we offer, built for pressure relief and contouring around the shoulders and hips. That makes them a natural fit for side sleepers and anyone who prefers sleeping in a mattress rather than on top of it. The comfort layers lead with gel-infused memory foam that helps dissipate heat and breathable Talalay latex for responsive softness. The Integrity line pairs those plush layers with independent pocket coils to isolate motion, while the Perfect Choice series adds a replaceable topper system so you can adjust the feel as your preferences change. Every Monarch Rest mattress is handcrafted in Sugarcreek, Ohio and backed by a 20-year warranty. Browse our Extra Plush mattresses below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</si>
  <si>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</si>
  <si>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</si>
  <si>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</si>
  <si>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</si>
  <si>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giving up support, that middle ground between sinking in and staying on top. Monarch Rest Plush mattresses cover it, rating roughly 1 to 5 on an 8-point firmness scale, from nearly cloud-soft to a softer-medium feel with more response. They tend to suit side sleepers who need cushioning at the shoulders and hips, along with combination sleepers who shift positions through the night. The comfort layers vary by model: breathable Talalay latex, gel-infused memory foam for cooling, or high-density polyurethane foam for lasting support, often layered together rather than piled on cheap springs. The range spans the whole lineup, from the budget-friendly Quiet Night series to the exotic Fuchsia line, and double-sided options like Elite Plush and Resilience Plush flip and rotate for even wear. Every Monarch Rest mattress is handcrafted in Sugarcreek, Ohio and backed by a 20-year warranty. Browse our Plush mattresses below.</t>
  </si>
  <si>
    <t>plush-amish-mattresses</t>
  </si>
  <si>
    <t>c. Firm</t>
  </si>
  <si>
    <t>Firm Amish-made Mattresses</t>
  </si>
  <si>
    <t>Firm Amish-made Mattresses deliver supportive spinal alignment for back and stomach sleepers. Handcrafted in Ohio. Shop now.</t>
  </si>
  <si>
    <t>Firm sleepers want to rest on the mattress, not sink into it, with the back and hips held in line. Monarch Rest Firm mattresses deliver that stable surface, rating about 4 to 7 on an 8-point firmness scale, from supportive medium-firm to a genuinely solid feel. They suit back and stomach sleepers who need to keep hips from dipping, and heavier sleepers who want support without deep compression. Firm is offered across the lineup, from the Quiet Night series to the Fuchsia line, with resilient Talalay latex, gel-infused memory foam, or high-density foam paired with heavy-gauge steel springs and reinforced edges, so firm does not have to mean uncomfortable. Choose the offset coils of the Elite series or the motion-isolating pocket coils of Integrity, and double-sided Firm options flip for even wear. Every Monarch Rest mattress is handcrafted in Sugarcreek, Ohio and backed by a 20-year warranty. Explore our Firm mattresses below.</t>
  </si>
  <si>
    <t>firm-amish-mattresses</t>
  </si>
  <si>
    <t>d. Extra Firm</t>
  </si>
  <si>
    <t>Extra Firm Amish-made Mattresses</t>
  </si>
  <si>
    <t>Extra Firm Amish-made Mattresses provide maximum support for stomach and heavier sleepers. Handcrafted in Ohio. Shop now.</t>
  </si>
  <si>
    <t>When firm is not firm enough, when you want maximum support and almost no give, Extra Firm is the answer. Monarch Rest Extra Firm mattresses rate 7 to 8 on an 8-point firmness scale, the most solid surface we build, keeping the spine aligned with little sinking or sagging. They are made for dedicated stomach sleepers who need hips level with shoulders and for heavier sleepers who want support that resists compression over time. This is a specialized category, offered in the Integrity and Resilience series, with cores ranging from high-density polyurethane foam to all-natural Talalay latex. The Integrity Essential pairs independent pocketed coils with dense foam for firmness plus motion isolation, while double-sided Resilience models flip and rotate for even wear and are engineered for adjustable-base use. Every Monarch Rest mattress is handcrafted in Sugarcreek, Ohio and backed by a 20-year warranty. Shop our Extra Firm mattresses below.</t>
  </si>
  <si>
    <t>extra-firm-amish-mattresses</t>
  </si>
  <si>
    <t>e. Pillowtop</t>
  </si>
  <si>
    <t>Amish-made Pillowtop Mattresses</t>
  </si>
  <si>
    <t>Amish-made Pillowtop Mattresses deliver luxurious comfort with an extra cushioning layer. Handcrafted in Ohio, 20-year warranty.</t>
  </si>
  <si>
    <t>A pillowtop is an extra layer of cushion quilted right onto the mattress surface, the hotel-bed feel without the hotel. Monarch Rest Pillowtop mattresses pair that plush quilted top with real support beneath, rating about 3 to 5 on an 8-point firmness scale. The added layer gives side sleepers extra pressure relief and suits anyone who likes to settle into soft, enveloping comfort. Three options anchor the category: the budget-friendly Quiet Night Pillowtop, the double-sided Quiet Night Duo for longer life, and the Elite Premier Pillowtop, which combines premium materials with offset coil support. What matters most is what sits under the quilting; these models use high-density foam and convoluted layers meant to hold their loft rather than pack down into body impressions. Every Monarch Rest mattress is handcrafted in Sugarcreek, Ohio and backed by a 20-year warranty. Discover our Pillowtop mattresses below.</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</si>
  <si>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</si>
  <si>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</si>
  <si>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</si>
  <si>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</si>
  <si>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</si>
  <si>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</si>
  <si>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</si>
  <si>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</si>
  <si>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Press a button and the bed moves: head up to read, feet up to unwind, or both at once. Monarch Rest Motion Bases, also called adjustable bases, turn a mattress into a customizable sleep system. Beyond comfort for reading or watching TV, many people find raised positioning eases snoring, nighttime reflux, or back discomfort, and split models let couples set each side independently. Three tiers match the need and budget: the straightforward Basic Brio, the mid-level Upgrade Style, and the full-featured Premium Ultra. All are rated for 850 pounds or more, use a low-profile design that works on platform beds, and include a wireless remote; higher tiers add USB charging, massage, under-bed lighting, Bluetooth presets, and wall-hugging travel. Pair one with a Resilience, Conforma, or Integrity mattress, each built for adjustable-base use, and back it with responsive support and warranty coverage. Browse our Motion Bases below.</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</si>
  <si>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</si>
  <si>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</si>
  <si>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</si>
  <si>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</si>
  <si>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</si>
  <si>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</si>
  <si>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quiet anchor of a living room: where the remote lives, the snacks land, and feet eventually end up. Millwest's Amish coffee tables are built from solid hardwood with thick tops that resist dings and warping. Many designs add lift-tops, lower shelves, or drawers for stowing remotes and magazines, though storage features vary by line. Profiles range from clean rectangles to square and storage-forward designs that suit both traditional and contemporary rooms. Sized to sit comfortably in front of a sofa, each one gives you a surface that earns its place through daily use. Because each coffee table is made to order, you choose the wood species, stain, and hardware to fit your room. Browse the coffee tables below,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</si>
  <si>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</si>
  <si>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</si>
  <si>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</si>
  <si>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</si>
  <si>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An end table is the small piece that makes a sofa work: a home for your drink, your book, your phone, your evening. Millwest's Amish end tables are built from solid hardwood and sized to flank a sofa or accent chair. Many include a drawer or lower shelf for corralling remotes and everyday items, though storage varies by line. Proportions and profiles suit both traditional and contemporary rooms, whether you are holding a lamp, evening essentials, or grounding an accent grouping. Pair two to bracket a sofa or set one beside a favorite chair. Because each end table is made to order, you choose the wood species, stain, and hardware to fit your room. Find your end table below,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</si>
  <si>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</si>
  <si>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</si>
  <si>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</si>
  <si>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</si>
  <si>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lives behind a sofa or against an entryway wall: a long, narrow surface for lamps, books, photos, and the clutter that pretends not to live there. Millwest's Amish sofa tables are built from solid hardwood in slim, elongated profiles that fit where deeper pieces cannot. Many offer open shelves or drawers for organized storage, though configurations vary by line. Their proportions suit both traditional and contemporary rooms, dressing up the back of a sofa, anchoring an entryway, or filling a long, narrow stretch of wall. Set one behind seating or greet guests with it at the door. Because each sofa table is made to order, you choose the wood species, stain, and hardware to fit your room. Shop the sofa tables below,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</si>
  <si>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</si>
  <si>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</si>
  <si>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</si>
  <si>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</si>
  <si>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it organizes a room and puts the things you care about on display. Millwest's Amish bookcases are built from solid hardwood, with shelves designed to hold real weight so a wall of books will not bow them over time, though shelf construction varies by line. Widths run from compact 24 inch cases that tuck into smaller spaces up to substantial 48 inch designs that fill a wall, in glass-door and open-shelf versions. A doored bookcase keeps collectibles and dust-prone volumes protected behind glass; an open bookcase keeps everyday reading within reach. The Mission, Traditional, Laurel, Timberline, and Economy lines coordinate with matching desks and hutches, and the Arts and Craft bookshelves stand on their own. Because each bookcase is made to order, you choose the wood species, stain, and hardware to fit your room. Browse the bookcases below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</si>
  <si>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</si>
  <si>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</si>
  <si>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</si>
  <si>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</si>
  <si>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</si>
  <si>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</si>
  <si>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</si>
  <si>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</si>
  <si>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to an executive piece that anchors a private study, the right desk shapes how you work. Millwest's Amish desks are handcrafted from solid hardwood to cover that full range of home and professional needs. Single-pedestal designs like the Mission, Jacobsville, and Wakefield give you a focused writing surface, while double-pedestal Taunton, Mission, and Craftsman Executive desks add the footprint a primary office needs. The Wakefield Partners Desk seats two face to face, and L-shaped and corner options from Montrose, Laurel, and Jacobsville turn a corner into a command center. Specialty pieces include the Hutton sit-stand lift and the Lake Mills drop-down. Most desks belong to collections with matching hutch tops, bookcases, and file cabinets, though pairings vary by line. Because each desk is made to order, you choose the wood species, stain, and hardware to fit your room. Find your desk below,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</si>
  <si>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</si>
  <si>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</si>
  <si>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</si>
  <si>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</si>
  <si>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</si>
  <si>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</si>
  <si>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utilitarian metal you tolerate rather than feature. Millwest's Amish file cabinets do the same job in solid hardwood, with smooth-running drawers sized for letter or legal files, though drawer hardware varies by line. Start with capacity: a 2-drawer cabinet doubles as a printer stand or side surface, while 3-drawer and 4-drawer models handle serious filing. Then pick orientation: a vertical cabinet tucks tall and narrow beside a desk, while a lateral cabinet sits wide and low under a window. The Mission, Traditional, Laurel, Kapernaum, and Jacobsville lines offer several drawer counts and orientations, and the Wakefield, Timberline, and Economy lines add 2-drawer options that pair with their desks. Because each file cabinet is made to order, you choose the wood species, stain, and hardware to fit your room. Shop the file cabinets below, built to handle a lifetime of paperwork without showing the wear.</t>
  </si>
  <si>
    <t>file-cabinets</t>
  </si>
  <si>
    <t>Office File Cabinets</t>
  </si>
  <si>
    <t>Hutch Tops</t>
  </si>
  <si>
    <t>Amish Solid Wood Hutch Tops</t>
  </si>
  <si>
    <t>Amish Solid Wood Hutch Tops add shelves, cabinets, and mail slots above your desk. Built to match your desk collection.</t>
  </si>
  <si>
    <t>A desk gives you a workspace; a hutch top gives you a second story of shelves and cabinets that clear clutter off your work surface. Millwest's Amish hutch tops sit on your desk to organize what you reach for all day, with shelves for reference materials, small cabinets, and often cubbies for sorting mail. Each is built to match a Millwest desk in the same family, so the wood and styling line up, though sizing varies by line. The Mission, Laurel, and Traditional lines scale their hutches to 52, 62, and 72 inch desks, while Wakefield, Jacobsville, Kapernaum, and Timberline coordinate with their own desks. The Jacobsville corner hutch follows an angled footprint, and Kapernaum offers finished backs for desks that sit in the open. Because each hutch top is made to order, you choose the wood species, stain, and hardware to fit your room. View the hutch tops below,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</si>
  <si>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</si>
  <si>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</si>
  <si>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</si>
  <si>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</si>
  <si>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</si>
  <si>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</si>
  <si>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</si>
  <si>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</si>
  <si>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</si>
  <si>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</si>
  <si>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</si>
  <si>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</si>
  <si>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</si>
  <si>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</si>
  <si>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</si>
  <si>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The right add-ons make an outdoor set genuinely comfortable: cupholders that snap onto your chair arms, side tables that slide between two seats, chaise extenders for a longer stretch in the sun, and the cleaning products that keep poly looking fresh. Millwest's Outdoor Accessories from Amish Country are crafted by Berlin Gardens from recycled HDPE poly lumber and marine-grade polymer, so they handle full-time exposure to sun, rain, salt air, and chlorine without warping, fading, or rotting. Colors are made to coordinate with the rest of the outdoor lineup, so most accessories match your existing pieces, though shades can vary by collection. From practical cupholders to chaise extenders and care products, these are the finishing touches that turn a patio into a place you actually use. Browse our Outdoor Accessories below and complete your setup with the small pieces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</si>
  <si>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</si>
  <si>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</si>
  <si>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</si>
  <si>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</si>
  <si>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Adirondack is the classic American porch chair, all wide arms and a slanted, laid-back seat. Millwest's Adirondack Chairs from Amish Country deliver that easygoing comfort in weather-resistant poly built by Berlin Gardens to live outside year-round. Choose from kid-sized, standard, oversized, and folding configurations, with optional cup holders, footrests, and bottle openers built right in. Crafted from recycled HDPE poly lumber, they resist sun, rain, salt air, and chlorine without warping, fading, or rotting, so there is no sanding, sealing, or refinishing to keep up with. Most models use stainless steel hardware that stays free of rust spots, though hardware can vary by style. Whether you want a single chair for the porch or a matched row along the pool, you will find an Adirondack sized for the spot. Find your Adirondack Chair from Amish Country below, built for long, unhurried afternoons outside.</t>
  </si>
  <si>
    <t>adirondack-chairs</t>
  </si>
  <si>
    <t>Outdoor Bar Chairs from Amish Country</t>
  </si>
  <si>
    <t>Outdoor Bar Chairs from Amish Country create elevated seating with eco-friendly materials that resist weather damage for stylish outdoor entertaining. Shop now!</t>
  </si>
  <si>
    <t>An outdoor bar chair puts you at counter height, right where you stand to chat, watch the grill, or wait for the next round. Millwest's Outdoor Bar Chairs from Amish Country deliver that elevated seating in weather-resistant poly by Berlin Gardens, made to stay outside all year. The collection includes backed and backless options, with cushioned and uncushioned tops to suit your style. Crafted from recycled HDPE poly lumber, they resist sun, rain, salt air, and chlorine without warping or fading, so the upkeep traditional outdoor furniture demands is simply not part of the deal. Most chairs use stainless steel hardware that shrugs off rust, though fittings vary by line. Whether you are outfitting a poolside bar, an outdoor kitchen, or a tall patio table, you will find a chair sized and styled for the space. Shop our Outdoor Bar Chairs below, built for the casual, conversational feel a bar should have.</t>
  </si>
  <si>
    <t xml:space="preserve"> from Amish Country</t>
  </si>
  <si>
    <t>Bar Tables</t>
  </si>
  <si>
    <t>Outdoor Bar Tables from Amish Country</t>
  </si>
  <si>
    <t>Outdoor Bar Table from Amish Country Collection enhances entertaining with recycled materials that resist weather damage, creating focal points for your gatherings. Shop now!</t>
  </si>
  <si>
    <t>A bar-height table sets a casual, conversational tone: drinks within arm's reach and none of the formality of a full dining setup. Millwest's Outdoor Bar Tables from Amish Country deliver that atmosphere in weather-resistant poly built by Berlin Gardens. Round, rectangular, and counter-height options pair with the matching bar chairs and stools to build a complete entertaining corner. The recycled poly lumber stands up to sun, rain, salt air, and chlorine without warping or fading, and there is no annual sealing or winter storage to schedule. Many designs work in practical features like umbrella holes, lower shelves, or small storage compartments for the odds and ends of outdoor entertaining. Most tables use rust-resistant stainless steel hardware, though specifics vary by line. Discover our Outdoor Bar Tables from Amish Country below, built to anchor the casual, upright corner of your patio where people gather to talk.</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</si>
  <si>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</si>
  <si>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</si>
  <si>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</si>
  <si>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 in the yard: three people can squeeze on, one can stretch out, or it can hold a row of pots when nobody is sitting. Millwest's Outdoor Benches from Amish Country deliver that versatility in weather-resistant poly by Berlin Gardens. Choose from backed, backless, and contoured designs in lengths to suit a porch, a garden path, an entryway, or a dining setup. Crafted from recycled HDPE poly lumber, they resist sun, rain, salt air, and chlorine without warping, fading, or rotting, so a bench left out through every season needs no refinishing. Most benches use rust-resistant stainless steel hardware, though fittings vary by line. Whether you want a bench to flank a fire pit, line a long deck, or settle into a quiet garden corner, you will find one sized for the spot. Browse our Outdoor Benches below, built for small moments and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</si>
  <si>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</si>
  <si>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</si>
  <si>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</si>
  <si>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with wide arms and generous proportions you sink into and stay in for the afternoon. Millwest's Outdoor Club Chairs from Amish Country deliver that lounging comfort in weather-resistant poly by Berlin Gardens. Choose from cushioned and uncushioned options in a range of silhouettes, many with contoured backs that support you through a long sit. Crafted from recycled HDPE poly lumber, they resist sun, rain, salt air, and chlorine without warping or fading, so the chair stays ready whenever the weather turns nice. Several designs pair with matching ottomans or footrests for a complete lounging setup, and most use rust-resistant stainless steel hardware, though details vary by line. Set a pair around a coffee table or line them along the pool, and you have a patio built for slowing down. Find your Outdoor Club Chair below,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</si>
  <si>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</si>
  <si>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</si>
  <si>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</si>
  <si>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group: the place drinks land, magazines pile up, and candles glow at dusk. Millwest's Outdoor Coffee Tables from Amish Country bring that grounding presence in weather-resistant poly by Berlin Gardens. Round, rectangular, and oversized options pair naturally with the outdoor sofas, sectionals, and lounges in the lineup. Crafted from recycled HDPE poly lumber, they resist sun, rain, salt air, and chlorine without warping or fading, so there is no sealing or winter storage to keep up with. Many designs add practical touches like a lower shelf for storage or a hidden tray insert for serving. Most tables use rust-resistant stainless steel hardware, though specifics vary by line. Whether you center one in a small conversation corner or a full outdoor living room, it ties the seating together. Browse our Outdoor Coffee Tables below,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</si>
  <si>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</si>
  <si>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</si>
  <si>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</si>
  <si>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the right seat for a counter-level outdoor kitchen, an island, or a tall patio table. Millwest's Outdoor Counter Chairs from Amish Country deliver that mid-height seating in weather-resistant poly by Berlin Gardens. Backed and backless options come in both cushioned and uncushioned styles to suit the space. Crafted from recycled HDPE poly lumber, they resist sun, rain, salt air, and chlorine without warping or fading, so they can stay set out through every season with no refinishing. Most chairs use rust-resistant stainless steel hardware, though fittings vary by line. Whether you are outfitting an outdoor kitchen, a poolside counter, or a counter-height table, you will find a chair sized and styled for the setup, with a step-up height that is easy to slide in and out of. Shop our Outdoor Counter Chairs below,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</si>
  <si>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</si>
  <si>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</si>
  <si>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</si>
  <si>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</si>
  <si>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A counter-height table changes how an outdoor space feels: taller than a dining table, shorter than a bar, it puts seated guests at eye level with anyone standing nearby. That makes it a natural fit for patios where people drift between sitting, standing, grilling, and chatting. Millwest's Outdoor Counter Tables from Amish Country are crafted by Berlin Gardens from recycled poly lumber that resists sun, rain, salt air, and chlorine without warping, fading, or rotting, with no annual sealing, sanding, or winter storage required. Shapes and sizes fit different patios: the Harbor 28 inch Square seats two to four, the Harbor and Garden Classic 48 inch Rounds seat four to six, and the Hudson 40 inch Square and 40 by 70 inch Rectangular handle larger groups. A narrower Buffet Table works as a serving piece. Pair any with matching counter chairs. Browse our Outdoor Counter Tables below, built to set an easy, eye-level tone.</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</si>
  <si>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</si>
  <si>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</si>
  <si>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</si>
  <si>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</si>
  <si>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</si>
  <si>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</si>
  <si>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</si>
  <si>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</si>
  <si>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</si>
  <si>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</si>
  <si>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</si>
  <si>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</si>
  <si>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</si>
  <si>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Outdoor Dining Chairs from Amish Country make the difference between a meal that ends after one course and one that stretches into a long evening on the patio. Millwest's dining chairs are built by Berlin Gardens to handle full-time outdoor life, resisting sun, rain, salt air, and chlorine without warping, fading, or rotting, so they need no storage or refinishing between seasons. The first choice is usually stationary versus swivel rocker: stationary chairs sit firmly in place, while swivel rockers turn a full circle and rock gently during the meal. Many collections, including Bristol, Comfo Back, Murphy, and Mayhew, add high-back versions for fuller support. From there you can pick your material: slatted poly, breathable sling fabric, aluminum-and-sling or aluminum-and-poly combinations, or the upscale marine-grade polymer of the Kinsley line. Pair them with matching outdoor dining tables. Find your Outdoor Dining Chair below, built for meals that turn into conversations.</t>
  </si>
  <si>
    <t>dining-chairs</t>
  </si>
  <si>
    <t>Dining Tables</t>
  </si>
  <si>
    <t>Outdoor Dining Tables from Amish Country</t>
  </si>
  <si>
    <t>Outdoor Dining Tables from Amish Country crafted by Berlin Gardens. Poly construction handles sun, rain, and salt air year-round.</t>
  </si>
  <si>
    <t>The outdoor dining table sets the tone for everything else on the patio, whether you are feeding four on a Tuesday or hosting an extended-family holiday dinner. Millwest's Outdoor Dining Tables from Amish Country are built by Berlin Gardens to handle full-time outdoor life, resisting sun, rain, salt air, and chlorine without warping, fading, or rotting, with no sealing, staining, or special storage required. The range covers the way patios actually get used. Square tables from 28 to 44 inches suit two to four, rounds from 38 to 60 inches seat up to six or seven, and rectangular tables like the Harbor 44 by 96 inch handle eight or more. The Berkley Expandable line extends for larger gatherings. Materials run from solid slatted poly to aluminum frames paired with poly or refined marine-grade polymer tops. Pair with matching dining chairs. Discover our Outdoor Dining Tables below, built to anchor every meal your patio hosts.</t>
  </si>
  <si>
    <t>dining-tables</t>
  </si>
  <si>
    <t>Outdoor End Tables from Amish Country</t>
  </si>
  <si>
    <t>Outdoor End Tables from Amish Country built by Berlin Gardens. Weather-resistant poly stays put on your patio all season.</t>
  </si>
  <si>
    <t>Outdoor End Tables from Amish Country are the small pieces that make a seating area actually work: a drink within reach, a spot for the book you are not quite done with, a landing place for a phone or a bowl of chips. Millwest's end tables are built by Berlin Gardens to handle full-time outdoor life, resisting sun, rain, salt air, and chlorine without warping, fading, or rotting, so a table left beside your favorite chair stays ready through every season. The key question is height: you want a surface level with the arm of whatever you are sitting in. Standard-height tables from the Mayhew, Classic Terrace, Camden, and Nordic collections suit club chairs and lounges, while dining-, counter-, and bar-height versions match taller seating. A Folding End Table is the most portable option. Shop our Outdoor End Tables below, built for the drink within reach and the book you are not quite done with.</t>
  </si>
  <si>
    <t>Extra Tall Chairs</t>
  </si>
  <si>
    <t>Outdoor Extra Tall Chairs from Amish Country</t>
  </si>
  <si>
    <t>Outdoor Extra Tall Chairs from Amish Country by Berlin Gardens. Bar-height poly seating that won't warp, fade, or rot.</t>
  </si>
  <si>
    <t>Outdoor Extra Tall Chairs from Amish Country sit higher than standard bar chairs, built for patio moments where you want to be elevated above the everyday seating line, gathered around a fire pit, leaning into a high bar, or perched at a railing for the view. Millwest's extra tall chairs are built by Berlin Gardens to handle full-time outdoor life, resisting sun, rain, salt air, and chlorine without warping, fading, or rotting. The lineup is focused: three collections, each in stationary and swivel versions. The Mayhew Chat collection brings a relaxed silhouette with broad armrests, the Comfo Back line offers its signature contoured back for long evenings, and the Bristol collection adds a more traditional look. Choose the stationary version to stay put or the swivel to turn a full circle toward the fire or the view. View our Outdoor Extra Tall Chairs below,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</si>
  <si>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</si>
  <si>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</si>
  <si>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</si>
  <si>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</si>
  <si>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Fire Pits from Amish Country change what your patio is for, stretching the season into crisp fall evenings and adding a warm centerpiece for dinner, drinks, or a card game. Millwest's fire pits and fire tables are crafted by Berlin Gardens from weather-resistant poly that handles sun, rain, salt air, and chlorine without warping, fading, or rotting. The collection splits into two types. Low fire pits sit at coffee-table height for lounge seating, with the Numa Square and Donoma Round and Rectangular models built to gather around. Fire tables give you a flat surface around the flame, offered in dining, counter, and bar heights to match your seating. Shape adds the final choice: square pieces anchor a four-sided arrangement, round options ease conversation, and rectangular models like the Garden Classic 44 by 96 inch seat larger groups. Browse our Fire Pits below,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</si>
  <si>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</si>
  <si>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</si>
  <si>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</si>
  <si>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</si>
  <si>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Outdoor Gliders from Amish Country, single seat, are built for the slow afternoon when you do not really need to be doing anything. Unlike a rocker, a glider moves forward and back on a parallel-arm mechanism, a smooth horizontal motion that is easy on the knees and the porch floor. Millwest's single-seat gliders are crafted by Berlin Gardens from weather-resistant poly that handles sun, rain, salt air, and chlorine without warping, fading, or rotting. All three come from the Comfo Back collection, named for the contoured back that supports your spine through long stretches. The standard Single Glider suits a porch or patio reading spot, the Single Counter Glider raises the seat to counter height for a railing-side view, and the Swivel Glider adds a rotating base so you can turn toward the conversation. Find your single-seat Outdoor Glider below,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</si>
  <si>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</si>
  <si>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</si>
  <si>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</si>
  <si>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</si>
  <si>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Outdoor Gliders from Amish Country, double seat, are built for the moments when two people move together, looking out at the same view, talking or not talking. The motion is forward and back on a parallel-arm mechanism rather than a rocker's tip, so two people glide in sync without bumping, and it stays gentle on knees and hips. Millwest's double-seat gliders are crafted by Berlin Gardens from weather-resistant poly that handles sun, rain, salt air, and chlorine without warping, fading, or rotting. Both come from the Comfo Back collection, with its contoured back rest for long stretches outside. The standard Double Glider seats two adults side by side with broad armrests, ideal for a porch or deck corner to wind down in, while the Double Counter Glider raises the seat to counter height to pair with counter tables or fire pits. Shop our double-seat Outdoor Gliders below, built for conversations that happen side by side.</t>
  </si>
  <si>
    <t>gliders-double-seat</t>
  </si>
  <si>
    <t>Gliders - Triple Seat</t>
  </si>
  <si>
    <t xml:space="preserve">Outdoor Gliders from Amish Country - Triple Seat </t>
  </si>
  <si>
    <t>Outdoor Gliders from Amish Country - Triple Seat. Three-person bench glider by Berlin Gardens, built for the whole group.</t>
  </si>
  <si>
    <t>Outdoor Gliders from Amish Country, triple seat, open the porch to the whole group: three adults across the bench, or two adults and a kid, whatever the seating math works out to that evening. Like every glider, the motion is forward and back on a parallel-arm mechanism rather than rocking, so everyone moves together in a smooth horizontal rhythm without the seat tipping. Millwest's triple-seat glider is crafted by Berlin Gardens from weather-resistant poly that handles sun, rain, salt air, and chlorine without warping, fading, or rotting. The Comfo Back Three Seat Glider with Console is the centerpiece here, built from the contoured-back Comfo Back collection with a small console between two seats for drinks, a book, or a phone within reach. Its substantial size makes it a natural anchor for a front porch or a deep deck. Discover our triple-seat Outdoor Gliders below, built for the porch that hosts everyone.</t>
  </si>
  <si>
    <t>gliders-triple-seat</t>
  </si>
  <si>
    <t>Outdoor Islands from Amish Country</t>
  </si>
  <si>
    <t>Outdoor Islands from Amish Country built by Berlin Gardens. Weather-resistant poly anchors your patio for hosting year-round.</t>
  </si>
  <si>
    <t>Outdoor Islands from Amish Country turn a patio into a real gathering space. Picture the kitchen island that anchors a dinner party, guests leaning on one side with drinks while the host preps on the other, now set outside next to the grill. Millwest's outdoor islands are crafted by Berlin Gardens from weather-resistant poly that handles sun, rain, salt air, and chlorine without warping, fading, or rotting. Both options are built on a substantial 42 by 72 inch footprint that gives you real working and serving surface. The standard Outdoor Island is a full freestanding patio bar, while the Outdoor Island with Ice Bowl adds a recessed bowl that holds ice and chilled drinks, turning it into a self-contained beverage station. Both come in a wide range of poly colors, with optional two-tone combinations, and pair with bar or counter chairs. Browse our Outdoor Islands below, built to anchor your patio entertaining.</t>
  </si>
  <si>
    <t>Kids</t>
  </si>
  <si>
    <t>Kids Outdoor Furniture from Amish Country</t>
  </si>
  <si>
    <t>Kids Outdoor Furniture from Amish Country by Berlin Gardens. Kid-sized poly construction that handles spills and weather.</t>
  </si>
  <si>
    <t>Kids Outdoor Furniture from Amish Country gives children their own place in the family's outdoor life: their own table at the cookout, their own chair on the porch, their own picnic spot for crackers and crayons, scaled exactly to their size. Millwest's kids' furniture is crafted by Berlin Gardens from the same recycled poly used across the adult lineup, the same handcrafted quality just sized down, and it shrugs off spilled juice, sticky hands, and full-time sun and rain without warping, fading, or rotting. For a kid-sized dining setup, pair the 38 inch Round or 33 inch Square Table with Kids Comfo Back Dining Chairs. The Kids Rectangular Picnic Table brings built-in benches for lunches and art projects, and the Kids Comfo Back Adirondack Chair gives a child the same iconic silhouette the grown-ups get. Shop our Kids Outdoor Furniture below, built kid-sized, kid-tough, and made to last through childhood.</t>
  </si>
  <si>
    <t>kids</t>
  </si>
  <si>
    <t>Lounges</t>
  </si>
  <si>
    <t>Outdoor Lounges from Amish Country</t>
  </si>
  <si>
    <t>Outdoor Lounges from Amish Country crafted by Berlin Gardens. Weather-resistant poly chaise lounges built for poolside or patio.</t>
  </si>
  <si>
    <t>Outdoor Lounges from Amish Country are built around the act of doing nothing: stretched out, feet up, book in hand or eyes closed against the sun. Millwest's lounges are crafted by Berlin Gardens to handle full-time exposure to sun, rain, salt air, and chlorine without warping, fading, or rotting, so when the weather is right the chair is ready. The collection breaks into three constructions. The aluminum-and-sling lounges, in the Vida and Murphy collections, stretch breathable mesh across a lightweight frame for a cool, modern poolside look. The Kinsley MGP Lounge brings an upscale, marble-like marine-grade finish. And the solid poly chaises, from Mayhew, Holland, Hartley, Comfo Back, and Classic Terrace, offer that classic slatted look, several in sectional-ready configurations that integrate into a larger setup. Whether you want a single lounger or a full chaise corner, it invites you to slow down. Find your Outdoor Lounge below, built for the hours when the only plan is to do nothing.</t>
  </si>
  <si>
    <t>lounges</t>
  </si>
  <si>
    <t>Loveseats</t>
  </si>
  <si>
    <t>Outdoor Loveseats from Amish Country</t>
  </si>
  <si>
    <t>Outdoor Loveseats from Amish Country by Berlin Gardens. Two-person poly seating built to handle sun, rain, and salt air.</t>
  </si>
  <si>
    <t>Outdoor Loveseats from Amish Country are built around a particular moment: two people sitting close, sharing a quiet conversation while the sun goes down. Smaller than a sofa, more shareable than two separate chairs, the loveseat turns a corner of the deck into a place for two. Millwest's loveseats are crafted by Berlin Gardens from weather-resistant poly that handles sun, rain, salt air, and chlorine without warping, fading, or rotting. The lineup spans several collections, each with its own look. The Nordic brings a clean, modern silhouette and is the only loveseat in two back heights, with the High Back version adding head and neck support for longer sits or taller users. The Mayhew, Classic Terrace, and Camden loveseats offer a more traditional slatted style. Pair one with matching club chairs, set it across from a sofa, or stand it alone on a porch. View our Outdoor Loveseats below, built for the corner of the deck reserved for two.</t>
  </si>
  <si>
    <t>loveseats</t>
  </si>
  <si>
    <t>Ottomans</t>
  </si>
  <si>
    <t>Outdoor Ottomans from Amish Country</t>
  </si>
  <si>
    <t>Outdoor Ottomans from Amish Country built by Berlin Gardens. Weather-resistant poly footstools for your favorite porch chair.</t>
  </si>
  <si>
    <t>Outdoor Ottomans from Amish Country are built for the kind of relaxation that does not really start until your feet are up. Millwest's ottomans and footstools are crafted by Berlin Gardens from weather-resistant poly that handles sun, rain, salt air, and chlorine without warping, fading, or rotting, so a footstool left beside your favorite chair stays ready through every season. The lineup solves two different problems. The larger ottomans, from the Nordic, Mayhew, Classic Terrace, and Camden collections, are substantial padded pieces that coordinate with their matching seating; they work as a footrest but are big enough to double as extra seating or hold a tray. The smaller footstools are purpose-built as dedicated footrests, sized to stretch out without taking up the floor space of a full ottoman. Pair one with its matching collection or use it as a standalone accent. Browse our Outdoor Ottomans below, built for the moment your feet leave the ground.</t>
  </si>
  <si>
    <t>ottomans</t>
  </si>
  <si>
    <t>Picnic Tables</t>
  </si>
  <si>
    <t>Picnic Tables from Amish Country</t>
  </si>
  <si>
    <t>Picnic Tables from Amish Country built by Berlin Gardens. Weather-resistant poly construction handles full-time outdoor use.</t>
  </si>
  <si>
    <t>Picnic Tables from Amish Country are the most communal piece of outdoor furniture there is: everyone faces in, food gets passed across, and Sunday lunch stretches into the afternoon. Millwest's picnic tables are crafted by Berlin Gardens from weather-resistant poly that handles full-time sun, rain, salt air, and chlorine without warping, fading, or rotting, so the table you set up this summer is still there for the next decade of cookouts. You get two shapes and two accessibility options. The Rectangular Picnic Table is the classic, with long benches down each side and room for everyone. The Octagon Picnic Table seats eight around a center, so conversation flows and no one is stuck at the end. Both come in ADA-accessible versions that extend the surface past the benches for a wheelchair user to pull directly up, a good fit for parks, churches, and community spaces. Find your Picnic Table below, built for backyard birthdays and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</si>
  <si>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</si>
  <si>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</si>
  <si>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</si>
  <si>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</si>
  <si>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</si>
  <si>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</si>
  <si>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</si>
  <si>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Outdoor Rockers from Amish Country are the quintessential porch chair: a glass of iced tea, the neighborhood going by, and that gentle forward-and-back rhythm that has been calming people down for centuries. Millwest's rockers are crafted by Berlin Gardens from weather-resistant poly that handles full-time sun, rain, salt air, and chlorine without warping, fading, or rotting, so the rocker on your porch this summer is still there many summers from now. The lineup offers four options across three looks. The Porch Rocker is the classic silhouette at the most accessible price. The Comfo Back Rocker adds the collection's contoured back for long stretches of sitting. The Nordic Rocker and Nordic High Back Rocker bring cleaner, modern lines, with the high-back version adding head and neck support for taller users. A rocker tips on curved runners, where a glider slides level. Shop our Outdoor Rockers below, built for the slow afternoons only a rocker delivers.</t>
  </si>
  <si>
    <t>rockers</t>
  </si>
  <si>
    <t>Rugs</t>
  </si>
  <si>
    <t>Outdoor Rugs from Amish Country</t>
  </si>
  <si>
    <t>Outdoor Rugs from Amish Country by Berlin Gardens. Weather-resistant rugs that turn your patio into a finished room.</t>
  </si>
  <si>
    <t>Outdoor Rugs from Amish Country do not handle any single task, but they turn a corner of your deck or patio into an actual room. Concrete, stone, and wood all read as bare outdoor surface; lay a rug down and the seating suddenly looks intentional and the whole grouping reads as a place. Millwest's outdoor rugs are made by Berlin Gardens for full-time outdoor use, built to handle sun, rain, and weather without losing their look. The lineup is straightforward: two sizes for the most common setups. The 5 by 8 foot rug fits under a coffee table with a loveseat or a pair of club chairs, defining a small grouping without overpowering it. The 8 by 11 foot rug suits a full sectional, a larger seating arrangement, or a dining table where the rug should extend past pulled-out chairs. Discover our Outdoor Rugs below, built to make a patio feel like a room.</t>
  </si>
  <si>
    <t>rugs</t>
  </si>
  <si>
    <t>Sectionals</t>
  </si>
  <si>
    <t>Outdoor Sectionals from Amish Country</t>
  </si>
  <si>
    <t>Outdoor Sectionals from Amish Country by Berlin Gardens. Weather-resistant poly sectionals built for hosting on the patio.</t>
  </si>
  <si>
    <t>Outdoor Sectionals from Amish Country are the most ambitious piece a patio gets, the one you commit to when this is going to be the place you host. A sofa is for sitting; a sectional is for gathering. Millwest's sectionals are crafted by Berlin Gardens from weather-resistant poly that handles full-time sun, rain, salt air, and chlorine without warping, fading, or rotting, so the sectional you build this year still anchors your patio decades on. The Mayhew and Classic Terrace collections share the same modular system, so the choice is mostly aesthetic: Mayhew runs cleaner and contemporary, Classic Terrace slatted and traditional, at nearly identical pricing. Both build from left-arm and right-arm pieces, armless centers, and a corner L-piece, with arm pieces in club chair, loveseat, and sofa sizes. Add a matching chaise, ottoman, coffee table, and rug for a full outdoor living room. View our Outdoor Sectionals below, built to anchor the corner where everyone ends up.</t>
  </si>
  <si>
    <t>sectionals</t>
  </si>
  <si>
    <t>Sofas</t>
  </si>
  <si>
    <t>Outdoor Sofas from Amish Country</t>
  </si>
  <si>
    <t>Outdoor Sofas from Amish Country crafted by Berlin Gardens. Weather-resistant poly sofas anchor your patio seating year-round.</t>
  </si>
  <si>
    <t>Outdoor Sofas from Amish Country are the anchor of a seating arrangement, the longest seat on the patio and the place several people land. It is where after-dinner conversation settles and where someone takes a quick nap in the sun. Millwest's sofas are crafted by Berlin Gardens from weather-resistant poly that handles full-time sun, rain, salt air, and chlorine without warping, fading, or rotting, so the sofa on your deck this summer still anchors the space years from now. The lineup spans several collections. The Nordic Sofa and Nordic High Back Sofa bring a clean, modern silhouette, the high-back adding support for longer sits. The Mayhew and Classic Terrace sofas sit at the heart of the range in contemporary and traditional-slatted styles; these are the standalone versions, while their sectional counterparts let you wrap a corner. Pair a sofa with a loveseat, club chairs, or an ottoman. Browse our Outdoor Sofas below, built for the corner where conversations happen.</t>
  </si>
  <si>
    <t>sofas</t>
  </si>
  <si>
    <t>Stools</t>
  </si>
  <si>
    <t>Outdoor Stools from Amish Country</t>
  </si>
  <si>
    <t>Outdoor Stools from Amish Country by Berlin Gardens. Weather-resistant poly bar stools that slide neatly under any island.</t>
  </si>
  <si>
    <t>Outdoor Stools from Amish Country are the streamlined, backless cousin of a chair, made for a clean look at an outdoor bar, kitchen island, or counter. They take up less visual space and slide cleanly underneath when not in use, so the bar stays the focal point. Millwest's stools are crafted by Berlin Gardens from weather-resistant poly that handles full-time sun, rain, salt air, and chlorine without warping, fading, or rotting, so the stool at your outdoor bar this summer is still doing the job a decade on. There are three options across two heights. The Bar Stool is the standard at bar height, sized for a 42 inch bar table. The Saddle Bar Stool adds a contoured saddle seat for longer, more comfortable sits. The Saddle Counter Stool brings that same seat at counter height for a 36 inch counter table or island. Shop our Outdoor Stools below, built to slide cleanly under your bar or island.</t>
  </si>
  <si>
    <t>stools</t>
  </si>
  <si>
    <t>Swings</t>
  </si>
  <si>
    <t>Swings from Amish Country</t>
  </si>
  <si>
    <t>Swings from Amish Country crafted by Berlin Gardens. Classic porch swings in weather-resistant poly that won't warp or fade.</t>
  </si>
  <si>
    <t>Swings from Amish Country are a particular kind of summer-evening machine: gentle, continuous motion, and conversation that flows easier because you sit side by side watching the world together. Millwest's swings are crafted by Berlin Gardens from weather-resistant poly that handles full-time sun, rain, salt air, and chlorine without warping, fading, or rotting, so the swing you hang this summer is still there for the next twenty. The lineup gives you five options across three back styles and two sizes. The Comfo Back Double Swing seats two with the collection's contoured back, while three-seat versions include the budget-friendly Casual Back and the Comfo Back Three Seat with a center console. The Classic Terrace Loveseat Swing offers a refined, slatted two-seat silhouette. Note that a swing needs a beam, frame, or sturdy overhead support to hang from; if you lack one, a glider delivers a similar feel. Find your Swing below, built for porch evenings only a swing delivers.</t>
  </si>
  <si>
    <t>swings</t>
  </si>
  <si>
    <t>Umbrellas</t>
  </si>
  <si>
    <t>Umbrellas from Amish Country</t>
  </si>
  <si>
    <t>Umbrellas from Amish Country by Berlin Gardens. Weather-resistant outdoor umbrellas that turn sunny patios into lingering lunches.</t>
  </si>
  <si>
    <t>Umbrellas from Amish Country turn a sunny afternoon at the patio table from squinting into the sun into something you actually want to linger over. Lunch stretches on, the kids stay outside, and the food stays in the shade. Millwest's outdoor umbrellas are from Berlin Gardens, built to handle full-time sun, rain, and weather without fading or breaking down, so the umbrella you put up this summer is still doing the job many summers on. When choosing one, weigh size, style, and wind resilience. A larger canopy shades more of the table, while a smaller one fits tighter spaces. A standard market umbrella runs through the center of a table, while a cantilever mounts on a side pole to shade a spot with no table to anchor through. Look for ribs and frames built to flex in wind rather than snap. Discover our Umbrellas below, built to turn a sunny afternoon into a long, lingering one.</t>
  </si>
  <si>
    <t>umbrellas</t>
  </si>
  <si>
    <t>Amish Swing Sets &amp; Playsets</t>
  </si>
  <si>
    <t>Amish swing sets and playsets for sale by PlayMor — five backyard sets handcrafted in Holmes County, Ohio. Compact to full-scale, Free Install included.</t>
  </si>
  <si>
    <t>Backyard fun starts with the right swing set, and a real playset anchors a yard for years. Millwest's Amish Playsets are handcrafted by PlayMor in Holmes County, Ohio, then delivered ready to install. Most sets are built with stainless steel hardware that resists rust and use either Woodguard poly-coated lumber, which stays splinter-free and nearly maintenance-free, or structural Southern Yellow Pine, though the mix varies by model. Choose from five sets sized to different yards and budgets: the entry-level Boredom Buster, the compact Lovely Retreat and Happy Space Saver, the mid-size Friendly Retreat, and the full playground-scale Dizzy Delight with its 7ft tower deck. Features range from Wave Slides and Rock Climbs to Spinning Tire Swings. Every order ships with Free Install, professional delivery and assembly included. Find the set your family will grow up with below.</t>
  </si>
  <si>
    <t>amish-playsets</t>
  </si>
  <si>
    <t>Pergolas</t>
  </si>
  <si>
    <t>Pergolas from Amish Country</t>
  </si>
  <si>
    <t>Pergolas from Amish Country by Berlin Gardens. Built to order in vinyl, wood, or cellular PVC from 10′ to 24′, backed by a 10-year warranty.</t>
  </si>
  <si>
    <t>A pergola defines an outdoor space without closing it off, framing a patio, a dining table, or a garden walkway with filtered shade. Millwest's Amish-made Pergolas come from Berlin Gardens in Berlin, Ohio. Most are built on laminated 6x6 or 8x8 posts with ICC-rated fasteners and beams notched onto the posts for stability, though specifics vary by model. Pick a model first, from the clean lines of the Urbana and Porter to the rustic character of the wood Vineyard, Outback, and Mendoza, then choose the material that wraps it: low-maintenance vinyl, natural stained wood, or paintable cellular PVC. Sizes run from 10ft to 24ft, with scrolled or classic end caps and add-ons like Dia Shades and curtains. Wood takes stains such as Mocha, Cedartone, and Stormcloud Gray; vinyl comes in White or Clay. Browse our Pergolas below to frame the outdoor space you actually live in.</t>
  </si>
  <si>
    <t>pergolas</t>
  </si>
  <si>
    <t>Structures Pergolas</t>
  </si>
  <si>
    <t>Pavilions</t>
  </si>
  <si>
    <t>Pavilions from Amish Country</t>
  </si>
  <si>
    <t>Pavilions from Amish Country by Berlin Gardens. Full-roof outdoor shelters built to order up to 26′ in wood or PVC, with a 10-year warranty.</t>
  </si>
  <si>
    <t>A pavilion gives your backyard a true roof, full overhead shelter for an outdoor kitchen, a dining table, or a hot tub that stays usable rain or shine. Millwest's Amish-built Pavilions come from Berlin Gardens in Berlin, Ohio. Most are constructed on 8x8 posts with ICC-rated fasteners, notched post-and-beam joinery, and a two-coat factory finish, though details vary by build. Choose a roof style and model first, an A-frame such as the Wellington or Mesa, a hip roof like the Victoria or Hampton, or a slant such as the Siena or Norwood, then pick the material: natural stained wood, rough-sawn timber, or paintable cellular PVC. Footprints range up to 26ft, with ceilings from exposed painted rafters to tongue-and-groove pine or a smooth Azek panel. Wood takes stains like Mocha, Cedartone, and Stormcloud Gray. Browse our Pavilions below to add the outdoor room you actually live in.</t>
  </si>
  <si>
    <t>pavilions</t>
  </si>
  <si>
    <t>Structures Pavillons</t>
  </si>
  <si>
    <t>Gazebos</t>
  </si>
  <si>
    <t>Gazebos from Amish Country</t>
  </si>
  <si>
    <t>Gazebos from Amish Country by Berlin Gardens. Octagon, oblong, or rectangular, built to order in vinyl or wood with a 10-year warranty.</t>
  </si>
  <si>
    <t>A gazebo is the freestanding destination in your yard, the garden retreat or shaded spot by the pool where you watch the evening roll in. Millwest's Amish-crafted Gazebos come from Berlin Gardens in Berlin, Ohio. Most are handcrafted with ICC-rated fasteners, an American-style railing, and a durable metal or asphalt roof, though the exact build varies by style. Pick the shape first, a traditional Octagon, a spacious Oblong, or a clean Rectangular, then choose the material: low-maintenance White or Clay vinyl or natural stained wood. From there you select the roof, flooring, and finishing touches, including a screen kit to keep bugs out, composite or wood flooring, and a cupola to top an Octagon. Wood models finish in stains like Cedartone or Mocha. Browse our Gazebos below to add the backyard destination you actually use.</t>
  </si>
  <si>
    <t>gazebos</t>
  </si>
  <si>
    <t>Smith Brothers Upholstered Chairs</t>
  </si>
  <si>
    <t>Smith Brothers Upholstered Chairs handcrafted in Berne, Indiana. Solid maple frames, hundreds of fabrics, lifetime warranty. Built to order.</t>
  </si>
  <si>
    <t>An upholstered chair is the seat you actually use: the reading nook, the corner accent, the chair that flanks the sofa. Millwest's Smith Brothers Upholstered Chairs are built for those spots, then wrapped in the fabric or leather you choose. That two-step choice is what sets upholstery apart from wood furniture: first the frame, from refined to substantial and traditional to contemporary, then the material over it. Options run to hundreds of fabrics, from neutral linens to performance weaves made for kids and pets, plus top-grain leathers from soft and lived-in to crisp and formal. Personalize further with eleven solid-maple wood trim finishes, up to eight nailhead colors, and four seat firmness levels, or use the collage option to combine up to four fabrics on a single chair. Every Smith Brothers piece is handcrafted in Berne, Indiana and built to order. Browse our chairs below.</t>
  </si>
  <si>
    <t>chairs-upholstery</t>
  </si>
  <si>
    <t>Smith Brothers Loveseats</t>
  </si>
  <si>
    <t>Smith Brothers Loveseats handcrafted in Berne, Indiana. Solid maple frames, hundreds of fabrics, lifetime warranty. Built to order.</t>
  </si>
  <si>
    <t>A loveseat is built for two: close enough to share a blanket, roomy enough that nobody feels crowded. Millwest's Smith Brothers Loveseats suit a smaller living room, a den, or a second seat to pair beside a sofa. As with all upholstery, you decide the look in two steps: choose the frame, refined or substantial, classic or a little more distinctive, then choose the material that covers it. Hundreds of fabrics are available, from quiet linens to bold patterns to performance cloth for busy households, alongside top-grain leathers in a range of grades and finishes. Add character with solid-maple wood trim finishes such as Cherry, Espresso, Driftwood, and Weathered, up to eight nailhead colors, and one of four seat firmness levels. Every Smith Brothers piece is handcrafted in Berne, Indiana and built to order. Find your loveseat below and settle in.</t>
  </si>
  <si>
    <t>loveseats-upholstery</t>
  </si>
  <si>
    <t>Smith Brothers Ottomans</t>
  </si>
  <si>
    <t>Smith Brothers Ottomans handcrafted in Berne, Indiana. Solid maple frames, hundreds of fabrics, lifetime warranty. Built to order.</t>
  </si>
  <si>
    <t>An ottoman quietly does three jobs: footrest, extra seat, and a soft surface for a tray when company arrives. Millwest's Smith Brothers Ottomans handle all three, whether paired with a chair, pulled out as overflow seating, or anchoring a coffee-table grouping. Because it is a smaller piece, an ottoman is a low-risk place to be bold with material. Choose from hundreds of fabrics, including performance weaves for kids and pets, or a top-grain leather in the grade and finish you like. Then tailor the details: the collage option combines up to four fabrics on one piece, contrast welts in fabric or leather sharpen the edges, a down upgrade softens the fill, and eleven solid-maple wood trim finishes cover any exposed feet. Every Smith Brothers piece is handcrafted in Berne, Indiana and built to order. Shop our ottomans below.</t>
  </si>
  <si>
    <t>ottomans-upholstery</t>
  </si>
  <si>
    <t>Smith Brothers Sectionals</t>
  </si>
  <si>
    <t>Smith Brothers Sectionals handcrafted in Berne, Indiana. Solid maple frames, hundreds of fabrics, lifetime warranty. Built to order.</t>
  </si>
  <si>
    <t>A sectional is what you choose when one room, the main living room, the finished basement, the great room, becomes the place everyone ends up. Millwest's Smith Brothers Sectionals are built modularly, so the configuration follows your room rather than a showroom floor. Combine corner sofas, armless sofas, loveseats, chairs, chaises, swivel chairs, and ottomans on casters; standard connecting brackets lock them into the exact left or right layout you need. Then comes the material: hundreds of fabrics, from neutral linens to performance weaves for kids and pets, plus top-grain leathers from soft to formal. Solid-maple wood trim finishes, up to eight nailhead colors, four seat firmness levels, and the collage option for up to four fabrics on one piece let you fine-tune the rest. Every Smith Brothers piece is handcrafted in Berne, Indiana and built to order. Browse our sectionals below.</t>
  </si>
  <si>
    <t>sectionals-upholstery</t>
  </si>
  <si>
    <t>Smith Brothers Sofas</t>
  </si>
  <si>
    <t>Smith Brothers Sofas handcrafted in Berne, Indiana. Solid maple frames, hundreds of fabrics, lifetime warranty. Built to order.</t>
  </si>
  <si>
    <t>A sofa is the longest seat in the house, the one several people share at once while the room fills up around it. Millwest's Smith Brothers Sofas are built to anchor a living room, a den, or any space that needs a real place to sit together. As with every upholstery piece, you shape it in two steps: pick the frame, more tailored or more substantial, classic or a little bolder, then pick what covers it. Hundreds of fabrics span neutral linens, strong patterns, and performance weaves for kids and pets, and top-grain leathers range from soft and lived-in to crisp and formal. Round it out with solid-maple wood trim finishes, up to eight nailhead colors, four seat firmness levels, a down cushion upgrade, and the collage option for up to four fabrics on one sofa. Every Smith Brothers piece is handcrafted in Berne, Indiana and built to order. Discover our sofas below.</t>
  </si>
  <si>
    <t>sofas-upholstery</t>
  </si>
  <si>
    <t>Swatches</t>
  </si>
  <si>
    <t>Smith Brothers Fabric Swatches</t>
  </si>
  <si>
    <t>Smith Brothers Fabric Swatches sent to your home so you can see fabric in your room before you order. Hundreds of options.</t>
  </si>
  <si>
    <t>Choosing upholstery fabric on a screen is genuinely hard. Monitors and phones do not reproduce color accurately, and no product photo can show how a fabric will read in your own living room, against your walls and rug and natural light. Smith Brothers Fabric Swatches solve that: each swatch is a real cutting of the exact fabric you would order, mailed to your home for around a dollar so you can hold it up in the room before you commit. Ordering samples first is simply the smart way to buy upholstery. A neutral that looks warm on screen may lean cool in your light, and a pattern that seems subtle as a thumbnail can feel busier at full scale. A couple of dollars up front saves the far costlier mistake of a custom piece in the wrong fabric. Browse our Smith Brothers Fabric Swatches below and order before you order.</t>
  </si>
  <si>
    <t>swatches</t>
  </si>
  <si>
    <t>Animals &amp; Pet Supplies</t>
  </si>
  <si>
    <t>Live Animals</t>
  </si>
  <si>
    <t>Pet Supplies</t>
  </si>
  <si>
    <t>Bird Supplies</t>
  </si>
  <si>
    <t>Bird Cage Accessories</t>
  </si>
  <si>
    <t>Bird Cage Bird Baths</t>
  </si>
  <si>
    <t>Bird Cage Food &amp; Water Dishes</t>
  </si>
  <si>
    <t>Bird Cages &amp; Stands</t>
  </si>
  <si>
    <t>Bird Food</t>
  </si>
  <si>
    <t>Bird Gyms &amp; Playstands</t>
  </si>
  <si>
    <t>Bird Ladders &amp; Perches</t>
  </si>
  <si>
    <t>Bird Toys</t>
  </si>
  <si>
    <t>Bird Treats</t>
  </si>
  <si>
    <t>Cat Supplies</t>
  </si>
  <si>
    <t>Cat Apparel</t>
  </si>
  <si>
    <t>Cat Beds</t>
  </si>
  <si>
    <t>Cat Food</t>
  </si>
  <si>
    <t>Non-prescription Cat Food</t>
  </si>
  <si>
    <t>Prescription Cat Food</t>
  </si>
  <si>
    <t>Cat Furniture</t>
  </si>
  <si>
    <t>Cat Furniture Accessories</t>
  </si>
  <si>
    <t>Cat Litter</t>
  </si>
  <si>
    <t>Cat Litter Box Liners</t>
  </si>
  <si>
    <t>Cat Litter Box Mats</t>
  </si>
  <si>
    <t>Cat Litter Boxes</t>
  </si>
  <si>
    <t>Cat Toys</t>
  </si>
  <si>
    <t>Cat Treats</t>
  </si>
  <si>
    <t>Dog Supplies</t>
  </si>
  <si>
    <t>Dog Apparel</t>
  </si>
  <si>
    <t>Dog Beds</t>
  </si>
  <si>
    <t>Dog Diaper Pads &amp; Liners</t>
  </si>
  <si>
    <t>Dog Diapers</t>
  </si>
  <si>
    <t>Dog Food</t>
  </si>
  <si>
    <t>Non-prescription Dog Food</t>
  </si>
  <si>
    <t>Prescription Dog Food</t>
  </si>
  <si>
    <t>Dog Houses</t>
  </si>
  <si>
    <t>Dog Kennel &amp; Run Accessories</t>
  </si>
  <si>
    <t>Dog Kennels &amp; Runs</t>
  </si>
  <si>
    <t>Dog Toys</t>
  </si>
  <si>
    <t>Dog Treadmills</t>
  </si>
  <si>
    <t>Dog Treats</t>
  </si>
  <si>
    <t>Fish Supplies</t>
  </si>
  <si>
    <t>Aquarium &amp; Pond Tubing</t>
  </si>
  <si>
    <t>Aquarium Air Stones &amp; Diffusers</t>
  </si>
  <si>
    <t>Aquarium Cleaning Supplies</t>
  </si>
  <si>
    <t>Aquarium Decor</t>
  </si>
  <si>
    <t>Aquarium Filters</t>
  </si>
  <si>
    <t>Aquarium Fish Nets</t>
  </si>
  <si>
    <t>Aquarium Gravel &amp; Substrates</t>
  </si>
  <si>
    <t>Aquarium Lighting</t>
  </si>
  <si>
    <t>Aquarium Overflow Boxes</t>
  </si>
  <si>
    <t>Aquarium Stands</t>
  </si>
  <si>
    <t>Aquarium Temperature Controllers</t>
  </si>
  <si>
    <t>Aquarium Water Treatments</t>
  </si>
  <si>
    <t>Aquariums</t>
  </si>
  <si>
    <t>Aquatic Plant Fertilizers</t>
  </si>
  <si>
    <t>Fish Feeders</t>
  </si>
  <si>
    <t>Fish Food</t>
  </si>
  <si>
    <t>Pet Agility Equipment</t>
  </si>
  <si>
    <t>Pet Apparel Hangers</t>
  </si>
  <si>
    <t>Pet Bed Accessories</t>
  </si>
  <si>
    <t>Pet Bells &amp; Charms</t>
  </si>
  <si>
    <t>Pet Biometric Monitors</t>
  </si>
  <si>
    <t>Pet Glucose Meters</t>
  </si>
  <si>
    <t>Pet Pedometers</t>
  </si>
  <si>
    <t>Pet Thermometers</t>
  </si>
  <si>
    <t>Pet Bowl Mats</t>
  </si>
  <si>
    <t>Pet Bowl Stands</t>
  </si>
  <si>
    <t>Pet Bowls, Feeders &amp; Waterers</t>
  </si>
  <si>
    <t>Pet Carrier &amp; Crate Accessories</t>
  </si>
  <si>
    <t>Pet Carriers &amp; Crates</t>
  </si>
  <si>
    <t>Pet Collars &amp; Harnesses</t>
  </si>
  <si>
    <t>Pet Containment Systems</t>
  </si>
  <si>
    <t>Pet Door Accessories</t>
  </si>
  <si>
    <t>Pet Doors</t>
  </si>
  <si>
    <t>Pet Eye Drops &amp; Lubricants</t>
  </si>
  <si>
    <t>Pet First Aid &amp; Emergency Kits</t>
  </si>
  <si>
    <t>Pet Flea &amp; Tick Control</t>
  </si>
  <si>
    <t>Pet Food Containers</t>
  </si>
  <si>
    <t>Pet Food Scoops</t>
  </si>
  <si>
    <t>Pet Grooming Supplies</t>
  </si>
  <si>
    <t>Pet Combs &amp; Brushes</t>
  </si>
  <si>
    <t>Pet Fragrances &amp; Deodorizing Sprays</t>
  </si>
  <si>
    <t>Pet Hair Clippers &amp; Trimmers</t>
  </si>
  <si>
    <t>Pet Hair Dryers</t>
  </si>
  <si>
    <t>Pet Nail Polish</t>
  </si>
  <si>
    <t>Pet Nail Tools</t>
  </si>
  <si>
    <t>Pet Shampoo &amp; Conditioner</t>
  </si>
  <si>
    <t>Pet Wipes</t>
  </si>
  <si>
    <t>Pet Heating Pad Accessories</t>
  </si>
  <si>
    <t>Pet Heating Pads</t>
  </si>
  <si>
    <t>Pet ID Tags</t>
  </si>
  <si>
    <t>Pet Leash Extensions</t>
  </si>
  <si>
    <t>Pet Leashes</t>
  </si>
  <si>
    <t>Pet Medical Collars</t>
  </si>
  <si>
    <t>Pet Medical Tape &amp; Bandages</t>
  </si>
  <si>
    <t>Pet Medicine</t>
  </si>
  <si>
    <t>Pet Muzzles</t>
  </si>
  <si>
    <t>Pet Oral Care Supplies</t>
  </si>
  <si>
    <t>Pet Playpens</t>
  </si>
  <si>
    <t>Pet Steps &amp; Ramps</t>
  </si>
  <si>
    <t>Pet Strollers</t>
  </si>
  <si>
    <t>Pet Sunscreen</t>
  </si>
  <si>
    <t>Pet Training Aids</t>
  </si>
  <si>
    <t>Pet Training Clickers &amp; Treat Dispensers</t>
  </si>
  <si>
    <t>Pet Training Pad Holders</t>
  </si>
  <si>
    <t>Pet Training Pads</t>
  </si>
  <si>
    <t>Pet Training Sprays &amp; Solutions</t>
  </si>
  <si>
    <t>Pet Vitamins &amp; Supplements</t>
  </si>
  <si>
    <t>Pet Waste Bag Dispensers &amp; Holders</t>
  </si>
  <si>
    <t>Pet Waste Bags</t>
  </si>
  <si>
    <t>Pet Waste Disposal Systems &amp; Tools</t>
  </si>
  <si>
    <t>Reptile &amp; Amphibian Supplies</t>
  </si>
  <si>
    <t>Reptile &amp; Amphibian Food</t>
  </si>
  <si>
    <t>Reptile &amp; Amphibian Habitat Accessories</t>
  </si>
  <si>
    <t>Reptile &amp; Amphibian Habitat Heating &amp; Lighting</t>
  </si>
  <si>
    <t>Reptile &amp; Amphibian Habitats</t>
  </si>
  <si>
    <t>Reptile &amp; Amphibian Substrates</t>
  </si>
  <si>
    <t>Small Animal Supplies</t>
  </si>
  <si>
    <t>Small Animal Bedding</t>
  </si>
  <si>
    <t>Small Animal Food</t>
  </si>
  <si>
    <t>Small Animal Habitat Accessories</t>
  </si>
  <si>
    <t>Small Animal Habitats &amp; Cages</t>
  </si>
  <si>
    <t>Small Animal Treats</t>
  </si>
  <si>
    <t>Vehicle Pet Barriers</t>
  </si>
  <si>
    <t>Apparel &amp; Accessories</t>
  </si>
  <si>
    <t>Clothing</t>
  </si>
  <si>
    <t>Activewear</t>
  </si>
  <si>
    <t>American Football Pants</t>
  </si>
  <si>
    <t>Bicycle Activewear</t>
  </si>
  <si>
    <t>Bicycle Bibs</t>
  </si>
  <si>
    <t>Bicycle Jerseys</t>
  </si>
  <si>
    <t>Bicycle Shorts &amp; Briefs</t>
  </si>
  <si>
    <t>Bicycle Skinsuits</t>
  </si>
  <si>
    <t>Bicycle Tights</t>
  </si>
  <si>
    <t>Boxing Shorts</t>
  </si>
  <si>
    <t>Dance Dresses, Skirts &amp; Costumes</t>
  </si>
  <si>
    <t>Hunting Clothing</t>
  </si>
  <si>
    <t>Ghillie Suits</t>
  </si>
  <si>
    <t>Hunting &amp; Fishing Vests</t>
  </si>
  <si>
    <t>Hunting &amp; Tactical Pants</t>
  </si>
  <si>
    <t>Martial Arts Shorts</t>
  </si>
  <si>
    <t>Motorcycle Protective Clothing</t>
  </si>
  <si>
    <t>Motorcycle Jackets</t>
  </si>
  <si>
    <t>Motorcycle Pants</t>
  </si>
  <si>
    <t>Motorcycle Suits</t>
  </si>
  <si>
    <t>Paintball Clothing</t>
  </si>
  <si>
    <t>Baby &amp; Toddler Clothing</t>
  </si>
  <si>
    <t>Baby &amp; Toddler Bottoms</t>
  </si>
  <si>
    <t>Baby &amp; Toddler Diaper Covers</t>
  </si>
  <si>
    <t>Baby &amp; Toddler Dresses</t>
  </si>
  <si>
    <t>Baby &amp; Toddler Outerwear</t>
  </si>
  <si>
    <t>Baby &amp; Toddler Outfits</t>
  </si>
  <si>
    <t>Baby &amp; Toddler Sleepwear</t>
  </si>
  <si>
    <t>Baby &amp; Toddler Socks &amp; Tights</t>
  </si>
  <si>
    <t>Baby &amp; Toddler Swimwear</t>
  </si>
  <si>
    <t>Baby &amp; Toddler Tops</t>
  </si>
  <si>
    <t>Baby One-Pieces</t>
  </si>
  <si>
    <t>Toddler Underwear</t>
  </si>
  <si>
    <t>Dresses</t>
  </si>
  <si>
    <t>One-Pieces</t>
  </si>
  <si>
    <t>Jumpsuits &amp; Rompers</t>
  </si>
  <si>
    <t>Leotards &amp; Unitards</t>
  </si>
  <si>
    <t>Overalls</t>
  </si>
  <si>
    <t>Outerwear</t>
  </si>
  <si>
    <t>Chaps</t>
  </si>
  <si>
    <t>Coats &amp; Jackets</t>
  </si>
  <si>
    <t>Rain Pants</t>
  </si>
  <si>
    <t>Rain Suits</t>
  </si>
  <si>
    <t>Snow Pants &amp; Suits</t>
  </si>
  <si>
    <t>Vests</t>
  </si>
  <si>
    <t>Outfit Sets</t>
  </si>
  <si>
    <t>Pants</t>
  </si>
  <si>
    <t>Shirts &amp; Tops</t>
  </si>
  <si>
    <t>Shorts</t>
  </si>
  <si>
    <t>Skirts</t>
  </si>
  <si>
    <t>Knee-Length Skirts</t>
  </si>
  <si>
    <t>Long Skirts</t>
  </si>
  <si>
    <t>Mini Skirts</t>
  </si>
  <si>
    <t>Skorts</t>
  </si>
  <si>
    <t>Sleepwear &amp; Loungewear</t>
  </si>
  <si>
    <t>Loungewear</t>
  </si>
  <si>
    <t>Nightgowns</t>
  </si>
  <si>
    <t>Pajamas</t>
  </si>
  <si>
    <t>Robes</t>
  </si>
  <si>
    <t>Suits</t>
  </si>
  <si>
    <t>Pant Suits</t>
  </si>
  <si>
    <t>Skirt Suits</t>
  </si>
  <si>
    <t>Tuxedos</t>
  </si>
  <si>
    <t>Swimwear</t>
  </si>
  <si>
    <t>Traditional &amp; Ceremonial Clothing</t>
  </si>
  <si>
    <t>Dirndls</t>
  </si>
  <si>
    <t>Hakama Trousers</t>
  </si>
  <si>
    <t>Japanese Black Formal Wear</t>
  </si>
  <si>
    <t>Kimono Outerwear</t>
  </si>
  <si>
    <t>Haori Jackets</t>
  </si>
  <si>
    <t>Kimono Coats</t>
  </si>
  <si>
    <t>Kimonos</t>
  </si>
  <si>
    <t>Bridal Kimonos</t>
  </si>
  <si>
    <t>Casual Kimonos</t>
  </si>
  <si>
    <t>Furisode Kimonos</t>
  </si>
  <si>
    <t>Iromuji Kimonos</t>
  </si>
  <si>
    <t>Komon Kimonos</t>
  </si>
  <si>
    <t>Tomesode &amp; Houmongi Kimonos</t>
  </si>
  <si>
    <t>Religious Ceremonial Clothing</t>
  </si>
  <si>
    <t>Baptism &amp; Communion Dresses</t>
  </si>
  <si>
    <t>Saris &amp; Lehengas</t>
  </si>
  <si>
    <t>Traditional Leather Pants</t>
  </si>
  <si>
    <t>Yukata</t>
  </si>
  <si>
    <t>Underwear &amp; Socks</t>
  </si>
  <si>
    <t>Bra Accessories</t>
  </si>
  <si>
    <t>Bra Strap Pads</t>
  </si>
  <si>
    <t>Bra Straps &amp; Extenders</t>
  </si>
  <si>
    <t>Breast Enhancing Inserts</t>
  </si>
  <si>
    <t>Breast Petals &amp; Concealers</t>
  </si>
  <si>
    <t>Bras</t>
  </si>
  <si>
    <t>Hosiery</t>
  </si>
  <si>
    <t>Jock Straps</t>
  </si>
  <si>
    <t>Lingerie</t>
  </si>
  <si>
    <t>Lingerie Accessories</t>
  </si>
  <si>
    <t>Garter Belts</t>
  </si>
  <si>
    <t>Garters</t>
  </si>
  <si>
    <t>Long Johns</t>
  </si>
  <si>
    <t>Petticoats &amp; Pettipants</t>
  </si>
  <si>
    <t>Shapewear</t>
  </si>
  <si>
    <t>Socks</t>
  </si>
  <si>
    <t>Undershirts</t>
  </si>
  <si>
    <t>Underwear</t>
  </si>
  <si>
    <t>Underwear Slips</t>
  </si>
  <si>
    <t>Uniforms</t>
  </si>
  <si>
    <t>Contractor Pants &amp; Coveralls</t>
  </si>
  <si>
    <t>Flight Suits</t>
  </si>
  <si>
    <t>Food Service Uniforms</t>
  </si>
  <si>
    <t>Chef's Hats</t>
  </si>
  <si>
    <t>Chef's Jackets</t>
  </si>
  <si>
    <t>Chef's Pants</t>
  </si>
  <si>
    <t>Military Uniforms</t>
  </si>
  <si>
    <t>School Uniforms</t>
  </si>
  <si>
    <t>Security Uniforms</t>
  </si>
  <si>
    <t>Sports Uniforms</t>
  </si>
  <si>
    <t>American Football Uniforms</t>
  </si>
  <si>
    <t>Baseball Uniforms</t>
  </si>
  <si>
    <t>Basketball Uniforms</t>
  </si>
  <si>
    <t>Cheerleading Uniforms</t>
  </si>
  <si>
    <t>Cricket Uniforms</t>
  </si>
  <si>
    <t>Hockey Uniforms</t>
  </si>
  <si>
    <t>Martial Arts Uniforms</t>
  </si>
  <si>
    <t>Officiating Uniforms</t>
  </si>
  <si>
    <t>Soccer Uniforms</t>
  </si>
  <si>
    <t>Softball Uniforms</t>
  </si>
  <si>
    <t>Wrestling Uniforms</t>
  </si>
  <si>
    <t>White Coats</t>
  </si>
  <si>
    <t>Wedding &amp; Bridal Party Dresses</t>
  </si>
  <si>
    <t>Bridal Party Dresses</t>
  </si>
  <si>
    <t>Wedding Dresses</t>
  </si>
  <si>
    <t>Clothing Accessories</t>
  </si>
  <si>
    <t>Arm Warmers &amp; Sleeves</t>
  </si>
  <si>
    <t>Baby &amp; Toddler Clothing Accessories</t>
  </si>
  <si>
    <t>Baby &amp; Toddler Belts</t>
  </si>
  <si>
    <t>Baby &amp; Toddler Gloves &amp; Mittens</t>
  </si>
  <si>
    <t>Baby &amp; Toddler Hats</t>
  </si>
  <si>
    <t>Baby Protective Wear</t>
  </si>
  <si>
    <t>Balaclavas</t>
  </si>
  <si>
    <t>Bandanas &amp; Headties</t>
  </si>
  <si>
    <t>Bandanas</t>
  </si>
  <si>
    <t>Hair Care Wraps</t>
  </si>
  <si>
    <t>Belt Buckles</t>
  </si>
  <si>
    <t>Belts</t>
  </si>
  <si>
    <t>Bridal Accessories</t>
  </si>
  <si>
    <t>Bridal Veils</t>
  </si>
  <si>
    <t>Button Studs</t>
  </si>
  <si>
    <t>Collar Stays</t>
  </si>
  <si>
    <t>Cufflinks</t>
  </si>
  <si>
    <t>Decorative Fans</t>
  </si>
  <si>
    <t>Earmuffs</t>
  </si>
  <si>
    <t>Gloves &amp; Mittens</t>
  </si>
  <si>
    <t>Hair Accessories</t>
  </si>
  <si>
    <t>Hair Bun &amp; Volume Shapers</t>
  </si>
  <si>
    <t>Hair Combs</t>
  </si>
  <si>
    <t>Hair Extensions</t>
  </si>
  <si>
    <t>Hair Forks &amp; Sticks</t>
  </si>
  <si>
    <t>Hair Nets</t>
  </si>
  <si>
    <t>Hair Pins, Claws &amp; Clips</t>
  </si>
  <si>
    <t>Barrettes</t>
  </si>
  <si>
    <t>Hair Claws &amp; Clips</t>
  </si>
  <si>
    <t>Hair Pins</t>
  </si>
  <si>
    <t>Hair Wreaths</t>
  </si>
  <si>
    <t>Headbands</t>
  </si>
  <si>
    <t>Ponytail Holders</t>
  </si>
  <si>
    <t>Tiaras</t>
  </si>
  <si>
    <t>Wig Accessories</t>
  </si>
  <si>
    <t>Wig Caps</t>
  </si>
  <si>
    <t>Wig Glue &amp; Tape</t>
  </si>
  <si>
    <t>Wigs</t>
  </si>
  <si>
    <t>Hand Muffs</t>
  </si>
  <si>
    <t>Handkerchiefs</t>
  </si>
  <si>
    <t>Hats</t>
  </si>
  <si>
    <t>Headwear</t>
  </si>
  <si>
    <t>Fascinators</t>
  </si>
  <si>
    <t>Headdresses</t>
  </si>
  <si>
    <t>Turbans</t>
  </si>
  <si>
    <t>Leg Warmers</t>
  </si>
  <si>
    <t>Leis</t>
  </si>
  <si>
    <t>Maternity Belts &amp; Support Bands</t>
  </si>
  <si>
    <t>Neck Gaiters</t>
  </si>
  <si>
    <t>Neckties</t>
  </si>
  <si>
    <t>Pinback Buttons</t>
  </si>
  <si>
    <t>Sashes</t>
  </si>
  <si>
    <t>Scarves &amp; Shawls</t>
  </si>
  <si>
    <t>Scarves</t>
  </si>
  <si>
    <t>Shawls</t>
  </si>
  <si>
    <t>Sunglasses</t>
  </si>
  <si>
    <t>Suspenders</t>
  </si>
  <si>
    <t>Tie Clips</t>
  </si>
  <si>
    <t>Traditional Clothing Accessories</t>
  </si>
  <si>
    <t>Kimono Underclothes</t>
  </si>
  <si>
    <t>Obi Accessories</t>
  </si>
  <si>
    <t>Obis</t>
  </si>
  <si>
    <t>Tabi Socks</t>
  </si>
  <si>
    <t>Wristbands</t>
  </si>
  <si>
    <t>Costumes &amp; Accessories</t>
  </si>
  <si>
    <t>Costume Accessories</t>
  </si>
  <si>
    <t>Bald Caps</t>
  </si>
  <si>
    <t>Costume Accessory Sets</t>
  </si>
  <si>
    <t>Costume Capes</t>
  </si>
  <si>
    <t>Costume Gloves</t>
  </si>
  <si>
    <t>Costume Hats</t>
  </si>
  <si>
    <t>Costume Special Effects</t>
  </si>
  <si>
    <t>Costume Tobacco Products</t>
  </si>
  <si>
    <t>Pretend Jewelry</t>
  </si>
  <si>
    <t>Costume Shoes</t>
  </si>
  <si>
    <t>Costumes</t>
  </si>
  <si>
    <t>Masks</t>
  </si>
  <si>
    <t>Handbag &amp; Wallet Accessories</t>
  </si>
  <si>
    <t>Checkbook Covers</t>
  </si>
  <si>
    <t>Keychains</t>
  </si>
  <si>
    <t>Lanyards</t>
  </si>
  <si>
    <t>Wallet Chains</t>
  </si>
  <si>
    <t>Handbags, Wallets &amp; Cases</t>
  </si>
  <si>
    <t>Badge &amp; Pass Holders</t>
  </si>
  <si>
    <t>Business Card Cases</t>
  </si>
  <si>
    <t>Handbags</t>
  </si>
  <si>
    <t>Wallets &amp; Money Clips</t>
  </si>
  <si>
    <t>Jewelry</t>
  </si>
  <si>
    <t>Anklets</t>
  </si>
  <si>
    <t>Body Jewelry</t>
  </si>
  <si>
    <t>Bracelets</t>
  </si>
  <si>
    <t>Brooches &amp; Lapel Pins</t>
  </si>
  <si>
    <t>Charms &amp; Pendants</t>
  </si>
  <si>
    <t>Earrings</t>
  </si>
  <si>
    <t>Jewelry Sets</t>
  </si>
  <si>
    <t>Necklaces</t>
  </si>
  <si>
    <t>Rings</t>
  </si>
  <si>
    <t>Watch Accessories</t>
  </si>
  <si>
    <t>Watch Bands</t>
  </si>
  <si>
    <t>Watch Stickers &amp; Decals</t>
  </si>
  <si>
    <t>Watch Winders</t>
  </si>
  <si>
    <t>Watches</t>
  </si>
  <si>
    <t>Shoe Accessories</t>
  </si>
  <si>
    <t>Boot Liners</t>
  </si>
  <si>
    <t>Gaiters</t>
  </si>
  <si>
    <t>Shoe Covers</t>
  </si>
  <si>
    <t>Shoelaces</t>
  </si>
  <si>
    <t>Spurs</t>
  </si>
  <si>
    <t>Shoes</t>
  </si>
  <si>
    <t>Arts &amp; Entertainment</t>
  </si>
  <si>
    <t>Event Tickets</t>
  </si>
  <si>
    <t>Hobbies &amp; Creative Arts</t>
  </si>
  <si>
    <t>Arts &amp; Crafts</t>
  </si>
  <si>
    <t>Art &amp; Craft Kits</t>
  </si>
  <si>
    <t>Candle Making Kits</t>
  </si>
  <si>
    <t>Drawing &amp; Painting Kits</t>
  </si>
  <si>
    <t>Fabric Repair Kits</t>
  </si>
  <si>
    <t>Incense Making Kits</t>
  </si>
  <si>
    <t>Jewelry Making Kits</t>
  </si>
  <si>
    <t>Mosaic Kits</t>
  </si>
  <si>
    <t>Needlecraft Kits</t>
  </si>
  <si>
    <t>Scrapbooking &amp; Stamping Kits</t>
  </si>
  <si>
    <t>Toy Craft Kits</t>
  </si>
  <si>
    <t>Art &amp; Crafting Materials</t>
  </si>
  <si>
    <t>Art &amp; Craft Paper</t>
  </si>
  <si>
    <t>Craft Fasteners &amp; Closures</t>
  </si>
  <si>
    <t>Craft Paint, Ink &amp; Glaze</t>
  </si>
  <si>
    <t>Craft Shapes &amp; Bases</t>
  </si>
  <si>
    <t>Crafting Adhesives &amp; Magnets</t>
  </si>
  <si>
    <t>Crafting Fibers</t>
  </si>
  <si>
    <t>Crafting Wire</t>
  </si>
  <si>
    <t>Embellishments &amp; Trims</t>
  </si>
  <si>
    <t>Embossing Powder</t>
  </si>
  <si>
    <t>Filling &amp; Padding Material</t>
  </si>
  <si>
    <t>Leather &amp; Vinyl</t>
  </si>
  <si>
    <t>Pottery &amp; Sculpting Materials</t>
  </si>
  <si>
    <t>Raw Candle Wax</t>
  </si>
  <si>
    <t>Textiles</t>
  </si>
  <si>
    <t>Wick Tabs</t>
  </si>
  <si>
    <t>Wicks</t>
  </si>
  <si>
    <t>Art &amp; Crafting Tool Accessories</t>
  </si>
  <si>
    <t>Craft Knife Blades</t>
  </si>
  <si>
    <t>Craft Machine Cases &amp; Covers</t>
  </si>
  <si>
    <t>Sewing Machine Extension Tables</t>
  </si>
  <si>
    <t>Sewing Machine Feet</t>
  </si>
  <si>
    <t>Sewing Machine Replacement Parts</t>
  </si>
  <si>
    <t>Spinning Wheel Accessories</t>
  </si>
  <si>
    <t>Stamp Blocks</t>
  </si>
  <si>
    <t>Art &amp; Crafting Tools</t>
  </si>
  <si>
    <t>Blocking Mats</t>
  </si>
  <si>
    <t>Blocking Wires</t>
  </si>
  <si>
    <t>Color Mixing Tools</t>
  </si>
  <si>
    <t>Craft Cutting &amp; Embossing Tools</t>
  </si>
  <si>
    <t>Craft Decoration Makers</t>
  </si>
  <si>
    <t>Craft Measuring &amp; Marking Tools</t>
  </si>
  <si>
    <t>Cutting Mats</t>
  </si>
  <si>
    <t>Dress Forms</t>
  </si>
  <si>
    <t>Felting Pads &amp; Mats</t>
  </si>
  <si>
    <t>Frames, Hoops &amp; Stretchers</t>
  </si>
  <si>
    <t>Glue Guns</t>
  </si>
  <si>
    <t>Light Boxes</t>
  </si>
  <si>
    <t>Needles &amp; Hooks</t>
  </si>
  <si>
    <t>Safety Pins</t>
  </si>
  <si>
    <t>Straight Pins</t>
  </si>
  <si>
    <t>Textile Craft Machines</t>
  </si>
  <si>
    <t>Thimbles &amp; Sewing Palms</t>
  </si>
  <si>
    <t>Thread &amp; Yarn Tools</t>
  </si>
  <si>
    <t>Craft Organization</t>
  </si>
  <si>
    <t>Needle, Pin &amp; Hook Organizers</t>
  </si>
  <si>
    <t>Sewing Baskets &amp; Kits</t>
  </si>
  <si>
    <t>Thread &amp; Yarn Organizers</t>
  </si>
  <si>
    <t>Crafting Patterns &amp; Molds</t>
  </si>
  <si>
    <t>Beading Patterns</t>
  </si>
  <si>
    <t>Craft Molds</t>
  </si>
  <si>
    <t>Felting Molds</t>
  </si>
  <si>
    <t>Needlecraft Patterns</t>
  </si>
  <si>
    <t>Sewing Patterns</t>
  </si>
  <si>
    <t>Collectibles</t>
  </si>
  <si>
    <t>Autographs</t>
  </si>
  <si>
    <t>Collectible Coins &amp; Currency</t>
  </si>
  <si>
    <t>Collectible Banknotes</t>
  </si>
  <si>
    <t>Collectible Coins</t>
  </si>
  <si>
    <t>Collectible Trading Cards</t>
  </si>
  <si>
    <t>Collectible Weapons</t>
  </si>
  <si>
    <t>Collectible Guns</t>
  </si>
  <si>
    <t>Collectible Knives</t>
  </si>
  <si>
    <t>Collectible Swords</t>
  </si>
  <si>
    <t>Sword Stands &amp; Displays</t>
  </si>
  <si>
    <t>Postage Stamps</t>
  </si>
  <si>
    <t>Rocks &amp; Fossils</t>
  </si>
  <si>
    <t>Scale Model Accessories</t>
  </si>
  <si>
    <t>Scale Models</t>
  </si>
  <si>
    <t>Seal Stamps</t>
  </si>
  <si>
    <t>Sports Collectibles</t>
  </si>
  <si>
    <t>Autographed Sports Paraphernalia</t>
  </si>
  <si>
    <t>Sports Fan Accessories</t>
  </si>
  <si>
    <t>Vintage Advertisements</t>
  </si>
  <si>
    <t>Homebrewing &amp; Winemaking Supplies</t>
  </si>
  <si>
    <t>Beer Brewing Grains &amp; Malts</t>
  </si>
  <si>
    <t>Bottling Bottles</t>
  </si>
  <si>
    <t>Homebrewing &amp; Winemaking Kits</t>
  </si>
  <si>
    <t>Wine Making</t>
  </si>
  <si>
    <t>Juggling</t>
  </si>
  <si>
    <t>Magic &amp; Novelties</t>
  </si>
  <si>
    <t>Model Making</t>
  </si>
  <si>
    <t>Model Rocketry</t>
  </si>
  <si>
    <t>Model Train Accessories</t>
  </si>
  <si>
    <t>Model Trains &amp; Train Sets</t>
  </si>
  <si>
    <t>Scale Model Kits</t>
  </si>
  <si>
    <t>Musical Instrument &amp; Orchestra Accessories</t>
  </si>
  <si>
    <t>Brass Instrument Accessories</t>
  </si>
  <si>
    <t>Brass Instrument Care &amp; Cleaning</t>
  </si>
  <si>
    <t>Brass Instrument Cases &amp; Gigbags</t>
  </si>
  <si>
    <t>Brass Instrument Mouthpieces</t>
  </si>
  <si>
    <t>Brass Instrument Mutes</t>
  </si>
  <si>
    <t>Brass Instrument Replacement Parts</t>
  </si>
  <si>
    <t>Brass Instrument Straps &amp; Stands</t>
  </si>
  <si>
    <t>Conductor Batons</t>
  </si>
  <si>
    <t>Electronic Tuners</t>
  </si>
  <si>
    <t>Metronomes</t>
  </si>
  <si>
    <t>Music Benches &amp; Stools</t>
  </si>
  <si>
    <t>Music Lyres &amp; Flip Folders</t>
  </si>
  <si>
    <t>Music Stand Accessories</t>
  </si>
  <si>
    <t>Music Stand Bags</t>
  </si>
  <si>
    <t>Music Stand Lights</t>
  </si>
  <si>
    <t>Sheet Music Clips</t>
  </si>
  <si>
    <t>Music Stands</t>
  </si>
  <si>
    <t>Musical Instrument Amplifier Accessories</t>
  </si>
  <si>
    <t>Musical Instrument Amplifier Cabinets</t>
  </si>
  <si>
    <t>Musical Instrument Amplifier Covers &amp; Cases</t>
  </si>
  <si>
    <t>Musical Instrument Amplifier Footswitches</t>
  </si>
  <si>
    <t>Musical Instrument Amplifier Knobs</t>
  </si>
  <si>
    <t>Musical Instrument Amplifier Stands</t>
  </si>
  <si>
    <t>Musical Instrument Amplifier Tubes</t>
  </si>
  <si>
    <t>Musical Instrument Amplifiers</t>
  </si>
  <si>
    <t>Musical Keyboard Accessories</t>
  </si>
  <si>
    <t>Musical Keyboard Bags &amp; Cases</t>
  </si>
  <si>
    <t>Musical Keyboard Stands</t>
  </si>
  <si>
    <t>Sustain Pedals</t>
  </si>
  <si>
    <t>Percussion Accessories</t>
  </si>
  <si>
    <t>Cymbal &amp; Drum Cases</t>
  </si>
  <si>
    <t>Cymbal &amp; Drum Mutes</t>
  </si>
  <si>
    <t>Drum Heads</t>
  </si>
  <si>
    <t>Drum Keys</t>
  </si>
  <si>
    <t>Drum Kit Hardware</t>
  </si>
  <si>
    <t>Drum Stick &amp; Brush Accessories</t>
  </si>
  <si>
    <t>Drum Sticks &amp; Brushes</t>
  </si>
  <si>
    <t>Electronic Drum Modules</t>
  </si>
  <si>
    <t>Hand Percussion Accessories</t>
  </si>
  <si>
    <t>Percussion Mallets</t>
  </si>
  <si>
    <t>Percussion Stands</t>
  </si>
  <si>
    <t>String Instrument Accessories</t>
  </si>
  <si>
    <t>Guitar Accessories</t>
  </si>
  <si>
    <t>Orchestral String Instrument Accessories</t>
  </si>
  <si>
    <t>String Instrument Care &amp; Cleaning</t>
  </si>
  <si>
    <t>Woodwind Instrument Accessories</t>
  </si>
  <si>
    <t>Bassoon Accessories</t>
  </si>
  <si>
    <t>Clarinet Accessories</t>
  </si>
  <si>
    <t>Flute Accessories</t>
  </si>
  <si>
    <t>Harmonica Accessories</t>
  </si>
  <si>
    <t>Oboe &amp; English Horn Accessories</t>
  </si>
  <si>
    <t>Recorder Accessories</t>
  </si>
  <si>
    <t>Saxophone Accessories</t>
  </si>
  <si>
    <t>Woodwind Cork Grease</t>
  </si>
  <si>
    <t>Woodwind Polishing Cloths</t>
  </si>
  <si>
    <t>Woodwind Reed Cases</t>
  </si>
  <si>
    <t>Woodwind Reed Knives</t>
  </si>
  <si>
    <t>Musical Instruments</t>
  </si>
  <si>
    <t>Accordions &amp; Concertinas</t>
  </si>
  <si>
    <t>Bagpipes</t>
  </si>
  <si>
    <t>Brass Instruments</t>
  </si>
  <si>
    <t>Alto &amp; Baritone Horns</t>
  </si>
  <si>
    <t>Euphoniums</t>
  </si>
  <si>
    <t>French Horns</t>
  </si>
  <si>
    <t>Trombones</t>
  </si>
  <si>
    <t>Trumpets &amp; Cornets</t>
  </si>
  <si>
    <t>Tubas</t>
  </si>
  <si>
    <t>Electronic Musical Instruments</t>
  </si>
  <si>
    <t>Audio Samplers</t>
  </si>
  <si>
    <t>MIDI Controllers</t>
  </si>
  <si>
    <t>Musical Keyboards</t>
  </si>
  <si>
    <t>Sound Synthesizers</t>
  </si>
  <si>
    <t>Percussion</t>
  </si>
  <si>
    <t>Bass Drums</t>
  </si>
  <si>
    <t>Cymbals</t>
  </si>
  <si>
    <t>Drum Kits</t>
  </si>
  <si>
    <t>Electronic Drums</t>
  </si>
  <si>
    <t>Glockenspiels &amp; Xylophones</t>
  </si>
  <si>
    <t>Gongs</t>
  </si>
  <si>
    <t>Hand Percussion</t>
  </si>
  <si>
    <t>Hi-Hats</t>
  </si>
  <si>
    <t>Practice Pads</t>
  </si>
  <si>
    <t>Snare Drums</t>
  </si>
  <si>
    <t>Tom-Toms</t>
  </si>
  <si>
    <t>Pianos</t>
  </si>
  <si>
    <t>String Instruments</t>
  </si>
  <si>
    <t>Cellos</t>
  </si>
  <si>
    <t>Guitars</t>
  </si>
  <si>
    <t>Harps</t>
  </si>
  <si>
    <t>Upright Basses</t>
  </si>
  <si>
    <t>Violas</t>
  </si>
  <si>
    <t>Violins</t>
  </si>
  <si>
    <t>Woodwinds</t>
  </si>
  <si>
    <t>Bassoons</t>
  </si>
  <si>
    <t>Clarinets</t>
  </si>
  <si>
    <t>Flutes</t>
  </si>
  <si>
    <t>Flutophones</t>
  </si>
  <si>
    <t>Harmonicas</t>
  </si>
  <si>
    <t>Jew's Harps</t>
  </si>
  <si>
    <t>Melodicas</t>
  </si>
  <si>
    <t>Musical Pipes</t>
  </si>
  <si>
    <t>Oboes &amp; English Horns</t>
  </si>
  <si>
    <t>Ocarinas</t>
  </si>
  <si>
    <t>Recorders</t>
  </si>
  <si>
    <t>Saxophones</t>
  </si>
  <si>
    <t>Tin Whistles</t>
  </si>
  <si>
    <t>Train Whistles</t>
  </si>
  <si>
    <t>Party &amp; Celebration</t>
  </si>
  <si>
    <t>Gift Giving</t>
  </si>
  <si>
    <t>Corsage &amp; Boutonnière Pins</t>
  </si>
  <si>
    <t>Corsages &amp; Boutonnières</t>
  </si>
  <si>
    <t>Fresh Cut Flowers</t>
  </si>
  <si>
    <t>Gift Cards &amp; Certificates</t>
  </si>
  <si>
    <t>Gift Wrapping</t>
  </si>
  <si>
    <t>Gift Bags</t>
  </si>
  <si>
    <t>Gift Boxes &amp; Tins</t>
  </si>
  <si>
    <t>Gift Tags &amp; Labels</t>
  </si>
  <si>
    <t>Tissue Paper</t>
  </si>
  <si>
    <t>Wrapping Paper</t>
  </si>
  <si>
    <t>Greeting &amp; Note Cards</t>
  </si>
  <si>
    <t>Party Supplies</t>
  </si>
  <si>
    <t>Advice Cards</t>
  </si>
  <si>
    <t>Balloon Kits</t>
  </si>
  <si>
    <t>Balloons</t>
  </si>
  <si>
    <t>Banners</t>
  </si>
  <si>
    <t>Birthday Candles</t>
  </si>
  <si>
    <t>Chair Sashes</t>
  </si>
  <si>
    <t>Cocktail Decorations</t>
  </si>
  <si>
    <t>Confetti</t>
  </si>
  <si>
    <t>Decorative Pom-Poms</t>
  </si>
  <si>
    <t>Drinking Games</t>
  </si>
  <si>
    <t>Beer Pong</t>
  </si>
  <si>
    <t>Drinking Straws &amp; Stirrers</t>
  </si>
  <si>
    <t>Envelope Seals</t>
  </si>
  <si>
    <t>Event Programs</t>
  </si>
  <si>
    <t>Fireworks &amp; Firecrackers</t>
  </si>
  <si>
    <t>Inflatable Party Decorations</t>
  </si>
  <si>
    <t>Invitations</t>
  </si>
  <si>
    <t>Noisemakers &amp; Party Blowers</t>
  </si>
  <si>
    <t>Party Favors</t>
  </si>
  <si>
    <t>Wedding Favors</t>
  </si>
  <si>
    <t>Party Games</t>
  </si>
  <si>
    <t>Party Hats</t>
  </si>
  <si>
    <t>Party Streamers &amp; Curtains</t>
  </si>
  <si>
    <t>Party Supply Kits</t>
  </si>
  <si>
    <t>Piñatas</t>
  </si>
  <si>
    <t>Place Card Holders</t>
  </si>
  <si>
    <t>Place Cards</t>
  </si>
  <si>
    <t>Response Cards</t>
  </si>
  <si>
    <t>Sparklers</t>
  </si>
  <si>
    <t>Special Occasion Card Boxes &amp; Holders</t>
  </si>
  <si>
    <t>Spray String</t>
  </si>
  <si>
    <t>Special Effects</t>
  </si>
  <si>
    <t>Disco Balls</t>
  </si>
  <si>
    <t>Fog Machines</t>
  </si>
  <si>
    <t>Special Effects Controllers</t>
  </si>
  <si>
    <t>Special Effects Light Stands</t>
  </si>
  <si>
    <t>Special Effects Lighting</t>
  </si>
  <si>
    <t>Trophies &amp; Awards</t>
  </si>
  <si>
    <t>Award Certificates</t>
  </si>
  <si>
    <t>Award Pins &amp; Medals</t>
  </si>
  <si>
    <t>Award Plaques</t>
  </si>
  <si>
    <t>Award Ribbons</t>
  </si>
  <si>
    <t>Trophies</t>
  </si>
  <si>
    <t>Baby &amp; Toddler</t>
  </si>
  <si>
    <t>Baby Bathing</t>
  </si>
  <si>
    <t>Baby Bathtubs &amp; Bath Seats</t>
  </si>
  <si>
    <t>Shower Visors</t>
  </si>
  <si>
    <t>Baby Gift Sets</t>
  </si>
  <si>
    <t>Baby Health</t>
  </si>
  <si>
    <t>Baby Health &amp; Grooming Kits</t>
  </si>
  <si>
    <t>Nasal Aspirators</t>
  </si>
  <si>
    <t>Pacifier Clips &amp; Holders</t>
  </si>
  <si>
    <t>Pacifier Wipes</t>
  </si>
  <si>
    <t>Pacifiers &amp; Teethers</t>
  </si>
  <si>
    <t>Baby Safety</t>
  </si>
  <si>
    <t>Baby &amp; Pet Gate Accessories</t>
  </si>
  <si>
    <t>Baby &amp; Pet Gates</t>
  </si>
  <si>
    <t>Baby Monitors</t>
  </si>
  <si>
    <t>Baby Safety Harnesses &amp; Leashes</t>
  </si>
  <si>
    <t>Baby Safety Locks &amp; Guards</t>
  </si>
  <si>
    <t>Baby Safety Rails</t>
  </si>
  <si>
    <t>Baby Toys &amp; Activity Equipment</t>
  </si>
  <si>
    <t>Alphabet Toys</t>
  </si>
  <si>
    <t>Baby Activity Toys</t>
  </si>
  <si>
    <t>Baby Bouncers &amp; Rockers</t>
  </si>
  <si>
    <t>Baby Jumpers &amp; Swings</t>
  </si>
  <si>
    <t>Baby Mobile Accessories</t>
  </si>
  <si>
    <t>Baby Mobiles</t>
  </si>
  <si>
    <t>Baby Soothers</t>
  </si>
  <si>
    <t>Baby Walkers &amp; Entertainers</t>
  </si>
  <si>
    <t>Play Mats &amp; Gyms</t>
  </si>
  <si>
    <t>Play Gyms</t>
  </si>
  <si>
    <t>Play Mats</t>
  </si>
  <si>
    <t>Play Yards</t>
  </si>
  <si>
    <t>Push &amp; Pull Toys</t>
  </si>
  <si>
    <t>Rattles</t>
  </si>
  <si>
    <t>Sorting &amp; Stacking Toys</t>
  </si>
  <si>
    <t>Baby Transport</t>
  </si>
  <si>
    <t>Baby &amp; Toddler Car Seats</t>
  </si>
  <si>
    <t>Baby Carriers</t>
  </si>
  <si>
    <t>Baby Strollers</t>
  </si>
  <si>
    <t>Baby Transport Accessories</t>
  </si>
  <si>
    <t>Baby &amp; Toddler Car Seat Accessories</t>
  </si>
  <si>
    <t>Baby Carrier Accessories</t>
  </si>
  <si>
    <t>Baby Stroller Accessories</t>
  </si>
  <si>
    <t>Baby Transport Liners &amp; Sacks</t>
  </si>
  <si>
    <t>Shopping Cart &amp; High Chair Covers</t>
  </si>
  <si>
    <t>Diapering</t>
  </si>
  <si>
    <t>Baby Wipe Dispensers &amp; Warmers</t>
  </si>
  <si>
    <t>Baby Wipes</t>
  </si>
  <si>
    <t>Changing Mat &amp; Tray Covers</t>
  </si>
  <si>
    <t>Changing Mats &amp; Trays</t>
  </si>
  <si>
    <t>Diaper Kits</t>
  </si>
  <si>
    <t>Diaper Liners</t>
  </si>
  <si>
    <t>Diaper Organizers</t>
  </si>
  <si>
    <t>Diaper Pail Accessories</t>
  </si>
  <si>
    <t>Diaper Pails</t>
  </si>
  <si>
    <t>Diaper Rash Treatments</t>
  </si>
  <si>
    <t>Diaper Wet Bags</t>
  </si>
  <si>
    <t>Diapers</t>
  </si>
  <si>
    <t>Nursing &amp; Feeding</t>
  </si>
  <si>
    <t>Baby &amp; Toddler Food</t>
  </si>
  <si>
    <t>Baby Cereal</t>
  </si>
  <si>
    <t>Baby Drinks</t>
  </si>
  <si>
    <t>Baby Food</t>
  </si>
  <si>
    <t>Baby Formula</t>
  </si>
  <si>
    <t>Baby Snacks</t>
  </si>
  <si>
    <t>Toddler Nutrition Drinks &amp; Shakes</t>
  </si>
  <si>
    <t>Baby Bottle Nipples &amp; Liners</t>
  </si>
  <si>
    <t>Baby Bottle Liners</t>
  </si>
  <si>
    <t>Baby Bottle Nipples</t>
  </si>
  <si>
    <t>Baby Bottles</t>
  </si>
  <si>
    <t>Baby Care Timers</t>
  </si>
  <si>
    <t>Bibs</t>
  </si>
  <si>
    <t>Bottle Warmers &amp; Sterilizers</t>
  </si>
  <si>
    <t>Breast Milk Storage Containers</t>
  </si>
  <si>
    <t>Breast Pump Accessories</t>
  </si>
  <si>
    <t>Breast Pumps</t>
  </si>
  <si>
    <t>Burp Cloths</t>
  </si>
  <si>
    <t>Nursing Covers</t>
  </si>
  <si>
    <t>Nursing Pads &amp; Shields</t>
  </si>
  <si>
    <t>Nursing Pillow Covers</t>
  </si>
  <si>
    <t>Nursing Pillows</t>
  </si>
  <si>
    <t>Sippy Cups</t>
  </si>
  <si>
    <t>Potty Training</t>
  </si>
  <si>
    <t>Potty Seats</t>
  </si>
  <si>
    <t>Potty Training Kits</t>
  </si>
  <si>
    <t>Swaddling &amp; Receiving Blankets</t>
  </si>
  <si>
    <t>Receiving Blankets</t>
  </si>
  <si>
    <t>Swaddling Blankets</t>
  </si>
  <si>
    <t>Business &amp; Industrial</t>
  </si>
  <si>
    <t>Advertising &amp; Marketing</t>
  </si>
  <si>
    <t>Brochures</t>
  </si>
  <si>
    <t>Trade Show Counters</t>
  </si>
  <si>
    <t>Trade Show Displays</t>
  </si>
  <si>
    <t>Agriculture</t>
  </si>
  <si>
    <t>Animal Husbandry</t>
  </si>
  <si>
    <t>Egg Incubators</t>
  </si>
  <si>
    <t>Livestock Feed</t>
  </si>
  <si>
    <t>Cattle Feed</t>
  </si>
  <si>
    <t>Chicken Feed</t>
  </si>
  <si>
    <t>Goat &amp; Sheep Feed</t>
  </si>
  <si>
    <t>Mixed Herd Feed</t>
  </si>
  <si>
    <t>Pig Feed</t>
  </si>
  <si>
    <t>Livestock Feeders &amp; Waterers</t>
  </si>
  <si>
    <t>Livestock Halters</t>
  </si>
  <si>
    <t>Automation Control Components</t>
  </si>
  <si>
    <t>Programmable Logic Controllers</t>
  </si>
  <si>
    <t>Variable Frequency &amp; Adjustable Speed Drives</t>
  </si>
  <si>
    <t>Construction</t>
  </si>
  <si>
    <t>Surveying</t>
  </si>
  <si>
    <t>Traffic Cones &amp; Barrels</t>
  </si>
  <si>
    <t>Dentistry</t>
  </si>
  <si>
    <t>Dental Cement</t>
  </si>
  <si>
    <t>Dental Tools</t>
  </si>
  <si>
    <t>Dappen Dishes</t>
  </si>
  <si>
    <t>Dental Mirrors</t>
  </si>
  <si>
    <t>Dental Tool Sets</t>
  </si>
  <si>
    <t>Prophy Cups</t>
  </si>
  <si>
    <t>Prophy Heads</t>
  </si>
  <si>
    <t>Prophy Paste</t>
  </si>
  <si>
    <t>Film &amp; Television</t>
  </si>
  <si>
    <t>Finance &amp; Insurance</t>
  </si>
  <si>
    <t>Bullion</t>
  </si>
  <si>
    <t>Food Service</t>
  </si>
  <si>
    <t>Bakery Boxes</t>
  </si>
  <si>
    <t>Bus Tubs</t>
  </si>
  <si>
    <t>Check Presenters</t>
  </si>
  <si>
    <t>Concession Food Containers</t>
  </si>
  <si>
    <t>Disposable Lids</t>
  </si>
  <si>
    <t>Disposable Serveware</t>
  </si>
  <si>
    <t>Disposable Serving Trays</t>
  </si>
  <si>
    <t>Disposable Tableware</t>
  </si>
  <si>
    <t>Disposable Bowls</t>
  </si>
  <si>
    <t>Disposable Cups</t>
  </si>
  <si>
    <t>Disposable Cutlery</t>
  </si>
  <si>
    <t>Disposable Plates</t>
  </si>
  <si>
    <t>Food Service Baskets</t>
  </si>
  <si>
    <t>Food Service Carts</t>
  </si>
  <si>
    <t>Food Washers &amp; Dryers</t>
  </si>
  <si>
    <t>Hot Dog Rollers</t>
  </si>
  <si>
    <t>Ice Bins</t>
  </si>
  <si>
    <t>Plate &amp; Dish Warmers</t>
  </si>
  <si>
    <t>Sneeze Guards</t>
  </si>
  <si>
    <t>Take-Out Containers</t>
  </si>
  <si>
    <t>Tilt Skillets</t>
  </si>
  <si>
    <t>Vending Machines</t>
  </si>
  <si>
    <t>Forestry &amp; Logging</t>
  </si>
  <si>
    <t>Hairdressing &amp; Cosmetology</t>
  </si>
  <si>
    <t>Hairdressing Capes &amp; Neck Covers</t>
  </si>
  <si>
    <t>Pedicure Chairs</t>
  </si>
  <si>
    <t>Salon Chairs</t>
  </si>
  <si>
    <t>Heavy Machinery</t>
  </si>
  <si>
    <t>Chippers</t>
  </si>
  <si>
    <t>Hotel &amp; Hospitality</t>
  </si>
  <si>
    <t>Industrial Storage</t>
  </si>
  <si>
    <t>Industrial Cabinets</t>
  </si>
  <si>
    <t>Industrial Shelving</t>
  </si>
  <si>
    <t>Shipping Containers</t>
  </si>
  <si>
    <t>Wire Partitions, Enclosures &amp; Doors</t>
  </si>
  <si>
    <t>Industrial Storage Accessories</t>
  </si>
  <si>
    <t>Janitorial Carts &amp; Caddies</t>
  </si>
  <si>
    <t>Law Enforcement</t>
  </si>
  <si>
    <t>Cuffs</t>
  </si>
  <si>
    <t>Metal Detectors</t>
  </si>
  <si>
    <t>Manufacturing</t>
  </si>
  <si>
    <t>Material Handling</t>
  </si>
  <si>
    <t>Conveyors</t>
  </si>
  <si>
    <t>Lifts &amp; Hoists</t>
  </si>
  <si>
    <t>Hoists, Cranes &amp; Trolleys</t>
  </si>
  <si>
    <t>Jacks &amp; Lift Trucks</t>
  </si>
  <si>
    <t>Personnel Lifts</t>
  </si>
  <si>
    <t>Pulleys, Blocks &amp; Sheaves</t>
  </si>
  <si>
    <t>Winches</t>
  </si>
  <si>
    <t>Pallets &amp; Loading Platforms</t>
  </si>
  <si>
    <t>Medical</t>
  </si>
  <si>
    <t>Hospital Curtains</t>
  </si>
  <si>
    <t>Hospital Gowns</t>
  </si>
  <si>
    <t>Medical Bedding</t>
  </si>
  <si>
    <t>Medical Equipment</t>
  </si>
  <si>
    <t>Automated External Defibrillators</t>
  </si>
  <si>
    <t>Gait Belts</t>
  </si>
  <si>
    <t>Medical Reflex Hammers &amp; Tuning Forks</t>
  </si>
  <si>
    <t>Medical Stretchers &amp; Gurneys</t>
  </si>
  <si>
    <t>Otoscopes &amp; Ophthalmoscopes</t>
  </si>
  <si>
    <t>Patient Lifts</t>
  </si>
  <si>
    <t>Stethoscopes</t>
  </si>
  <si>
    <t>Vital Signs Monitor Accessories</t>
  </si>
  <si>
    <t>Vital Signs Monitors</t>
  </si>
  <si>
    <t>Medical Furniture</t>
  </si>
  <si>
    <t>Chiropractic Tables</t>
  </si>
  <si>
    <t>Examination Chairs &amp; Tables</t>
  </si>
  <si>
    <t>Homecare &amp; Hospital Beds</t>
  </si>
  <si>
    <t>Medical Cabinets</t>
  </si>
  <si>
    <t>Medical Carts</t>
  </si>
  <si>
    <t>Crash Carts</t>
  </si>
  <si>
    <t>IV Poles &amp; Carts</t>
  </si>
  <si>
    <t>Surgical Tables</t>
  </si>
  <si>
    <t>Medical Instruments</t>
  </si>
  <si>
    <t>Medical Forceps</t>
  </si>
  <si>
    <t>Scalpel Blades</t>
  </si>
  <si>
    <t>Scalpels</t>
  </si>
  <si>
    <t>Surgical Needles &amp; Sutures</t>
  </si>
  <si>
    <t>Medical Supplies</t>
  </si>
  <si>
    <t>Disposable Gloves</t>
  </si>
  <si>
    <t>Finger Cots</t>
  </si>
  <si>
    <t>Medical Needles &amp; Syringes</t>
  </si>
  <si>
    <t>Medical Needle &amp; Syringe Sets</t>
  </si>
  <si>
    <t>Medical Needles</t>
  </si>
  <si>
    <t>Medical Syringes</t>
  </si>
  <si>
    <t>Ostomy Supplies</t>
  </si>
  <si>
    <t>Tongue Depressors</t>
  </si>
  <si>
    <t>Medical Teaching Equipment</t>
  </si>
  <si>
    <t>Medical &amp; Emergency Response Training Mannequins</t>
  </si>
  <si>
    <t>Scrub Caps</t>
  </si>
  <si>
    <t>Scrubs</t>
  </si>
  <si>
    <t>Surgical Gowns</t>
  </si>
  <si>
    <t>Mining &amp; Quarrying</t>
  </si>
  <si>
    <t>Piercing &amp; Tattooing</t>
  </si>
  <si>
    <t>Piercing Supplies</t>
  </si>
  <si>
    <t>Piercing Needles</t>
  </si>
  <si>
    <t>Tattooing Supplies</t>
  </si>
  <si>
    <t>Tattoo Cover-Ups</t>
  </si>
  <si>
    <t>Tattooing Inks</t>
  </si>
  <si>
    <t>Tattooing Machines</t>
  </si>
  <si>
    <t>Tattooing Needles</t>
  </si>
  <si>
    <t>Retail</t>
  </si>
  <si>
    <t>Clothing Display Racks</t>
  </si>
  <si>
    <t>Display Mannequins</t>
  </si>
  <si>
    <t>Mannequin Parts</t>
  </si>
  <si>
    <t>Money Handling</t>
  </si>
  <si>
    <t>Banknote Verifiers</t>
  </si>
  <si>
    <t>Cash Register &amp; POS Terminal Accessories</t>
  </si>
  <si>
    <t>Cash Drawers &amp; Trays</t>
  </si>
  <si>
    <t>Credit Card Terminals</t>
  </si>
  <si>
    <t>Signature Capture Pads</t>
  </si>
  <si>
    <t>Cash Registers &amp; POS Terminals</t>
  </si>
  <si>
    <t>Cash Registers</t>
  </si>
  <si>
    <t>POS Terminals</t>
  </si>
  <si>
    <t>Coin &amp; Bill Counters</t>
  </si>
  <si>
    <t>Money Changers</t>
  </si>
  <si>
    <t>Money Deposit Bags</t>
  </si>
  <si>
    <t>Paper Coin Wrappers &amp; Bill Straps</t>
  </si>
  <si>
    <t>Paper &amp; Plastic Shopping Bags</t>
  </si>
  <si>
    <t>Pricing Guns</t>
  </si>
  <si>
    <t>Retail Display Cases</t>
  </si>
  <si>
    <t>Retail Display Props &amp; Models</t>
  </si>
  <si>
    <t>Science &amp; Laboratory</t>
  </si>
  <si>
    <t>Biochemicals</t>
  </si>
  <si>
    <t>Dissection Kits</t>
  </si>
  <si>
    <t>Laboratory Chemicals</t>
  </si>
  <si>
    <t>Laboratory Equipment</t>
  </si>
  <si>
    <t>Autoclaves</t>
  </si>
  <si>
    <t>Centrifuges</t>
  </si>
  <si>
    <t>Dry Ice Makers</t>
  </si>
  <si>
    <t>Freeze-Drying Machines</t>
  </si>
  <si>
    <t>Laboratory Blenders</t>
  </si>
  <si>
    <t>Laboratory Freezers</t>
  </si>
  <si>
    <t>Laboratory Funnels</t>
  </si>
  <si>
    <t>Laboratory Hot Plates</t>
  </si>
  <si>
    <t>Laboratory Ovens</t>
  </si>
  <si>
    <t>Microscope Accessories</t>
  </si>
  <si>
    <t>Microscope Cameras</t>
  </si>
  <si>
    <t>Microscope Eyepieces &amp; Adapters</t>
  </si>
  <si>
    <t>Microscope Objective Lenses</t>
  </si>
  <si>
    <t>Microscope Replacement Bulbs</t>
  </si>
  <si>
    <t>Microscope Slides</t>
  </si>
  <si>
    <t>Microscopes</t>
  </si>
  <si>
    <t>Microtomes</t>
  </si>
  <si>
    <t>Spectrometer Accessories</t>
  </si>
  <si>
    <t>Spectrometers</t>
  </si>
  <si>
    <t>Laboratory Specimens</t>
  </si>
  <si>
    <t>Laboratory Supplies</t>
  </si>
  <si>
    <t>Beakers</t>
  </si>
  <si>
    <t>Graduated Cylinders</t>
  </si>
  <si>
    <t>Laboratory Flasks</t>
  </si>
  <si>
    <t>Petri Dishes</t>
  </si>
  <si>
    <t>Pipettes</t>
  </si>
  <si>
    <t>Test Tube Racks</t>
  </si>
  <si>
    <t>Test Tubes</t>
  </si>
  <si>
    <t>Wash Bottles</t>
  </si>
  <si>
    <t>Signage</t>
  </si>
  <si>
    <t>Business Hour Signs</t>
  </si>
  <si>
    <t>Digital Signs</t>
  </si>
  <si>
    <t>Electric Signs</t>
  </si>
  <si>
    <t>LED Signs</t>
  </si>
  <si>
    <t>Neon Signs</t>
  </si>
  <si>
    <t>Emergency &amp; Exit Signs</t>
  </si>
  <si>
    <t>Facility Identification Signs</t>
  </si>
  <si>
    <t>Open &amp; Closed Signs</t>
  </si>
  <si>
    <t>Parking Signs &amp; Permits</t>
  </si>
  <si>
    <t>Policy Signs</t>
  </si>
  <si>
    <t>Retail &amp; Sale Signs</t>
  </si>
  <si>
    <t>Road &amp; Traffic Signs</t>
  </si>
  <si>
    <t>Safety &amp; Warning Signs</t>
  </si>
  <si>
    <t>Security Signs</t>
  </si>
  <si>
    <t>Sidewalk &amp; Yard Signs</t>
  </si>
  <si>
    <t>Work Safety Protective Gear</t>
  </si>
  <si>
    <t>Bullet Proof Vests</t>
  </si>
  <si>
    <t>Gas Mask &amp; Respirator Accessories</t>
  </si>
  <si>
    <t>Hardhats</t>
  </si>
  <si>
    <t>Hazardous Material Suits</t>
  </si>
  <si>
    <t>Protective Aprons</t>
  </si>
  <si>
    <t>Protective Eyewear</t>
  </si>
  <si>
    <t>Protective Masks</t>
  </si>
  <si>
    <t>Dust Masks</t>
  </si>
  <si>
    <t>Fireman's Masks</t>
  </si>
  <si>
    <t>Gas Masks &amp; Respirators</t>
  </si>
  <si>
    <t>Medical Masks</t>
  </si>
  <si>
    <t>Safety Gloves</t>
  </si>
  <si>
    <t>Safety Knee Pads</t>
  </si>
  <si>
    <t>Welding Helmets</t>
  </si>
  <si>
    <t>Work Safety Harnesses</t>
  </si>
  <si>
    <t>Work Safety Tethers</t>
  </si>
  <si>
    <t>Cameras &amp; Optics</t>
  </si>
  <si>
    <t>Camera &amp; Optic Accessories</t>
  </si>
  <si>
    <t>Camera &amp; Optic Replacement Cables</t>
  </si>
  <si>
    <t>Camera &amp; Video Camera Lenses</t>
  </si>
  <si>
    <t>Camera Lenses</t>
  </si>
  <si>
    <t>Surveillance Camera Lenses</t>
  </si>
  <si>
    <t>Video Camera Lenses</t>
  </si>
  <si>
    <t>Camera Lens Accessories</t>
  </si>
  <si>
    <t>Lens &amp; Filter Adapter Rings</t>
  </si>
  <si>
    <t>Lens Bags</t>
  </si>
  <si>
    <t>Lens Caps</t>
  </si>
  <si>
    <t>Lens Converters</t>
  </si>
  <si>
    <t>Lens Filters</t>
  </si>
  <si>
    <t>Lens Hoods</t>
  </si>
  <si>
    <t>Camera Parts &amp; Accessories</t>
  </si>
  <si>
    <t>Camera Accessory Sets</t>
  </si>
  <si>
    <t>Camera Bags &amp; Cases</t>
  </si>
  <si>
    <t>Camera Body Replacement Panels &amp; Doors</t>
  </si>
  <si>
    <t>Camera Digital Backs</t>
  </si>
  <si>
    <t>Camera Film</t>
  </si>
  <si>
    <t>Camera Flash Accessories</t>
  </si>
  <si>
    <t>Camera Flashes</t>
  </si>
  <si>
    <t>Camera Focus Devices</t>
  </si>
  <si>
    <t>Camera Gears</t>
  </si>
  <si>
    <t>Camera Grips</t>
  </si>
  <si>
    <t>Camera Image Sensors</t>
  </si>
  <si>
    <t>Camera Lens Zoom Units</t>
  </si>
  <si>
    <t>Camera Remote Controls</t>
  </si>
  <si>
    <t>Camera Replacement Buttons &amp; Knobs</t>
  </si>
  <si>
    <t>Camera Replacement Screens &amp; Displays</t>
  </si>
  <si>
    <t>Camera Silencers &amp; Sound Blimps</t>
  </si>
  <si>
    <t>Camera Stabilizers &amp; Supports</t>
  </si>
  <si>
    <t>Camera Straps</t>
  </si>
  <si>
    <t>Camera Sun Hoods &amp; Viewfinder Attachments</t>
  </si>
  <si>
    <t>Flash Brackets</t>
  </si>
  <si>
    <t>On-Camera Monitors</t>
  </si>
  <si>
    <t>Surveillance Camera Accessories</t>
  </si>
  <si>
    <t>Underwater Camera Housing Accessories</t>
  </si>
  <si>
    <t>Underwater Camera Housings</t>
  </si>
  <si>
    <t>Video Camera Lights</t>
  </si>
  <si>
    <t>Optic Accessories</t>
  </si>
  <si>
    <t>Binocular &amp; Monocular Accessories</t>
  </si>
  <si>
    <t>Optics Bags &amp; Cases</t>
  </si>
  <si>
    <t>Rangefinder Accessories</t>
  </si>
  <si>
    <t>Spotting Scope Accessories</t>
  </si>
  <si>
    <t>Telescope Accessories</t>
  </si>
  <si>
    <t>Thermal Optic Accessories</t>
  </si>
  <si>
    <t>Weapon Scope &amp; Sight Accessories</t>
  </si>
  <si>
    <t>Tripod &amp; Monopod Accessories</t>
  </si>
  <si>
    <t>Tripod &amp; Monopod Cases</t>
  </si>
  <si>
    <t>Tripod &amp; Monopod Heads</t>
  </si>
  <si>
    <t>Tripod Collars &amp; Mounts</t>
  </si>
  <si>
    <t>Tripod Handles</t>
  </si>
  <si>
    <t>Tripod Spreaders</t>
  </si>
  <si>
    <t>Tripods &amp; Monopods</t>
  </si>
  <si>
    <t>Cameras</t>
  </si>
  <si>
    <t>Borescopes</t>
  </si>
  <si>
    <t>Digital Cameras</t>
  </si>
  <si>
    <t>Disposable Cameras</t>
  </si>
  <si>
    <t>Film Cameras</t>
  </si>
  <si>
    <t>Surveillance Cameras</t>
  </si>
  <si>
    <t>Trail Cameras</t>
  </si>
  <si>
    <t>Video Cameras</t>
  </si>
  <si>
    <t>Webcams</t>
  </si>
  <si>
    <t>Optics</t>
  </si>
  <si>
    <t>Binoculars</t>
  </si>
  <si>
    <t>Monoculars</t>
  </si>
  <si>
    <t>Rangefinders</t>
  </si>
  <si>
    <t>Scopes</t>
  </si>
  <si>
    <t>Spotting Scopes</t>
  </si>
  <si>
    <t>Telescopes</t>
  </si>
  <si>
    <t>Weapon Scopes &amp; Sights</t>
  </si>
  <si>
    <t>Photography</t>
  </si>
  <si>
    <t>Darkroom</t>
  </si>
  <si>
    <t>Developing &amp; Processing Equipment</t>
  </si>
  <si>
    <t>Copystands</t>
  </si>
  <si>
    <t>Darkroom Sinks</t>
  </si>
  <si>
    <t>Developing Tanks &amp; Reels</t>
  </si>
  <si>
    <t>Print Trays, Washers &amp; Dryers</t>
  </si>
  <si>
    <t>Retouching Equipment &amp; Supplies</t>
  </si>
  <si>
    <t>Enlarging Equipment</t>
  </si>
  <si>
    <t>Darkroom Easels</t>
  </si>
  <si>
    <t>Darkroom Timers</t>
  </si>
  <si>
    <t>Focusing Aids</t>
  </si>
  <si>
    <t>Photographic Analyzers</t>
  </si>
  <si>
    <t>Photographic Enlargers</t>
  </si>
  <si>
    <t>Photographic Chemicals</t>
  </si>
  <si>
    <t>Photographic Paper</t>
  </si>
  <si>
    <t>Safelights</t>
  </si>
  <si>
    <t>Lighting &amp; Studio</t>
  </si>
  <si>
    <t>Light Meter Accessories</t>
  </si>
  <si>
    <t>Light Meters</t>
  </si>
  <si>
    <t>Studio Backgrounds</t>
  </si>
  <si>
    <t>Studio Light &amp; Flash Accessories</t>
  </si>
  <si>
    <t>Studio Lighting Controls</t>
  </si>
  <si>
    <t>Flash Diffusers</t>
  </si>
  <si>
    <t>Flash Reflectors</t>
  </si>
  <si>
    <t>Lighting Filters &amp; Gobos</t>
  </si>
  <si>
    <t>Softboxes</t>
  </si>
  <si>
    <t>Studio Lights &amp; Flashes</t>
  </si>
  <si>
    <t>Studio Stand &amp; Mount Accessories</t>
  </si>
  <si>
    <t>Studio Stands &amp; Mounts</t>
  </si>
  <si>
    <t>Photo Mounting Supplies</t>
  </si>
  <si>
    <t>Photo Negative &amp; Slide Storage</t>
  </si>
  <si>
    <t>Electronics</t>
  </si>
  <si>
    <t>Arcade Equipment</t>
  </si>
  <si>
    <t>Basketball Arcade Games</t>
  </si>
  <si>
    <t>Pinball Machine Accessories</t>
  </si>
  <si>
    <t>Pinball Machines</t>
  </si>
  <si>
    <t>Skee-Ball Machines</t>
  </si>
  <si>
    <t>Video Game Arcade Cabinet Accessories</t>
  </si>
  <si>
    <t>Video Game Arcade Cabinets</t>
  </si>
  <si>
    <t>Audio</t>
  </si>
  <si>
    <t>Audio Accessories</t>
  </si>
  <si>
    <t>Audio &amp; Video Receiver Accessories</t>
  </si>
  <si>
    <t>Headphone &amp; Headset Accessories</t>
  </si>
  <si>
    <t>Headphone Cushions &amp; Tips</t>
  </si>
  <si>
    <t>Karaoke System Accessories</t>
  </si>
  <si>
    <t>Karaoke Chips</t>
  </si>
  <si>
    <t>MP3 Player Accessories</t>
  </si>
  <si>
    <t>MP3 Player &amp; Mobile Phone Accessory Sets</t>
  </si>
  <si>
    <t>MP3 Player Cases</t>
  </si>
  <si>
    <t>Microphone Accessories</t>
  </si>
  <si>
    <t>Microphone Stands</t>
  </si>
  <si>
    <t>Satellite Radio Accessories</t>
  </si>
  <si>
    <t>Speaker Accessories</t>
  </si>
  <si>
    <t>Speaker Bags, Covers &amp; Cases</t>
  </si>
  <si>
    <t>Speaker Components &amp; Kits</t>
  </si>
  <si>
    <t>Speaker Stand Bags</t>
  </si>
  <si>
    <t>Speaker Stands &amp; Mounts</t>
  </si>
  <si>
    <t>Tactile Transducers</t>
  </si>
  <si>
    <t>Turntable Accessories</t>
  </si>
  <si>
    <t>Audio Components</t>
  </si>
  <si>
    <t>Audio &amp; Video Receivers</t>
  </si>
  <si>
    <t>Audio Amplifiers</t>
  </si>
  <si>
    <t>Headphone Amplifiers</t>
  </si>
  <si>
    <t>Power Amplifiers</t>
  </si>
  <si>
    <t>Audio Mixers</t>
  </si>
  <si>
    <t>Audio Transmitters</t>
  </si>
  <si>
    <t>Bluetooth Transmitters</t>
  </si>
  <si>
    <t>FM Transmitters</t>
  </si>
  <si>
    <t>Channel Strips</t>
  </si>
  <si>
    <t>Direct Boxes</t>
  </si>
  <si>
    <t>Headphones &amp; Headsets</t>
  </si>
  <si>
    <t>Headphones</t>
  </si>
  <si>
    <t>Headsets</t>
  </si>
  <si>
    <t>Microphones</t>
  </si>
  <si>
    <t>Signal Processors</t>
  </si>
  <si>
    <t>Crossovers</t>
  </si>
  <si>
    <t>Effects Processors</t>
  </si>
  <si>
    <t>Equalizers</t>
  </si>
  <si>
    <t>Loudspeaker Management Systems</t>
  </si>
  <si>
    <t>Microphone Preamps</t>
  </si>
  <si>
    <t>Noise Gates &amp; Compressors</t>
  </si>
  <si>
    <t>Phono Preamps</t>
  </si>
  <si>
    <t>Speakers</t>
  </si>
  <si>
    <t>Studio Recording Bundles</t>
  </si>
  <si>
    <t>Audio Players &amp; Recorders</t>
  </si>
  <si>
    <t>Boomboxes</t>
  </si>
  <si>
    <t>CD Players &amp; Recorders</t>
  </si>
  <si>
    <t>Cassette Players &amp; Recorders</t>
  </si>
  <si>
    <t>Home Theater Systems</t>
  </si>
  <si>
    <t>Jukeboxes</t>
  </si>
  <si>
    <t>Karaoke Systems</t>
  </si>
  <si>
    <t>MP3 Players</t>
  </si>
  <si>
    <t>MiniDisc Players &amp; Recorders</t>
  </si>
  <si>
    <t>Multitrack Recorders</t>
  </si>
  <si>
    <t>Radios</t>
  </si>
  <si>
    <t>Reel-to-Reel Tape Players &amp; Recorders</t>
  </si>
  <si>
    <t>Stereo Systems</t>
  </si>
  <si>
    <t>Turntables &amp; Record Players</t>
  </si>
  <si>
    <t>Voice Recorders</t>
  </si>
  <si>
    <t>Bullhorns</t>
  </si>
  <si>
    <t>DJ &amp; Specialty Audio</t>
  </si>
  <si>
    <t>DJ CD Players</t>
  </si>
  <si>
    <t>DJ Systems</t>
  </si>
  <si>
    <t>Public Address Systems</t>
  </si>
  <si>
    <t>Stage Equipment</t>
  </si>
  <si>
    <t>Wireless Transmitters</t>
  </si>
  <si>
    <t>Circuit Boards &amp; Components</t>
  </si>
  <si>
    <t>Circuit Board Accessories</t>
  </si>
  <si>
    <t>Circuit Decoders &amp; Encoders</t>
  </si>
  <si>
    <t>Circuit Prototyping</t>
  </si>
  <si>
    <t>Breadboards</t>
  </si>
  <si>
    <t>Electronic Filters</t>
  </si>
  <si>
    <t>Passive Circuit Components</t>
  </si>
  <si>
    <t>Capacitors</t>
  </si>
  <si>
    <t>Electronic Oscillators</t>
  </si>
  <si>
    <t>Inductors</t>
  </si>
  <si>
    <t>Resistors</t>
  </si>
  <si>
    <t>Printed Circuit Boards</t>
  </si>
  <si>
    <t>Camera Circuit Boards</t>
  </si>
  <si>
    <t>Computer Circuit Boards</t>
  </si>
  <si>
    <t>Computer Inverter Boards</t>
  </si>
  <si>
    <t>Hard Drive Circuit Boards</t>
  </si>
  <si>
    <t>Motherboards</t>
  </si>
  <si>
    <t>Development Boards</t>
  </si>
  <si>
    <t>Exercise Machine Circuit Boards</t>
  </si>
  <si>
    <t>Household Appliance Circuit Boards</t>
  </si>
  <si>
    <t>Pool &amp; Spa Circuit Boards</t>
  </si>
  <si>
    <t>Printer, Copier, &amp; Fax Machine Circuit Boards</t>
  </si>
  <si>
    <t>Scanner Circuit Boards</t>
  </si>
  <si>
    <t>Television Circuit Boards</t>
  </si>
  <si>
    <t>Semiconductors</t>
  </si>
  <si>
    <t>Diodes</t>
  </si>
  <si>
    <t>Integrated Circuits &amp; Chips</t>
  </si>
  <si>
    <t>Microcontrollers</t>
  </si>
  <si>
    <t>Transistors</t>
  </si>
  <si>
    <t>Communications</t>
  </si>
  <si>
    <t>Answering Machines</t>
  </si>
  <si>
    <t>Caller IDs</t>
  </si>
  <si>
    <t>Communication Radio Accessories</t>
  </si>
  <si>
    <t>Communication Radios</t>
  </si>
  <si>
    <t>CB Radios</t>
  </si>
  <si>
    <t>Radio Scanners</t>
  </si>
  <si>
    <t>Two-Way Radios</t>
  </si>
  <si>
    <t>Intercom Accessories</t>
  </si>
  <si>
    <t>Intercoms</t>
  </si>
  <si>
    <t>Pagers</t>
  </si>
  <si>
    <t>Telephony</t>
  </si>
  <si>
    <t>Conference Phones</t>
  </si>
  <si>
    <t>Corded Phones</t>
  </si>
  <si>
    <t>Cordless Phones</t>
  </si>
  <si>
    <t>Mobile Phone Accessories</t>
  </si>
  <si>
    <t>Mobile Phone Camera Accessories</t>
  </si>
  <si>
    <t>Mobile Phone Cases</t>
  </si>
  <si>
    <t>Mobile Phone Charms &amp; Straps</t>
  </si>
  <si>
    <t>Mobile Phone Pre-Paid Cards &amp; SIM Cards</t>
  </si>
  <si>
    <t>Mobile Phone Replacement Parts</t>
  </si>
  <si>
    <t>Mobile Phone Stands</t>
  </si>
  <si>
    <t>SIM Card Ejection Tools</t>
  </si>
  <si>
    <t>Mobile Phones</t>
  </si>
  <si>
    <t>Contract Mobile Phones</t>
  </si>
  <si>
    <t>Pre-paid Mobile Phones</t>
  </si>
  <si>
    <t>Unlocked Mobile Phones</t>
  </si>
  <si>
    <t>Satellite Phones</t>
  </si>
  <si>
    <t>Telephone Accessories</t>
  </si>
  <si>
    <t>Phone Cards</t>
  </si>
  <si>
    <t>Video Conferencing</t>
  </si>
  <si>
    <t>Components</t>
  </si>
  <si>
    <t>Accelerometers</t>
  </si>
  <si>
    <t>Converters</t>
  </si>
  <si>
    <t>Audio Converters</t>
  </si>
  <si>
    <t>Scan Converters</t>
  </si>
  <si>
    <t>Electronics Component Connectors</t>
  </si>
  <si>
    <t>Modulators</t>
  </si>
  <si>
    <t>Splitters</t>
  </si>
  <si>
    <t>Computers</t>
  </si>
  <si>
    <t>Barebone Computers</t>
  </si>
  <si>
    <t>Computer Servers</t>
  </si>
  <si>
    <t>Desktop Computers</t>
  </si>
  <si>
    <t>Handheld Devices</t>
  </si>
  <si>
    <t>Data Collectors</t>
  </si>
  <si>
    <t>E-Book Readers</t>
  </si>
  <si>
    <t>PDAs</t>
  </si>
  <si>
    <t>Interactive Kiosks</t>
  </si>
  <si>
    <t>Laptops</t>
  </si>
  <si>
    <t>Smart Glasses</t>
  </si>
  <si>
    <t>Tablet Computers</t>
  </si>
  <si>
    <t>Thin &amp; Zero Clients</t>
  </si>
  <si>
    <t>Thin Client Computers</t>
  </si>
  <si>
    <t>Zero Client Computers</t>
  </si>
  <si>
    <t>Touch Table Computers</t>
  </si>
  <si>
    <t>Electronics Accessories</t>
  </si>
  <si>
    <t>Adapters</t>
  </si>
  <si>
    <t>Audio &amp; Video Cable Adapters &amp; Couplers</t>
  </si>
  <si>
    <t>Memory Card Adapters</t>
  </si>
  <si>
    <t>USB Adapters</t>
  </si>
  <si>
    <t>Antenna Accessories</t>
  </si>
  <si>
    <t>Antenna Mounts &amp; Brackets</t>
  </si>
  <si>
    <t>Antenna Rotators</t>
  </si>
  <si>
    <t>Satellite LNBs</t>
  </si>
  <si>
    <t>Antennas</t>
  </si>
  <si>
    <t>Audio &amp; Video Splitters &amp; Switches</t>
  </si>
  <si>
    <t>DVI Splitters &amp; Switches</t>
  </si>
  <si>
    <t>HDMI Splitters &amp; Switches</t>
  </si>
  <si>
    <t>VGA Splitters &amp; Switches</t>
  </si>
  <si>
    <t>Blank Media</t>
  </si>
  <si>
    <t>Cable Management</t>
  </si>
  <si>
    <t>Cable Clips</t>
  </si>
  <si>
    <t>Cable Tie Guns</t>
  </si>
  <si>
    <t>Cable Trays</t>
  </si>
  <si>
    <t>Patch Panels</t>
  </si>
  <si>
    <t>Wire &amp; Cable Identification Markers</t>
  </si>
  <si>
    <t>Wire &amp; Cable Sleeves</t>
  </si>
  <si>
    <t>Wire &amp; Cable Ties</t>
  </si>
  <si>
    <t>Cables</t>
  </si>
  <si>
    <t>Audio &amp; Video Cables</t>
  </si>
  <si>
    <t>KVM Cables</t>
  </si>
  <si>
    <t>Network Cables</t>
  </si>
  <si>
    <t>Storage &amp; Data Transfer Cables</t>
  </si>
  <si>
    <t>System &amp; Power Cables</t>
  </si>
  <si>
    <t>Telephone Cables</t>
  </si>
  <si>
    <t>Computer Accessories</t>
  </si>
  <si>
    <t>Computer Accessory Sets</t>
  </si>
  <si>
    <t>Computer Covers &amp; Skins</t>
  </si>
  <si>
    <t>Computer Risers &amp; Stands</t>
  </si>
  <si>
    <t>Handheld Device Accessories</t>
  </si>
  <si>
    <t>E-Book Reader Accessories</t>
  </si>
  <si>
    <t>PDA Accessories</t>
  </si>
  <si>
    <t>Keyboard &amp; Mouse Wrist Rests</t>
  </si>
  <si>
    <t>Keyboard Trays &amp; Platforms</t>
  </si>
  <si>
    <t>Laptop Docking Stations</t>
  </si>
  <si>
    <t>Mouse Pads</t>
  </si>
  <si>
    <t>Stylus Pen Nibs &amp; Refills</t>
  </si>
  <si>
    <t>Stylus Pens</t>
  </si>
  <si>
    <t>Tablet Computer Docks &amp; Stands</t>
  </si>
  <si>
    <t>Computer Components</t>
  </si>
  <si>
    <t>Blade Server Enclosures</t>
  </si>
  <si>
    <t>Computer Backplates &amp; I/O Shields</t>
  </si>
  <si>
    <t>Computer Power Supplies</t>
  </si>
  <si>
    <t>Computer Processors</t>
  </si>
  <si>
    <t>Computer Racks &amp; Mounts</t>
  </si>
  <si>
    <t>Computer Starter Kits</t>
  </si>
  <si>
    <t>Computer System Cooling Parts</t>
  </si>
  <si>
    <t>Desktop Computer &amp; Server Cases</t>
  </si>
  <si>
    <t>E-Book Reader Parts</t>
  </si>
  <si>
    <t>E-Book Reader Screens &amp; Screen Digitizers</t>
  </si>
  <si>
    <t>I/O Cards &amp; Adapters</t>
  </si>
  <si>
    <t>Audio Cards &amp; Adapters</t>
  </si>
  <si>
    <t>Computer Interface Cards &amp; Adapters</t>
  </si>
  <si>
    <t>Riser Cards</t>
  </si>
  <si>
    <t>TV Tuner Cards &amp; Adapters</t>
  </si>
  <si>
    <t>Video Cards &amp; Adapters</t>
  </si>
  <si>
    <t>Input Device Accessories</t>
  </si>
  <si>
    <t>Barcode Scanner Stands</t>
  </si>
  <si>
    <t>Game Controller Accessories</t>
  </si>
  <si>
    <t>Keyboard Keys &amp; Caps</t>
  </si>
  <si>
    <t>Mice &amp; Trackball Accessories</t>
  </si>
  <si>
    <t>Input Devices</t>
  </si>
  <si>
    <t>Barcode Scanners</t>
  </si>
  <si>
    <t>Digital Note Taking Pens</t>
  </si>
  <si>
    <t>Electronic Card Readers</t>
  </si>
  <si>
    <t>Fingerprint Readers</t>
  </si>
  <si>
    <t>Game Controllers</t>
  </si>
  <si>
    <t>Gesture Control Input Devices</t>
  </si>
  <si>
    <t>Graphics Tablets</t>
  </si>
  <si>
    <t>KVM Switches</t>
  </si>
  <si>
    <t>Keyboards</t>
  </si>
  <si>
    <t>Memory Card Readers</t>
  </si>
  <si>
    <t>Mice &amp; Trackballs</t>
  </si>
  <si>
    <t>Numeric Keypads</t>
  </si>
  <si>
    <t>Touchpads</t>
  </si>
  <si>
    <t>Laptop Parts</t>
  </si>
  <si>
    <t>Laptop Hinges</t>
  </si>
  <si>
    <t>Laptop Housings &amp; Trim</t>
  </si>
  <si>
    <t>Laptop Replacement Cables</t>
  </si>
  <si>
    <t>Laptop Replacement Keyboards</t>
  </si>
  <si>
    <t>Laptop Replacement Screens</t>
  </si>
  <si>
    <t>Laptop Replacement Speakers</t>
  </si>
  <si>
    <t>Laptop Screen Digitizers</t>
  </si>
  <si>
    <t>Storage Devices</t>
  </si>
  <si>
    <t>Disk Duplicators</t>
  </si>
  <si>
    <t>Floppy Drives</t>
  </si>
  <si>
    <t>Hard Drive Accessories</t>
  </si>
  <si>
    <t>Hard Drive Arrays</t>
  </si>
  <si>
    <t>Hard Drives</t>
  </si>
  <si>
    <t>Network Storage Systems</t>
  </si>
  <si>
    <t>Optical Drives</t>
  </si>
  <si>
    <t>Tape Drives</t>
  </si>
  <si>
    <t>USB Flash Drives</t>
  </si>
  <si>
    <t>Tablet Computer Parts</t>
  </si>
  <si>
    <t>Tablet Computer Housings &amp; Trim</t>
  </si>
  <si>
    <t>Tablet Computer Replacement Speakers</t>
  </si>
  <si>
    <t>Tablet Computer Screens &amp; Screen Digitizers</t>
  </si>
  <si>
    <t>USB &amp; FireWire Hubs</t>
  </si>
  <si>
    <t>Electronics Cleaners</t>
  </si>
  <si>
    <t>Electronics Films &amp; Shields</t>
  </si>
  <si>
    <t>Electronics Stickers &amp; Decals</t>
  </si>
  <si>
    <t>Keyboard Protectors</t>
  </si>
  <si>
    <t>Privacy Filters</t>
  </si>
  <si>
    <t>Screen Protectors</t>
  </si>
  <si>
    <t>Memory</t>
  </si>
  <si>
    <t>Cache Memory</t>
  </si>
  <si>
    <t>Flash Memory</t>
  </si>
  <si>
    <t>Flash Memory Cards</t>
  </si>
  <si>
    <t>RAM</t>
  </si>
  <si>
    <t>ROM</t>
  </si>
  <si>
    <t>Video Memory</t>
  </si>
  <si>
    <t>Memory Accessories</t>
  </si>
  <si>
    <t>Memory Cases</t>
  </si>
  <si>
    <t>Mobile Phone &amp; Tablet Tripods &amp; Monopods</t>
  </si>
  <si>
    <t>Power</t>
  </si>
  <si>
    <t>Batteries</t>
  </si>
  <si>
    <t>Camera Batteries</t>
  </si>
  <si>
    <t>Cordless Phone Batteries</t>
  </si>
  <si>
    <t>E-Book Reader Batteries</t>
  </si>
  <si>
    <t>General Purpose Batteries</t>
  </si>
  <si>
    <t>Laptop Batteries</t>
  </si>
  <si>
    <t>MP3 Player Batteries</t>
  </si>
  <si>
    <t>Mobile Phone Batteries</t>
  </si>
  <si>
    <t>PDA Batteries</t>
  </si>
  <si>
    <t>Tablet Computer Batteries</t>
  </si>
  <si>
    <t>UPS Batteries</t>
  </si>
  <si>
    <t>Video Camera Batteries</t>
  </si>
  <si>
    <t>Video Game Console &amp; Controller Batteries</t>
  </si>
  <si>
    <t>Battery Accessories</t>
  </si>
  <si>
    <t>Battery Charge Controllers</t>
  </si>
  <si>
    <t>Battery Holders</t>
  </si>
  <si>
    <t>Camera Battery Chargers</t>
  </si>
  <si>
    <t>General Purpose Battery Chargers</t>
  </si>
  <si>
    <t>General Purpose Battery Testers</t>
  </si>
  <si>
    <t>Fuel Cells</t>
  </si>
  <si>
    <t>Power Adapter &amp; Charger Accessories</t>
  </si>
  <si>
    <t>Power Adapters &amp; Chargers</t>
  </si>
  <si>
    <t>Power Control Units</t>
  </si>
  <si>
    <t>Power Strips &amp; Surge Suppressors</t>
  </si>
  <si>
    <t>Power Supply Enclosures</t>
  </si>
  <si>
    <t>Surge Protection Devices</t>
  </si>
  <si>
    <t>Travel Converters &amp; Adapters</t>
  </si>
  <si>
    <t>UPS</t>
  </si>
  <si>
    <t>UPS Accessories</t>
  </si>
  <si>
    <t>Remote Controls</t>
  </si>
  <si>
    <t>Signal Boosters</t>
  </si>
  <si>
    <t>Signal Jammers</t>
  </si>
  <si>
    <t>GPS Jammers</t>
  </si>
  <si>
    <t>Mobile Phone Jammers</t>
  </si>
  <si>
    <t>Radar Jammers</t>
  </si>
  <si>
    <t>GPS Accessories</t>
  </si>
  <si>
    <t>GPS Cases</t>
  </si>
  <si>
    <t>GPS Mounts</t>
  </si>
  <si>
    <t>GPS Navigation Systems</t>
  </si>
  <si>
    <t>GPS Tracking Devices</t>
  </si>
  <si>
    <t>Marine Electronics</t>
  </si>
  <si>
    <t>Fish Finders</t>
  </si>
  <si>
    <t>Marine Audio &amp; Video Receivers</t>
  </si>
  <si>
    <t>Marine Chartplotters &amp; GPS</t>
  </si>
  <si>
    <t>Marine Radar</t>
  </si>
  <si>
    <t>Marine Radios</t>
  </si>
  <si>
    <t>Marine Speakers</t>
  </si>
  <si>
    <t>Networking</t>
  </si>
  <si>
    <t>Bridges &amp; Routers</t>
  </si>
  <si>
    <t>Network Bridges</t>
  </si>
  <si>
    <t>VoIP Gateways &amp; Routers</t>
  </si>
  <si>
    <t>Wireless Access Points</t>
  </si>
  <si>
    <t>Wireless Routers</t>
  </si>
  <si>
    <t>Concentrators &amp; Multiplexers</t>
  </si>
  <si>
    <t>Hubs &amp; Switches</t>
  </si>
  <si>
    <t>Modem Accessories</t>
  </si>
  <si>
    <t>Modems</t>
  </si>
  <si>
    <t>Network Cards &amp; Adapters</t>
  </si>
  <si>
    <t>Network Security &amp; Firewall Devices</t>
  </si>
  <si>
    <t>Power Over Ethernet Adapters</t>
  </si>
  <si>
    <t>Print Servers</t>
  </si>
  <si>
    <t>Repeaters &amp; Transceivers</t>
  </si>
  <si>
    <t>Print, Copy, Scan &amp; Fax</t>
  </si>
  <si>
    <t>3D Printer Accessories</t>
  </si>
  <si>
    <t>3D Printers</t>
  </si>
  <si>
    <t>Printer, Copier &amp; Fax Machine Accessories</t>
  </si>
  <si>
    <t>Printer Consumables</t>
  </si>
  <si>
    <t>Printer Drums &amp; Drum Kits</t>
  </si>
  <si>
    <t>Printer Filters</t>
  </si>
  <si>
    <t>Printer Maintenance Kits</t>
  </si>
  <si>
    <t>Printer Ribbons</t>
  </si>
  <si>
    <t>Printheads</t>
  </si>
  <si>
    <t>Toner &amp; Inkjet Cartridge Refills</t>
  </si>
  <si>
    <t>Toner &amp; Inkjet Cartridges</t>
  </si>
  <si>
    <t>Printer Duplexers</t>
  </si>
  <si>
    <t>Printer Memory</t>
  </si>
  <si>
    <t>Printer Stands</t>
  </si>
  <si>
    <t>Printer, Copier &amp; Fax Machine Replacement Parts</t>
  </si>
  <si>
    <t>Printers, Copiers &amp; Fax Machines</t>
  </si>
  <si>
    <t>Scanner Accessories</t>
  </si>
  <si>
    <t>Scanners</t>
  </si>
  <si>
    <t>Radar Detectors</t>
  </si>
  <si>
    <t>Speed Radars</t>
  </si>
  <si>
    <t>Toll Collection Devices</t>
  </si>
  <si>
    <t>Video</t>
  </si>
  <si>
    <t>Computer Monitors</t>
  </si>
  <si>
    <t>Projectors</t>
  </si>
  <si>
    <t>Multimedia Projectors</t>
  </si>
  <si>
    <t>Overhead Projectors</t>
  </si>
  <si>
    <t>Slide Projectors</t>
  </si>
  <si>
    <t>Satellite &amp; Cable TV</t>
  </si>
  <si>
    <t>Cable TV Receivers</t>
  </si>
  <si>
    <t>Satellite Receivers</t>
  </si>
  <si>
    <t>Televisions</t>
  </si>
  <si>
    <t>Video Accessories</t>
  </si>
  <si>
    <t>3D Glasses</t>
  </si>
  <si>
    <t>Computer Monitor Accessories</t>
  </si>
  <si>
    <t>Color Calibrators</t>
  </si>
  <si>
    <t>Projector Accessories</t>
  </si>
  <si>
    <t>Projection &amp; Tripod Skirts</t>
  </si>
  <si>
    <t>Projection Screen Stands</t>
  </si>
  <si>
    <t>Projection Screens</t>
  </si>
  <si>
    <t>Projector Mounts</t>
  </si>
  <si>
    <t>Projector Replacement Lamps</t>
  </si>
  <si>
    <t>Rewinders</t>
  </si>
  <si>
    <t>Television Parts &amp; Accessories</t>
  </si>
  <si>
    <t>TV &amp; Monitor Mounts</t>
  </si>
  <si>
    <t>TV Converter Boxes</t>
  </si>
  <si>
    <t>TV Replacement Lamps</t>
  </si>
  <si>
    <t>TV Replacement Speakers</t>
  </si>
  <si>
    <t>Video Editing Hardware &amp; Production Equipment</t>
  </si>
  <si>
    <t>Video Multiplexers</t>
  </si>
  <si>
    <t>Video Players &amp; Recorders</t>
  </si>
  <si>
    <t>DVD &amp; Blu-ray Players</t>
  </si>
  <si>
    <t>DVD Recorders</t>
  </si>
  <si>
    <t>Digital Video Recorders</t>
  </si>
  <si>
    <t>Streaming &amp; Home Media Players</t>
  </si>
  <si>
    <t>VCRs</t>
  </si>
  <si>
    <t>Video Servers</t>
  </si>
  <si>
    <t>Video Transmitters</t>
  </si>
  <si>
    <t>Video Game Console Accessories</t>
  </si>
  <si>
    <t>Home Game Console Accessories</t>
  </si>
  <si>
    <t>Portable Game Console Accessories</t>
  </si>
  <si>
    <t>Video Game Consoles</t>
  </si>
  <si>
    <t>Food, Beverages &amp; Tobacco</t>
  </si>
  <si>
    <t>Beverages</t>
  </si>
  <si>
    <t>Alcoholic Beverages</t>
  </si>
  <si>
    <t>Beer</t>
  </si>
  <si>
    <t>Bitters</t>
  </si>
  <si>
    <t>Cocktail Mixes</t>
  </si>
  <si>
    <t>Frozen Cocktail Mixes</t>
  </si>
  <si>
    <t>Shelf-stable Cocktail Mixes</t>
  </si>
  <si>
    <t>Flavored Alcoholic Beverages</t>
  </si>
  <si>
    <t>Hard Cider</t>
  </si>
  <si>
    <t>Liquor &amp; Spirits</t>
  </si>
  <si>
    <t>Absinthe</t>
  </si>
  <si>
    <t>Brandy</t>
  </si>
  <si>
    <t>Gin</t>
  </si>
  <si>
    <t>Liqueurs</t>
  </si>
  <si>
    <t>Rum</t>
  </si>
  <si>
    <t>Shochu &amp; Soju</t>
  </si>
  <si>
    <t>Tequila</t>
  </si>
  <si>
    <t>Vodka</t>
  </si>
  <si>
    <t>Whiskey</t>
  </si>
  <si>
    <t>Wine</t>
  </si>
  <si>
    <t>Buttermilk</t>
  </si>
  <si>
    <t>Coffee</t>
  </si>
  <si>
    <t>Eggnog</t>
  </si>
  <si>
    <t>Fruit Flavored Drinks</t>
  </si>
  <si>
    <t>Hot Chocolate</t>
  </si>
  <si>
    <t>Juice</t>
  </si>
  <si>
    <t>Milk</t>
  </si>
  <si>
    <t>Non-Dairy Milk</t>
  </si>
  <si>
    <t>Powdered Beverage Mixes</t>
  </si>
  <si>
    <t>Soda</t>
  </si>
  <si>
    <t>Sports &amp; Energy Drinks</t>
  </si>
  <si>
    <t>Tea &amp; Infusions</t>
  </si>
  <si>
    <t>Vinegar Drinks</t>
  </si>
  <si>
    <t>Water</t>
  </si>
  <si>
    <t>Carbonated Water</t>
  </si>
  <si>
    <t>Flavored Carbonated Water</t>
  </si>
  <si>
    <t>Unflavored Carbonated Water</t>
  </si>
  <si>
    <t>Distilled Water</t>
  </si>
  <si>
    <t>Flat Mineral Water</t>
  </si>
  <si>
    <t>Spring Water</t>
  </si>
  <si>
    <t>Food Items</t>
  </si>
  <si>
    <t>Bakery</t>
  </si>
  <si>
    <t>Bagels</t>
  </si>
  <si>
    <t>Bakery Assortments</t>
  </si>
  <si>
    <t>Breads &amp; Buns</t>
  </si>
  <si>
    <t>Cakes &amp; Dessert Bars</t>
  </si>
  <si>
    <t>Coffee Cakes</t>
  </si>
  <si>
    <t>Cookies</t>
  </si>
  <si>
    <t>Cupcakes</t>
  </si>
  <si>
    <t>Donuts</t>
  </si>
  <si>
    <t>Fudge</t>
  </si>
  <si>
    <t>Ice Cream Cones</t>
  </si>
  <si>
    <t>Muffins</t>
  </si>
  <si>
    <t>Pastries &amp; Scones</t>
  </si>
  <si>
    <t>Pies &amp; Tarts</t>
  </si>
  <si>
    <t>Taco Shells &amp; Tostadas</t>
  </si>
  <si>
    <t>Tortillas &amp; Wraps</t>
  </si>
  <si>
    <t>Candied &amp; Chocolate Covered Fruit</t>
  </si>
  <si>
    <t>Candy &amp; Chocolate</t>
  </si>
  <si>
    <t>Condiments &amp; Sauces</t>
  </si>
  <si>
    <t>Cocktail Sauce</t>
  </si>
  <si>
    <t>Curry Sauce</t>
  </si>
  <si>
    <t>Dessert Toppings</t>
  </si>
  <si>
    <t>Fruit Toppings</t>
  </si>
  <si>
    <t>Ice Cream Syrup</t>
  </si>
  <si>
    <t>Fish Sauce</t>
  </si>
  <si>
    <t>Gravy</t>
  </si>
  <si>
    <t>Honey</t>
  </si>
  <si>
    <t>Horseradish Sauce</t>
  </si>
  <si>
    <t>Hot Sauce</t>
  </si>
  <si>
    <t>Ketchup</t>
  </si>
  <si>
    <t>Marinades &amp; Grilling Sauces</t>
  </si>
  <si>
    <t>Mayonnaise</t>
  </si>
  <si>
    <t>Mustard</t>
  </si>
  <si>
    <t>Olives &amp; Capers</t>
  </si>
  <si>
    <t>Pasta Sauce</t>
  </si>
  <si>
    <t>Pickled Fruits &amp; Vegetables</t>
  </si>
  <si>
    <t>Pizza Sauce</t>
  </si>
  <si>
    <t>Relish &amp; Chutney</t>
  </si>
  <si>
    <t>Salad Dressing</t>
  </si>
  <si>
    <t>Satay Sauce</t>
  </si>
  <si>
    <t>Soy Sauce</t>
  </si>
  <si>
    <t>Sweet and Sour Sauces</t>
  </si>
  <si>
    <t>Syrup</t>
  </si>
  <si>
    <t>Tahini</t>
  </si>
  <si>
    <t>Tartar Sauce</t>
  </si>
  <si>
    <t>White &amp; Cream Sauces</t>
  </si>
  <si>
    <t>Worcestershire Sauce</t>
  </si>
  <si>
    <t>Cooking &amp; Baking Ingredients</t>
  </si>
  <si>
    <t>Baking Chips</t>
  </si>
  <si>
    <t>Baking Chocolate</t>
  </si>
  <si>
    <t>Baking Flavors &amp; Extracts</t>
  </si>
  <si>
    <t>Baking Mixes</t>
  </si>
  <si>
    <t>Baking Powder</t>
  </si>
  <si>
    <t>Baking Soda</t>
  </si>
  <si>
    <t>Batter &amp; Coating Mixes</t>
  </si>
  <si>
    <t>Bean Paste</t>
  </si>
  <si>
    <t>Bread Crumbs</t>
  </si>
  <si>
    <t>Canned &amp; Dry Milk</t>
  </si>
  <si>
    <t>Cookie Decorating Kits</t>
  </si>
  <si>
    <t>Cooking Oils</t>
  </si>
  <si>
    <t>Cooking Starch</t>
  </si>
  <si>
    <t>Cooking Wine</t>
  </si>
  <si>
    <t>Corn Syrup</t>
  </si>
  <si>
    <t>Dough</t>
  </si>
  <si>
    <t>Bread &amp; Pastry Dough</t>
  </si>
  <si>
    <t>Cookie &amp; Brownie Dough</t>
  </si>
  <si>
    <t>Pie Crusts</t>
  </si>
  <si>
    <t>Edible Baking Decorations</t>
  </si>
  <si>
    <t>Egg Replacers</t>
  </si>
  <si>
    <t>Floss Sugar</t>
  </si>
  <si>
    <t>Flour</t>
  </si>
  <si>
    <t>Food Coloring</t>
  </si>
  <si>
    <t>Frosting &amp; Icing</t>
  </si>
  <si>
    <t>Lemon &amp; Lime Juice</t>
  </si>
  <si>
    <t>Marshmallows</t>
  </si>
  <si>
    <t>Meal</t>
  </si>
  <si>
    <t>Molasses</t>
  </si>
  <si>
    <t>Pie &amp; Pastry Fillings</t>
  </si>
  <si>
    <t>Shortening &amp; Lard</t>
  </si>
  <si>
    <t>Starter Cultures</t>
  </si>
  <si>
    <t>Sugar &amp; Sweeteners</t>
  </si>
  <si>
    <t>Tapioca Pearls</t>
  </si>
  <si>
    <t>Tomato Paste</t>
  </si>
  <si>
    <t>Unflavored Gelatin</t>
  </si>
  <si>
    <t>Vinegar</t>
  </si>
  <si>
    <t>Waffle &amp; Pancake Mixes</t>
  </si>
  <si>
    <t>Yeast</t>
  </si>
  <si>
    <t>Dairy Products</t>
  </si>
  <si>
    <t>Butter &amp; Margarine</t>
  </si>
  <si>
    <t>Cheese</t>
  </si>
  <si>
    <t>Coffee Creamer</t>
  </si>
  <si>
    <t>Cottage Cheese</t>
  </si>
  <si>
    <t>Cream</t>
  </si>
  <si>
    <t>Sour Cream</t>
  </si>
  <si>
    <t>Whipped Cream</t>
  </si>
  <si>
    <t>Yogurt</t>
  </si>
  <si>
    <t>Dips &amp; Spreads</t>
  </si>
  <si>
    <t>Apple Butter</t>
  </si>
  <si>
    <t>Cheese Dips &amp; Spreads</t>
  </si>
  <si>
    <t>Cream Cheese</t>
  </si>
  <si>
    <t>Guacamole</t>
  </si>
  <si>
    <t>Hummus</t>
  </si>
  <si>
    <t>Jams &amp; Jellies</t>
  </si>
  <si>
    <t>Nut Butters</t>
  </si>
  <si>
    <t>Salsa</t>
  </si>
  <si>
    <t>Tapenade</t>
  </si>
  <si>
    <t>Vegetable Dip</t>
  </si>
  <si>
    <t>Food Gift Baskets</t>
  </si>
  <si>
    <t>Frozen Desserts &amp; Novelties</t>
  </si>
  <si>
    <t>Ice Cream &amp; Frozen Yogurt</t>
  </si>
  <si>
    <t>Ice Cream Novelties</t>
  </si>
  <si>
    <t>Ice Pops</t>
  </si>
  <si>
    <t>Fruits &amp; Vegetables</t>
  </si>
  <si>
    <t>Canned &amp; Jarred Fruits</t>
  </si>
  <si>
    <t>Canned &amp; Jarred Vegetables</t>
  </si>
  <si>
    <t>Canned &amp; Prepared Beans</t>
  </si>
  <si>
    <t>Dried Fruits</t>
  </si>
  <si>
    <t>Dried Vegetables</t>
  </si>
  <si>
    <t>Dry Beans</t>
  </si>
  <si>
    <t>Fresh &amp; Frozen Fruits</t>
  </si>
  <si>
    <t>Apples</t>
  </si>
  <si>
    <t>Atemoyas</t>
  </si>
  <si>
    <t>Avocados</t>
  </si>
  <si>
    <t>Babacos</t>
  </si>
  <si>
    <t>Bananas</t>
  </si>
  <si>
    <t>Berries</t>
  </si>
  <si>
    <t>Breadfruit</t>
  </si>
  <si>
    <t>Cactus Pears</t>
  </si>
  <si>
    <t>Cherimoyas</t>
  </si>
  <si>
    <t>Citrus Fruits</t>
  </si>
  <si>
    <t>Coconuts</t>
  </si>
  <si>
    <t>Dates</t>
  </si>
  <si>
    <t>Feijoas</t>
  </si>
  <si>
    <t>Figs</t>
  </si>
  <si>
    <t>Fruit Mixes</t>
  </si>
  <si>
    <t>Grapes</t>
  </si>
  <si>
    <t>Guavas</t>
  </si>
  <si>
    <t>Homely Fruits</t>
  </si>
  <si>
    <t>Kiwis</t>
  </si>
  <si>
    <t>Longan</t>
  </si>
  <si>
    <t>Loquats</t>
  </si>
  <si>
    <t>Lychees</t>
  </si>
  <si>
    <t>Madroño</t>
  </si>
  <si>
    <t>Mamey</t>
  </si>
  <si>
    <t>Mangosteens</t>
  </si>
  <si>
    <t>Melons</t>
  </si>
  <si>
    <t>Papayas</t>
  </si>
  <si>
    <t>Passion Fruit</t>
  </si>
  <si>
    <t>Pears</t>
  </si>
  <si>
    <t>Persimmons</t>
  </si>
  <si>
    <t>Physalis</t>
  </si>
  <si>
    <t>Pineapples</t>
  </si>
  <si>
    <t>Pitahayas</t>
  </si>
  <si>
    <t>Pomegranates</t>
  </si>
  <si>
    <t>Quince</t>
  </si>
  <si>
    <t>Rambutans</t>
  </si>
  <si>
    <t>Sapodillo</t>
  </si>
  <si>
    <t>Sapote</t>
  </si>
  <si>
    <t>Soursops</t>
  </si>
  <si>
    <t>Starfruits</t>
  </si>
  <si>
    <t>Stone Fruits</t>
  </si>
  <si>
    <t>Sugar Apples</t>
  </si>
  <si>
    <t>Tamarindo</t>
  </si>
  <si>
    <t>Fresh &amp; Frozen Vegetables</t>
  </si>
  <si>
    <t>Arracachas</t>
  </si>
  <si>
    <t>Artichokes</t>
  </si>
  <si>
    <t>Asparagus</t>
  </si>
  <si>
    <t>Beans</t>
  </si>
  <si>
    <t>Beets</t>
  </si>
  <si>
    <t>Borage</t>
  </si>
  <si>
    <t>Broccoli</t>
  </si>
  <si>
    <t>Brussel Sprouts</t>
  </si>
  <si>
    <t>Cabbage</t>
  </si>
  <si>
    <t>Cactus Leaves</t>
  </si>
  <si>
    <t>Cardoon</t>
  </si>
  <si>
    <t>Carrots</t>
  </si>
  <si>
    <t>Cauliflower</t>
  </si>
  <si>
    <t>Celery</t>
  </si>
  <si>
    <t>Celery Roots</t>
  </si>
  <si>
    <t>Corn</t>
  </si>
  <si>
    <t>Cucumbers</t>
  </si>
  <si>
    <t>Eggplants</t>
  </si>
  <si>
    <t>Fennel Bulbs</t>
  </si>
  <si>
    <t>Fiddlehead Ferns</t>
  </si>
  <si>
    <t>Gai Choy</t>
  </si>
  <si>
    <t>Gai Lan</t>
  </si>
  <si>
    <t>Garlic</t>
  </si>
  <si>
    <t>Ginger Root</t>
  </si>
  <si>
    <t>Gobo Root</t>
  </si>
  <si>
    <t>Greens</t>
  </si>
  <si>
    <t>Horseradish Root</t>
  </si>
  <si>
    <t>Jicama</t>
  </si>
  <si>
    <t>Kohlrabi</t>
  </si>
  <si>
    <t>Leeks</t>
  </si>
  <si>
    <t>Lotus Roots</t>
  </si>
  <si>
    <t>Malangas</t>
  </si>
  <si>
    <t>Mushrooms</t>
  </si>
  <si>
    <t>Okra</t>
  </si>
  <si>
    <t>Onions</t>
  </si>
  <si>
    <t>Parsley Roots</t>
  </si>
  <si>
    <t>Parsnips</t>
  </si>
  <si>
    <t>Peas</t>
  </si>
  <si>
    <t>Peppers</t>
  </si>
  <si>
    <t>Potatoes</t>
  </si>
  <si>
    <t>Radishes</t>
  </si>
  <si>
    <t>Rhubarb</t>
  </si>
  <si>
    <t>Shallots</t>
  </si>
  <si>
    <t>Sprouts</t>
  </si>
  <si>
    <t>Squashes &amp; Gourds</t>
  </si>
  <si>
    <t>Sugar Cane</t>
  </si>
  <si>
    <t>Sunchokes</t>
  </si>
  <si>
    <t>Sweet Potatoes</t>
  </si>
  <si>
    <t>Tamarillos</t>
  </si>
  <si>
    <t>Taro Root</t>
  </si>
  <si>
    <t>Tomatoes</t>
  </si>
  <si>
    <t>Turnips &amp; Rutabagas</t>
  </si>
  <si>
    <t>Vegetable Mixes</t>
  </si>
  <si>
    <t>Water Chestnuts</t>
  </si>
  <si>
    <t>Watercress</t>
  </si>
  <si>
    <t>Wheatgrass</t>
  </si>
  <si>
    <t>Yams</t>
  </si>
  <si>
    <t>Yuca Root</t>
  </si>
  <si>
    <t>Fruit Sauces</t>
  </si>
  <si>
    <t>Grains, Rice &amp; Cereal</t>
  </si>
  <si>
    <t>Amaranth</t>
  </si>
  <si>
    <t>Barley</t>
  </si>
  <si>
    <t>Buckwheat</t>
  </si>
  <si>
    <t>Cereal &amp; Granola</t>
  </si>
  <si>
    <t>Couscous</t>
  </si>
  <si>
    <t>Millet</t>
  </si>
  <si>
    <t>Oats, Grits &amp; Hot Cereal</t>
  </si>
  <si>
    <t>Quinoa</t>
  </si>
  <si>
    <t>Rice</t>
  </si>
  <si>
    <t>Rye</t>
  </si>
  <si>
    <t>Wheat</t>
  </si>
  <si>
    <t>Meat, Seafood &amp; Eggs</t>
  </si>
  <si>
    <t>Eggs</t>
  </si>
  <si>
    <t>Egg Whites</t>
  </si>
  <si>
    <t>Liquid &amp; Frozen Eggs</t>
  </si>
  <si>
    <t>Prepared Eggs</t>
  </si>
  <si>
    <t>Whole Eggs</t>
  </si>
  <si>
    <t>Meat</t>
  </si>
  <si>
    <t>Canned Meats</t>
  </si>
  <si>
    <t>Fresh &amp; Frozen Meats</t>
  </si>
  <si>
    <t>Lunch &amp; Deli Meats</t>
  </si>
  <si>
    <t>Seafood</t>
  </si>
  <si>
    <t>Canned Seafood</t>
  </si>
  <si>
    <t>Fresh &amp; Frozen Seafood</t>
  </si>
  <si>
    <t>Nuts &amp; Seeds</t>
  </si>
  <si>
    <t>Pasta &amp; Noodles</t>
  </si>
  <si>
    <t>Prepared Foods</t>
  </si>
  <si>
    <t>Prepared Appetizers &amp; Side Dishes</t>
  </si>
  <si>
    <t>Prepared Meals &amp; Entrées</t>
  </si>
  <si>
    <t>Seasonings &amp; Spices</t>
  </si>
  <si>
    <t>Herbs &amp; Spices</t>
  </si>
  <si>
    <t>MSG</t>
  </si>
  <si>
    <t>Pepper</t>
  </si>
  <si>
    <t>Salt</t>
  </si>
  <si>
    <t>Snack Foods</t>
  </si>
  <si>
    <t>Breadsticks</t>
  </si>
  <si>
    <t>Cereal &amp; Granola Bars</t>
  </si>
  <si>
    <t>Cereal Bars</t>
  </si>
  <si>
    <t>Granola Bars</t>
  </si>
  <si>
    <t>Cheese Puffs</t>
  </si>
  <si>
    <t>Chips</t>
  </si>
  <si>
    <t>Crackers</t>
  </si>
  <si>
    <t>Croutons</t>
  </si>
  <si>
    <t>Fruit Snacks</t>
  </si>
  <si>
    <t>Jerky</t>
  </si>
  <si>
    <t>Popcorn</t>
  </si>
  <si>
    <t>Pork Rinds</t>
  </si>
  <si>
    <t>Pretzels</t>
  </si>
  <si>
    <t>Pudding &amp; Gelatin Snacks</t>
  </si>
  <si>
    <t>Puffed Rice Cakes</t>
  </si>
  <si>
    <t>Salad Toppings</t>
  </si>
  <si>
    <t>Sesame Sticks</t>
  </si>
  <si>
    <t>Snack Cakes</t>
  </si>
  <si>
    <t>Sticky Rice Cakes</t>
  </si>
  <si>
    <t>Trail &amp; Snack Mixes</t>
  </si>
  <si>
    <t>Soups &amp; Broths</t>
  </si>
  <si>
    <t>Tofu, Soy &amp; Vegetarian Products</t>
  </si>
  <si>
    <t>Cheese Alternatives</t>
  </si>
  <si>
    <t>Meat Alternatives</t>
  </si>
  <si>
    <t>Seitan</t>
  </si>
  <si>
    <t>Tempeh</t>
  </si>
  <si>
    <t>Tofu</t>
  </si>
  <si>
    <t>Tobacco Products</t>
  </si>
  <si>
    <t>Chewing Tobacco</t>
  </si>
  <si>
    <t>Cigarettes</t>
  </si>
  <si>
    <t>Cigars</t>
  </si>
  <si>
    <t>Loose Tobacco</t>
  </si>
  <si>
    <t>Smoking Pipes</t>
  </si>
  <si>
    <t>Vaporizers &amp; Electronic Cigarettes</t>
  </si>
  <si>
    <t>Electronic Cigarettes</t>
  </si>
  <si>
    <t>Vaporizers</t>
  </si>
  <si>
    <t>Furniture</t>
  </si>
  <si>
    <t>Baby &amp; Toddler Furniture</t>
  </si>
  <si>
    <t>Baby &amp; Toddler Furniture Sets</t>
  </si>
  <si>
    <t>Bassinet &amp; Cradle Accessories</t>
  </si>
  <si>
    <t>Bassinets &amp; Cradles</t>
  </si>
  <si>
    <t>Changing Tables</t>
  </si>
  <si>
    <t>Crib &amp; Toddler Bed Accessories</t>
  </si>
  <si>
    <t>Crib Bumpers &amp; Liners</t>
  </si>
  <si>
    <t>Crib Conversion Kits</t>
  </si>
  <si>
    <t>Cribs &amp; Toddler Beds</t>
  </si>
  <si>
    <t>High Chair &amp; Booster Seat Accessories</t>
  </si>
  <si>
    <t>High Chairs &amp; Booster Seats</t>
  </si>
  <si>
    <t>Beds &amp; Accessories</t>
  </si>
  <si>
    <t>Bed &amp; Bed Frame Accessories</t>
  </si>
  <si>
    <t>Beds &amp; Bed Frames</t>
  </si>
  <si>
    <t>Headboards &amp; Footboards</t>
  </si>
  <si>
    <t>Mattress Foundations</t>
  </si>
  <si>
    <t>Kitchen &amp; Dining Benches</t>
  </si>
  <si>
    <t>Storage &amp; Entryway Benches</t>
  </si>
  <si>
    <t>Vanity Benches</t>
  </si>
  <si>
    <t>Cabinets &amp; Storage</t>
  </si>
  <si>
    <t>Armoires &amp; Wardrobes</t>
  </si>
  <si>
    <t>Buffets &amp; Sideboards</t>
  </si>
  <si>
    <t>China Cabinets &amp; Hutches</t>
  </si>
  <si>
    <t>Ironing Centers</t>
  </si>
  <si>
    <t>Kitchen Cabinets</t>
  </si>
  <si>
    <t>Magazine Racks</t>
  </si>
  <si>
    <t>Media Storage Cabinets &amp; Racks</t>
  </si>
  <si>
    <t>Storage Cabinets &amp; Lockers</t>
  </si>
  <si>
    <t>Storage Chests</t>
  </si>
  <si>
    <t>Hope Chests</t>
  </si>
  <si>
    <t>Toy Chests</t>
  </si>
  <si>
    <t>Vanities</t>
  </si>
  <si>
    <t>Bathroom Vanities</t>
  </si>
  <si>
    <t>Bedroom Vanities</t>
  </si>
  <si>
    <t>Wine &amp; Liquor Cabinets</t>
  </si>
  <si>
    <t>Wine Racks</t>
  </si>
  <si>
    <t>Carts &amp; Islands</t>
  </si>
  <si>
    <t>Kitchen &amp; Dining Carts</t>
  </si>
  <si>
    <t>Kitchen Islands</t>
  </si>
  <si>
    <t>Chair Accessories</t>
  </si>
  <si>
    <t>Hanging Chair Replacement Parts</t>
  </si>
  <si>
    <t>Arm Chairs, Recliners &amp; Sleeper Chairs</t>
  </si>
  <si>
    <t>Bean Bag Chairs</t>
  </si>
  <si>
    <t>Chaises</t>
  </si>
  <si>
    <t>Electric Massaging Chairs</t>
  </si>
  <si>
    <t>Floor Chairs</t>
  </si>
  <si>
    <t>Folding Chairs &amp; Stools</t>
  </si>
  <si>
    <t>Gaming Chairs</t>
  </si>
  <si>
    <t>Hanging Chairs</t>
  </si>
  <si>
    <t>Kitchen &amp; Dining Room Chairs</t>
  </si>
  <si>
    <t>Rocking Chairs</t>
  </si>
  <si>
    <t>Slipper Chairs</t>
  </si>
  <si>
    <t>Table &amp; Bar Stools</t>
  </si>
  <si>
    <t>Entertainment Centers &amp; TV Stands</t>
  </si>
  <si>
    <t>Furniture Sets</t>
  </si>
  <si>
    <t>Bathroom Furniture Sets</t>
  </si>
  <si>
    <t>Bedroom Furniture Sets</t>
  </si>
  <si>
    <t>Kitchen &amp; Dining Furniture Sets</t>
  </si>
  <si>
    <t>Living Room Furniture Sets</t>
  </si>
  <si>
    <t>Futon Frames</t>
  </si>
  <si>
    <t>Futon Pads</t>
  </si>
  <si>
    <t>Futons</t>
  </si>
  <si>
    <t>Office Furniture</t>
  </si>
  <si>
    <t>Office Chairs</t>
  </si>
  <si>
    <t>Office Furniture Sets</t>
  </si>
  <si>
    <t>Workspace Tables</t>
  </si>
  <si>
    <t>Art &amp; Drafting Tables</t>
  </si>
  <si>
    <t>Conference Room Tables</t>
  </si>
  <si>
    <t>Workstations &amp; Cubicles</t>
  </si>
  <si>
    <t>Office Furniture Accessories</t>
  </si>
  <si>
    <t>Desk Parts &amp; Accessories</t>
  </si>
  <si>
    <t>Office Chair Accessories</t>
  </si>
  <si>
    <t>Workstation &amp; Cubicle Accessories</t>
  </si>
  <si>
    <t>Outdoor Furniture</t>
  </si>
  <si>
    <t>Outdoor Beds</t>
  </si>
  <si>
    <t>Outdoor Furniture Sets</t>
  </si>
  <si>
    <t>Outdoor Ottomans</t>
  </si>
  <si>
    <t>Outdoor Seating</t>
  </si>
  <si>
    <t>Outdoor Benches</t>
  </si>
  <si>
    <t>Outdoor Chairs</t>
  </si>
  <si>
    <t>Outdoor Sectional Sofa Units</t>
  </si>
  <si>
    <t>Outdoor Sofas</t>
  </si>
  <si>
    <t>Sunloungers</t>
  </si>
  <si>
    <t>Outdoor Storage Boxes</t>
  </si>
  <si>
    <t>Outdoor Tables</t>
  </si>
  <si>
    <t>Outdoor Furniture Accessories</t>
  </si>
  <si>
    <t>Outdoor Furniture Covers</t>
  </si>
  <si>
    <t>Room Divider Accessories</t>
  </si>
  <si>
    <t>Room Dividers</t>
  </si>
  <si>
    <t>Shelving</t>
  </si>
  <si>
    <t>Bookcases &amp; Standing Shelves</t>
  </si>
  <si>
    <t>Wall Shelves &amp; Ledges</t>
  </si>
  <si>
    <t>Shelving Accessories</t>
  </si>
  <si>
    <t>Replacement Shelves</t>
  </si>
  <si>
    <t>Sofa Accessories</t>
  </si>
  <si>
    <t>Chair &amp; Sofa Supports</t>
  </si>
  <si>
    <t>Sectional Sofa Units</t>
  </si>
  <si>
    <t>Table Accessories</t>
  </si>
  <si>
    <t>Table Legs</t>
  </si>
  <si>
    <t>Table Tops</t>
  </si>
  <si>
    <t>Accent Tables</t>
  </si>
  <si>
    <t>Activity Tables</t>
  </si>
  <si>
    <t>Folding Tables</t>
  </si>
  <si>
    <t>Kitchen &amp; Dining Room Tables</t>
  </si>
  <si>
    <t>Kotatsu</t>
  </si>
  <si>
    <t>Poker &amp; Game Tables</t>
  </si>
  <si>
    <t>Sewing Machine Tables</t>
  </si>
  <si>
    <t>Hardware</t>
  </si>
  <si>
    <t>Building Consumables</t>
  </si>
  <si>
    <t>Chemicals</t>
  </si>
  <si>
    <t>Acid Neutralizers</t>
  </si>
  <si>
    <t>Ammonia</t>
  </si>
  <si>
    <t>Chimney Cleaners</t>
  </si>
  <si>
    <t>Concrete &amp; Masonry Cleaners</t>
  </si>
  <si>
    <t>De-icers</t>
  </si>
  <si>
    <t>Deck &amp; Fence Cleaners</t>
  </si>
  <si>
    <t>Drain Cleaners</t>
  </si>
  <si>
    <t>Electrical Freeze Sprays</t>
  </si>
  <si>
    <t>Lighter Fluid</t>
  </si>
  <si>
    <t>Septic Tank &amp; Cesspool Treatments</t>
  </si>
  <si>
    <t>Hardware Glue &amp; Adhesives</t>
  </si>
  <si>
    <t>Hardware Tape</t>
  </si>
  <si>
    <t>Lubricants</t>
  </si>
  <si>
    <t>Masonry Consumables</t>
  </si>
  <si>
    <t>Bricks &amp; Concrete Blocks</t>
  </si>
  <si>
    <t>Cement, Mortar &amp; Concrete Mixes</t>
  </si>
  <si>
    <t>Grout</t>
  </si>
  <si>
    <t>Painting Consumables</t>
  </si>
  <si>
    <t>Paint</t>
  </si>
  <si>
    <t>Paint Binders</t>
  </si>
  <si>
    <t>Primers</t>
  </si>
  <si>
    <t>Stains</t>
  </si>
  <si>
    <t>Varnishes &amp; Finishes</t>
  </si>
  <si>
    <t>Plumbing Primer</t>
  </si>
  <si>
    <t>Protective Coatings &amp; Sealants</t>
  </si>
  <si>
    <t>Solder &amp; Flux</t>
  </si>
  <si>
    <t>Solvents, Strippers &amp; Thinners</t>
  </si>
  <si>
    <t>Wall Patching Compounds &amp; Plaster</t>
  </si>
  <si>
    <t>Building Materials</t>
  </si>
  <si>
    <t>Countertops</t>
  </si>
  <si>
    <t>Door Hardware</t>
  </si>
  <si>
    <t>Door Bells &amp; Chimes</t>
  </si>
  <si>
    <t>Door Closers</t>
  </si>
  <si>
    <t>Door Frames</t>
  </si>
  <si>
    <t>Door Keyhole Escutcheons</t>
  </si>
  <si>
    <t>Door Knobs &amp; Handles</t>
  </si>
  <si>
    <t>Door Knockers</t>
  </si>
  <si>
    <t>Door Push Plates</t>
  </si>
  <si>
    <t>Door Stops</t>
  </si>
  <si>
    <t>Door Strikes</t>
  </si>
  <si>
    <t>Doors</t>
  </si>
  <si>
    <t>Garage Doors</t>
  </si>
  <si>
    <t>Home Doors</t>
  </si>
  <si>
    <t>Drywall</t>
  </si>
  <si>
    <t>Flooring &amp; Carpet</t>
  </si>
  <si>
    <t>Glass</t>
  </si>
  <si>
    <t>Handrails &amp; Railing Systems</t>
  </si>
  <si>
    <t>Hatches</t>
  </si>
  <si>
    <t>Insulation</t>
  </si>
  <si>
    <t>Lumber &amp; Sheet Stock</t>
  </si>
  <si>
    <t>Molding</t>
  </si>
  <si>
    <t>Rebar &amp; Remesh</t>
  </si>
  <si>
    <t>Roofing</t>
  </si>
  <si>
    <t>Gutter Accessories</t>
  </si>
  <si>
    <t>Gutters</t>
  </si>
  <si>
    <t>Roof Flashings</t>
  </si>
  <si>
    <t>Roofing Shingles &amp; Tiles</t>
  </si>
  <si>
    <t>Shutters</t>
  </si>
  <si>
    <t>Siding</t>
  </si>
  <si>
    <t>Sound Dampening Panels &amp; Foam</t>
  </si>
  <si>
    <t>Staircases</t>
  </si>
  <si>
    <t>Wall &amp; Ceiling Tile</t>
  </si>
  <si>
    <t>Wall Paneling</t>
  </si>
  <si>
    <t>Weather Stripping &amp; Weatherization Supplies</t>
  </si>
  <si>
    <t>Window Hardware</t>
  </si>
  <si>
    <t>Window Cranks</t>
  </si>
  <si>
    <t>Window Frames</t>
  </si>
  <si>
    <t>Windows</t>
  </si>
  <si>
    <t>Fencing &amp; Barriers</t>
  </si>
  <si>
    <t>Fence &amp; Gate Accessories</t>
  </si>
  <si>
    <t>Fence Panels</t>
  </si>
  <si>
    <t>Fence Pickets</t>
  </si>
  <si>
    <t>Fence Posts &amp; Rails</t>
  </si>
  <si>
    <t>Garden Borders &amp; Edging</t>
  </si>
  <si>
    <t>Gates</t>
  </si>
  <si>
    <t>Lattice</t>
  </si>
  <si>
    <t>Safety &amp; Crowd Control Barriers</t>
  </si>
  <si>
    <t>Fuel</t>
  </si>
  <si>
    <t>Home Heating Oil</t>
  </si>
  <si>
    <t>Kerosene</t>
  </si>
  <si>
    <t>Clear Kerosene</t>
  </si>
  <si>
    <t>Dyed Kerosene</t>
  </si>
  <si>
    <t>Propane</t>
  </si>
  <si>
    <t>Fuel Containers &amp; Tanks</t>
  </si>
  <si>
    <t>Hardware Accessories</t>
  </si>
  <si>
    <t>Brackets &amp; Reinforcement Braces</t>
  </si>
  <si>
    <t>Cabinet Hardware</t>
  </si>
  <si>
    <t>Cabinet &amp; Furniture Keyhole Escutcheons</t>
  </si>
  <si>
    <t>Cabinet Backplates</t>
  </si>
  <si>
    <t>Cabinet Catches</t>
  </si>
  <si>
    <t>Cabinet Doors</t>
  </si>
  <si>
    <t>Cabinet Knobs &amp; Handles</t>
  </si>
  <si>
    <t>Casters</t>
  </si>
  <si>
    <t>Chain, Wire &amp; Rope</t>
  </si>
  <si>
    <t>Bungee Cords</t>
  </si>
  <si>
    <t>Chains</t>
  </si>
  <si>
    <t>Pull Chains</t>
  </si>
  <si>
    <t>Ropes &amp; Hardware Cable</t>
  </si>
  <si>
    <t>Tie Down Straps</t>
  </si>
  <si>
    <t>Twine</t>
  </si>
  <si>
    <t>Utility Wire</t>
  </si>
  <si>
    <t>Coils</t>
  </si>
  <si>
    <t>Concrete Molds</t>
  </si>
  <si>
    <t>Dowel Pins &amp; Rods</t>
  </si>
  <si>
    <t>Drawer Slides</t>
  </si>
  <si>
    <t>Drop Cloths</t>
  </si>
  <si>
    <t>Filters &amp; Screens</t>
  </si>
  <si>
    <t>Flagging &amp; Caution Tape</t>
  </si>
  <si>
    <t>Gas Hoses</t>
  </si>
  <si>
    <t>Ground Spikes</t>
  </si>
  <si>
    <t>Hardware Fasteners</t>
  </si>
  <si>
    <t>Drywall Anchors</t>
  </si>
  <si>
    <t>Nails</t>
  </si>
  <si>
    <t>Nuts &amp; Bolts</t>
  </si>
  <si>
    <t>Rivets</t>
  </si>
  <si>
    <t>Screw Posts</t>
  </si>
  <si>
    <t>Screws</t>
  </si>
  <si>
    <t>Threaded Rods</t>
  </si>
  <si>
    <t>Washers</t>
  </si>
  <si>
    <t>Hinges</t>
  </si>
  <si>
    <t>Hooks, Buckles &amp; Fasteners</t>
  </si>
  <si>
    <t>Chain Connectors &amp; Links</t>
  </si>
  <si>
    <t>Gear Ties</t>
  </si>
  <si>
    <t>Lifting Hooks, Clamps &amp; Shackles</t>
  </si>
  <si>
    <t>Utility Buckles</t>
  </si>
  <si>
    <t>Lubrication Hoses</t>
  </si>
  <si>
    <t>Metal Casting Molds</t>
  </si>
  <si>
    <t>Moving &amp; Soundproofing Blankets &amp; Covers</t>
  </si>
  <si>
    <t>Pneumatic Hoses</t>
  </si>
  <si>
    <t>Post Base Plates</t>
  </si>
  <si>
    <t>Springs</t>
  </si>
  <si>
    <t>Tarps</t>
  </si>
  <si>
    <t>Tool Storage &amp; Organization</t>
  </si>
  <si>
    <t>Garden Hose Storage</t>
  </si>
  <si>
    <t>Tool &amp; Equipment Belts</t>
  </si>
  <si>
    <t>Tool Bags</t>
  </si>
  <si>
    <t>Tool Boxes</t>
  </si>
  <si>
    <t>Tool Cabinets &amp; Chests</t>
  </si>
  <si>
    <t>Tool Organizer Liners &amp; Inserts</t>
  </si>
  <si>
    <t>Tool Sheaths</t>
  </si>
  <si>
    <t>Work Benches</t>
  </si>
  <si>
    <t>Wall Jacks &amp; Braces</t>
  </si>
  <si>
    <t>Hardware Pumps</t>
  </si>
  <si>
    <t>Home Appliance Pumps</t>
  </si>
  <si>
    <t>Pool, Fountain &amp; Pond Pumps</t>
  </si>
  <si>
    <t>Sprinkler, Booster &amp; Irrigation System Pumps</t>
  </si>
  <si>
    <t>Sump, Sewage &amp; Effluent Pumps</t>
  </si>
  <si>
    <t>Utility Pumps</t>
  </si>
  <si>
    <t>Well Pumps &amp; Systems</t>
  </si>
  <si>
    <t>Heating, Ventilation &amp; Air Conditioning</t>
  </si>
  <si>
    <t>Air &amp; Filter Dryers</t>
  </si>
  <si>
    <t>Air Ducts</t>
  </si>
  <si>
    <t>HVAC Controls</t>
  </si>
  <si>
    <t>Control Panels</t>
  </si>
  <si>
    <t>Humidistats</t>
  </si>
  <si>
    <t>Thermostats</t>
  </si>
  <si>
    <t>Vents &amp; Flues</t>
  </si>
  <si>
    <t>Locks &amp; Keys</t>
  </si>
  <si>
    <t>Key Blanks</t>
  </si>
  <si>
    <t>Key Caps</t>
  </si>
  <si>
    <t>Key Card Entry Systems</t>
  </si>
  <si>
    <t>Locks &amp; Latches</t>
  </si>
  <si>
    <t>Plumbing</t>
  </si>
  <si>
    <t>Plumbing Fittings &amp; Supports</t>
  </si>
  <si>
    <t>Gaskets &amp; O-Rings</t>
  </si>
  <si>
    <t>In-Wall Carriers &amp; Mounting Frames</t>
  </si>
  <si>
    <t>Nozzles</t>
  </si>
  <si>
    <t>Pipe Adapters &amp; Bushings</t>
  </si>
  <si>
    <t>Pipe Caps &amp; Plugs</t>
  </si>
  <si>
    <t>Pipe Connectors</t>
  </si>
  <si>
    <t>Plumbing Flanges</t>
  </si>
  <si>
    <t>Plumbing Pipe Clamps</t>
  </si>
  <si>
    <t>Plumbing Regulators</t>
  </si>
  <si>
    <t>Plumbing Valves</t>
  </si>
  <si>
    <t>Plumbing Fixture Hardware &amp; Parts</t>
  </si>
  <si>
    <t>Bathtub Accessories</t>
  </si>
  <si>
    <t>Bathtub Bases &amp; Feet</t>
  </si>
  <si>
    <t>Bathtub Skirts</t>
  </si>
  <si>
    <t>Bathtub Spouts</t>
  </si>
  <si>
    <t>Drain Components</t>
  </si>
  <si>
    <t>Drain Covers &amp; Strainers</t>
  </si>
  <si>
    <t>Drain Frames</t>
  </si>
  <si>
    <t>Drain Liners</t>
  </si>
  <si>
    <t>Drain Openers</t>
  </si>
  <si>
    <t>Drain Rods</t>
  </si>
  <si>
    <t>Plumbing Traps</t>
  </si>
  <si>
    <t>Plumbing Wastes</t>
  </si>
  <si>
    <t>Drains</t>
  </si>
  <si>
    <t>Faucet Accessories</t>
  </si>
  <si>
    <t>Faucet Aerators</t>
  </si>
  <si>
    <t>Faucet Handles &amp; Controls</t>
  </si>
  <si>
    <t>Fixture Plates</t>
  </si>
  <si>
    <t>Shower Parts</t>
  </si>
  <si>
    <t>Bathtub &amp; Shower Jets</t>
  </si>
  <si>
    <t>Electric &amp; Power Showers</t>
  </si>
  <si>
    <t>Shower Arms &amp; Connectors</t>
  </si>
  <si>
    <t>Shower Bases</t>
  </si>
  <si>
    <t>Shower Columns</t>
  </si>
  <si>
    <t>Shower Doors &amp; Enclosures</t>
  </si>
  <si>
    <t>Shower Heads</t>
  </si>
  <si>
    <t>Shower Walls &amp; Surrounds</t>
  </si>
  <si>
    <t>Shower Water Filters</t>
  </si>
  <si>
    <t>Sink Accessories</t>
  </si>
  <si>
    <t>Sink Legs</t>
  </si>
  <si>
    <t>Toilet &amp; Bidet Accessories</t>
  </si>
  <si>
    <t>Ballcocks &amp; Flappers</t>
  </si>
  <si>
    <t>Bidet Faucets &amp; Sprayers</t>
  </si>
  <si>
    <t>Toilet &amp; Bidet Seats</t>
  </si>
  <si>
    <t>Toilet Seat Covers</t>
  </si>
  <si>
    <t>Toilet Seat Lid Covers</t>
  </si>
  <si>
    <t>Toilet Tank Covers</t>
  </si>
  <si>
    <t>Toilet Tank Levers</t>
  </si>
  <si>
    <t>Toilet Tanks</t>
  </si>
  <si>
    <t>Toilet Trim</t>
  </si>
  <si>
    <t>Plumbing Fixtures</t>
  </si>
  <si>
    <t>Bathroom Suites</t>
  </si>
  <si>
    <t>Bathtubs</t>
  </si>
  <si>
    <t>Faucets</t>
  </si>
  <si>
    <t>Shower Stalls &amp; Kits</t>
  </si>
  <si>
    <t>Sinks</t>
  </si>
  <si>
    <t>Bathroom Sinks</t>
  </si>
  <si>
    <t>Kitchen &amp; Utility Sinks</t>
  </si>
  <si>
    <t>Toilets &amp; Bidets</t>
  </si>
  <si>
    <t>Bidets</t>
  </si>
  <si>
    <t>Toilets</t>
  </si>
  <si>
    <t>Urinals</t>
  </si>
  <si>
    <t>Plumbing Hoses &amp; Supply Lines</t>
  </si>
  <si>
    <t>Plumbing Pipes</t>
  </si>
  <si>
    <t>Plumbing Repair Kits</t>
  </si>
  <si>
    <t>Water Dispensing &amp; Filtration</t>
  </si>
  <si>
    <t>In-Line Water Filters</t>
  </si>
  <si>
    <t>Water Dispensers</t>
  </si>
  <si>
    <t>Drinking Fountains</t>
  </si>
  <si>
    <t>Water Chillers</t>
  </si>
  <si>
    <t>Water Distillers</t>
  </si>
  <si>
    <t>Water Filtration Accessories</t>
  </si>
  <si>
    <t>Water Filter Cartridges</t>
  </si>
  <si>
    <t>Water Filter Housings</t>
  </si>
  <si>
    <t>Water Softener Salt</t>
  </si>
  <si>
    <t>Water Softeners</t>
  </si>
  <si>
    <t>Water Levelers</t>
  </si>
  <si>
    <t>Water Timers</t>
  </si>
  <si>
    <t>Well Supplies</t>
  </si>
  <si>
    <t>Power &amp; Electrical Supplies</t>
  </si>
  <si>
    <t>Armatures, Rotors &amp; Stators</t>
  </si>
  <si>
    <t>Ballasts &amp; Starters</t>
  </si>
  <si>
    <t>Carbon Brushes</t>
  </si>
  <si>
    <t>Circuit Breaker Panels</t>
  </si>
  <si>
    <t>Conduit &amp; Housings</t>
  </si>
  <si>
    <t>Electrical Conduit</t>
  </si>
  <si>
    <t>Heat-Shrink Tubing</t>
  </si>
  <si>
    <t>Electrical Motors</t>
  </si>
  <si>
    <t>Electrical Mount Boxes &amp; Brackets</t>
  </si>
  <si>
    <t>Electrical Plug Caps</t>
  </si>
  <si>
    <t>Electrical Switches</t>
  </si>
  <si>
    <t>Light Switches</t>
  </si>
  <si>
    <t>Specialty Electrical Switches &amp; Relays</t>
  </si>
  <si>
    <t>Electrical Wires &amp; Cable</t>
  </si>
  <si>
    <t>Extension Cord Accessories</t>
  </si>
  <si>
    <t>Extension Cords</t>
  </si>
  <si>
    <t>Generator Accessories</t>
  </si>
  <si>
    <t>Generators</t>
  </si>
  <si>
    <t>Home Automation Kits</t>
  </si>
  <si>
    <t>Phone &amp; Data Jacks</t>
  </si>
  <si>
    <t>Power Converters</t>
  </si>
  <si>
    <t>Power Inlets</t>
  </si>
  <si>
    <t>Power Inverters</t>
  </si>
  <si>
    <t>Power Outlets &amp; Sockets</t>
  </si>
  <si>
    <t>Solar Energy Kits</t>
  </si>
  <si>
    <t>Solar Panels</t>
  </si>
  <si>
    <t>Voltage Transformers &amp; Regulators</t>
  </si>
  <si>
    <t>Wall Plates &amp; Covers</t>
  </si>
  <si>
    <t>Wall Socket Controls &amp; Sensors</t>
  </si>
  <si>
    <t>Wire Caps &amp; Nuts</t>
  </si>
  <si>
    <t>Wire Terminals &amp; Connectors</t>
  </si>
  <si>
    <t>Small Engines</t>
  </si>
  <si>
    <t>Storage Tanks</t>
  </si>
  <si>
    <t>Tool Accessories</t>
  </si>
  <si>
    <t>Abrasive Blaster Accessories</t>
  </si>
  <si>
    <t>Sandblasting Cabinets</t>
  </si>
  <si>
    <t>Axe Accessories</t>
  </si>
  <si>
    <t>Axe Handles</t>
  </si>
  <si>
    <t>Axe Heads</t>
  </si>
  <si>
    <t>Cutter Accessories</t>
  </si>
  <si>
    <t>Nibbler Dies</t>
  </si>
  <si>
    <t>Drill &amp; Screwdriver Accessories</t>
  </si>
  <si>
    <t>Drill &amp; Screwdriver Bits</t>
  </si>
  <si>
    <t>Drill Bit Extensions</t>
  </si>
  <si>
    <t>Drill Bit Sharpeners</t>
  </si>
  <si>
    <t>Drill Chucks</t>
  </si>
  <si>
    <t>Drill Stands &amp; Guides</t>
  </si>
  <si>
    <t>Hole Saws</t>
  </si>
  <si>
    <t>Driver Accessories</t>
  </si>
  <si>
    <t>Flashlight Accessories</t>
  </si>
  <si>
    <t>Grinder Accessories</t>
  </si>
  <si>
    <t>Grinding Wheels &amp; Points</t>
  </si>
  <si>
    <t>Hammer Accessories</t>
  </si>
  <si>
    <t>Air Hammer Accessories</t>
  </si>
  <si>
    <t>Hammer Handles</t>
  </si>
  <si>
    <t>Hammer Heads</t>
  </si>
  <si>
    <t>Industrial Staples</t>
  </si>
  <si>
    <t>Jigs</t>
  </si>
  <si>
    <t>Magnetizers &amp; Demagnetizers</t>
  </si>
  <si>
    <t>Mattock &amp; Pickaxe Accessories</t>
  </si>
  <si>
    <t>Mattock &amp; Pickaxe Handles</t>
  </si>
  <si>
    <t>Measuring Tool &amp; Sensor Accessories</t>
  </si>
  <si>
    <t>Electrical Testing Tool Accessories</t>
  </si>
  <si>
    <t>Gas Detector Accessories</t>
  </si>
  <si>
    <t>Measuring Scale Accessories</t>
  </si>
  <si>
    <t>Multimeter Accessories</t>
  </si>
  <si>
    <t>Mixing Tool Paddles</t>
  </si>
  <si>
    <t>Paint Tool Accessories</t>
  </si>
  <si>
    <t>Airbrush Accessories</t>
  </si>
  <si>
    <t>Paint Brush Cleaning Solutions</t>
  </si>
  <si>
    <t>Paint Roller Accessories</t>
  </si>
  <si>
    <t>Power Tool Batteries</t>
  </si>
  <si>
    <t>Power Tool Chargers</t>
  </si>
  <si>
    <t>Router Accessories</t>
  </si>
  <si>
    <t>Router Bits</t>
  </si>
  <si>
    <t>Router Tables</t>
  </si>
  <si>
    <t>Sanding Accessories</t>
  </si>
  <si>
    <t>Sandpaper &amp; Sanding Sponges</t>
  </si>
  <si>
    <t>Saw Accessories</t>
  </si>
  <si>
    <t>Band Saw Accessories</t>
  </si>
  <si>
    <t>Handheld Circular Saw Accessories</t>
  </si>
  <si>
    <t>Jigsaw Accessories</t>
  </si>
  <si>
    <t>Miter Saw Accessories</t>
  </si>
  <si>
    <t>Table Saw Accessories</t>
  </si>
  <si>
    <t>Shaper Accessories</t>
  </si>
  <si>
    <t>Shaper Cutters</t>
  </si>
  <si>
    <t>Soldering Iron Accessories</t>
  </si>
  <si>
    <t>Soldering Iron Stands</t>
  </si>
  <si>
    <t>Soldering Iron Tips</t>
  </si>
  <si>
    <t>Tool Blades</t>
  </si>
  <si>
    <t>Cutter &amp; Scraper Blades</t>
  </si>
  <si>
    <t>Saw Blades</t>
  </si>
  <si>
    <t>Tool Handle Wedges</t>
  </si>
  <si>
    <t>Tool Safety Tethers</t>
  </si>
  <si>
    <t>Tool Sockets</t>
  </si>
  <si>
    <t>Tool Stands</t>
  </si>
  <si>
    <t>Saw Stands</t>
  </si>
  <si>
    <t>Wedge Tools</t>
  </si>
  <si>
    <t>Welding Accessories</t>
  </si>
  <si>
    <t>Tools</t>
  </si>
  <si>
    <t>Abrasive Blasters</t>
  </si>
  <si>
    <t>Anvils</t>
  </si>
  <si>
    <t>Axes</t>
  </si>
  <si>
    <t>Carpentry Jointers</t>
  </si>
  <si>
    <t>Carving Chisels &amp; Gouges</t>
  </si>
  <si>
    <t>Caulking Tools</t>
  </si>
  <si>
    <t>Chimney Brushes</t>
  </si>
  <si>
    <t>Compactors</t>
  </si>
  <si>
    <t>Compressors</t>
  </si>
  <si>
    <t>Concrete Brooms</t>
  </si>
  <si>
    <t>Cutters</t>
  </si>
  <si>
    <t>Bolt Cutters</t>
  </si>
  <si>
    <t>Glass Cutters</t>
  </si>
  <si>
    <t>Handheld Metal Shears &amp; Nibblers</t>
  </si>
  <si>
    <t>Nippers</t>
  </si>
  <si>
    <t>Pipe Cutters</t>
  </si>
  <si>
    <t>Rebar Cutters</t>
  </si>
  <si>
    <t>Tile &amp; Shingle Cutters</t>
  </si>
  <si>
    <t>Utility Knives</t>
  </si>
  <si>
    <t>Deburrers</t>
  </si>
  <si>
    <t>Dollies &amp; Hand Trucks</t>
  </si>
  <si>
    <t>Drills</t>
  </si>
  <si>
    <t>Augers</t>
  </si>
  <si>
    <t>Drill Presses</t>
  </si>
  <si>
    <t>Handheld Power Drills</t>
  </si>
  <si>
    <t>Mortisers</t>
  </si>
  <si>
    <t>Pneumatic Drills</t>
  </si>
  <si>
    <t>Electrician Fish Tape</t>
  </si>
  <si>
    <t>Flashlights &amp; Headlamps</t>
  </si>
  <si>
    <t>Flashlights</t>
  </si>
  <si>
    <t>Headlamps</t>
  </si>
  <si>
    <t>Grease Guns</t>
  </si>
  <si>
    <t>Grinders</t>
  </si>
  <si>
    <t>Grips</t>
  </si>
  <si>
    <t>Hammers</t>
  </si>
  <si>
    <t>Manual Hammers</t>
  </si>
  <si>
    <t>Powered Hammers</t>
  </si>
  <si>
    <t>Handheld Power Mixers</t>
  </si>
  <si>
    <t>Hardware Torches</t>
  </si>
  <si>
    <t>Heat Guns</t>
  </si>
  <si>
    <t>Impact Wrenches &amp; Drivers</t>
  </si>
  <si>
    <t>Industrial Vibrators</t>
  </si>
  <si>
    <t>Inspection Mirrors</t>
  </si>
  <si>
    <t>Ladders &amp; Scaffolding</t>
  </si>
  <si>
    <t>Ladder Carts</t>
  </si>
  <si>
    <t>Ladders</t>
  </si>
  <si>
    <t>Scaffolding</t>
  </si>
  <si>
    <t>Step Stools</t>
  </si>
  <si>
    <t>Work Platforms</t>
  </si>
  <si>
    <t>Lathes</t>
  </si>
  <si>
    <t>Light Bulb Changers</t>
  </si>
  <si>
    <t>Lighters &amp; Matches</t>
  </si>
  <si>
    <t>Log Splitters</t>
  </si>
  <si>
    <t>Magnetic Sweepers</t>
  </si>
  <si>
    <t>Marking Tools</t>
  </si>
  <si>
    <t>Masonry Tools</t>
  </si>
  <si>
    <t>Brick Tools</t>
  </si>
  <si>
    <t>Cement Mixers</t>
  </si>
  <si>
    <t>Construction Lines</t>
  </si>
  <si>
    <t>Floats</t>
  </si>
  <si>
    <t>Grout Sponges</t>
  </si>
  <si>
    <t>Masonry Edgers &amp; Groovers</t>
  </si>
  <si>
    <t>Masonry Jointers</t>
  </si>
  <si>
    <t>Masonry Trowels</t>
  </si>
  <si>
    <t>Power Trowels</t>
  </si>
  <si>
    <t>Mattocks &amp; Pickaxes</t>
  </si>
  <si>
    <t>Measuring Tools &amp; Sensors</t>
  </si>
  <si>
    <t>Air Quality Meters</t>
  </si>
  <si>
    <t>Altimeters</t>
  </si>
  <si>
    <t>Anemometers</t>
  </si>
  <si>
    <t>Barometers</t>
  </si>
  <si>
    <t>Calipers</t>
  </si>
  <si>
    <t>Cruising Rods</t>
  </si>
  <si>
    <t>Distance Meters</t>
  </si>
  <si>
    <t>Dividers</t>
  </si>
  <si>
    <t>Electrical Testing Tools</t>
  </si>
  <si>
    <t>Flow Meters &amp; Controllers</t>
  </si>
  <si>
    <t>Gas Detectors</t>
  </si>
  <si>
    <t>Gauges</t>
  </si>
  <si>
    <t>Geiger Counters</t>
  </si>
  <si>
    <t>Hygrometers</t>
  </si>
  <si>
    <t>Infrared Thermometers</t>
  </si>
  <si>
    <t>Knife Guides</t>
  </si>
  <si>
    <t>Levels</t>
  </si>
  <si>
    <t>Bubble Levels</t>
  </si>
  <si>
    <t>Laser Levels</t>
  </si>
  <si>
    <t>Sight Levels</t>
  </si>
  <si>
    <t>Measuring Scales</t>
  </si>
  <si>
    <t>Measuring Wheels</t>
  </si>
  <si>
    <t>Moisture Meters</t>
  </si>
  <si>
    <t>Probes &amp; Finders</t>
  </si>
  <si>
    <t>Protractors</t>
  </si>
  <si>
    <t>Rebar Locators</t>
  </si>
  <si>
    <t>Rulers</t>
  </si>
  <si>
    <t>Seismometer</t>
  </si>
  <si>
    <t>Sound Meters</t>
  </si>
  <si>
    <t>Squares</t>
  </si>
  <si>
    <t>Straight Edges</t>
  </si>
  <si>
    <t>Stud Sensors</t>
  </si>
  <si>
    <t>Tape Measures</t>
  </si>
  <si>
    <t>Theodolites</t>
  </si>
  <si>
    <t>Thermal Imaging Cameras</t>
  </si>
  <si>
    <t>Thermocouples &amp; Thermopiles</t>
  </si>
  <si>
    <t>Transducers</t>
  </si>
  <si>
    <t>UV Light Meters</t>
  </si>
  <si>
    <t>Vibration Meters</t>
  </si>
  <si>
    <t>Weather Forecasters &amp; Stations</t>
  </si>
  <si>
    <t>pH Meters</t>
  </si>
  <si>
    <t>Milling Machines</t>
  </si>
  <si>
    <t>Multifunction Power Tools</t>
  </si>
  <si>
    <t>Nail Pullers</t>
  </si>
  <si>
    <t>Nailers &amp; Staplers</t>
  </si>
  <si>
    <t>Oil Filter Drains</t>
  </si>
  <si>
    <t>Paint Tools</t>
  </si>
  <si>
    <t>Airbrushes</t>
  </si>
  <si>
    <t>Paint Brushes</t>
  </si>
  <si>
    <t>Paint Edgers</t>
  </si>
  <si>
    <t>Paint Rollers</t>
  </si>
  <si>
    <t>Paint Shakers</t>
  </si>
  <si>
    <t>Paint Sponges</t>
  </si>
  <si>
    <t>Paint Sprayers</t>
  </si>
  <si>
    <t>Paint Strainers</t>
  </si>
  <si>
    <t>Paint Trays</t>
  </si>
  <si>
    <t>Pickup Tools</t>
  </si>
  <si>
    <t>Pipe &amp; Bar Benders</t>
  </si>
  <si>
    <t>Pipe &amp; Tube Cleaners</t>
  </si>
  <si>
    <t>Pipe Brushes</t>
  </si>
  <si>
    <t>Planers</t>
  </si>
  <si>
    <t>Planes</t>
  </si>
  <si>
    <t>Pliers</t>
  </si>
  <si>
    <t>Plungers</t>
  </si>
  <si>
    <t>Polishers &amp; Buffers</t>
  </si>
  <si>
    <t>Post Hole Diggers</t>
  </si>
  <si>
    <t>Pry Bars</t>
  </si>
  <si>
    <t>Punches &amp; Awls</t>
  </si>
  <si>
    <t>Putty Knives &amp; Scrapers</t>
  </si>
  <si>
    <t>Reamers</t>
  </si>
  <si>
    <t>Riveting Tools</t>
  </si>
  <si>
    <t>Rivet Guns</t>
  </si>
  <si>
    <t>Rivet Pliers</t>
  </si>
  <si>
    <t>Routing Tools</t>
  </si>
  <si>
    <t>Sanders</t>
  </si>
  <si>
    <t>Sanding Blocks</t>
  </si>
  <si>
    <t>Saw Horses</t>
  </si>
  <si>
    <t>Saws</t>
  </si>
  <si>
    <t>Band Saws</t>
  </si>
  <si>
    <t>Cut-Off Saws</t>
  </si>
  <si>
    <t>Hand Saws</t>
  </si>
  <si>
    <t>Handheld Circular Saws</t>
  </si>
  <si>
    <t>Jigsaws</t>
  </si>
  <si>
    <t>Masonry &amp; Tile Saws</t>
  </si>
  <si>
    <t>Miter Saws</t>
  </si>
  <si>
    <t>Panel Saws</t>
  </si>
  <si>
    <t>Reciprocating Saws</t>
  </si>
  <si>
    <t>Scroll Saws</t>
  </si>
  <si>
    <t>Table Saws</t>
  </si>
  <si>
    <t>Screwdrivers</t>
  </si>
  <si>
    <t>Shapers</t>
  </si>
  <si>
    <t>Sharpeners</t>
  </si>
  <si>
    <t>Socket Drivers</t>
  </si>
  <si>
    <t>Soldering Irons</t>
  </si>
  <si>
    <t>Tap Reseaters</t>
  </si>
  <si>
    <t>Taps &amp; Dies</t>
  </si>
  <si>
    <t>Threading Machines</t>
  </si>
  <si>
    <t>Tool Clamps &amp; Vises</t>
  </si>
  <si>
    <t>Tool Files</t>
  </si>
  <si>
    <t>Tool Keys</t>
  </si>
  <si>
    <t>Tool Knives</t>
  </si>
  <si>
    <t>Tool Sets</t>
  </si>
  <si>
    <t>Hand Tool Sets</t>
  </si>
  <si>
    <t>Power Tool Combo Sets</t>
  </si>
  <si>
    <t>Welding Guns &amp; Plasma Cutters</t>
  </si>
  <si>
    <t>Wire &amp; Cable Hand Tools</t>
  </si>
  <si>
    <t>Work Lights</t>
  </si>
  <si>
    <t>Wrenches</t>
  </si>
  <si>
    <t>Health &amp; Beauty</t>
  </si>
  <si>
    <t>Health Care</t>
  </si>
  <si>
    <t>Acupuncture</t>
  </si>
  <si>
    <t>Acupuncture Models</t>
  </si>
  <si>
    <t>Acupuncture Needles</t>
  </si>
  <si>
    <t>Bed Pans</t>
  </si>
  <si>
    <t>Biometric Monitor Accessories</t>
  </si>
  <si>
    <t>Activity Monitor Accessories</t>
  </si>
  <si>
    <t>Blood Glucose Meter Accessories</t>
  </si>
  <si>
    <t>Blood Glucose Control Solution</t>
  </si>
  <si>
    <t>Blood Glucose Test Strips</t>
  </si>
  <si>
    <t>Lancing Devices</t>
  </si>
  <si>
    <t>Blood Pressure Monitor Accessories</t>
  </si>
  <si>
    <t>Blood Pressure Monitor Cuffs</t>
  </si>
  <si>
    <t>Body Weight Scale Accessories</t>
  </si>
  <si>
    <t>Biometric Monitors</t>
  </si>
  <si>
    <t>Activity Monitors</t>
  </si>
  <si>
    <t>Blood Glucose Meters</t>
  </si>
  <si>
    <t>Blood Pressure Monitors</t>
  </si>
  <si>
    <t>Body Fat Analyzers</t>
  </si>
  <si>
    <t>Body Weight Scales</t>
  </si>
  <si>
    <t>Breathalyzers</t>
  </si>
  <si>
    <t>Cholesterol Analyzers</t>
  </si>
  <si>
    <t>Fertility Monitors and Ovulation Tests</t>
  </si>
  <si>
    <t>Fertility Tests &amp; Monitors</t>
  </si>
  <si>
    <t>Ovulation Tests</t>
  </si>
  <si>
    <t>Medical Thermometers</t>
  </si>
  <si>
    <t>Prenatal Heart Rate Monitors</t>
  </si>
  <si>
    <t>Pulse Oximeters</t>
  </si>
  <si>
    <t>Condoms</t>
  </si>
  <si>
    <t>Conductivity Gels &amp; Lotions</t>
  </si>
  <si>
    <t>Contraceptive Cases</t>
  </si>
  <si>
    <t>First Aid</t>
  </si>
  <si>
    <t>Antiseptics &amp; Cleaning Supplies</t>
  </si>
  <si>
    <t>Cast &amp; Bandage Protectors</t>
  </si>
  <si>
    <t>Eye Wash Supplies</t>
  </si>
  <si>
    <t>First Aid Kits</t>
  </si>
  <si>
    <t>Hot &amp; Cold Therapies</t>
  </si>
  <si>
    <t>Heat Rubs</t>
  </si>
  <si>
    <t>Heating Pads</t>
  </si>
  <si>
    <t>Ice Packs</t>
  </si>
  <si>
    <t>Medical Tape &amp; Bandages</t>
  </si>
  <si>
    <t>Fitness &amp; Nutrition</t>
  </si>
  <si>
    <t>Nutrition Bars</t>
  </si>
  <si>
    <t>Nutrition Drinks &amp; Shakes</t>
  </si>
  <si>
    <t>Nutrition Gels &amp; Chews</t>
  </si>
  <si>
    <t>Nutritional Food Purées</t>
  </si>
  <si>
    <t>Tube Feeding Supplements</t>
  </si>
  <si>
    <t>Vitamins &amp; Supplements</t>
  </si>
  <si>
    <t>Hearing Aids</t>
  </si>
  <si>
    <t>Incontinence Aids</t>
  </si>
  <si>
    <t>Light Therapy Lamps</t>
  </si>
  <si>
    <t>Medical Alarm Systems</t>
  </si>
  <si>
    <t>Medical Identification Tags &amp; Jewelry</t>
  </si>
  <si>
    <t>Medical Tests</t>
  </si>
  <si>
    <t>Allergy Test Kits</t>
  </si>
  <si>
    <t>Blood Typing Test Kits</t>
  </si>
  <si>
    <t>Drug Tests</t>
  </si>
  <si>
    <t>HIV Tests</t>
  </si>
  <si>
    <t>Pregnancy Tests</t>
  </si>
  <si>
    <t>Urinary Tract Infection Tests</t>
  </si>
  <si>
    <t>Medicine &amp; Drugs</t>
  </si>
  <si>
    <t>Mobility &amp; Accessibility</t>
  </si>
  <si>
    <t>Accessibility Equipment</t>
  </si>
  <si>
    <t>Mobility Scooters</t>
  </si>
  <si>
    <t>Stair Lifts</t>
  </si>
  <si>
    <t>Transfer Boards &amp; Sheets</t>
  </si>
  <si>
    <t>Wheelchairs</t>
  </si>
  <si>
    <t>Accessibility Equipment Accessories</t>
  </si>
  <si>
    <t>Accessibility Furniture &amp; Fixtures</t>
  </si>
  <si>
    <t>Shower Benches &amp; Seats</t>
  </si>
  <si>
    <t>Walking Aid Accessories</t>
  </si>
  <si>
    <t>Walking Aids</t>
  </si>
  <si>
    <t>Canes &amp; Walking Sticks</t>
  </si>
  <si>
    <t>Crutches</t>
  </si>
  <si>
    <t>Walkers</t>
  </si>
  <si>
    <t>Occupational &amp; Physical Therapy Equipment</t>
  </si>
  <si>
    <t>Electrical Muscle Stimulators</t>
  </si>
  <si>
    <t>Therapeutic Swings</t>
  </si>
  <si>
    <t>Pillboxes</t>
  </si>
  <si>
    <t>Respiratory Care</t>
  </si>
  <si>
    <t>Nebulizers</t>
  </si>
  <si>
    <t>Oxygen Tanks</t>
  </si>
  <si>
    <t>PAP Machines</t>
  </si>
  <si>
    <t>PAP Masks</t>
  </si>
  <si>
    <t>Steam Inhalers</t>
  </si>
  <si>
    <t>Specimen Cups</t>
  </si>
  <si>
    <t>Spermicides</t>
  </si>
  <si>
    <t>Stump Shrinkers</t>
  </si>
  <si>
    <t>Supports &amp; Braces</t>
  </si>
  <si>
    <t>Surgical Lubricants</t>
  </si>
  <si>
    <t>Jewelry Cleaning &amp; Care</t>
  </si>
  <si>
    <t>Jewelry Cleaning Solutions &amp; Polishes</t>
  </si>
  <si>
    <t>Jewelry Cleaning Tools</t>
  </si>
  <si>
    <t>Jewelry Holders</t>
  </si>
  <si>
    <t>Jewelry Steam Cleaners</t>
  </si>
  <si>
    <t>Watch Repair Kits</t>
  </si>
  <si>
    <t>Personal Care</t>
  </si>
  <si>
    <t>Back Care</t>
  </si>
  <si>
    <t>Back &amp; Lumbar Support Cushions</t>
  </si>
  <si>
    <t>Cosmetics</t>
  </si>
  <si>
    <t>Bath &amp; Body</t>
  </si>
  <si>
    <t>Adult Hygienic Wipes</t>
  </si>
  <si>
    <t>Bar Soap</t>
  </si>
  <si>
    <t>Bath Additives</t>
  </si>
  <si>
    <t>Bath Brushes</t>
  </si>
  <si>
    <t>Bath Sponges &amp; Loofahs</t>
  </si>
  <si>
    <t>Body Wash</t>
  </si>
  <si>
    <t>Hand Sanitizers &amp; Wipes</t>
  </si>
  <si>
    <t>Liquid Hand Soap</t>
  </si>
  <si>
    <t>Powdered Hand Soap</t>
  </si>
  <si>
    <t>Shower Caps</t>
  </si>
  <si>
    <t>Bath &amp; Body Gift Sets</t>
  </si>
  <si>
    <t>Cosmetic Sets</t>
  </si>
  <si>
    <t>Cosmetic Tool Cleansers</t>
  </si>
  <si>
    <t>Cosmetic Tools</t>
  </si>
  <si>
    <t>Makeup Tools</t>
  </si>
  <si>
    <t>Nail Tools</t>
  </si>
  <si>
    <t>Skin Care Tools</t>
  </si>
  <si>
    <t>Makeup</t>
  </si>
  <si>
    <t>Body Makeup</t>
  </si>
  <si>
    <t>Costume &amp; Stage Makeup</t>
  </si>
  <si>
    <t>Eye Makeup</t>
  </si>
  <si>
    <t>Face Makeup</t>
  </si>
  <si>
    <t>Lip Makeup</t>
  </si>
  <si>
    <t>Makeup Finishing Sprays</t>
  </si>
  <si>
    <t>Temporary Tattoos</t>
  </si>
  <si>
    <t>Nail Care</t>
  </si>
  <si>
    <t>Cuticle Cream &amp; Oil</t>
  </si>
  <si>
    <t>False Nails</t>
  </si>
  <si>
    <t>Manicure Glue</t>
  </si>
  <si>
    <t>Nail Art Kits &amp; Accessories</t>
  </si>
  <si>
    <t>Nail Polish Drying Drops &amp; Sprays</t>
  </si>
  <si>
    <t>Nail Polish Removers</t>
  </si>
  <si>
    <t>Nail Polish Thinners</t>
  </si>
  <si>
    <t>Nail Polishes</t>
  </si>
  <si>
    <t>Perfume &amp; Cologne</t>
  </si>
  <si>
    <t>Skin Care</t>
  </si>
  <si>
    <t>Acne Treatments &amp; Kits</t>
  </si>
  <si>
    <t>Anti-Aging Skin Care Kits</t>
  </si>
  <si>
    <t>Body Oil</t>
  </si>
  <si>
    <t>Body Powder</t>
  </si>
  <si>
    <t>Compressed Skin Care Mask Sheets</t>
  </si>
  <si>
    <t>Facial Cleansers</t>
  </si>
  <si>
    <t>Facial Cleansing Kits</t>
  </si>
  <si>
    <t>Facial Pore Strips</t>
  </si>
  <si>
    <t>Lip Balms &amp; Treatments</t>
  </si>
  <si>
    <t>Lotion &amp; Moisturizer</t>
  </si>
  <si>
    <t>Makeup Removers</t>
  </si>
  <si>
    <t>Petroleum Jelly</t>
  </si>
  <si>
    <t>Skin Care Masks &amp; Peels</t>
  </si>
  <si>
    <t>Skin Insect Repellent</t>
  </si>
  <si>
    <t>Sunscreen</t>
  </si>
  <si>
    <t>Tanning Products</t>
  </si>
  <si>
    <t>Toners &amp; Astringents</t>
  </si>
  <si>
    <t>Wart Removers</t>
  </si>
  <si>
    <t>Cotton Balls</t>
  </si>
  <si>
    <t>Cotton Swabs</t>
  </si>
  <si>
    <t>Deodorant &amp; Anti-Perspirant</t>
  </si>
  <si>
    <t>Anti-Perspirant</t>
  </si>
  <si>
    <t>Deodorant</t>
  </si>
  <si>
    <t>Ear Care</t>
  </si>
  <si>
    <t>Ear Candles</t>
  </si>
  <si>
    <t>Ear Drops</t>
  </si>
  <si>
    <t>Ear Dryers</t>
  </si>
  <si>
    <t>Ear Picks &amp; Spoons</t>
  </si>
  <si>
    <t>Ear Syringes</t>
  </si>
  <si>
    <t>Ear Wax Removal Kits</t>
  </si>
  <si>
    <t>Earplug Dispensers</t>
  </si>
  <si>
    <t>Earplugs</t>
  </si>
  <si>
    <t>Enema Kits &amp; Supplies</t>
  </si>
  <si>
    <t>Feminine Sanitary Supplies</t>
  </si>
  <si>
    <t>Feminine Deodorant</t>
  </si>
  <si>
    <t>Feminine Douches &amp; Creams</t>
  </si>
  <si>
    <t>Feminine Pads &amp; Protectors</t>
  </si>
  <si>
    <t>Menstrual Cups</t>
  </si>
  <si>
    <t>Tampons</t>
  </si>
  <si>
    <t>Foot Care</t>
  </si>
  <si>
    <t>Bunion Care Supplies</t>
  </si>
  <si>
    <t>Corn &amp; Callus Care Supplies</t>
  </si>
  <si>
    <t>Foot Odor Removers</t>
  </si>
  <si>
    <t>Insoles &amp; Inserts</t>
  </si>
  <si>
    <t>Toe Spacers</t>
  </si>
  <si>
    <t>Hair Care</t>
  </si>
  <si>
    <t>Hair Care Kits</t>
  </si>
  <si>
    <t>Hair Color</t>
  </si>
  <si>
    <t>Hair Color Removers</t>
  </si>
  <si>
    <t>Hair Coloring Accessories</t>
  </si>
  <si>
    <t>Hair Loss Concealers</t>
  </si>
  <si>
    <t>Hair Loss Treatments</t>
  </si>
  <si>
    <t>Hair Permanents &amp; Straighteners</t>
  </si>
  <si>
    <t>Hair Shears</t>
  </si>
  <si>
    <t>Hair Steamers &amp; Heat Caps</t>
  </si>
  <si>
    <t>Hair Styling Products</t>
  </si>
  <si>
    <t>Hair Styling Tool Accessories</t>
  </si>
  <si>
    <t>Hair Curler Clips &amp; Pins</t>
  </si>
  <si>
    <t>Hair Dryer Accessories</t>
  </si>
  <si>
    <t>Hair Iron Accessories</t>
  </si>
  <si>
    <t>Hair Styling Tools</t>
  </si>
  <si>
    <t>Combs &amp; Brushes</t>
  </si>
  <si>
    <t>Curling Irons</t>
  </si>
  <si>
    <t>Hair Curlers</t>
  </si>
  <si>
    <t>Hair Dryers</t>
  </si>
  <si>
    <t>Hair Straighteners</t>
  </si>
  <si>
    <t>Hair Styling Tool Sets</t>
  </si>
  <si>
    <t>Shampoo &amp; Conditioner</t>
  </si>
  <si>
    <t>Conditioners</t>
  </si>
  <si>
    <t>Shampoo</t>
  </si>
  <si>
    <t>Shampoo &amp; Conditioner Sets</t>
  </si>
  <si>
    <t>Massage &amp; Relaxation</t>
  </si>
  <si>
    <t>Back Scratchers</t>
  </si>
  <si>
    <t>Eye Pillows</t>
  </si>
  <si>
    <t>Massage Chairs</t>
  </si>
  <si>
    <t>Massage Oil</t>
  </si>
  <si>
    <t>Massage Stone Warmers</t>
  </si>
  <si>
    <t>Massage Stones</t>
  </si>
  <si>
    <t>Massage Tables</t>
  </si>
  <si>
    <t>Massagers</t>
  </si>
  <si>
    <t>Electric Massagers</t>
  </si>
  <si>
    <t>Manual Massage Tools</t>
  </si>
  <si>
    <t>Massage Cushions</t>
  </si>
  <si>
    <t>Oral Care</t>
  </si>
  <si>
    <t>Breath Spray</t>
  </si>
  <si>
    <t>Dental Floss</t>
  </si>
  <si>
    <t>Dental Mouthguards</t>
  </si>
  <si>
    <t>Dental Water Jet Replacement Tips</t>
  </si>
  <si>
    <t>Dental Water Jets</t>
  </si>
  <si>
    <t>Denture Adhesives</t>
  </si>
  <si>
    <t>Denture Cleaners</t>
  </si>
  <si>
    <t>Denture Repair Kits</t>
  </si>
  <si>
    <t>Dentures</t>
  </si>
  <si>
    <t>Gum Stimulators</t>
  </si>
  <si>
    <t>Mouthwash</t>
  </si>
  <si>
    <t>Orthodontic Appliance Cases</t>
  </si>
  <si>
    <t>Power Flossers</t>
  </si>
  <si>
    <t>Teeth Whiteners</t>
  </si>
  <si>
    <t>Tongue Scrapers</t>
  </si>
  <si>
    <t>Toothbrush Accessories</t>
  </si>
  <si>
    <t>Toothbrush Covers</t>
  </si>
  <si>
    <t>Toothbrush Replacement Heads</t>
  </si>
  <si>
    <t>Toothbrush Sanitizers</t>
  </si>
  <si>
    <t>Toothbrushes</t>
  </si>
  <si>
    <t>Toothpaste</t>
  </si>
  <si>
    <t>Toothpaste Squeezers &amp; Dispensers</t>
  </si>
  <si>
    <t>Toothpicks</t>
  </si>
  <si>
    <t>Personal Lubricants</t>
  </si>
  <si>
    <t>Shaving &amp; Grooming</t>
  </si>
  <si>
    <t>Aftershave</t>
  </si>
  <si>
    <t>Body &amp; Facial Hair Bleach</t>
  </si>
  <si>
    <t>Electric Razor Accessories</t>
  </si>
  <si>
    <t>Electric Razors</t>
  </si>
  <si>
    <t>Hair Clipper &amp; Trimmer Accessories</t>
  </si>
  <si>
    <t>Hair Clippers &amp; Trimmers</t>
  </si>
  <si>
    <t>Hair Removal</t>
  </si>
  <si>
    <t>Depilatories</t>
  </si>
  <si>
    <t>Electrolysis Devices</t>
  </si>
  <si>
    <t>Epilators</t>
  </si>
  <si>
    <t>Hair Removal Wax Warmers</t>
  </si>
  <si>
    <t>Laser &amp; IPL Hair Removal Devices</t>
  </si>
  <si>
    <t>Waxing Kits &amp; Supplies</t>
  </si>
  <si>
    <t>Razors &amp; Razor Blades</t>
  </si>
  <si>
    <t>Shaving Bowls &amp; Mugs</t>
  </si>
  <si>
    <t>Shaving Brushes</t>
  </si>
  <si>
    <t>Shaving Cream</t>
  </si>
  <si>
    <t>Shaving Kits</t>
  </si>
  <si>
    <t>Styptic Pencils</t>
  </si>
  <si>
    <t>Sleeping Aids</t>
  </si>
  <si>
    <t>Eye Masks</t>
  </si>
  <si>
    <t>Snoring &amp; Sleep Apnea Aids</t>
  </si>
  <si>
    <t>Travel Pillows</t>
  </si>
  <si>
    <t>White Noise Machines</t>
  </si>
  <si>
    <t>Spray Tanning Tents</t>
  </si>
  <si>
    <t>Tanning Beds</t>
  </si>
  <si>
    <t>Tweezers</t>
  </si>
  <si>
    <t>Vision Care</t>
  </si>
  <si>
    <t>Contact Lens Care</t>
  </si>
  <si>
    <t>Contact Lens Care Kits</t>
  </si>
  <si>
    <t>Contact Lens Cases</t>
  </si>
  <si>
    <t>Contact Lens Solution</t>
  </si>
  <si>
    <t>Contact Lenses</t>
  </si>
  <si>
    <t>Eye Drops &amp; Lubricants</t>
  </si>
  <si>
    <t>Eyeglass Lenses</t>
  </si>
  <si>
    <t>Eyeglasses</t>
  </si>
  <si>
    <t>Eyewear Accessories</t>
  </si>
  <si>
    <t>Eyewear Cases &amp; Holders</t>
  </si>
  <si>
    <t>Eyewear Lens Cleaning Solutions</t>
  </si>
  <si>
    <t>Eyewear Replacement Parts</t>
  </si>
  <si>
    <t>Eyewear Straps &amp; Chains</t>
  </si>
  <si>
    <t>Sunglass Lenses</t>
  </si>
  <si>
    <t>Home &amp; Garden</t>
  </si>
  <si>
    <t>Bathroom Accessories</t>
  </si>
  <si>
    <t>Bath Caddies</t>
  </si>
  <si>
    <t>Bath Mats &amp; Rugs</t>
  </si>
  <si>
    <t>Bath Pillows</t>
  </si>
  <si>
    <t>Bathroom Accessory Mounts</t>
  </si>
  <si>
    <t>Bathroom Accessory Sets</t>
  </si>
  <si>
    <t>Facial Tissue Holders</t>
  </si>
  <si>
    <t>Hand Dryer Accessories</t>
  </si>
  <si>
    <t>Hand Dryers</t>
  </si>
  <si>
    <t>Medicine Cabinets</t>
  </si>
  <si>
    <t>Robe Hooks</t>
  </si>
  <si>
    <t>Safety Grab Bars</t>
  </si>
  <si>
    <t>Shower Curtain Rings</t>
  </si>
  <si>
    <t>Shower Curtains</t>
  </si>
  <si>
    <t>Shower Rods</t>
  </si>
  <si>
    <t>Soap &amp; Lotion Dispensers</t>
  </si>
  <si>
    <t>Soap Dishes &amp; Holders</t>
  </si>
  <si>
    <t>Toilet Brush Replacement Heads</t>
  </si>
  <si>
    <t>Toilet Brushes &amp; Holders</t>
  </si>
  <si>
    <t>Toilet Paper Holders</t>
  </si>
  <si>
    <t>Toothbrush Holders</t>
  </si>
  <si>
    <t>Towel Racks &amp; Holders</t>
  </si>
  <si>
    <t>Business &amp; Home Security</t>
  </si>
  <si>
    <t>Dummy Surveillance Cameras</t>
  </si>
  <si>
    <t>Home Alarm Systems</t>
  </si>
  <si>
    <t>Motion Sensors</t>
  </si>
  <si>
    <t>Safety &amp; Security Mirrors</t>
  </si>
  <si>
    <t>Security Lights</t>
  </si>
  <si>
    <t>Security Monitors &amp; Recorders</t>
  </si>
  <si>
    <t>Security Safe Accessories</t>
  </si>
  <si>
    <t>Security Safes</t>
  </si>
  <si>
    <t>Security System Sensors</t>
  </si>
  <si>
    <t>Decor</t>
  </si>
  <si>
    <t>Address Signs</t>
  </si>
  <si>
    <t>Artificial Flora</t>
  </si>
  <si>
    <t>Artificial Food</t>
  </si>
  <si>
    <t>Artwork</t>
  </si>
  <si>
    <t>Decorative Tapestries</t>
  </si>
  <si>
    <t>Posters, Prints, &amp; Visual Artwork</t>
  </si>
  <si>
    <t>Sculptures &amp; Statues</t>
  </si>
  <si>
    <t>Backrest Pillows</t>
  </si>
  <si>
    <t>Baskets</t>
  </si>
  <si>
    <t>Bird &amp; Wildlife Feeder Accessories</t>
  </si>
  <si>
    <t>Bird &amp; Wildlife Feeders</t>
  </si>
  <si>
    <t>Bird Feeders</t>
  </si>
  <si>
    <t>Butterfly Feeders</t>
  </si>
  <si>
    <t>Squirrel Feeders</t>
  </si>
  <si>
    <t>Bird &amp; Wildlife House Accessories</t>
  </si>
  <si>
    <t>Bird &amp; Wildlife Houses</t>
  </si>
  <si>
    <t>Bat Houses</t>
  </si>
  <si>
    <t>Birdhouses</t>
  </si>
  <si>
    <t>Butterfly Houses</t>
  </si>
  <si>
    <t>Bird Baths</t>
  </si>
  <si>
    <t>Bookends</t>
  </si>
  <si>
    <t>Cardboard Cutouts</t>
  </si>
  <si>
    <t>Chair &amp; Sofa Cushions</t>
  </si>
  <si>
    <t>Clock Parts</t>
  </si>
  <si>
    <t>Clocks</t>
  </si>
  <si>
    <t>Alarm Clocks</t>
  </si>
  <si>
    <t>Desk &amp; Shelf Clocks</t>
  </si>
  <si>
    <t>Floor &amp; Grandfather Clocks</t>
  </si>
  <si>
    <t>Wall Clocks</t>
  </si>
  <si>
    <t>Coat &amp; Hat Racks</t>
  </si>
  <si>
    <t>Decorative Bells</t>
  </si>
  <si>
    <t>Decorative Bottles</t>
  </si>
  <si>
    <t>Decorative Bowls</t>
  </si>
  <si>
    <t>Decorative Jars</t>
  </si>
  <si>
    <t>Decorative Plaques</t>
  </si>
  <si>
    <t>Decorative Plates</t>
  </si>
  <si>
    <t>Decorative Trays</t>
  </si>
  <si>
    <t>Door Mats</t>
  </si>
  <si>
    <t>Dreamcatchers</t>
  </si>
  <si>
    <t>Dried Flowers</t>
  </si>
  <si>
    <t>Ecospheres</t>
  </si>
  <si>
    <t>Figurines</t>
  </si>
  <si>
    <t>Finials</t>
  </si>
  <si>
    <t>Flag &amp; Windsock Accessories</t>
  </si>
  <si>
    <t>Flag &amp; Windsock Pole Lights</t>
  </si>
  <si>
    <t>Flag &amp; Windsock Pole Mounting Hardware &amp; Kits</t>
  </si>
  <si>
    <t>Flag &amp; Windsock Poles</t>
  </si>
  <si>
    <t>Flags &amp; Windsocks</t>
  </si>
  <si>
    <t>Flameless Candles</t>
  </si>
  <si>
    <t>Fountains &amp; Ponds</t>
  </si>
  <si>
    <t>Fountain &amp; Pond Accessories</t>
  </si>
  <si>
    <t>Fountains &amp; Waterfalls</t>
  </si>
  <si>
    <t>Ponds</t>
  </si>
  <si>
    <t>Garden &amp; Stepping Stones</t>
  </si>
  <si>
    <t>Growth Charts</t>
  </si>
  <si>
    <t>Home Decor Decals</t>
  </si>
  <si>
    <t>Home Fragrance Accessories</t>
  </si>
  <si>
    <t>Candle &amp; Oil Warmers</t>
  </si>
  <si>
    <t>Candle Holders</t>
  </si>
  <si>
    <t>Candle Snuffers</t>
  </si>
  <si>
    <t>Incense Holders</t>
  </si>
  <si>
    <t>Home Fragrances</t>
  </si>
  <si>
    <t>Air Fresheners</t>
  </si>
  <si>
    <t>Candles</t>
  </si>
  <si>
    <t>Fragrance Oil</t>
  </si>
  <si>
    <t>Incense</t>
  </si>
  <si>
    <t>Potpourri</t>
  </si>
  <si>
    <t>Wax Tarts</t>
  </si>
  <si>
    <t>Hourglasses</t>
  </si>
  <si>
    <t>House Numbers &amp; Letters</t>
  </si>
  <si>
    <t>Lawn Ornaments &amp; Garden Sculptures</t>
  </si>
  <si>
    <t>Mail Slots</t>
  </si>
  <si>
    <t>Mailbox Accessories</t>
  </si>
  <si>
    <t>Mailbox Covers</t>
  </si>
  <si>
    <t>Mailbox Enclosures</t>
  </si>
  <si>
    <t>Mailbox Flags</t>
  </si>
  <si>
    <t>Mailbox Posts</t>
  </si>
  <si>
    <t>Mailbox Replacement Doors</t>
  </si>
  <si>
    <t>Mailboxes</t>
  </si>
  <si>
    <t>Music Boxes</t>
  </si>
  <si>
    <t>Napkin Rings</t>
  </si>
  <si>
    <t>Novelty Signs</t>
  </si>
  <si>
    <t>Ottoman Cushions</t>
  </si>
  <si>
    <t>Picture Frames</t>
  </si>
  <si>
    <t>Piggy Banks &amp; Money Jars</t>
  </si>
  <si>
    <t>Rain Chains</t>
  </si>
  <si>
    <t>Rain Gauges</t>
  </si>
  <si>
    <t>Refrigerator Magnets</t>
  </si>
  <si>
    <t>Seasonal &amp; Holiday Decorations</t>
  </si>
  <si>
    <t>Advent Calendars</t>
  </si>
  <si>
    <t>Christmas Tree Skirts</t>
  </si>
  <si>
    <t>Christmas Tree Stands</t>
  </si>
  <si>
    <t>Easter Egg Decorating Kits</t>
  </si>
  <si>
    <t>Holiday Ornament Displays &amp; Stands</t>
  </si>
  <si>
    <t>Holiday Ornament Hooks</t>
  </si>
  <si>
    <t>Holiday Ornaments</t>
  </si>
  <si>
    <t>Holiday Stocking Hangers</t>
  </si>
  <si>
    <t>Holiday Stockings</t>
  </si>
  <si>
    <t>Japanese Traditional Dolls</t>
  </si>
  <si>
    <t>Nativity Sets</t>
  </si>
  <si>
    <t>Seasonal Village Sets &amp; Accessories</t>
  </si>
  <si>
    <t>Shadow Boxes</t>
  </si>
  <si>
    <t>Slipcovers</t>
  </si>
  <si>
    <t>Snow Globes</t>
  </si>
  <si>
    <t>Suncatchers</t>
  </si>
  <si>
    <t>Sundials</t>
  </si>
  <si>
    <t>Throw Pillows</t>
  </si>
  <si>
    <t>Trunks</t>
  </si>
  <si>
    <t>Vase Fillers &amp; Table Scatters</t>
  </si>
  <si>
    <t>Vases</t>
  </si>
  <si>
    <t>Wallpaper</t>
  </si>
  <si>
    <t>Weather Vanes &amp; Roof Decor</t>
  </si>
  <si>
    <t>Wind Chimes</t>
  </si>
  <si>
    <t>Wind Wheels &amp; Spinners</t>
  </si>
  <si>
    <t>Window Magnets</t>
  </si>
  <si>
    <t>Window Treatment Accessories</t>
  </si>
  <si>
    <t>Curtain &amp; Drape Rings</t>
  </si>
  <si>
    <t>Curtain &amp; Drape Rods</t>
  </si>
  <si>
    <t>Curtain Holdbacks &amp; Tassels</t>
  </si>
  <si>
    <t>Window Treatment Replacement Parts</t>
  </si>
  <si>
    <t>Window Treatments</t>
  </si>
  <si>
    <t>Curtains &amp; Drapes</t>
  </si>
  <si>
    <t>Stained Glass Panels</t>
  </si>
  <si>
    <t>Window Blinds &amp; Shades</t>
  </si>
  <si>
    <t>Window Films</t>
  </si>
  <si>
    <t>Window Screens</t>
  </si>
  <si>
    <t>Window Valances &amp; Cornices</t>
  </si>
  <si>
    <t>World Globes</t>
  </si>
  <si>
    <t>Wreaths &amp; Garlands</t>
  </si>
  <si>
    <t>Emergency Preparedness</t>
  </si>
  <si>
    <t>Earthquake Alarms</t>
  </si>
  <si>
    <t>Emergency Blankets</t>
  </si>
  <si>
    <t>Emergency Food Kits</t>
  </si>
  <si>
    <t>Emergency Tools &amp; Kits</t>
  </si>
  <si>
    <t>Furniture Anchors</t>
  </si>
  <si>
    <t>Fireplace &amp; Wood Stove Accessories</t>
  </si>
  <si>
    <t>Bellows</t>
  </si>
  <si>
    <t>Fireplace &amp; Wood Stove Grates</t>
  </si>
  <si>
    <t>Fireplace Andirons</t>
  </si>
  <si>
    <t>Fireplace Reflectors</t>
  </si>
  <si>
    <t>Fireplace Screens</t>
  </si>
  <si>
    <t>Fireplace Tools</t>
  </si>
  <si>
    <t>Firewood &amp; Fuel</t>
  </si>
  <si>
    <t>Hearth Pads</t>
  </si>
  <si>
    <t>Log Rack &amp; Carrier Accessories</t>
  </si>
  <si>
    <t>Log Racks &amp; Carriers</t>
  </si>
  <si>
    <t>Wood Stove Fans &amp; Blowers</t>
  </si>
  <si>
    <t>Fireplaces</t>
  </si>
  <si>
    <t>Flood, Fire &amp; Gas Safety</t>
  </si>
  <si>
    <t>Fire Alarm Control Panels</t>
  </si>
  <si>
    <t>Fire Alarms</t>
  </si>
  <si>
    <t>Fire Extinguisher &amp; Equipment Storage</t>
  </si>
  <si>
    <t>Fire Extinguishers</t>
  </si>
  <si>
    <t>Fire Sprinklers</t>
  </si>
  <si>
    <t>Heat Detectors</t>
  </si>
  <si>
    <t>Smoke &amp; Carbon Monoxide Detectors</t>
  </si>
  <si>
    <t>Carbon Monoxide Detectors</t>
  </si>
  <si>
    <t>Smoke Detectors</t>
  </si>
  <si>
    <t>Water &amp; Flood Detectors</t>
  </si>
  <si>
    <t>Household Appliance Accessories</t>
  </si>
  <si>
    <t>Air Conditioner Accessories</t>
  </si>
  <si>
    <t>Air Conditioner Covers</t>
  </si>
  <si>
    <t>Air Conditioner Filters</t>
  </si>
  <si>
    <t>Air Purifier Accessories</t>
  </si>
  <si>
    <t>Air Purifier Filters</t>
  </si>
  <si>
    <t>Dehumidifier Accessories</t>
  </si>
  <si>
    <t>Fan Accessories</t>
  </si>
  <si>
    <t>Floor &amp; Steam Cleaner Accessories</t>
  </si>
  <si>
    <t>Furnace &amp; Boiler Accessories</t>
  </si>
  <si>
    <t>Heating Radiator Accessories</t>
  </si>
  <si>
    <t>Heating Radiator Reflectors</t>
  </si>
  <si>
    <t>Humidifier Accessories</t>
  </si>
  <si>
    <t>Humidifier Filters</t>
  </si>
  <si>
    <t>Laundry Appliance Accessories</t>
  </si>
  <si>
    <t>Garment Steamer Accessories</t>
  </si>
  <si>
    <t>Iron Accessories</t>
  </si>
  <si>
    <t>Steam Press Accessories</t>
  </si>
  <si>
    <t>Washer &amp; Dryer Accessories</t>
  </si>
  <si>
    <t>Patio Heater Accessories</t>
  </si>
  <si>
    <t>Patio Heater Covers</t>
  </si>
  <si>
    <t>Vacuum Accessories</t>
  </si>
  <si>
    <t>Water Heater Accessories</t>
  </si>
  <si>
    <t>Anode Rods</t>
  </si>
  <si>
    <t>Hot Water Tanks</t>
  </si>
  <si>
    <t>Water Heater Elements</t>
  </si>
  <si>
    <t>Water Heater Expansion Tanks</t>
  </si>
  <si>
    <t>Water Heater Pans</t>
  </si>
  <si>
    <t>Water Heater Stacks</t>
  </si>
  <si>
    <t>Water Heater Vents</t>
  </si>
  <si>
    <t>Household Appliances</t>
  </si>
  <si>
    <t>Climate Control Appliances</t>
  </si>
  <si>
    <t>Air Conditioners</t>
  </si>
  <si>
    <t>Air Purifiers</t>
  </si>
  <si>
    <t>Dehumidifiers</t>
  </si>
  <si>
    <t>Duct Heaters</t>
  </si>
  <si>
    <t>Evaporative Coolers</t>
  </si>
  <si>
    <t>Fans</t>
  </si>
  <si>
    <t>Ceiling Fans</t>
  </si>
  <si>
    <t>Desk &amp; Pedestal Fans</t>
  </si>
  <si>
    <t>Powered Hand Fans &amp; Misters</t>
  </si>
  <si>
    <t>Ventilation Fans</t>
  </si>
  <si>
    <t>Wall Mount Fans</t>
  </si>
  <si>
    <t>Furnaces &amp; Boilers</t>
  </si>
  <si>
    <t>Heating Radiators</t>
  </si>
  <si>
    <t>Humidifiers</t>
  </si>
  <si>
    <t>Outdoor Misting Systems</t>
  </si>
  <si>
    <t>Patio Heaters</t>
  </si>
  <si>
    <t>Space Heaters</t>
  </si>
  <si>
    <t>Floor &amp; Carpet Dryers</t>
  </si>
  <si>
    <t>Floor &amp; Steam Cleaners</t>
  </si>
  <si>
    <t>Carpet Shampooers</t>
  </si>
  <si>
    <t>Carpet Steamers</t>
  </si>
  <si>
    <t>Floor Scrubbers</t>
  </si>
  <si>
    <t>Steam Mops</t>
  </si>
  <si>
    <t>Floor Polishers &amp; Buffers</t>
  </si>
  <si>
    <t>Futon Dryers</t>
  </si>
  <si>
    <t>Garage Door Keypads &amp; Remotes</t>
  </si>
  <si>
    <t>Garage Door Openers</t>
  </si>
  <si>
    <t>Laundry Appliances</t>
  </si>
  <si>
    <t>Dryers</t>
  </si>
  <si>
    <t>Garment Steamers</t>
  </si>
  <si>
    <t>Irons &amp; Ironing Systems</t>
  </si>
  <si>
    <t>Laundry Combo Units</t>
  </si>
  <si>
    <t>Steam Presses</t>
  </si>
  <si>
    <t>Washing Machines</t>
  </si>
  <si>
    <t>Ultrasonic Cleaners</t>
  </si>
  <si>
    <t>Vacuums</t>
  </si>
  <si>
    <t>Wallpaper Steamers</t>
  </si>
  <si>
    <t>Water Heaters</t>
  </si>
  <si>
    <t>Household Supplies</t>
  </si>
  <si>
    <t>Drawer &amp; Shelf Liners</t>
  </si>
  <si>
    <t>Floor Protection Films &amp; Runners</t>
  </si>
  <si>
    <t>Furniture Floor Protectors</t>
  </si>
  <si>
    <t>Garage Floor Mats</t>
  </si>
  <si>
    <t>Garbage Bags</t>
  </si>
  <si>
    <t>Household Cleaning Supplies</t>
  </si>
  <si>
    <t>Broom &amp; Mop Handles</t>
  </si>
  <si>
    <t>Broom Heads</t>
  </si>
  <si>
    <t>Brooms</t>
  </si>
  <si>
    <t>Buckets</t>
  </si>
  <si>
    <t>Carpet Sweepers</t>
  </si>
  <si>
    <t>Cleaning Gloves</t>
  </si>
  <si>
    <t>Duster Refills</t>
  </si>
  <si>
    <t>Dusters</t>
  </si>
  <si>
    <t>Dustpans</t>
  </si>
  <si>
    <t>Fabric &amp; Upholstery Protectors</t>
  </si>
  <si>
    <t>Household Cleaning Products</t>
  </si>
  <si>
    <t>All-Purpose Cleaners</t>
  </si>
  <si>
    <t>Carpet Cleaners</t>
  </si>
  <si>
    <t>Descalers &amp; Decalcifiers</t>
  </si>
  <si>
    <t>Dish Detergent &amp; Soap</t>
  </si>
  <si>
    <t>Dishwasher Cleaners</t>
  </si>
  <si>
    <t>Fabric &amp; Upholstery Cleaners</t>
  </si>
  <si>
    <t>Floor Cleaners</t>
  </si>
  <si>
    <t>Furniture Cleaners &amp; Polish</t>
  </si>
  <si>
    <t>Glass &amp; Surface Cleaners</t>
  </si>
  <si>
    <t>Household Disinfectants</t>
  </si>
  <si>
    <t>Oven &amp; Grill Cleaners</t>
  </si>
  <si>
    <t>Pet Odor &amp; Stain Removers</t>
  </si>
  <si>
    <t>Rinse Aids</t>
  </si>
  <si>
    <t>Stainless Steel Cleaners &amp; Polishes</t>
  </si>
  <si>
    <t>Toilet Bowl Cleaners</t>
  </si>
  <si>
    <t>Tub &amp; Tile Cleaners</t>
  </si>
  <si>
    <t>Washing Machine Cleaners</t>
  </si>
  <si>
    <t>Mop Heads &amp; Refills</t>
  </si>
  <si>
    <t>Mops</t>
  </si>
  <si>
    <t>Scrub Brush Heads &amp; Refills</t>
  </si>
  <si>
    <t>Scrub Brushes</t>
  </si>
  <si>
    <t>Shop Towels &amp; General-Purpose Cleaning Cloths</t>
  </si>
  <si>
    <t>Sponges &amp; Scouring Pads</t>
  </si>
  <si>
    <t>Squeegees</t>
  </si>
  <si>
    <t>Household Paper Products</t>
  </si>
  <si>
    <t>Facial Tissues</t>
  </si>
  <si>
    <t>Paper Napkins</t>
  </si>
  <si>
    <t>Paper Towels</t>
  </si>
  <si>
    <t>Toilet Paper</t>
  </si>
  <si>
    <t>Household Thermometers</t>
  </si>
  <si>
    <t>Laundry Supplies</t>
  </si>
  <si>
    <t>Bleach</t>
  </si>
  <si>
    <t>Clothespins</t>
  </si>
  <si>
    <t>Dry Cleaning Kits</t>
  </si>
  <si>
    <t>Drying Racks &amp; Hangers</t>
  </si>
  <si>
    <t>Fabric Refreshers</t>
  </si>
  <si>
    <t>Fabric Shavers</t>
  </si>
  <si>
    <t>Fabric Softeners &amp; Dryer Sheets</t>
  </si>
  <si>
    <t>Fabric Stain Removers</t>
  </si>
  <si>
    <t>Fabric Starch</t>
  </si>
  <si>
    <t>Garment Shields</t>
  </si>
  <si>
    <t>Iron Rests</t>
  </si>
  <si>
    <t>Ironing Board Pads &amp; Covers</t>
  </si>
  <si>
    <t>Ironing Board Replacement Parts</t>
  </si>
  <si>
    <t>Ironing Boards</t>
  </si>
  <si>
    <t>Laundry Balls</t>
  </si>
  <si>
    <t>Laundry Baskets</t>
  </si>
  <si>
    <t>Laundry Detergent</t>
  </si>
  <si>
    <t>Laundry Wash Bags &amp; Frames</t>
  </si>
  <si>
    <t>Lint Rollers</t>
  </si>
  <si>
    <t>Wrinkle Releasers &amp; Anti-Static Sprays</t>
  </si>
  <si>
    <t>Moisture Absorbers</t>
  </si>
  <si>
    <t>Pest Control</t>
  </si>
  <si>
    <t>Fly Swatters</t>
  </si>
  <si>
    <t>Pest Control Traps</t>
  </si>
  <si>
    <t>Pesticides</t>
  </si>
  <si>
    <t>Repellents</t>
  </si>
  <si>
    <t>Animal &amp; Pet Repellents</t>
  </si>
  <si>
    <t>Household Insect Repellents</t>
  </si>
  <si>
    <t>Rug Pads</t>
  </si>
  <si>
    <t>Shoe Care &amp; Tools</t>
  </si>
  <si>
    <t>Boot Pulls</t>
  </si>
  <si>
    <t>Shoe Bags</t>
  </si>
  <si>
    <t>Shoe Brushes</t>
  </si>
  <si>
    <t>Shoe Care Kits</t>
  </si>
  <si>
    <t>Shoe Dryers</t>
  </si>
  <si>
    <t>Shoe Horns &amp; Dressing Aids</t>
  </si>
  <si>
    <t>Shoe Polishers</t>
  </si>
  <si>
    <t>Shoe Polishes &amp; Waxes</t>
  </si>
  <si>
    <t>Shoe Scrapers</t>
  </si>
  <si>
    <t>Shoe Treatments &amp; Dyes</t>
  </si>
  <si>
    <t>Shoe Trees &amp; Shapers</t>
  </si>
  <si>
    <t>Stair Treads</t>
  </si>
  <si>
    <t>Storage &amp; Organization</t>
  </si>
  <si>
    <t>Clothing &amp; Closet Storage</t>
  </si>
  <si>
    <t>Charging Valets</t>
  </si>
  <si>
    <t>Closet Organizers &amp; Garment Racks</t>
  </si>
  <si>
    <t>Clothes Valets</t>
  </si>
  <si>
    <t>Hangers</t>
  </si>
  <si>
    <t>Hat Boxes</t>
  </si>
  <si>
    <t>Shoe Racks &amp; Organizers</t>
  </si>
  <si>
    <t>Flatware Chests</t>
  </si>
  <si>
    <t>Household Drawer Organizer Inserts</t>
  </si>
  <si>
    <t>Household Storage Bags</t>
  </si>
  <si>
    <t>Household Storage Caddies</t>
  </si>
  <si>
    <t>Household Storage Containers</t>
  </si>
  <si>
    <t>Household Storage Drawers</t>
  </si>
  <si>
    <t>Photo Storage</t>
  </si>
  <si>
    <t>Photo Albums</t>
  </si>
  <si>
    <t>Photo Storage Boxes</t>
  </si>
  <si>
    <t>Storage Hooks &amp; Racks</t>
  </si>
  <si>
    <t>Ironing Board Hooks &amp; Racks</t>
  </si>
  <si>
    <t>Umbrella Stands &amp; Racks</t>
  </si>
  <si>
    <t>Utility Hooks</t>
  </si>
  <si>
    <t>Trash Compactor Accessories</t>
  </si>
  <si>
    <t>Waste Containment</t>
  </si>
  <si>
    <t>Dumpsters</t>
  </si>
  <si>
    <t>Hazardous Waste Containers</t>
  </si>
  <si>
    <t>Recycling Containers</t>
  </si>
  <si>
    <t>Trash Cans &amp; Wastebaskets</t>
  </si>
  <si>
    <t>Waste Containment Accessories</t>
  </si>
  <si>
    <t>Waste Container Carts</t>
  </si>
  <si>
    <t>Waste Container Enclosures</t>
  </si>
  <si>
    <t>Waste Container Labels &amp; Signs</t>
  </si>
  <si>
    <t>Waste Container Lids</t>
  </si>
  <si>
    <t>Waste Container Wheels</t>
  </si>
  <si>
    <t>Kitchen &amp; Dining</t>
  </si>
  <si>
    <t>Barware</t>
  </si>
  <si>
    <t>Absinthe Fountains</t>
  </si>
  <si>
    <t>Beer Dispensers &amp; Taps</t>
  </si>
  <si>
    <t>Beverage Chilling Cubes &amp; Sticks</t>
  </si>
  <si>
    <t>Beverage Tubs &amp; Chillers</t>
  </si>
  <si>
    <t>Bottle Caps</t>
  </si>
  <si>
    <t>Bottle Stoppers &amp; Savers</t>
  </si>
  <si>
    <t>Coaster Holders</t>
  </si>
  <si>
    <t>Coasters</t>
  </si>
  <si>
    <t>Cocktail &amp; Barware Tool Sets</t>
  </si>
  <si>
    <t>Cocktail Shakers &amp; Tools</t>
  </si>
  <si>
    <t>Bar Ice Picks</t>
  </si>
  <si>
    <t>Bottle Openers</t>
  </si>
  <si>
    <t>Cocktail Shakers</t>
  </si>
  <si>
    <t>Cocktail Strainers</t>
  </si>
  <si>
    <t>Muddlers</t>
  </si>
  <si>
    <t>Corkscrews</t>
  </si>
  <si>
    <t>Decanters</t>
  </si>
  <si>
    <t>Foil Cutters</t>
  </si>
  <si>
    <t>Wine Aerators</t>
  </si>
  <si>
    <t>Wine Bottle Holders</t>
  </si>
  <si>
    <t>Wine Glass Charms</t>
  </si>
  <si>
    <t>Cookware &amp; Bakeware</t>
  </si>
  <si>
    <t>Bakeware</t>
  </si>
  <si>
    <t>Bakeware Sets</t>
  </si>
  <si>
    <t>Baking &amp; Cookie Sheets</t>
  </si>
  <si>
    <t>Bread Pans &amp; Molds</t>
  </si>
  <si>
    <t>Broiling Pans</t>
  </si>
  <si>
    <t>Cake Pans &amp; Molds</t>
  </si>
  <si>
    <t>Muffin &amp; Pastry Pans</t>
  </si>
  <si>
    <t>Pie &amp; Quiche Pans</t>
  </si>
  <si>
    <t>Pizza Pans</t>
  </si>
  <si>
    <t>Pizza Stones</t>
  </si>
  <si>
    <t>Ramekins &amp; Souffle Dishes</t>
  </si>
  <si>
    <t>Roasting Pans</t>
  </si>
  <si>
    <t>Bakeware Accessories</t>
  </si>
  <si>
    <t>Baking Mats &amp; Liners</t>
  </si>
  <si>
    <t>Baking Weights</t>
  </si>
  <si>
    <t>Roasting Pan Racks</t>
  </si>
  <si>
    <t>Cookware</t>
  </si>
  <si>
    <t>Cookware &amp; Bakeware Combo Sets</t>
  </si>
  <si>
    <t>Casserole Dishes</t>
  </si>
  <si>
    <t>Cookware Sets</t>
  </si>
  <si>
    <t>Crêpe &amp; Blini Pans</t>
  </si>
  <si>
    <t>Double Boilers</t>
  </si>
  <si>
    <t>Dutch Ovens</t>
  </si>
  <si>
    <t>Fermentation &amp; Pickling Crocks</t>
  </si>
  <si>
    <t>Griddles &amp; Grill Pans</t>
  </si>
  <si>
    <t>Grill Presses</t>
  </si>
  <si>
    <t>Paella Pans</t>
  </si>
  <si>
    <t>Pressure Cookers &amp; Canners</t>
  </si>
  <si>
    <t>Saucepans</t>
  </si>
  <si>
    <t>Sauté Pans</t>
  </si>
  <si>
    <t>Skillets &amp; Frying Pans</t>
  </si>
  <si>
    <t>Stock Pots</t>
  </si>
  <si>
    <t>Stovetop Kettles</t>
  </si>
  <si>
    <t>Tagines &amp; Clay Cooking Pots</t>
  </si>
  <si>
    <t>Woks</t>
  </si>
  <si>
    <t>Cookware Accessories</t>
  </si>
  <si>
    <t>Pot &amp; Pan Handles</t>
  </si>
  <si>
    <t>Pot &amp; Pan Lids</t>
  </si>
  <si>
    <t>Pressure Cooker &amp; Canner Accessories</t>
  </si>
  <si>
    <t>Steamer Baskets</t>
  </si>
  <si>
    <t>Wok Accessories</t>
  </si>
  <si>
    <t>Food &amp; Beverage Carriers</t>
  </si>
  <si>
    <t>Airpots</t>
  </si>
  <si>
    <t>Canteens</t>
  </si>
  <si>
    <t>Coolers</t>
  </si>
  <si>
    <t>Drink Sleeves</t>
  </si>
  <si>
    <t>Can &amp; Bottle Sleeves</t>
  </si>
  <si>
    <t>Cup Sleeves</t>
  </si>
  <si>
    <t>Flasks</t>
  </si>
  <si>
    <t>Insulated Bags</t>
  </si>
  <si>
    <t>Lunch Boxes &amp; Totes</t>
  </si>
  <si>
    <t>Picnic Baskets</t>
  </si>
  <si>
    <t>Replacement Drink Lids</t>
  </si>
  <si>
    <t>Thermoses</t>
  </si>
  <si>
    <t>Water Bottles</t>
  </si>
  <si>
    <t>Wine Carrier Bags</t>
  </si>
  <si>
    <t>Food Storage</t>
  </si>
  <si>
    <t>Bread Boxes &amp; Bags</t>
  </si>
  <si>
    <t>Candy Buckets</t>
  </si>
  <si>
    <t>Cookie Jars</t>
  </si>
  <si>
    <t>Food Container Covers</t>
  </si>
  <si>
    <t>Food Storage Bags</t>
  </si>
  <si>
    <t>Food Storage Containers</t>
  </si>
  <si>
    <t>Food Wraps</t>
  </si>
  <si>
    <t>Foil</t>
  </si>
  <si>
    <t>Parchment Paper</t>
  </si>
  <si>
    <t>Plastic Wrap</t>
  </si>
  <si>
    <t>Wax Paper</t>
  </si>
  <si>
    <t>Honey Jars</t>
  </si>
  <si>
    <t>Food Storage Accessories</t>
  </si>
  <si>
    <t>Food &amp; Beverage Labels</t>
  </si>
  <si>
    <t>Food Wrap Dispensers</t>
  </si>
  <si>
    <t>Oxygen Absorbers</t>
  </si>
  <si>
    <t>Twist Ties &amp; Bag Clips</t>
  </si>
  <si>
    <t>Kitchen Appliance Accessories</t>
  </si>
  <si>
    <t>Breadmaker Accessories</t>
  </si>
  <si>
    <t>Coffee Maker &amp; Espresso Machine Accessories</t>
  </si>
  <si>
    <t>Coffee Decanter Warmers</t>
  </si>
  <si>
    <t>Coffee Decanters</t>
  </si>
  <si>
    <t>Coffee Filter Baskets</t>
  </si>
  <si>
    <t>Coffee Filters</t>
  </si>
  <si>
    <t>Coffee Grinder Accessories</t>
  </si>
  <si>
    <t>Coffee Grinders</t>
  </si>
  <si>
    <t>Coffee Maker &amp; Espresso Machine Replacement Parts</t>
  </si>
  <si>
    <t>Coffee Maker Water Filters</t>
  </si>
  <si>
    <t>Frothing Pitchers</t>
  </si>
  <si>
    <t>Portafilters</t>
  </si>
  <si>
    <t>Cooktop, Oven &amp; Range Accessories</t>
  </si>
  <si>
    <t>Cotton Candy Machine Accessories</t>
  </si>
  <si>
    <t>Deep Fryer Accessories</t>
  </si>
  <si>
    <t>Dishwasher Parts &amp; Accessories</t>
  </si>
  <si>
    <t>Electric Kettle Accessories</t>
  </si>
  <si>
    <t>Electric Skillet &amp; Wok Accessories</t>
  </si>
  <si>
    <t>Fondue Set Accessories</t>
  </si>
  <si>
    <t>Cooking Gel Fuels</t>
  </si>
  <si>
    <t>Fondue Forks</t>
  </si>
  <si>
    <t>Fondue Pot Stands</t>
  </si>
  <si>
    <t>Food Dehydrator Accessories</t>
  </si>
  <si>
    <t>Food Dehydrator Sheets</t>
  </si>
  <si>
    <t>Food Dehydrator Trays</t>
  </si>
  <si>
    <t>Food Grinder Accessories</t>
  </si>
  <si>
    <t>Food Mixer &amp; Blender Accessories</t>
  </si>
  <si>
    <t>Freezer Accessories</t>
  </si>
  <si>
    <t>Garbage Disposal Accessories</t>
  </si>
  <si>
    <t>Ice Cream Maker Accessories</t>
  </si>
  <si>
    <t>Ice Cream Maker Freezer Bowls</t>
  </si>
  <si>
    <t>Ice Crusher &amp; Shaver Accessories</t>
  </si>
  <si>
    <t>Ice Maker Accessories</t>
  </si>
  <si>
    <t>Juicer Accessories</t>
  </si>
  <si>
    <t>Microwave Oven Accessories</t>
  </si>
  <si>
    <t>Outdoor Grill Accessories</t>
  </si>
  <si>
    <t>Charcoal Briquettes</t>
  </si>
  <si>
    <t>Charcoal Chimneys</t>
  </si>
  <si>
    <t>Outdoor Grill Carts</t>
  </si>
  <si>
    <t>Outdoor Grill Covers</t>
  </si>
  <si>
    <t>Outdoor Grill Racks &amp; Toppers</t>
  </si>
  <si>
    <t>Outdoor Grill Replacement Parts</t>
  </si>
  <si>
    <t>Outdoor Grill Spits &amp; Baskets</t>
  </si>
  <si>
    <t>Outdoor Grilling Planks</t>
  </si>
  <si>
    <t>Smoking Chips &amp; Pellets</t>
  </si>
  <si>
    <t>Pasta Maker Accessories</t>
  </si>
  <si>
    <t>Popcorn Maker Accessories</t>
  </si>
  <si>
    <t>Portable Cooking Stove Accessories</t>
  </si>
  <si>
    <t>Range Hood Accessories</t>
  </si>
  <si>
    <t>Refrigerator Accessories</t>
  </si>
  <si>
    <t>Soda Maker Accessories</t>
  </si>
  <si>
    <t>Steam Table Accessories</t>
  </si>
  <si>
    <t>Steam Table Pan Covers</t>
  </si>
  <si>
    <t>Steam Table Pans</t>
  </si>
  <si>
    <t>Toaster Accessories</t>
  </si>
  <si>
    <t>Vacuum Sealer Accessories</t>
  </si>
  <si>
    <t>Vacuum Sealer Bags</t>
  </si>
  <si>
    <t>Waffle Iron Accessories</t>
  </si>
  <si>
    <t>Water Cooler Accessories</t>
  </si>
  <si>
    <t>Water Cooler Bottles</t>
  </si>
  <si>
    <t>Wine Fridge Accessories</t>
  </si>
  <si>
    <t>Yogurt Maker Accessories</t>
  </si>
  <si>
    <t>Kitchen Appliances</t>
  </si>
  <si>
    <t>Beverage Warmers</t>
  </si>
  <si>
    <t>Breadmakers</t>
  </si>
  <si>
    <t>Chocolate Tempering Machines</t>
  </si>
  <si>
    <t>Coffee Makers &amp; Espresso Machines</t>
  </si>
  <si>
    <t>Drip Coffee Makers</t>
  </si>
  <si>
    <t>Electric &amp; Stovetop Espresso Pots</t>
  </si>
  <si>
    <t>Espresso Machines</t>
  </si>
  <si>
    <t>French Presses</t>
  </si>
  <si>
    <t>Percolators</t>
  </si>
  <si>
    <t>Vacuum Coffee Makers</t>
  </si>
  <si>
    <t>Cooktops</t>
  </si>
  <si>
    <t>Cotton Candy Machines</t>
  </si>
  <si>
    <t>Deep Fryers</t>
  </si>
  <si>
    <t>Deli Slicers</t>
  </si>
  <si>
    <t>Dishwashers</t>
  </si>
  <si>
    <t>Electric Griddles &amp; Grills</t>
  </si>
  <si>
    <t>Electric Kettles</t>
  </si>
  <si>
    <t>Electric Skillets &amp; Woks</t>
  </si>
  <si>
    <t>Fondue Pots &amp; Sets</t>
  </si>
  <si>
    <t>Food Cookers &amp; Steamers</t>
  </si>
  <si>
    <t>Egg Cookers</t>
  </si>
  <si>
    <t>Food Steamers</t>
  </si>
  <si>
    <t>Rice Cookers</t>
  </si>
  <si>
    <t>Slow Cookers</t>
  </si>
  <si>
    <t>Thermal Cookers</t>
  </si>
  <si>
    <t>Water Ovens</t>
  </si>
  <si>
    <t>Food Dehydrators</t>
  </si>
  <si>
    <t>Food Grinders &amp; Mills</t>
  </si>
  <si>
    <t>Food Mixers &amp; Blenders</t>
  </si>
  <si>
    <t>Food Smokers</t>
  </si>
  <si>
    <t>Food Warmers</t>
  </si>
  <si>
    <t>Chafing Dishes</t>
  </si>
  <si>
    <t>Food Heat Lamps</t>
  </si>
  <si>
    <t>Rice Keepers</t>
  </si>
  <si>
    <t>Steam Tables</t>
  </si>
  <si>
    <t>Freezers</t>
  </si>
  <si>
    <t>Frozen Drink Makers</t>
  </si>
  <si>
    <t>Garbage Disposals</t>
  </si>
  <si>
    <t>Gas Griddles</t>
  </si>
  <si>
    <t>Hot Drink Makers</t>
  </si>
  <si>
    <t>Hot Plates</t>
  </si>
  <si>
    <t>Ice Cream Makers</t>
  </si>
  <si>
    <t>Ice Crushers &amp; Shavers</t>
  </si>
  <si>
    <t>Ice Makers</t>
  </si>
  <si>
    <t>Juicers</t>
  </si>
  <si>
    <t>Knife Sharpeners</t>
  </si>
  <si>
    <t>Microwave Ovens</t>
  </si>
  <si>
    <t>Milk Frothers &amp; Steamers</t>
  </si>
  <si>
    <t>Mochi Makers</t>
  </si>
  <si>
    <t>Outdoor Grills</t>
  </si>
  <si>
    <t>Ovens</t>
  </si>
  <si>
    <t>Pasta Makers</t>
  </si>
  <si>
    <t>Popcorn Makers</t>
  </si>
  <si>
    <t>Portable Cooking Stoves</t>
  </si>
  <si>
    <t>Range Hoods</t>
  </si>
  <si>
    <t>Ranges</t>
  </si>
  <si>
    <t>Refrigerators</t>
  </si>
  <si>
    <t>Roaster Ovens &amp; Rotisseries</t>
  </si>
  <si>
    <t>Soda Makers</t>
  </si>
  <si>
    <t>Soy Milk Makers</t>
  </si>
  <si>
    <t>Tea Makers</t>
  </si>
  <si>
    <t>Toasters &amp; Grills</t>
  </si>
  <si>
    <t>Countertop &amp; Toaster Ovens</t>
  </si>
  <si>
    <t>Donut Makers</t>
  </si>
  <si>
    <t>Muffin &amp; Cupcake Makers</t>
  </si>
  <si>
    <t>Pizza Makers &amp; Ovens</t>
  </si>
  <si>
    <t>Pizzelle Makers</t>
  </si>
  <si>
    <t>Pretzel Makers</t>
  </si>
  <si>
    <t>Sandwich Makers</t>
  </si>
  <si>
    <t>Toasters</t>
  </si>
  <si>
    <t>Tortilla &amp; Flatbread Makers</t>
  </si>
  <si>
    <t>Waffle Irons</t>
  </si>
  <si>
    <t>Trash Compactors</t>
  </si>
  <si>
    <t>Vacuum Sealers</t>
  </si>
  <si>
    <t>Water Coolers</t>
  </si>
  <si>
    <t>Water Filters</t>
  </si>
  <si>
    <t>Wine Fridges</t>
  </si>
  <si>
    <t>Yogurt Makers</t>
  </si>
  <si>
    <t>Kitchen Tools &amp; Utensils</t>
  </si>
  <si>
    <t>Aprons</t>
  </si>
  <si>
    <t>Baking Peels</t>
  </si>
  <si>
    <t>Basters</t>
  </si>
  <si>
    <t>Basting Brushes</t>
  </si>
  <si>
    <t>Beverage Dispensers</t>
  </si>
  <si>
    <t>Cake Decorating Supplies</t>
  </si>
  <si>
    <t>Cake Servers</t>
  </si>
  <si>
    <t>Can Crushers</t>
  </si>
  <si>
    <t>Can Openers</t>
  </si>
  <si>
    <t>Carving Forks</t>
  </si>
  <si>
    <t>Channel Knives</t>
  </si>
  <si>
    <t>Colanders &amp; Strainers</t>
  </si>
  <si>
    <t>Condiment Dispensers</t>
  </si>
  <si>
    <t>Cookie Cutters</t>
  </si>
  <si>
    <t>Cookie Presses</t>
  </si>
  <si>
    <t>Cooking Thermometer Accessories</t>
  </si>
  <si>
    <t>Cooking Thermometers</t>
  </si>
  <si>
    <t>Cooking Timers</t>
  </si>
  <si>
    <t>Cooking Torches</t>
  </si>
  <si>
    <t>Cooling Racks</t>
  </si>
  <si>
    <t>Dish Racks &amp; Drain Boards</t>
  </si>
  <si>
    <t>Dough Wheels</t>
  </si>
  <si>
    <t>Electric Knife Accessories</t>
  </si>
  <si>
    <t>Electric Knife Replacement Blades</t>
  </si>
  <si>
    <t>Electric Knives</t>
  </si>
  <si>
    <t>Flour Sifters</t>
  </si>
  <si>
    <t>Food &amp; Drink Stencils</t>
  </si>
  <si>
    <t>Food Crackers</t>
  </si>
  <si>
    <t>Lobster &amp; Crab Crackers</t>
  </si>
  <si>
    <t>Nutcrackers</t>
  </si>
  <si>
    <t>Food Dispensers</t>
  </si>
  <si>
    <t>Food Graters &amp; Zesters</t>
  </si>
  <si>
    <t>Food Peelers &amp; Corers</t>
  </si>
  <si>
    <t>Food Steaming Bags</t>
  </si>
  <si>
    <t>Food Sticks &amp; Skewers</t>
  </si>
  <si>
    <t>Funnels</t>
  </si>
  <si>
    <t>Garlic Presses</t>
  </si>
  <si>
    <t>Gelatin Molds</t>
  </si>
  <si>
    <t>Ice Cube Trays</t>
  </si>
  <si>
    <t>Jerky Guns</t>
  </si>
  <si>
    <t>Kitchen Knives</t>
  </si>
  <si>
    <t>Kitchen Molds</t>
  </si>
  <si>
    <t>Kitchen Organizers</t>
  </si>
  <si>
    <t>Can Organizers</t>
  </si>
  <si>
    <t>Drinkware Holders</t>
  </si>
  <si>
    <t>Kitchen Cabinet Organizers</t>
  </si>
  <si>
    <t>Kitchen Counter &amp; Beverage Station Organizers</t>
  </si>
  <si>
    <t>Kitchen Utensil Holders &amp; Racks</t>
  </si>
  <si>
    <t>Knife Blocks &amp; Holders</t>
  </si>
  <si>
    <t>Napkin Holders &amp; Dispensers</t>
  </si>
  <si>
    <t>Paper Towel Holders &amp; Dispensers</t>
  </si>
  <si>
    <t>Pot Racks</t>
  </si>
  <si>
    <t>Spice Organizers</t>
  </si>
  <si>
    <t>Straw Holders &amp; Dispensers</t>
  </si>
  <si>
    <t>Sugar Caddies</t>
  </si>
  <si>
    <t>Toothpick Holders &amp; Dispensers</t>
  </si>
  <si>
    <t>Utensil &amp; Flatware Trays</t>
  </si>
  <si>
    <t>Kitchen Scrapers</t>
  </si>
  <si>
    <t>Bench Scrapers</t>
  </si>
  <si>
    <t>Bowl Scrapers</t>
  </si>
  <si>
    <t>Grill Scrapers</t>
  </si>
  <si>
    <t>Kitchen Shears</t>
  </si>
  <si>
    <t>Kitchen Slicers</t>
  </si>
  <si>
    <t>Kitchen Utensil Sets</t>
  </si>
  <si>
    <t>Ladles</t>
  </si>
  <si>
    <t>Mashers</t>
  </si>
  <si>
    <t>Measuring Cups &amp; Spoons</t>
  </si>
  <si>
    <t>Meat Tenderizers</t>
  </si>
  <si>
    <t>Mixing Bowls</t>
  </si>
  <si>
    <t>Mortars &amp; Pestles</t>
  </si>
  <si>
    <t>Oil &amp; Vinegar Dispensers</t>
  </si>
  <si>
    <t>Oven Bags</t>
  </si>
  <si>
    <t>Oven Mitts &amp; Pot Holders</t>
  </si>
  <si>
    <t>Pasta Molds &amp; Stamps</t>
  </si>
  <si>
    <t>Pastry Blenders</t>
  </si>
  <si>
    <t>Pastry Cloths</t>
  </si>
  <si>
    <t>Pizza Cutter Accessories</t>
  </si>
  <si>
    <t>Pizza Cutters</t>
  </si>
  <si>
    <t>Ricers</t>
  </si>
  <si>
    <t>Rolling Pin Accessories</t>
  </si>
  <si>
    <t>Rolling Pin Covers &amp; Sleeves</t>
  </si>
  <si>
    <t>Rolling Pin Rings</t>
  </si>
  <si>
    <t>Rolling Pins</t>
  </si>
  <si>
    <t>Salad Dressing Mixers &amp; Shakers</t>
  </si>
  <si>
    <t>Salad Spinners</t>
  </si>
  <si>
    <t>Scoops</t>
  </si>
  <si>
    <t>Ice Cream Scoops</t>
  </si>
  <si>
    <t>Ice Scoops</t>
  </si>
  <si>
    <t>Melon Ballers</t>
  </si>
  <si>
    <t>Popcorn &amp; French Fry Scoops</t>
  </si>
  <si>
    <t>Sink Caddies</t>
  </si>
  <si>
    <t>Sink Mats &amp; Grids</t>
  </si>
  <si>
    <t>Slotted Spoons</t>
  </si>
  <si>
    <t>Spatulas</t>
  </si>
  <si>
    <t>Spice Grinder Accessories</t>
  </si>
  <si>
    <t>Spice Grinders</t>
  </si>
  <si>
    <t>Spoon Rests</t>
  </si>
  <si>
    <t>Sugar Dispensers</t>
  </si>
  <si>
    <t>Sushi Mats</t>
  </si>
  <si>
    <t>Tea Strainers</t>
  </si>
  <si>
    <t>Tongs</t>
  </si>
  <si>
    <t>Whisks</t>
  </si>
  <si>
    <t>Prefabricated Kitchens &amp; Kitchenettes</t>
  </si>
  <si>
    <t>Tableware</t>
  </si>
  <si>
    <t>Coffee &amp; Tea Sets</t>
  </si>
  <si>
    <t>Coffee Servers &amp; Tea Pots</t>
  </si>
  <si>
    <t>Dinnerware</t>
  </si>
  <si>
    <t>Bowls</t>
  </si>
  <si>
    <t>Dinnerware Sets</t>
  </si>
  <si>
    <t>Plates</t>
  </si>
  <si>
    <t>Drinkware</t>
  </si>
  <si>
    <t>Beer Glasses</t>
  </si>
  <si>
    <t>Coffee &amp; Tea Cups</t>
  </si>
  <si>
    <t>Coffee &amp; Tea Saucers</t>
  </si>
  <si>
    <t>Drinkware Sets</t>
  </si>
  <si>
    <t>Mugs</t>
  </si>
  <si>
    <t>Shot Glasses</t>
  </si>
  <si>
    <t>Stemware</t>
  </si>
  <si>
    <t>Tumblers</t>
  </si>
  <si>
    <t>Flatware</t>
  </si>
  <si>
    <t>Chopstick Accessories</t>
  </si>
  <si>
    <t>Chopsticks</t>
  </si>
  <si>
    <t>Flatware Sets</t>
  </si>
  <si>
    <t>Forks</t>
  </si>
  <si>
    <t>Spoons</t>
  </si>
  <si>
    <t>Table Knives</t>
  </si>
  <si>
    <t>Salt &amp; Pepper Shakers</t>
  </si>
  <si>
    <t>Serveware</t>
  </si>
  <si>
    <t>Butter Dishes</t>
  </si>
  <si>
    <t>Cake Boards</t>
  </si>
  <si>
    <t>Cake Stands</t>
  </si>
  <si>
    <t>Egg Cups</t>
  </si>
  <si>
    <t>Gravy Boats</t>
  </si>
  <si>
    <t>Punch Bowls</t>
  </si>
  <si>
    <t>Serving Pitchers &amp; Carafes</t>
  </si>
  <si>
    <t>Serving Platters</t>
  </si>
  <si>
    <t>Serving Trays</t>
  </si>
  <si>
    <t>Sugar Bowls &amp; Creamers</t>
  </si>
  <si>
    <t>Tureens</t>
  </si>
  <si>
    <t>Serveware Accessories</t>
  </si>
  <si>
    <t>Punch Bowl Stands</t>
  </si>
  <si>
    <t>Tureen Lids</t>
  </si>
  <si>
    <t>Tureen Stands</t>
  </si>
  <si>
    <t>Tablecloth Clips &amp; Weights</t>
  </si>
  <si>
    <t>Trivets</t>
  </si>
  <si>
    <t>Lawn &amp; Garden</t>
  </si>
  <si>
    <t>Gardening</t>
  </si>
  <si>
    <t>Composting</t>
  </si>
  <si>
    <t>Compost</t>
  </si>
  <si>
    <t>Compost Aerators</t>
  </si>
  <si>
    <t>Composters</t>
  </si>
  <si>
    <t>Disease Control</t>
  </si>
  <si>
    <t>Fertilizers</t>
  </si>
  <si>
    <t>Garden Pot Saucers &amp; Trays</t>
  </si>
  <si>
    <t>Gardening Accessories</t>
  </si>
  <si>
    <t>Gardening Scooters, Seats &amp; Kneelers</t>
  </si>
  <si>
    <t>Gardening Totes</t>
  </si>
  <si>
    <t>Potting Benches</t>
  </si>
  <si>
    <t>Gardening Tool Accessories</t>
  </si>
  <si>
    <t>Gardening Tool Handles</t>
  </si>
  <si>
    <t>Gardening Tool Heads</t>
  </si>
  <si>
    <t>Wheelbarrow Parts</t>
  </si>
  <si>
    <t>Gardening Tools</t>
  </si>
  <si>
    <t>Bulb Planting Tools</t>
  </si>
  <si>
    <t>Cultivating Tools</t>
  </si>
  <si>
    <t>Gardening Forks</t>
  </si>
  <si>
    <t>Gardening Sickles &amp; Machetes</t>
  </si>
  <si>
    <t>Gardening Trowels</t>
  </si>
  <si>
    <t>Lawn &amp; Garden Sprayers</t>
  </si>
  <si>
    <t>Lawn Rollers</t>
  </si>
  <si>
    <t>Pruning Saws</t>
  </si>
  <si>
    <t>Pruning Shears</t>
  </si>
  <si>
    <t>Rakes</t>
  </si>
  <si>
    <t>Shovels &amp; Spades</t>
  </si>
  <si>
    <t>Spreaders</t>
  </si>
  <si>
    <t>Wheelbarrows</t>
  </si>
  <si>
    <t>Greenhouses</t>
  </si>
  <si>
    <t>Herbicides</t>
  </si>
  <si>
    <t>Landscape Fabric</t>
  </si>
  <si>
    <t>Landscape Fabric Accessories</t>
  </si>
  <si>
    <t>Landscape Fabric Staples &amp; Pins</t>
  </si>
  <si>
    <t>Landscape Fabric Tape</t>
  </si>
  <si>
    <t>Mulch</t>
  </si>
  <si>
    <t>Plant Cages &amp; Supports</t>
  </si>
  <si>
    <t>Plant Stands</t>
  </si>
  <si>
    <t>Pot &amp; Planter Liners</t>
  </si>
  <si>
    <t>Pots &amp; Planters</t>
  </si>
  <si>
    <t>Rain Barrels</t>
  </si>
  <si>
    <t>Sands &amp; Soils</t>
  </si>
  <si>
    <t>Sand</t>
  </si>
  <si>
    <t>Soil</t>
  </si>
  <si>
    <t>Outdoor Living</t>
  </si>
  <si>
    <t>Awning Accessories</t>
  </si>
  <si>
    <t>Awnings</t>
  </si>
  <si>
    <t>Hammock Parts &amp; Accessories</t>
  </si>
  <si>
    <t>Hammocks</t>
  </si>
  <si>
    <t>Outdoor Blankets</t>
  </si>
  <si>
    <t>Beach Mats</t>
  </si>
  <si>
    <t>Picnic Blankets</t>
  </si>
  <si>
    <t>Poncho Liners</t>
  </si>
  <si>
    <t>Outdoor Structures</t>
  </si>
  <si>
    <t>Canopies &amp; Gazebos</t>
  </si>
  <si>
    <t>Canopy &amp; Gazebo Accessories</t>
  </si>
  <si>
    <t>Garden Arches, Trellises, Arbors &amp; Pergolas</t>
  </si>
  <si>
    <t>Garden Bridges</t>
  </si>
  <si>
    <t>Sheds, Garages &amp; Carports</t>
  </si>
  <si>
    <t>Outdoor Umbrella &amp; Sunshade Accessories</t>
  </si>
  <si>
    <t>Outdoor Umbrella &amp; Sunshade Fabric</t>
  </si>
  <si>
    <t>Outdoor Umbrella Bases</t>
  </si>
  <si>
    <t>Outdoor Umbrella Covers</t>
  </si>
  <si>
    <t>Outdoor Umbrella Enclosure Kits</t>
  </si>
  <si>
    <t>Outdoor Umbrella Lights</t>
  </si>
  <si>
    <t>Outdoor Umbrellas &amp; Sunshades</t>
  </si>
  <si>
    <t>Porch Swing Accessories</t>
  </si>
  <si>
    <t>Porch Swings</t>
  </si>
  <si>
    <t>Outdoor Power Equipment</t>
  </si>
  <si>
    <t>Chainsaws</t>
  </si>
  <si>
    <t>Grass Edgers</t>
  </si>
  <si>
    <t>Hedge Trimmers</t>
  </si>
  <si>
    <t>Lawn Aerators &amp; Dethatchers</t>
  </si>
  <si>
    <t>Lawn Mowers</t>
  </si>
  <si>
    <t>Riding Mowers</t>
  </si>
  <si>
    <t>Robotic Mowers</t>
  </si>
  <si>
    <t>Tow-Behind Mowers</t>
  </si>
  <si>
    <t>Walk-Behind Mowers</t>
  </si>
  <si>
    <t>Lawn Vacuums</t>
  </si>
  <si>
    <t>Leaf Blowers</t>
  </si>
  <si>
    <t>Outdoor Power Equipment Base Units</t>
  </si>
  <si>
    <t>Outdoor Power Equipment Sets</t>
  </si>
  <si>
    <t>Power Sweepers</t>
  </si>
  <si>
    <t>Power Tillers &amp; Cultivators</t>
  </si>
  <si>
    <t>Pressure Washers</t>
  </si>
  <si>
    <t>Snow Blowers</t>
  </si>
  <si>
    <t>Tractors</t>
  </si>
  <si>
    <t>Weed Trimmers</t>
  </si>
  <si>
    <t>Outdoor Power Equipment Accessories</t>
  </si>
  <si>
    <t>Chainsaw Accessories</t>
  </si>
  <si>
    <t>Chainsaw Bars</t>
  </si>
  <si>
    <t>Chainsaw Chains</t>
  </si>
  <si>
    <t>Grass Edger Accessories</t>
  </si>
  <si>
    <t>Hedge Trimmer Accessories</t>
  </si>
  <si>
    <t>Lawn Mower Accessories</t>
  </si>
  <si>
    <t>Brush Mower Attachments</t>
  </si>
  <si>
    <t>Lawn Mower Bags</t>
  </si>
  <si>
    <t>Lawn Mower Belts</t>
  </si>
  <si>
    <t>Lawn Mower Blades</t>
  </si>
  <si>
    <t>Lawn Mower Covers</t>
  </si>
  <si>
    <t>Lawn Mower Mulch Kits</t>
  </si>
  <si>
    <t>Lawn Mower Mulch Plugs &amp; Plates</t>
  </si>
  <si>
    <t>Lawn Mower Pulleys &amp; Idlers</t>
  </si>
  <si>
    <t>Lawn Mower Tire Tubes</t>
  </si>
  <si>
    <t>Lawn Mower Tires</t>
  </si>
  <si>
    <t>Lawn Mower Wheels</t>
  </si>
  <si>
    <t>Lawn Striping Kits</t>
  </si>
  <si>
    <t>Lawn Sweepers</t>
  </si>
  <si>
    <t>Leaf Blower Accessories</t>
  </si>
  <si>
    <t>Leaf Blower Tubes</t>
  </si>
  <si>
    <t>Multifunction Outdoor Power Equipment Attachments</t>
  </si>
  <si>
    <t>Grass Edger Attachments</t>
  </si>
  <si>
    <t>Ground &amp; Leaf Blower Attachments</t>
  </si>
  <si>
    <t>Hedge Trimmer Attachments</t>
  </si>
  <si>
    <t>Pole Saw Attachments</t>
  </si>
  <si>
    <t>Tiller &amp; Cultivator Attachments</t>
  </si>
  <si>
    <t>Weed Trimmer Attachments</t>
  </si>
  <si>
    <t>Outdoor Power Equipment Batteries</t>
  </si>
  <si>
    <t>Pressure Washer Accessories</t>
  </si>
  <si>
    <t>Snow Blower Accessories</t>
  </si>
  <si>
    <t>Tractor Parts &amp; Accessories</t>
  </si>
  <si>
    <t>Tractor Tires</t>
  </si>
  <si>
    <t>Tractor Wheels</t>
  </si>
  <si>
    <t>Weed Trimmer Accessories</t>
  </si>
  <si>
    <t>Weed Trimmer Blades &amp; Spools</t>
  </si>
  <si>
    <t>Weed Trimmer Spool Covers</t>
  </si>
  <si>
    <t>Snow Removal</t>
  </si>
  <si>
    <t>Ice Scrapers &amp; Snow Brushes</t>
  </si>
  <si>
    <t>Snow Shovels</t>
  </si>
  <si>
    <t>Watering &amp; Irrigation</t>
  </si>
  <si>
    <t>Garden Hose Fittings &amp; Valves</t>
  </si>
  <si>
    <t>Garden Hose Spray Nozzles</t>
  </si>
  <si>
    <t>Garden Hoses</t>
  </si>
  <si>
    <t>Sprinkler Accessories</t>
  </si>
  <si>
    <t>Sprinkler Controls</t>
  </si>
  <si>
    <t>Sprinkler Valves</t>
  </si>
  <si>
    <t>Sprinklers &amp; Sprinkler Heads</t>
  </si>
  <si>
    <t>Watering Can Accesssories</t>
  </si>
  <si>
    <t>Watering Cans</t>
  </si>
  <si>
    <t>Watering Globes &amp; Spikes</t>
  </si>
  <si>
    <t>Lighting</t>
  </si>
  <si>
    <t>Emergency Lighting</t>
  </si>
  <si>
    <t>Floating &amp; Submersible Lights</t>
  </si>
  <si>
    <t>Flood &amp; Spot Lights</t>
  </si>
  <si>
    <t>In-Ground Lights</t>
  </si>
  <si>
    <t>Lamps</t>
  </si>
  <si>
    <t>Landscape Pathway Lighting</t>
  </si>
  <si>
    <t>Light Bulbs</t>
  </si>
  <si>
    <t>Compact Fluorescent Lamps</t>
  </si>
  <si>
    <t>Fluorescent Tubes</t>
  </si>
  <si>
    <t>Incandescent Light Bulbs</t>
  </si>
  <si>
    <t>LED Light Bulbs</t>
  </si>
  <si>
    <t>Light Ropes &amp; Strings</t>
  </si>
  <si>
    <t>Lighting Fixtures</t>
  </si>
  <si>
    <t>Cabinet Light Fixtures</t>
  </si>
  <si>
    <t>Ceiling Light Fixtures</t>
  </si>
  <si>
    <t>Chandeliers</t>
  </si>
  <si>
    <t>Wall Light Fixtures</t>
  </si>
  <si>
    <t>Night Lights &amp; Ambient Lighting</t>
  </si>
  <si>
    <t>Picture Lights</t>
  </si>
  <si>
    <t>Tiki Torches &amp; Oil Lamps</t>
  </si>
  <si>
    <t>Track Lighting</t>
  </si>
  <si>
    <t>Track Lighting Accessories</t>
  </si>
  <si>
    <t>Track Lighting Fixtures</t>
  </si>
  <si>
    <t>Track Lighting Rails</t>
  </si>
  <si>
    <t>Lighting Accessories</t>
  </si>
  <si>
    <t>Lamp Post Bases</t>
  </si>
  <si>
    <t>Lamp Post Mounts</t>
  </si>
  <si>
    <t>Lamp Shades</t>
  </si>
  <si>
    <t>Lighting Timers</t>
  </si>
  <si>
    <t>Oil Lamp Fuel</t>
  </si>
  <si>
    <t>Linens &amp; Bedding</t>
  </si>
  <si>
    <t>Bedding</t>
  </si>
  <si>
    <t>Bed Canopies</t>
  </si>
  <si>
    <t>Bed Sheets</t>
  </si>
  <si>
    <t>Bedskirts</t>
  </si>
  <si>
    <t>Blankets</t>
  </si>
  <si>
    <t>Duvet Covers</t>
  </si>
  <si>
    <t>Mattress Protectors</t>
  </si>
  <si>
    <t>Mattress Encasements</t>
  </si>
  <si>
    <t>Mattress Pads</t>
  </si>
  <si>
    <t>Nap Mats</t>
  </si>
  <si>
    <t>Pillowcases &amp; Shams</t>
  </si>
  <si>
    <t>Quilts &amp; Comforters</t>
  </si>
  <si>
    <t>Kitchen Linens Sets</t>
  </si>
  <si>
    <t>Table Linens</t>
  </si>
  <si>
    <t>Cloth Napkins</t>
  </si>
  <si>
    <t>Doilies</t>
  </si>
  <si>
    <t>Placemats</t>
  </si>
  <si>
    <t>Table Runners</t>
  </si>
  <si>
    <t>Table Skirts</t>
  </si>
  <si>
    <t>Tablecloths</t>
  </si>
  <si>
    <t>Towels</t>
  </si>
  <si>
    <t>Bath Towels &amp; Washcloths</t>
  </si>
  <si>
    <t>Beach Towels</t>
  </si>
  <si>
    <t>Kitchen Towels</t>
  </si>
  <si>
    <t>Parasols &amp; Rain Umbrellas</t>
  </si>
  <si>
    <t>Plants</t>
  </si>
  <si>
    <t>Aquatic Plants</t>
  </si>
  <si>
    <t>Flowers</t>
  </si>
  <si>
    <t>Indoor &amp; Outdoor Plants</t>
  </si>
  <si>
    <t>Bushes &amp; Shrubs</t>
  </si>
  <si>
    <t>Landscaping &amp; Garden Plants</t>
  </si>
  <si>
    <t>Potted Houseplants</t>
  </si>
  <si>
    <t>Plant &amp; Herb Growing Kits</t>
  </si>
  <si>
    <t>Seeds</t>
  </si>
  <si>
    <t>Plant &amp; Flower Bulbs</t>
  </si>
  <si>
    <t>Seeds &amp; Seed Tape</t>
  </si>
  <si>
    <t>Trees</t>
  </si>
  <si>
    <t>Pool &amp; Spa</t>
  </si>
  <si>
    <t>Pool &amp; Spa Accessories</t>
  </si>
  <si>
    <t>Diving Boards</t>
  </si>
  <si>
    <t>Pool &amp; Spa Chlorine Generators</t>
  </si>
  <si>
    <t>Pool &amp; Spa Filters</t>
  </si>
  <si>
    <t>Pool &amp; Spa Maintenance Kits</t>
  </si>
  <si>
    <t>Pool Brushes &amp; Brooms</t>
  </si>
  <si>
    <t>Pool Cleaner Hoses</t>
  </si>
  <si>
    <t>Pool Cleaners &amp; Chemicals</t>
  </si>
  <si>
    <t>Pool Cover Accessories</t>
  </si>
  <si>
    <t>Pool Covers &amp; Ground Cloths</t>
  </si>
  <si>
    <t>Pool Deck Kits</t>
  </si>
  <si>
    <t>Pool Floats &amp; Loungers</t>
  </si>
  <si>
    <t>Pool Heaters</t>
  </si>
  <si>
    <t>Pool Ladders, Steps &amp; Ramps</t>
  </si>
  <si>
    <t>Pool Liners</t>
  </si>
  <si>
    <t>Pool Skimmers</t>
  </si>
  <si>
    <t>Pool Sweeps &amp; Vacuums</t>
  </si>
  <si>
    <t>Pool Toys</t>
  </si>
  <si>
    <t>Pool Water Slides</t>
  </si>
  <si>
    <t>Sauna Accessories</t>
  </si>
  <si>
    <t>Sauna Buckets &amp; Ladles</t>
  </si>
  <si>
    <t>Sauna Heaters</t>
  </si>
  <si>
    <t>Sauna Kits</t>
  </si>
  <si>
    <t>Saunas</t>
  </si>
  <si>
    <t>Spas</t>
  </si>
  <si>
    <t>Swimming Pools</t>
  </si>
  <si>
    <t>Smoking Accessories</t>
  </si>
  <si>
    <t>Ashtrays</t>
  </si>
  <si>
    <t>Cigar Cases</t>
  </si>
  <si>
    <t>Cigar Cutters &amp; Punches</t>
  </si>
  <si>
    <t>Cigarette Cases</t>
  </si>
  <si>
    <t>Cigarette Holders</t>
  </si>
  <si>
    <t>Humidor Accessories</t>
  </si>
  <si>
    <t>Humidors</t>
  </si>
  <si>
    <t>Umbrella Sleeves &amp; Cases</t>
  </si>
  <si>
    <t>Wood Stoves</t>
  </si>
  <si>
    <t>Luggage &amp; Bags</t>
  </si>
  <si>
    <t>Backpacks</t>
  </si>
  <si>
    <t>Briefcases</t>
  </si>
  <si>
    <t>Cosmetic &amp; Toiletry Bags</t>
  </si>
  <si>
    <t>Diaper Bags</t>
  </si>
  <si>
    <t>Dry Boxes</t>
  </si>
  <si>
    <t>Duffel Bags</t>
  </si>
  <si>
    <t>Fanny Packs</t>
  </si>
  <si>
    <t>Garment Bags</t>
  </si>
  <si>
    <t>Luggage Accessories</t>
  </si>
  <si>
    <t>Dry Box Liners &amp; Inserts</t>
  </si>
  <si>
    <t>Luggage Covers</t>
  </si>
  <si>
    <t>Luggage Racks &amp; Stands</t>
  </si>
  <si>
    <t>Luggage Straps</t>
  </si>
  <si>
    <t>Luggage Tags</t>
  </si>
  <si>
    <t>Packing Organizers</t>
  </si>
  <si>
    <t>Travel Bottles &amp; Containers</t>
  </si>
  <si>
    <t>Travel Pouches</t>
  </si>
  <si>
    <t>Messenger Bags</t>
  </si>
  <si>
    <t>Shopping Totes</t>
  </si>
  <si>
    <t>Suitcases</t>
  </si>
  <si>
    <t>Train Cases</t>
  </si>
  <si>
    <t>Mature</t>
  </si>
  <si>
    <t>Erotic</t>
  </si>
  <si>
    <t>Erotic Books</t>
  </si>
  <si>
    <t>Erotic Clothing</t>
  </si>
  <si>
    <t>Erotic DVDs &amp; Videos</t>
  </si>
  <si>
    <t>Erotic Food &amp; Edibles</t>
  </si>
  <si>
    <t>Erotic Games</t>
  </si>
  <si>
    <t>Erotic Magazines</t>
  </si>
  <si>
    <t>Pole Dancing Kits</t>
  </si>
  <si>
    <t>Sex Toys</t>
  </si>
  <si>
    <t>Weapons</t>
  </si>
  <si>
    <t>Brass Knuckles</t>
  </si>
  <si>
    <t>Clubs &amp; Batons</t>
  </si>
  <si>
    <t>Combat Knives</t>
  </si>
  <si>
    <t>Gun Care &amp; Accessories</t>
  </si>
  <si>
    <t>Ammunition</t>
  </si>
  <si>
    <t>Ammunition Cases &amp; Holders</t>
  </si>
  <si>
    <t>Gun Cases &amp; Range Bags</t>
  </si>
  <si>
    <t>Gun Cleaning</t>
  </si>
  <si>
    <t>Gun Cleaning Cloths &amp; Swabs</t>
  </si>
  <si>
    <t>Gun Cleaning Patches</t>
  </si>
  <si>
    <t>Gun Cleaning Solvents</t>
  </si>
  <si>
    <t>Gun Grips</t>
  </si>
  <si>
    <t>Gun Holsters</t>
  </si>
  <si>
    <t>Gun Lights</t>
  </si>
  <si>
    <t>Gun Rails</t>
  </si>
  <si>
    <t>Gun Slings</t>
  </si>
  <si>
    <t>Reloading Supplies &amp; Equipment</t>
  </si>
  <si>
    <t>Ammunition Reloading Presses</t>
  </si>
  <si>
    <t>Guns</t>
  </si>
  <si>
    <t>Mace &amp; Pepper Spray</t>
  </si>
  <si>
    <t>Nunchucks</t>
  </si>
  <si>
    <t>Spears</t>
  </si>
  <si>
    <t>Staff &amp; Stick Weapons</t>
  </si>
  <si>
    <t>Stun Guns &amp; Tasers</t>
  </si>
  <si>
    <t>Swords</t>
  </si>
  <si>
    <t>Throwing Stars</t>
  </si>
  <si>
    <t>Whips</t>
  </si>
  <si>
    <t>Media</t>
  </si>
  <si>
    <t>Books</t>
  </si>
  <si>
    <t>Audiobooks</t>
  </si>
  <si>
    <t>E-books</t>
  </si>
  <si>
    <t>Print Books</t>
  </si>
  <si>
    <t>Carpentry &amp; Woodworking Project Plans</t>
  </si>
  <si>
    <t>DVDs &amp; Videos</t>
  </si>
  <si>
    <t>Film &amp; Television DVDs</t>
  </si>
  <si>
    <t>Film &amp; Television Digital Downloads</t>
  </si>
  <si>
    <t>Film &amp; Television VHS Tapes</t>
  </si>
  <si>
    <t>Magazines &amp; Newspapers</t>
  </si>
  <si>
    <t>Magazines</t>
  </si>
  <si>
    <t>Newspapers</t>
  </si>
  <si>
    <t>Music &amp; Sound Recordings</t>
  </si>
  <si>
    <t>Digital Music Downloads</t>
  </si>
  <si>
    <t>Music CDs</t>
  </si>
  <si>
    <t>Music Cassette Tapes</t>
  </si>
  <si>
    <t>Records &amp; LPs</t>
  </si>
  <si>
    <t>Spoken Word &amp; Field Recordings</t>
  </si>
  <si>
    <t>Product Manuals</t>
  </si>
  <si>
    <t>Camera &amp; Optics Manuals</t>
  </si>
  <si>
    <t>Electronics Manuals</t>
  </si>
  <si>
    <t>Exercise &amp; Fitness Equipment Manuals</t>
  </si>
  <si>
    <t>Household Appliance Manuals</t>
  </si>
  <si>
    <t>Kitchen Appliance Manuals</t>
  </si>
  <si>
    <t>Model &amp; Toys Manuals</t>
  </si>
  <si>
    <t>Office Supply Manuals</t>
  </si>
  <si>
    <t>Power Tool &amp; Equipment Manuals</t>
  </si>
  <si>
    <t>Vehicle Service Manuals</t>
  </si>
  <si>
    <t>Sheet Music</t>
  </si>
  <si>
    <t>Office Supplies</t>
  </si>
  <si>
    <t>Book Accessories</t>
  </si>
  <si>
    <t>Book Covers</t>
  </si>
  <si>
    <t>Book Lights</t>
  </si>
  <si>
    <t>Book Stands &amp; Rests</t>
  </si>
  <si>
    <t>Bookmarks</t>
  </si>
  <si>
    <t>Desk Pads &amp; Blotters</t>
  </si>
  <si>
    <t>Filing &amp; Organization</t>
  </si>
  <si>
    <t>Address Books</t>
  </si>
  <si>
    <t>Binding Supplies</t>
  </si>
  <si>
    <t>Binder Accessories</t>
  </si>
  <si>
    <t>Binder Rings</t>
  </si>
  <si>
    <t>Index Dividers</t>
  </si>
  <si>
    <t>Sheet Protectors</t>
  </si>
  <si>
    <t>Binders</t>
  </si>
  <si>
    <t>Binding Combs &amp; Spines</t>
  </si>
  <si>
    <t>Binding Machines</t>
  </si>
  <si>
    <t>Business Card Books</t>
  </si>
  <si>
    <t>Business Card Stands</t>
  </si>
  <si>
    <t>CD/DVD Cases &amp; Organizers</t>
  </si>
  <si>
    <t>Calendars, Organizers &amp; Planners</t>
  </si>
  <si>
    <t>Card Files</t>
  </si>
  <si>
    <t>Card Sleeves</t>
  </si>
  <si>
    <t>Cash Boxes</t>
  </si>
  <si>
    <t>Desk Organizers</t>
  </si>
  <si>
    <t>File Boxes</t>
  </si>
  <si>
    <t>File Folders</t>
  </si>
  <si>
    <t>Folders &amp; Report Covers</t>
  </si>
  <si>
    <t>Pocket Folders</t>
  </si>
  <si>
    <t>Report Covers</t>
  </si>
  <si>
    <t>Greeting Card Organizers</t>
  </si>
  <si>
    <t>Mail Sorters</t>
  </si>
  <si>
    <t>Pen &amp; Pencil Cases</t>
  </si>
  <si>
    <t>Portfolios &amp; Padfolios</t>
  </si>
  <si>
    <t>Padfolios</t>
  </si>
  <si>
    <t>Portfolios</t>
  </si>
  <si>
    <t>Recipe Card Boxes</t>
  </si>
  <si>
    <t>General Office Supplies</t>
  </si>
  <si>
    <t>Brass Fasteners</t>
  </si>
  <si>
    <t>Correction Fluids, Pens &amp; Tapes</t>
  </si>
  <si>
    <t>Correction Fluids</t>
  </si>
  <si>
    <t>Correction Pens</t>
  </si>
  <si>
    <t>Correction Tapes</t>
  </si>
  <si>
    <t>Erasers</t>
  </si>
  <si>
    <t>Labels &amp; Tags</t>
  </si>
  <si>
    <t>Address Labels</t>
  </si>
  <si>
    <t>Folder Tabs</t>
  </si>
  <si>
    <t>Label Clips</t>
  </si>
  <si>
    <t>Label Tapes &amp; Refill Rolls</t>
  </si>
  <si>
    <t>Shipping Labels</t>
  </si>
  <si>
    <t>Shipping Tags</t>
  </si>
  <si>
    <t>Laminating Film, Pouches &amp; Sheets</t>
  </si>
  <si>
    <t>Mounting Putty</t>
  </si>
  <si>
    <t>Office Tape</t>
  </si>
  <si>
    <t>Paper Clips &amp; Clamps</t>
  </si>
  <si>
    <t>Binder Clips</t>
  </si>
  <si>
    <t>Paper Clips</t>
  </si>
  <si>
    <t>Paper Products</t>
  </si>
  <si>
    <t>Binder Paper</t>
  </si>
  <si>
    <t>Blank ID Cards</t>
  </si>
  <si>
    <t>Business Cards</t>
  </si>
  <si>
    <t>Business Forms &amp; Receipts</t>
  </si>
  <si>
    <t>Checks</t>
  </si>
  <si>
    <t>Cover Paper</t>
  </si>
  <si>
    <t>Envelopes</t>
  </si>
  <si>
    <t>Index Cards</t>
  </si>
  <si>
    <t>Notebooks &amp; Notepads</t>
  </si>
  <si>
    <t>Post Cards</t>
  </si>
  <si>
    <t>Printer &amp; Copier Paper</t>
  </si>
  <si>
    <t>Receipt &amp; Adding Machine Paper Rolls</t>
  </si>
  <si>
    <t>Stationery</t>
  </si>
  <si>
    <t>Sticky Notes</t>
  </si>
  <si>
    <t>Rubber Bands</t>
  </si>
  <si>
    <t>Staples</t>
  </si>
  <si>
    <t>Tacks &amp; Pushpins</t>
  </si>
  <si>
    <t>Impulse Sealers</t>
  </si>
  <si>
    <t>Lap Desks</t>
  </si>
  <si>
    <t>Name Plates</t>
  </si>
  <si>
    <t>Office &amp; Chair Mats</t>
  </si>
  <si>
    <t>Anti-Fatigue Mats</t>
  </si>
  <si>
    <t>Chair Mats</t>
  </si>
  <si>
    <t>Office Mats</t>
  </si>
  <si>
    <t>Office Carts</t>
  </si>
  <si>
    <t>AV Carts</t>
  </si>
  <si>
    <t>Book Carts</t>
  </si>
  <si>
    <t>File Carts</t>
  </si>
  <si>
    <t>Mail Carts</t>
  </si>
  <si>
    <t>Utility Carts</t>
  </si>
  <si>
    <t>Office Equipment</t>
  </si>
  <si>
    <t>Calculator Accessories</t>
  </si>
  <si>
    <t>Calculators</t>
  </si>
  <si>
    <t>Basic Calculators</t>
  </si>
  <si>
    <t>Construction Calculators</t>
  </si>
  <si>
    <t>Financial Calculators</t>
  </si>
  <si>
    <t>Graphing Calculators</t>
  </si>
  <si>
    <t>Scientific Calculators</t>
  </si>
  <si>
    <t>Electronic Dictionaries &amp; Translators</t>
  </si>
  <si>
    <t>Label Makers</t>
  </si>
  <si>
    <t>Laminators</t>
  </si>
  <si>
    <t>Office Shredders</t>
  </si>
  <si>
    <t>Postage Meters</t>
  </si>
  <si>
    <t>Time &amp; Attendance Clocks</t>
  </si>
  <si>
    <t>Transcribers &amp; Dictation Systems</t>
  </si>
  <si>
    <t>Typewriters</t>
  </si>
  <si>
    <t>Office Instruments</t>
  </si>
  <si>
    <t>Call Bells</t>
  </si>
  <si>
    <t>Clipboards</t>
  </si>
  <si>
    <t>Letter Openers</t>
  </si>
  <si>
    <t>Magnifiers</t>
  </si>
  <si>
    <t>Office Rubber Stamps</t>
  </si>
  <si>
    <t>Pencil Sharpeners</t>
  </si>
  <si>
    <t>Staple Removers</t>
  </si>
  <si>
    <t>Staplers</t>
  </si>
  <si>
    <t>Tape Dispensers</t>
  </si>
  <si>
    <t>Writing &amp; Drawing Instrument Accessories</t>
  </si>
  <si>
    <t>Marker &amp; Highlighter Ink Refills</t>
  </si>
  <si>
    <t>Highlighter Refills</t>
  </si>
  <si>
    <t>Marker Refills</t>
  </si>
  <si>
    <t>Pen Ink &amp; Refills</t>
  </si>
  <si>
    <t>Pencil Lead &amp; Refills</t>
  </si>
  <si>
    <t>Writing &amp; Drawing Instruments</t>
  </si>
  <si>
    <t>Art Charcoals</t>
  </si>
  <si>
    <t>Chalk</t>
  </si>
  <si>
    <t>Crayons</t>
  </si>
  <si>
    <t>Markers &amp; Highlighters</t>
  </si>
  <si>
    <t>Highlighters</t>
  </si>
  <si>
    <t>Markers</t>
  </si>
  <si>
    <t>Multifunction Writing Instruments</t>
  </si>
  <si>
    <t>Pastels</t>
  </si>
  <si>
    <t>Pens &amp; Pencils</t>
  </si>
  <si>
    <t>Pen &amp; Pencil Sets</t>
  </si>
  <si>
    <t>Pencils</t>
  </si>
  <si>
    <t>Pens</t>
  </si>
  <si>
    <t>Paper Handling</t>
  </si>
  <si>
    <t>Fingertip Grips</t>
  </si>
  <si>
    <t>Hole Punches</t>
  </si>
  <si>
    <t>Paper Folding Machines</t>
  </si>
  <si>
    <t>Paper Joggers</t>
  </si>
  <si>
    <t>Paperweights</t>
  </si>
  <si>
    <t>Pencil Boards</t>
  </si>
  <si>
    <t>Presentation Supplies</t>
  </si>
  <si>
    <t>Chalkboards</t>
  </si>
  <si>
    <t>Display Boards</t>
  </si>
  <si>
    <t>Bulletin Board Accessories</t>
  </si>
  <si>
    <t>Bulletin Board Trim</t>
  </si>
  <si>
    <t>Bulletin Board Trim Sets</t>
  </si>
  <si>
    <t>Bulletin Boards</t>
  </si>
  <si>
    <t>Foam Boards</t>
  </si>
  <si>
    <t>Mounting Boards</t>
  </si>
  <si>
    <t>Poster Boards</t>
  </si>
  <si>
    <t>Document Cameras</t>
  </si>
  <si>
    <t>Dry-Erase Boards</t>
  </si>
  <si>
    <t>Easel Pads</t>
  </si>
  <si>
    <t>Easels</t>
  </si>
  <si>
    <t>Laser Pointers</t>
  </si>
  <si>
    <t>Lecterns</t>
  </si>
  <si>
    <t>Transparencies</t>
  </si>
  <si>
    <t>Wireless Presenters</t>
  </si>
  <si>
    <t>Shipping Supplies</t>
  </si>
  <si>
    <t>Moving &amp; Shipping Boxes</t>
  </si>
  <si>
    <t>Packing Materials</t>
  </si>
  <si>
    <t>Packing Tape</t>
  </si>
  <si>
    <t>Religious &amp; Ceremonial</t>
  </si>
  <si>
    <t>Memorial Ceremony Supplies</t>
  </si>
  <si>
    <t>Memorial Urns</t>
  </si>
  <si>
    <t>Religious Items</t>
  </si>
  <si>
    <t>Prayer Beads</t>
  </si>
  <si>
    <t>Prayer Cards</t>
  </si>
  <si>
    <t>Religious Altars</t>
  </si>
  <si>
    <t>Religious Veils</t>
  </si>
  <si>
    <t>Tarot Cards</t>
  </si>
  <si>
    <t>Wedding Ceremony Supplies</t>
  </si>
  <si>
    <t>Aisle Runners</t>
  </si>
  <si>
    <t>Flower Girl Baskets</t>
  </si>
  <si>
    <t>Ring Pillows &amp; Holders</t>
  </si>
  <si>
    <t>Software</t>
  </si>
  <si>
    <t>Computer Software</t>
  </si>
  <si>
    <t>Antivirus &amp; Security Software</t>
  </si>
  <si>
    <t>Business &amp; Productivity Software</t>
  </si>
  <si>
    <t>Compilers &amp; Programming Tools</t>
  </si>
  <si>
    <t>Computer Utilities &amp; Maintenance Software</t>
  </si>
  <si>
    <t>Dictionary &amp; Translation Software</t>
  </si>
  <si>
    <t>Educational Software</t>
  </si>
  <si>
    <t>Financial, Tax &amp; Accounting Software</t>
  </si>
  <si>
    <t>GPS Map Data &amp; Software</t>
  </si>
  <si>
    <t>Handheld &amp; PDA Software</t>
  </si>
  <si>
    <t>Multimedia &amp; Design Software</t>
  </si>
  <si>
    <t>3D Modeling Software</t>
  </si>
  <si>
    <t>Animation Editing Software</t>
  </si>
  <si>
    <t>Graphic Design &amp; Illustration Software</t>
  </si>
  <si>
    <t>Home &amp; Interior Design Software</t>
  </si>
  <si>
    <t>Home Publishing Software</t>
  </si>
  <si>
    <t>Media Viewing Software</t>
  </si>
  <si>
    <t>Music Composition Software</t>
  </si>
  <si>
    <t>Sound Editing Software</t>
  </si>
  <si>
    <t>Video Editing Software</t>
  </si>
  <si>
    <t>Web Design Software</t>
  </si>
  <si>
    <t>Network Software</t>
  </si>
  <si>
    <t>Office Application Software</t>
  </si>
  <si>
    <t>Operating Systems</t>
  </si>
  <si>
    <t>Restore Disks</t>
  </si>
  <si>
    <t>Digital Goods &amp; Currency</t>
  </si>
  <si>
    <t>Computer Icons</t>
  </si>
  <si>
    <t>Desktop Wallpaper</t>
  </si>
  <si>
    <t>Digital Artwork</t>
  </si>
  <si>
    <t>Document Templates</t>
  </si>
  <si>
    <t>Fonts</t>
  </si>
  <si>
    <t>Stock Photographs &amp; Video Footage</t>
  </si>
  <si>
    <t>Virtual Currency</t>
  </si>
  <si>
    <t>Video Game Software</t>
  </si>
  <si>
    <t>Sporting Goods</t>
  </si>
  <si>
    <t>Athletics</t>
  </si>
  <si>
    <t>American Football</t>
  </si>
  <si>
    <t>American Football Gloves</t>
  </si>
  <si>
    <t>American Football Goal Posts</t>
  </si>
  <si>
    <t>American Football Kicking Tees &amp; Holders</t>
  </si>
  <si>
    <t>American Football Protective Gear</t>
  </si>
  <si>
    <t>American Football Girdles</t>
  </si>
  <si>
    <t>American Football Helmet Accessories</t>
  </si>
  <si>
    <t>American Football Helmets</t>
  </si>
  <si>
    <t>American Football Neck Rolls</t>
  </si>
  <si>
    <t>American Football Rib Protection Shirts &amp; Vests</t>
  </si>
  <si>
    <t>American Football Shoulder Pads</t>
  </si>
  <si>
    <t>American Football Training Equipment</t>
  </si>
  <si>
    <t>American Football Dummies &amp; Sleds</t>
  </si>
  <si>
    <t>American Footballs</t>
  </si>
  <si>
    <t>Baseball &amp; Softball</t>
  </si>
  <si>
    <t>Baseball &amp; Softball Bases &amp; Plates</t>
  </si>
  <si>
    <t>Baseball &amp; Softball Batting Gloves</t>
  </si>
  <si>
    <t>Baseball &amp; Softball Gloves &amp; Mitts</t>
  </si>
  <si>
    <t>Baseball &amp; Softball Pitching Mats</t>
  </si>
  <si>
    <t>Baseball &amp; Softball Pitching Mounds</t>
  </si>
  <si>
    <t>Baseball &amp; Softball Protective Gear</t>
  </si>
  <si>
    <t>Baseball &amp; Softball Batting Helmets</t>
  </si>
  <si>
    <t>Baseball &amp; Softball Chest Protectors</t>
  </si>
  <si>
    <t>Baseball &amp; Softball Leg Guards</t>
  </si>
  <si>
    <t>Catchers Equipment Sets</t>
  </si>
  <si>
    <t>Catchers Helmets &amp; Masks</t>
  </si>
  <si>
    <t>Baseball Bats</t>
  </si>
  <si>
    <t>Baseballs</t>
  </si>
  <si>
    <t>Pitching Machines</t>
  </si>
  <si>
    <t>Softball Bats</t>
  </si>
  <si>
    <t>Softballs</t>
  </si>
  <si>
    <t>Basketball</t>
  </si>
  <si>
    <t>Basketball Hoop Parts &amp; Accessories</t>
  </si>
  <si>
    <t>Basketball Backboards</t>
  </si>
  <si>
    <t>Basketball Hoop Padding</t>
  </si>
  <si>
    <t>Basketball Hoop Posts</t>
  </si>
  <si>
    <t>Basketball Nets</t>
  </si>
  <si>
    <t>Basketball Rims</t>
  </si>
  <si>
    <t>Basketball Hoops</t>
  </si>
  <si>
    <t>Basketball Training Aids</t>
  </si>
  <si>
    <t>Basketballs</t>
  </si>
  <si>
    <t>Boxing &amp; Martial Arts</t>
  </si>
  <si>
    <t>Boxing &amp; Martial Arts Protective Gear</t>
  </si>
  <si>
    <t>Boxing &amp; MMA Hand Wraps</t>
  </si>
  <si>
    <t>Boxing &amp; Martial Arts Arm Guards</t>
  </si>
  <si>
    <t>Boxing &amp; Martial Arts Body Protectors</t>
  </si>
  <si>
    <t>Boxing &amp; Martial Arts Headgear</t>
  </si>
  <si>
    <t>Boxing Gloves &amp; Mitts</t>
  </si>
  <si>
    <t>MMA Shin Guards</t>
  </si>
  <si>
    <t>Boxing &amp; Martial Arts Training Equipment</t>
  </si>
  <si>
    <t>Boxing &amp; MMA Punch Mitts</t>
  </si>
  <si>
    <t>Grappling Dummies</t>
  </si>
  <si>
    <t>Punching &amp; Training Bag Accessories</t>
  </si>
  <si>
    <t>Punching &amp; Training Bags</t>
  </si>
  <si>
    <t>Strike Shields</t>
  </si>
  <si>
    <t>Boxing Ring Parts</t>
  </si>
  <si>
    <t>Boxing Rings</t>
  </si>
  <si>
    <t>Martial Arts Belts</t>
  </si>
  <si>
    <t>Martial Arts Weapons</t>
  </si>
  <si>
    <t>Broomball Equipment</t>
  </si>
  <si>
    <t>Cheerleading</t>
  </si>
  <si>
    <t>Cheerleading Pom Poms</t>
  </si>
  <si>
    <t>Coaching &amp; Officiating</t>
  </si>
  <si>
    <t>Captains Armbands</t>
  </si>
  <si>
    <t>Field &amp; Court Boundary Markers</t>
  </si>
  <si>
    <t>Flip Coins &amp; Discs</t>
  </si>
  <si>
    <t>Linesman Flags</t>
  </si>
  <si>
    <t>Penalty Cards &amp; Flags</t>
  </si>
  <si>
    <t>Pitch Counters</t>
  </si>
  <si>
    <t>Referee Stands &amp; Chairs</t>
  </si>
  <si>
    <t>Referee Wallets</t>
  </si>
  <si>
    <t>Scoreboards</t>
  </si>
  <si>
    <t>Sport &amp; Safety Whistles</t>
  </si>
  <si>
    <t>Umpire Indicators</t>
  </si>
  <si>
    <t>Cricket</t>
  </si>
  <si>
    <t>Cricket Balls</t>
  </si>
  <si>
    <t>Cricket Bat Accessories</t>
  </si>
  <si>
    <t>Cricket Bat Grips</t>
  </si>
  <si>
    <t>Cricket Bats</t>
  </si>
  <si>
    <t>Cricket Equipment Sets</t>
  </si>
  <si>
    <t>Cricket Protective Gear</t>
  </si>
  <si>
    <t>Cricket Gloves</t>
  </si>
  <si>
    <t>Cricket Helmets</t>
  </si>
  <si>
    <t>Cricket Leg Guards</t>
  </si>
  <si>
    <t>Cricket Stumps</t>
  </si>
  <si>
    <t>Dancing</t>
  </si>
  <si>
    <t>Ballet Barres</t>
  </si>
  <si>
    <t>Fencing</t>
  </si>
  <si>
    <t>Fencing Protective Gear</t>
  </si>
  <si>
    <t>Fencing Gloves &amp; Cuffs</t>
  </si>
  <si>
    <t>Fencing Jackets &amp; Lamés</t>
  </si>
  <si>
    <t>Fencing Masks</t>
  </si>
  <si>
    <t>Fencing Weapons</t>
  </si>
  <si>
    <t>Field Hockey &amp; Lacrosse</t>
  </si>
  <si>
    <t>Field Hockey &amp; Lacrosse Protective Gear</t>
  </si>
  <si>
    <t>Field Hockey &amp; Lacrosse Gloves</t>
  </si>
  <si>
    <t>Field Hockey &amp; Lacrosse Helmets</t>
  </si>
  <si>
    <t>Field Hockey &amp; Lacrosse Masks &amp; Goggles</t>
  </si>
  <si>
    <t>Field Hockey &amp; Lacrosse Pads</t>
  </si>
  <si>
    <t>Field Hockey Balls</t>
  </si>
  <si>
    <t>Field Hockey Goals</t>
  </si>
  <si>
    <t>Field Hockey Sticks</t>
  </si>
  <si>
    <t>Lacrosse Balls</t>
  </si>
  <si>
    <t>Lacrosse Equipment Sets</t>
  </si>
  <si>
    <t>Lacrosse Goals</t>
  </si>
  <si>
    <t>Lacrosse Stick Parts</t>
  </si>
  <si>
    <t>Lacrosse Mesh &amp; String</t>
  </si>
  <si>
    <t>Lacrosse Stick Heads</t>
  </si>
  <si>
    <t>Lacrosse Stick Shafts</t>
  </si>
  <si>
    <t>Lacrosse Sticks</t>
  </si>
  <si>
    <t>Lacrosse Training Aids</t>
  </si>
  <si>
    <t>Figure Skating &amp; Hockey</t>
  </si>
  <si>
    <t>Hockey Balls &amp; Pucks</t>
  </si>
  <si>
    <t>Hockey Goals</t>
  </si>
  <si>
    <t>Hockey Protective Gear</t>
  </si>
  <si>
    <t>Hockey Elbow Pads</t>
  </si>
  <si>
    <t>Hockey Gloves</t>
  </si>
  <si>
    <t>Hockey Goalie Equipment Sets</t>
  </si>
  <si>
    <t>Hockey Helmets</t>
  </si>
  <si>
    <t>Hockey Pants</t>
  </si>
  <si>
    <t>Hockey Shin Guards &amp; Leg Pads</t>
  </si>
  <si>
    <t>Hockey Shoulder Pads &amp; Chest Protectors</t>
  </si>
  <si>
    <t>Hockey Suspenders &amp; Belts</t>
  </si>
  <si>
    <t>Hockey Sledges</t>
  </si>
  <si>
    <t>Hockey Stick Care</t>
  </si>
  <si>
    <t>Hockey Stick Parts</t>
  </si>
  <si>
    <t>Hockey Stick Blades</t>
  </si>
  <si>
    <t>Hockey Stick Shafts</t>
  </si>
  <si>
    <t>Hockey Sticks</t>
  </si>
  <si>
    <t>Ice Skate Parts &amp; Accessories</t>
  </si>
  <si>
    <t>Figure Skate Boots</t>
  </si>
  <si>
    <t>Ice Skate Blades</t>
  </si>
  <si>
    <t>Ice Skate Sharpeners</t>
  </si>
  <si>
    <t>Skate Blade Guards</t>
  </si>
  <si>
    <t>Skate Lace Tighteners</t>
  </si>
  <si>
    <t>Ice Skates</t>
  </si>
  <si>
    <t>General Purpose Athletic Equipment</t>
  </si>
  <si>
    <t>Altitude Training Masks</t>
  </si>
  <si>
    <t>Athletic Cups</t>
  </si>
  <si>
    <t>Ball Carrying Bags &amp; Carts</t>
  </si>
  <si>
    <t>Ball Pump Accessories</t>
  </si>
  <si>
    <t>Ball Pump Needles</t>
  </si>
  <si>
    <t>Ball Pumps</t>
  </si>
  <si>
    <t>Exercise &amp; Gym Mat Storage Racks &amp; Carts</t>
  </si>
  <si>
    <t>Grip Spray &amp; Chalk</t>
  </si>
  <si>
    <t>Gym Mats</t>
  </si>
  <si>
    <t>Practice Nets &amp; Screens</t>
  </si>
  <si>
    <t>Speed &amp; Agility Ladders &amp; Hurdles</t>
  </si>
  <si>
    <t>Sports &amp; Agility Cones</t>
  </si>
  <si>
    <t>Sports Megaphones</t>
  </si>
  <si>
    <t>Sports Mouthguards</t>
  </si>
  <si>
    <t>Stadium Seats &amp; Cushions</t>
  </si>
  <si>
    <t>Gymnastics</t>
  </si>
  <si>
    <t>Gymnastics Bars &amp; Balance Beams</t>
  </si>
  <si>
    <t>Gymnastics Protective Gear</t>
  </si>
  <si>
    <t>Gymnastics Grips</t>
  </si>
  <si>
    <t>Gymnastics Rings</t>
  </si>
  <si>
    <t>Gymnastics Springboards</t>
  </si>
  <si>
    <t>Pommel Horses</t>
  </si>
  <si>
    <t>Vaulting Horses</t>
  </si>
  <si>
    <t>Racquetball &amp; Squash</t>
  </si>
  <si>
    <t>Racquetball &amp; Squash Balls</t>
  </si>
  <si>
    <t>Racquetball &amp; Squash Eyewear</t>
  </si>
  <si>
    <t>Racquetball &amp; Squash Gloves</t>
  </si>
  <si>
    <t>Racquetball Racquets</t>
  </si>
  <si>
    <t>Squash Racquets</t>
  </si>
  <si>
    <t>Rounders</t>
  </si>
  <si>
    <t>Rounders Bats</t>
  </si>
  <si>
    <t>Rounders Gloves</t>
  </si>
  <si>
    <t>Rugby</t>
  </si>
  <si>
    <t>Rugby Balls</t>
  </si>
  <si>
    <t>Rugby Gloves</t>
  </si>
  <si>
    <t>Rugby Posts</t>
  </si>
  <si>
    <t>Rugby Protective Gear</t>
  </si>
  <si>
    <t>Rugby Headgear</t>
  </si>
  <si>
    <t>Rugby Training Aids</t>
  </si>
  <si>
    <t>Soccer</t>
  </si>
  <si>
    <t>Soccer Balls</t>
  </si>
  <si>
    <t>Soccer Corner Flags</t>
  </si>
  <si>
    <t>Soccer Gloves</t>
  </si>
  <si>
    <t>Soccer Goal Accessories</t>
  </si>
  <si>
    <t>Soccer Goals</t>
  </si>
  <si>
    <t>Soccer Protective Gear</t>
  </si>
  <si>
    <t>Soccer Shin Guards</t>
  </si>
  <si>
    <t>Team Handball</t>
  </si>
  <si>
    <t>Handballs</t>
  </si>
  <si>
    <t>Tennis</t>
  </si>
  <si>
    <t>Tennis Ball Hoppers &amp; Carts</t>
  </si>
  <si>
    <t>Tennis Ball Machines</t>
  </si>
  <si>
    <t>Tennis Ball Savers</t>
  </si>
  <si>
    <t>Tennis Balls</t>
  </si>
  <si>
    <t>Tennis Nets</t>
  </si>
  <si>
    <t>Tennis Racquet Accessories</t>
  </si>
  <si>
    <t>Racquet Vibration Dampeners</t>
  </si>
  <si>
    <t>Tennis Racquet Bags</t>
  </si>
  <si>
    <t>Tennis Racquet Grips &amp; Tape</t>
  </si>
  <si>
    <t>Tennis Racquet Grommets</t>
  </si>
  <si>
    <t>Tennis Racquet String</t>
  </si>
  <si>
    <t>Tennis Racquets</t>
  </si>
  <si>
    <t>Track &amp; Field</t>
  </si>
  <si>
    <t>Discus</t>
  </si>
  <si>
    <t>High Jump Crossbars</t>
  </si>
  <si>
    <t>High Jump Pits</t>
  </si>
  <si>
    <t>Javelins</t>
  </si>
  <si>
    <t>Pole Vault Pits</t>
  </si>
  <si>
    <t>Relay Batons</t>
  </si>
  <si>
    <t>Shot Puts</t>
  </si>
  <si>
    <t>Starter Pistols</t>
  </si>
  <si>
    <t>Throwing Hammers</t>
  </si>
  <si>
    <t>Track Hurdles</t>
  </si>
  <si>
    <t>Track Starting Blocks</t>
  </si>
  <si>
    <t>Vaulting Poles</t>
  </si>
  <si>
    <t>Volleyball</t>
  </si>
  <si>
    <t>Volleyball Nets</t>
  </si>
  <si>
    <t>Volleyball Protective Gear</t>
  </si>
  <si>
    <t>Volleyball Knee Pads</t>
  </si>
  <si>
    <t>Volleyball Training Aids</t>
  </si>
  <si>
    <t>Volleyballs</t>
  </si>
  <si>
    <t>Wallyball Equipment</t>
  </si>
  <si>
    <t>Water Polo</t>
  </si>
  <si>
    <t>Water Polo Balls</t>
  </si>
  <si>
    <t>Water Polo Caps</t>
  </si>
  <si>
    <t>Water Polo Goals</t>
  </si>
  <si>
    <t>Wrestling</t>
  </si>
  <si>
    <t>Wrestling Protective Gear</t>
  </si>
  <si>
    <t>Wrestling Headgear</t>
  </si>
  <si>
    <t>Wrestling Knee Pads</t>
  </si>
  <si>
    <t>Exercise &amp; Fitness</t>
  </si>
  <si>
    <t>Ab Wheels &amp; Rollers</t>
  </si>
  <si>
    <t>Aerobic Steps</t>
  </si>
  <si>
    <t>Balance Trainers</t>
  </si>
  <si>
    <t>Cardio</t>
  </si>
  <si>
    <t>Cardio Machine Accessories</t>
  </si>
  <si>
    <t>Elliptical Trainer Accessories</t>
  </si>
  <si>
    <t>Exercise Bike Accessories</t>
  </si>
  <si>
    <t>Rowing Machine Accessories</t>
  </si>
  <si>
    <t>Stair Climber &amp; Stepper Accessories</t>
  </si>
  <si>
    <t>Treadmill Accessories</t>
  </si>
  <si>
    <t>Cardio Machines</t>
  </si>
  <si>
    <t>Elliptical Trainers</t>
  </si>
  <si>
    <t>Exercise Bikes</t>
  </si>
  <si>
    <t>Rowing Machines</t>
  </si>
  <si>
    <t>Stair Climbers &amp; Steppers</t>
  </si>
  <si>
    <t>Treadmills</t>
  </si>
  <si>
    <t>Jump Ropes</t>
  </si>
  <si>
    <t>Exercise Balls</t>
  </si>
  <si>
    <t>Exercise Bands</t>
  </si>
  <si>
    <t>Exercise Benches</t>
  </si>
  <si>
    <t>Exercise Equipment Mats</t>
  </si>
  <si>
    <t>Exercise Machine &amp; Equipment Sets</t>
  </si>
  <si>
    <t>Exercise Wedges</t>
  </si>
  <si>
    <t>Foam Roller Accessories</t>
  </si>
  <si>
    <t>Foam Roller Storage Bags</t>
  </si>
  <si>
    <t>Foam Rollers</t>
  </si>
  <si>
    <t>Hand Exercisers</t>
  </si>
  <si>
    <t>Inversion Tables &amp; Systems</t>
  </si>
  <si>
    <t>Medicine Balls</t>
  </si>
  <si>
    <t>Power Towers</t>
  </si>
  <si>
    <t>Push Up &amp; Pull Up Bars</t>
  </si>
  <si>
    <t>Reaction Balls</t>
  </si>
  <si>
    <t>Speed &amp; Resistance Parachutes</t>
  </si>
  <si>
    <t>Sport Safety Lights &amp; Reflectors</t>
  </si>
  <si>
    <t>Stopwatches</t>
  </si>
  <si>
    <t>Suspension Trainers</t>
  </si>
  <si>
    <t>Vibration Exercise Machines</t>
  </si>
  <si>
    <t>Weight Lifting</t>
  </si>
  <si>
    <t>Free Weight Accessories</t>
  </si>
  <si>
    <t>Free Weight Storage Racks</t>
  </si>
  <si>
    <t>Weight Bar Collars</t>
  </si>
  <si>
    <t>Weight Bars</t>
  </si>
  <si>
    <t>Free Weights</t>
  </si>
  <si>
    <t>Weight Lifting Belts</t>
  </si>
  <si>
    <t>Weight Lifting Gloves &amp; Hand Supports</t>
  </si>
  <si>
    <t>Weight Lifting Machine &amp; Exercise Bench Accessories</t>
  </si>
  <si>
    <t>Weight Lifting Machines &amp; Racks</t>
  </si>
  <si>
    <t>Weighted Clothing</t>
  </si>
  <si>
    <t>Yoga &amp; Pilates</t>
  </si>
  <si>
    <t>Pilates Machines</t>
  </si>
  <si>
    <t>Yoga &amp; Pilates Blocks</t>
  </si>
  <si>
    <t>Yoga &amp; Pilates Mats</t>
  </si>
  <si>
    <t>Yoga &amp; Pilates Towels</t>
  </si>
  <si>
    <t>Yoga Mat Bags &amp; Straps</t>
  </si>
  <si>
    <t>Indoor Games</t>
  </si>
  <si>
    <t>Air Hockey</t>
  </si>
  <si>
    <t>Air Hockey Equipment</t>
  </si>
  <si>
    <t>Air Hockey Table Parts</t>
  </si>
  <si>
    <t>Air Hockey Tables</t>
  </si>
  <si>
    <t>Billiards</t>
  </si>
  <si>
    <t>Billiard Ball Racks</t>
  </si>
  <si>
    <t>Billiard Balls</t>
  </si>
  <si>
    <t>Billiard Cue Accessories</t>
  </si>
  <si>
    <t>Billiard Cue Cases</t>
  </si>
  <si>
    <t>Billiard Cue Chalk</t>
  </si>
  <si>
    <t>Billiard Cue Racks</t>
  </si>
  <si>
    <t>Billiard Cues &amp; Bridges</t>
  </si>
  <si>
    <t>Billiard Gloves</t>
  </si>
  <si>
    <t>Billiard Table Lights</t>
  </si>
  <si>
    <t>Billiard Table Parts &amp; Accessories</t>
  </si>
  <si>
    <t>Billiard Pockets</t>
  </si>
  <si>
    <t>Billiard Table Brushes</t>
  </si>
  <si>
    <t>Billiard Table Cloth</t>
  </si>
  <si>
    <t>Billiard Table Covers</t>
  </si>
  <si>
    <t>Billiard Tables</t>
  </si>
  <si>
    <t>Bowling</t>
  </si>
  <si>
    <t>Bowling Ball Bags</t>
  </si>
  <si>
    <t>Bowling Balls</t>
  </si>
  <si>
    <t>Bowling Gloves</t>
  </si>
  <si>
    <t>Bowling Pins</t>
  </si>
  <si>
    <t>Bowling Wrist Supports</t>
  </si>
  <si>
    <t>Foosball</t>
  </si>
  <si>
    <t>Foosball Balls</t>
  </si>
  <si>
    <t>Foosball Table Parts &amp; Accessories</t>
  </si>
  <si>
    <t>Foosball Tables</t>
  </si>
  <si>
    <t>Multi-Game Tables</t>
  </si>
  <si>
    <t>Ping Pong</t>
  </si>
  <si>
    <t>Ping Pong Balls</t>
  </si>
  <si>
    <t>Ping Pong Nets &amp; Posts</t>
  </si>
  <si>
    <t>Ping Pong Paddle Accessories</t>
  </si>
  <si>
    <t>Ping Pong Paddles &amp; Sets</t>
  </si>
  <si>
    <t>Ping Pong Robot Accessories</t>
  </si>
  <si>
    <t>Ping Pong Robots</t>
  </si>
  <si>
    <t>Ping Pong Tables</t>
  </si>
  <si>
    <t>Table Shuffleboard</t>
  </si>
  <si>
    <t>Shuffleboard Tables</t>
  </si>
  <si>
    <t>Table Shuffleboard Powder</t>
  </si>
  <si>
    <t>Table Shuffleboard Pucks</t>
  </si>
  <si>
    <t>Throwing Darts</t>
  </si>
  <si>
    <t>Dart Backboards</t>
  </si>
  <si>
    <t>Dart Parts</t>
  </si>
  <si>
    <t>Dart Flights</t>
  </si>
  <si>
    <t>Dart Shafts</t>
  </si>
  <si>
    <t>Dart Tips</t>
  </si>
  <si>
    <t>Dartboards</t>
  </si>
  <si>
    <t>Darts</t>
  </si>
  <si>
    <t>Outdoor Recreation</t>
  </si>
  <si>
    <t>Boating &amp; Water Sports</t>
  </si>
  <si>
    <t>Boating &amp; Rafting</t>
  </si>
  <si>
    <t>Boating Gloves</t>
  </si>
  <si>
    <t>Canoe Accessories</t>
  </si>
  <si>
    <t>Canoes</t>
  </si>
  <si>
    <t>Kayak Accessories</t>
  </si>
  <si>
    <t>Kayaks</t>
  </si>
  <si>
    <t>Paddle Leashes</t>
  </si>
  <si>
    <t>Paddles &amp; Oars</t>
  </si>
  <si>
    <t>Pedal Boats</t>
  </si>
  <si>
    <t>Row Boats</t>
  </si>
  <si>
    <t>Whitewater Rafts</t>
  </si>
  <si>
    <t>Boating &amp; Water Sport Apparel</t>
  </si>
  <si>
    <t>Drysuits</t>
  </si>
  <si>
    <t>Life Jacket Accessories</t>
  </si>
  <si>
    <t>Life Jackets</t>
  </si>
  <si>
    <t>Rash Guards &amp; Swim Shirts</t>
  </si>
  <si>
    <t>Water Sport Helmets</t>
  </si>
  <si>
    <t>Wetsuit Pieces</t>
  </si>
  <si>
    <t>Wetsuits</t>
  </si>
  <si>
    <t>Diving &amp; Snorkeling</t>
  </si>
  <si>
    <t>Buoyancy Compensators</t>
  </si>
  <si>
    <t>Dive Computers</t>
  </si>
  <si>
    <t>Diving &amp; Snorkeling Equipment Sets</t>
  </si>
  <si>
    <t>Diving &amp; Snorkeling Fins</t>
  </si>
  <si>
    <t>Diving &amp; Snorkeling Masks</t>
  </si>
  <si>
    <t>Diving Belts</t>
  </si>
  <si>
    <t>Diving Knives &amp; Shears</t>
  </si>
  <si>
    <t>Diving Regulators</t>
  </si>
  <si>
    <t>Snorkels</t>
  </si>
  <si>
    <t>Kitesurfing</t>
  </si>
  <si>
    <t>Kiteboard Cases</t>
  </si>
  <si>
    <t>Kiteboard Parts</t>
  </si>
  <si>
    <t>Kiteboards</t>
  </si>
  <si>
    <t>Kitesurfing &amp; Windsurfing Harnesses</t>
  </si>
  <si>
    <t>Kitesurfing Kites</t>
  </si>
  <si>
    <t>Surfing</t>
  </si>
  <si>
    <t>Bodyboards</t>
  </si>
  <si>
    <t>Paddleboards</t>
  </si>
  <si>
    <t>Skimboards</t>
  </si>
  <si>
    <t>Surf Leashes</t>
  </si>
  <si>
    <t>Surfboard Cases &amp; Bags</t>
  </si>
  <si>
    <t>Surfboard Fins</t>
  </si>
  <si>
    <t>Surfboard Wax</t>
  </si>
  <si>
    <t>Surfboards</t>
  </si>
  <si>
    <t>Surfing Gloves</t>
  </si>
  <si>
    <t>Surfing Tail Pads</t>
  </si>
  <si>
    <t>Swimming</t>
  </si>
  <si>
    <t>Child Swimming Aids</t>
  </si>
  <si>
    <t>Hand Paddles</t>
  </si>
  <si>
    <t>Kickboards</t>
  </si>
  <si>
    <t>Pull Buoys</t>
  </si>
  <si>
    <t>Swim Belts</t>
  </si>
  <si>
    <t>Swim Caps</t>
  </si>
  <si>
    <t>Swim Gloves</t>
  </si>
  <si>
    <t>Swim Goggle &amp; Mask Accessories</t>
  </si>
  <si>
    <t>Swim Goggles &amp; Masks</t>
  </si>
  <si>
    <t>Swim Weights</t>
  </si>
  <si>
    <t>Swimming Fins</t>
  </si>
  <si>
    <t>Swimming Machines</t>
  </si>
  <si>
    <t>Swimming Nose Clips</t>
  </si>
  <si>
    <t>Towed Water Sports</t>
  </si>
  <si>
    <t>Kneeboarding</t>
  </si>
  <si>
    <t>Towable Rafts &amp; Tubes</t>
  </si>
  <si>
    <t>Towed Water Sport Gloves</t>
  </si>
  <si>
    <t>Wakeboarding</t>
  </si>
  <si>
    <t>Water Skiing</t>
  </si>
  <si>
    <t>Water Sport Tow Cables</t>
  </si>
  <si>
    <t>Watercraft Storage Racks</t>
  </si>
  <si>
    <t>Boat Storage Racks</t>
  </si>
  <si>
    <t>Water Sport Board Storage Racks</t>
  </si>
  <si>
    <t>Windsurfing</t>
  </si>
  <si>
    <t>Windsurfing Board Parts</t>
  </si>
  <si>
    <t>Windsurfing Boards</t>
  </si>
  <si>
    <t>Windsurfing Sails</t>
  </si>
  <si>
    <t>Camping &amp; Hiking</t>
  </si>
  <si>
    <t>Camp Furniture</t>
  </si>
  <si>
    <t>Air Mattress &amp; Sleeping Pad Accessories</t>
  </si>
  <si>
    <t>Air Mattresses</t>
  </si>
  <si>
    <t>Cots</t>
  </si>
  <si>
    <t>Camping Cookware &amp; Dinnerware</t>
  </si>
  <si>
    <t>Camping Lights &amp; Lanterns</t>
  </si>
  <si>
    <t>Camping Tools</t>
  </si>
  <si>
    <t>Hunting &amp; Survival Knives</t>
  </si>
  <si>
    <t>Multifunction Tools &amp; Knives</t>
  </si>
  <si>
    <t>Chemical Hand Warmers</t>
  </si>
  <si>
    <t>Compression Sacks</t>
  </si>
  <si>
    <t>Hiking Pole Accessories</t>
  </si>
  <si>
    <t>Hiking Poles</t>
  </si>
  <si>
    <t>Mosquito Nets &amp; Insect Screens</t>
  </si>
  <si>
    <t>Navigational Compasses</t>
  </si>
  <si>
    <t>Portable Toilets &amp; Showers</t>
  </si>
  <si>
    <t>Portable Showers &amp; Privacy Enclosures</t>
  </si>
  <si>
    <t>Portable Toilets &amp; Urination Devices</t>
  </si>
  <si>
    <t>Portable Water Filters &amp; Purifiers</t>
  </si>
  <si>
    <t>Sleeping Bag Liners</t>
  </si>
  <si>
    <t>Sleeping Bags</t>
  </si>
  <si>
    <t>Sleeping Pads</t>
  </si>
  <si>
    <t>Tent Accessories</t>
  </si>
  <si>
    <t>Inner Tents</t>
  </si>
  <si>
    <t>Tent Footprints</t>
  </si>
  <si>
    <t>Tent Poles &amp; Stakes</t>
  </si>
  <si>
    <t>Tent Vestibules</t>
  </si>
  <si>
    <t>Tents</t>
  </si>
  <si>
    <t>Windbreaks</t>
  </si>
  <si>
    <t>Climbing</t>
  </si>
  <si>
    <t>Belay Devices</t>
  </si>
  <si>
    <t>Carabiners</t>
  </si>
  <si>
    <t>Climbing Apparel &amp; Accessories</t>
  </si>
  <si>
    <t>Climbing Gloves</t>
  </si>
  <si>
    <t>Climbing Helmets</t>
  </si>
  <si>
    <t>Crampons</t>
  </si>
  <si>
    <t>Climbing Ascenders &amp; Descenders</t>
  </si>
  <si>
    <t>Climbing Chalk Bags</t>
  </si>
  <si>
    <t>Climbing Crash Pads</t>
  </si>
  <si>
    <t>Climbing Harnesses</t>
  </si>
  <si>
    <t>Climbing Protection Devices</t>
  </si>
  <si>
    <t>Climbing Rope</t>
  </si>
  <si>
    <t>Climbing Rope Bags</t>
  </si>
  <si>
    <t>Climbing Webbing</t>
  </si>
  <si>
    <t>Ice Climbing Tools</t>
  </si>
  <si>
    <t>Ice Screws</t>
  </si>
  <si>
    <t>Indoor Climbing Holds</t>
  </si>
  <si>
    <t>Quickdraws</t>
  </si>
  <si>
    <t>Cycling</t>
  </si>
  <si>
    <t>Bicycle Accessories</t>
  </si>
  <si>
    <t>Bicycle Bags &amp; Panniers</t>
  </si>
  <si>
    <t>Bicycle Baskets</t>
  </si>
  <si>
    <t>Bicycle Bells &amp; Horns</t>
  </si>
  <si>
    <t>Bicycle Cages</t>
  </si>
  <si>
    <t>Bicycle Child Seat Accessories</t>
  </si>
  <si>
    <t>Bicycle Child Seats</t>
  </si>
  <si>
    <t>Bicycle Computer Accessories</t>
  </si>
  <si>
    <t>Bicycle Computers</t>
  </si>
  <si>
    <t>Bicycle Covers</t>
  </si>
  <si>
    <t>Bicycle Fenders</t>
  </si>
  <si>
    <t>Bicycle Front &amp; Rear Racks</t>
  </si>
  <si>
    <t>Bicycle Handlebar Grips &amp; Decor</t>
  </si>
  <si>
    <t>Bicycle Locks</t>
  </si>
  <si>
    <t>Bicycle Mirrors</t>
  </si>
  <si>
    <t>Bicycle Pumps</t>
  </si>
  <si>
    <t>Bicycle Saddle Pads &amp; Seat Covers</t>
  </si>
  <si>
    <t>Bicycle Shock Pumps</t>
  </si>
  <si>
    <t>Bicycle Spoke Beads</t>
  </si>
  <si>
    <t>Bicycle Stands &amp; Storage</t>
  </si>
  <si>
    <t>Bicycle Tire Repair Supplies &amp; Kits</t>
  </si>
  <si>
    <t>Bicycle Toe Straps &amp; Clips</t>
  </si>
  <si>
    <t>Bicycle Tools</t>
  </si>
  <si>
    <t>Bicycle Trailers</t>
  </si>
  <si>
    <t>Bicycle Trainers</t>
  </si>
  <si>
    <t>Bicycle Training Wheels</t>
  </si>
  <si>
    <t>Bicycle Transport Bags &amp; Cases</t>
  </si>
  <si>
    <t>Bicycle Water Sport Board Racks</t>
  </si>
  <si>
    <t>Electric Bicycle Conversion Kits</t>
  </si>
  <si>
    <t>Bicycle Parts</t>
  </si>
  <si>
    <t>Bicycle Brake Parts</t>
  </si>
  <si>
    <t>Bicycle Cable Housings</t>
  </si>
  <si>
    <t>Bicycle Cables</t>
  </si>
  <si>
    <t>Bicycle Drivetrain Parts</t>
  </si>
  <si>
    <t>Bicycle Forks</t>
  </si>
  <si>
    <t>Bicycle Frames</t>
  </si>
  <si>
    <t>Bicycle Groupsets</t>
  </si>
  <si>
    <t>Bicycle Handlebar Extensions</t>
  </si>
  <si>
    <t>Bicycle Handlebars</t>
  </si>
  <si>
    <t>Bicycle Headset Parts</t>
  </si>
  <si>
    <t>Bicycle Headsets</t>
  </si>
  <si>
    <t>Bicycle Kickstands</t>
  </si>
  <si>
    <t>Bicycle Saddles</t>
  </si>
  <si>
    <t>Bicycle Seatpost Clamps</t>
  </si>
  <si>
    <t>Bicycle Seatposts</t>
  </si>
  <si>
    <t>Bicycle Small Parts</t>
  </si>
  <si>
    <t>Bicycle Stems</t>
  </si>
  <si>
    <t>Bicycle Tire Valve Adapters</t>
  </si>
  <si>
    <t>Bicycle Tire Valve Caps</t>
  </si>
  <si>
    <t>Bicycle Tire Valves</t>
  </si>
  <si>
    <t>Bicycle Tires</t>
  </si>
  <si>
    <t>Bicycle Tubes</t>
  </si>
  <si>
    <t>Bicycle Wheel Parts</t>
  </si>
  <si>
    <t>Bicycle Wheels</t>
  </si>
  <si>
    <t>Bicycles</t>
  </si>
  <si>
    <t>Cycling Apparel &amp; Accessories</t>
  </si>
  <si>
    <t>Bicycle Cleat Accessories</t>
  </si>
  <si>
    <t>Bicycle Cleats</t>
  </si>
  <si>
    <t>Bicycle Gloves</t>
  </si>
  <si>
    <t>Bicycle Helmet Parts &amp; Accessories</t>
  </si>
  <si>
    <t>Bicycle Helmets</t>
  </si>
  <si>
    <t>Bicycle Protective Pads</t>
  </si>
  <si>
    <t>Bicycle Shoe Covers</t>
  </si>
  <si>
    <t>Tricycle Accessories</t>
  </si>
  <si>
    <t>Tricycles</t>
  </si>
  <si>
    <t>Unicycle Accessories</t>
  </si>
  <si>
    <t>Unicycles</t>
  </si>
  <si>
    <t>Equestrian</t>
  </si>
  <si>
    <t>Horse Care</t>
  </si>
  <si>
    <t>Horse Blankets &amp; Sheets</t>
  </si>
  <si>
    <t>Horse Boots &amp; Leg Wraps</t>
  </si>
  <si>
    <t>Horse Feed</t>
  </si>
  <si>
    <t>Horse Fly Masks</t>
  </si>
  <si>
    <t>Horse Grooming</t>
  </si>
  <si>
    <t>Horse Treats</t>
  </si>
  <si>
    <t>Horse Vitamins &amp; Supplements</t>
  </si>
  <si>
    <t>Horse Wormers</t>
  </si>
  <si>
    <t>Horse Tack</t>
  </si>
  <si>
    <t>Bridle Bits</t>
  </si>
  <si>
    <t>Bridles</t>
  </si>
  <si>
    <t>Cinches</t>
  </si>
  <si>
    <t>Horse Halters</t>
  </si>
  <si>
    <t>Horse Harnesses</t>
  </si>
  <si>
    <t>Horse Leads</t>
  </si>
  <si>
    <t>Reins</t>
  </si>
  <si>
    <t>Saddles</t>
  </si>
  <si>
    <t>Stirrups</t>
  </si>
  <si>
    <t>Horse Tack Accessories</t>
  </si>
  <si>
    <t>Horse Tack Boxes</t>
  </si>
  <si>
    <t>Saddle Accessories</t>
  </si>
  <si>
    <t>Riding Apparel &amp; Accessories</t>
  </si>
  <si>
    <t>Equestrian Gloves</t>
  </si>
  <si>
    <t>Equestrian Helmets</t>
  </si>
  <si>
    <t>Riding Crops &amp; Whips</t>
  </si>
  <si>
    <t>Riding Pants</t>
  </si>
  <si>
    <t>Fishing</t>
  </si>
  <si>
    <t>Bite Alarms</t>
  </si>
  <si>
    <t>Fishing &amp; Hunting Waders</t>
  </si>
  <si>
    <t>Fishing Bait &amp; Chum Containers</t>
  </si>
  <si>
    <t>Fishing Gaffs</t>
  </si>
  <si>
    <t>Fishing Hook Removal Tools</t>
  </si>
  <si>
    <t>Fishing Lines &amp; Leaders</t>
  </si>
  <si>
    <t>Fishing Nets</t>
  </si>
  <si>
    <t>Fishing Reel Accessories</t>
  </si>
  <si>
    <t>Fishing Reel Bags &amp; Cases</t>
  </si>
  <si>
    <t>Fishing Reel Lubricants</t>
  </si>
  <si>
    <t>Fishing Reel Replacement Spools</t>
  </si>
  <si>
    <t>Fishing Reels</t>
  </si>
  <si>
    <t>Fishing Rod Accessories</t>
  </si>
  <si>
    <t>Fishing Rod Bags &amp; Cases</t>
  </si>
  <si>
    <t>Fishing Rod Holders &amp; Storage Racks</t>
  </si>
  <si>
    <t>Fishing Rods</t>
  </si>
  <si>
    <t>Fishing Spears</t>
  </si>
  <si>
    <t>Fishing Tackle</t>
  </si>
  <si>
    <t>Fishing Baits &amp; Lures</t>
  </si>
  <si>
    <t>Fishing Floats</t>
  </si>
  <si>
    <t>Fishing Hooks</t>
  </si>
  <si>
    <t>Fishing Sinkers</t>
  </si>
  <si>
    <t>Fishing Snaps &amp; Swivels</t>
  </si>
  <si>
    <t>Fishing Traps</t>
  </si>
  <si>
    <t>Fly Tying Materials</t>
  </si>
  <si>
    <t>Fishing Beads</t>
  </si>
  <si>
    <t>Fishing Yarn</t>
  </si>
  <si>
    <t>Live Bait</t>
  </si>
  <si>
    <t>Tackle Bags &amp; Boxes</t>
  </si>
  <si>
    <t>Golf</t>
  </si>
  <si>
    <t>Divot Tools</t>
  </si>
  <si>
    <t>Golf Accessory Sets</t>
  </si>
  <si>
    <t>Golf Bag Accessories</t>
  </si>
  <si>
    <t>Golf Bag Carts</t>
  </si>
  <si>
    <t>Golf Bag Covers &amp; Cases</t>
  </si>
  <si>
    <t>Golf Bags</t>
  </si>
  <si>
    <t>Golf Ball Markers</t>
  </si>
  <si>
    <t>Golf Balls</t>
  </si>
  <si>
    <t>Golf Club Parts &amp; Accessories</t>
  </si>
  <si>
    <t>Golf Club Grips</t>
  </si>
  <si>
    <t>Golf Club Headcovers</t>
  </si>
  <si>
    <t>Golf Club Shafts</t>
  </si>
  <si>
    <t>Golf Clubs</t>
  </si>
  <si>
    <t>Golf Flags</t>
  </si>
  <si>
    <t>Golf Gloves</t>
  </si>
  <si>
    <t>Golf Tees</t>
  </si>
  <si>
    <t>Golf Towels</t>
  </si>
  <si>
    <t>Golf Training Aids</t>
  </si>
  <si>
    <t>Hang Gliding &amp; Skydiving</t>
  </si>
  <si>
    <t>Air Suits</t>
  </si>
  <si>
    <t>Hang Gliders</t>
  </si>
  <si>
    <t>Parachutes</t>
  </si>
  <si>
    <t>Hunting &amp; Shooting</t>
  </si>
  <si>
    <t>Archery</t>
  </si>
  <si>
    <t>Archery Armguards</t>
  </si>
  <si>
    <t>Archery Gloves &amp; Releases</t>
  </si>
  <si>
    <t>Archery Targets</t>
  </si>
  <si>
    <t>Arrow Parts &amp; Accessories</t>
  </si>
  <si>
    <t>Arrows &amp; Bolts</t>
  </si>
  <si>
    <t>Bow &amp; Crossbow Accessories</t>
  </si>
  <si>
    <t>Bows &amp; Crossbows</t>
  </si>
  <si>
    <t>Quivers</t>
  </si>
  <si>
    <t>Clay Pigeon Shooting</t>
  </si>
  <si>
    <t>Clay Pigeon Throwers</t>
  </si>
  <si>
    <t>Clay Pigeons</t>
  </si>
  <si>
    <t>Hunting</t>
  </si>
  <si>
    <t>Hunting &amp; Shooting Protective Gear</t>
  </si>
  <si>
    <t>Hunting &amp; Shooting Gloves</t>
  </si>
  <si>
    <t>Hunting &amp; Shooting Jackets</t>
  </si>
  <si>
    <t>Animal Traps</t>
  </si>
  <si>
    <t>Hearing Enhancers</t>
  </si>
  <si>
    <t>Hunting Blinds &amp; Screens</t>
  </si>
  <si>
    <t>Hunting Dog Equipment</t>
  </si>
  <si>
    <t>Tree Stands</t>
  </si>
  <si>
    <t>Wild Game Feeders</t>
  </si>
  <si>
    <t>Wildlife Attractants</t>
  </si>
  <si>
    <t>Paintball &amp; Airsoft</t>
  </si>
  <si>
    <t>Airsoft</t>
  </si>
  <si>
    <t>Paintball</t>
  </si>
  <si>
    <t>Paintball &amp; Airsoft Protective Gear</t>
  </si>
  <si>
    <t>Shooting &amp; Range Accessories</t>
  </si>
  <si>
    <t>Shooting Rests</t>
  </si>
  <si>
    <t>Shooting Sticks &amp; Bipods</t>
  </si>
  <si>
    <t>Shooting Targets</t>
  </si>
  <si>
    <t>Hydration System Accessories</t>
  </si>
  <si>
    <t>Hydration Systems</t>
  </si>
  <si>
    <t>Inline &amp; Roller Skating</t>
  </si>
  <si>
    <t>Inline &amp; Roller Skating Protective Gear</t>
  </si>
  <si>
    <t>Roller Skating Pads</t>
  </si>
  <si>
    <t>Inline Skate Parts</t>
  </si>
  <si>
    <t>Inline Skates</t>
  </si>
  <si>
    <t>Roller Skate Parts</t>
  </si>
  <si>
    <t>Roller Skates</t>
  </si>
  <si>
    <t>Roller Skis</t>
  </si>
  <si>
    <t>Kite Buggying</t>
  </si>
  <si>
    <t>Kite Buggies</t>
  </si>
  <si>
    <t>Kite Buggy Accessories</t>
  </si>
  <si>
    <t>Outdoor Games</t>
  </si>
  <si>
    <t>Badminton</t>
  </si>
  <si>
    <t>Badminton Nets</t>
  </si>
  <si>
    <t>Badminton Racquets &amp; Sets</t>
  </si>
  <si>
    <t>Shuttlecocks</t>
  </si>
  <si>
    <t>Deck Shuffleboard</t>
  </si>
  <si>
    <t>Deck Shuffleboard Cues</t>
  </si>
  <si>
    <t>Deck Shuffleboard Pucks</t>
  </si>
  <si>
    <t>Disc Golf</t>
  </si>
  <si>
    <t>Disc Golf Bags</t>
  </si>
  <si>
    <t>Disc Golf Baskets</t>
  </si>
  <si>
    <t>Lawn Games</t>
  </si>
  <si>
    <t>Paddle Ball Sets</t>
  </si>
  <si>
    <t>Pickleball</t>
  </si>
  <si>
    <t>Pickleball Paddles</t>
  </si>
  <si>
    <t>Pickleballs</t>
  </si>
  <si>
    <t>Platform &amp; Paddle Tennis</t>
  </si>
  <si>
    <t>Platform &amp; Paddle Tennis Paddles</t>
  </si>
  <si>
    <t>Platform Tennis Balls</t>
  </si>
  <si>
    <t>Tetherball</t>
  </si>
  <si>
    <t>Tetherball Poles</t>
  </si>
  <si>
    <t>Tetherball Sets</t>
  </si>
  <si>
    <t>Tetherballs</t>
  </si>
  <si>
    <t>Riding Scooters</t>
  </si>
  <si>
    <t>Skateboarding</t>
  </si>
  <si>
    <t>Skate Rails</t>
  </si>
  <si>
    <t>Skate Ramps</t>
  </si>
  <si>
    <t>Skateboard Parts</t>
  </si>
  <si>
    <t>Skateboard Decks</t>
  </si>
  <si>
    <t>Skateboard Small Parts</t>
  </si>
  <si>
    <t>Skateboard Trucks</t>
  </si>
  <si>
    <t>Skateboard Wheels</t>
  </si>
  <si>
    <t>Skateboarding Protective Gear</t>
  </si>
  <si>
    <t>Skate Helmets</t>
  </si>
  <si>
    <t>Skateboarding Gloves</t>
  </si>
  <si>
    <t>Skateboarding Pads</t>
  </si>
  <si>
    <t>Skateboards</t>
  </si>
  <si>
    <t>Winter Sports &amp; Activities</t>
  </si>
  <si>
    <t>Avalanche Safety</t>
  </si>
  <si>
    <t>Avalanche Probes</t>
  </si>
  <si>
    <t>Avalanche Safety Airbags</t>
  </si>
  <si>
    <t>Skiing &amp; Snowboarding</t>
  </si>
  <si>
    <t>Ski &amp; Snowboard Bags</t>
  </si>
  <si>
    <t>Ski &amp; Snowboard Goggle Accessories</t>
  </si>
  <si>
    <t>Ski &amp; Snowboard Goggles</t>
  </si>
  <si>
    <t>Ski &amp; Snowboard Helmets</t>
  </si>
  <si>
    <t>Ski &amp; Snowboard Leashes</t>
  </si>
  <si>
    <t>Ski &amp; Snowboard Storage Racks</t>
  </si>
  <si>
    <t>Ski &amp; Snowboard Tuning Tools</t>
  </si>
  <si>
    <t>Ski &amp; Snowboard Wax</t>
  </si>
  <si>
    <t>Ski Binding Parts</t>
  </si>
  <si>
    <t>Ski Bindings</t>
  </si>
  <si>
    <t>Ski Boots</t>
  </si>
  <si>
    <t>Ski Poles</t>
  </si>
  <si>
    <t>Skis</t>
  </si>
  <si>
    <t>Snowboard Binding Parts</t>
  </si>
  <si>
    <t>Snowboard Bindings</t>
  </si>
  <si>
    <t>Snowboard Boots</t>
  </si>
  <si>
    <t>Snowboards</t>
  </si>
  <si>
    <t>Sleds</t>
  </si>
  <si>
    <t>Snowshoeing</t>
  </si>
  <si>
    <t>Snowshoe Bindings</t>
  </si>
  <si>
    <t>Snowshoes</t>
  </si>
  <si>
    <t>Game Timers</t>
  </si>
  <si>
    <t>Games</t>
  </si>
  <si>
    <t>Battle Top Accessories</t>
  </si>
  <si>
    <t>Battle Tops</t>
  </si>
  <si>
    <t>Bingo Sets</t>
  </si>
  <si>
    <t>Blackjack &amp; Craps Sets</t>
  </si>
  <si>
    <t>Board Games</t>
  </si>
  <si>
    <t>Card Game Accessories</t>
  </si>
  <si>
    <t>Card Games</t>
  </si>
  <si>
    <t>Dexterity Games</t>
  </si>
  <si>
    <t>Dice Sets &amp; Games</t>
  </si>
  <si>
    <t>Poker Chip Accessories</t>
  </si>
  <si>
    <t>Poker Chip Carriers &amp; Trays</t>
  </si>
  <si>
    <t>Poker Chips &amp; Sets</t>
  </si>
  <si>
    <t>Portable Electronic Games</t>
  </si>
  <si>
    <t>Roulette Wheels &amp; Sets</t>
  </si>
  <si>
    <t>Slot Machines</t>
  </si>
  <si>
    <t>Tile Games</t>
  </si>
  <si>
    <t>Outdoor Play Equipment</t>
  </si>
  <si>
    <t>Inflatable Bouncer Accessories</t>
  </si>
  <si>
    <t>Inflatable Bouncers</t>
  </si>
  <si>
    <t>Play Swings</t>
  </si>
  <si>
    <t>Play Tents &amp; Tunnels</t>
  </si>
  <si>
    <t>Playhouses</t>
  </si>
  <si>
    <t>Pogo Sticks</t>
  </si>
  <si>
    <t>Sandboxes</t>
  </si>
  <si>
    <t>See Saws</t>
  </si>
  <si>
    <t>Slides</t>
  </si>
  <si>
    <t>Stilts</t>
  </si>
  <si>
    <t>Swing Set &amp; Playset Accessories</t>
  </si>
  <si>
    <t>Swing Sets &amp; Playsets</t>
  </si>
  <si>
    <t>Trampoline Accessories</t>
  </si>
  <si>
    <t>Trampolines</t>
  </si>
  <si>
    <t>Water Play Equipment</t>
  </si>
  <si>
    <t>Play Sprinkers</t>
  </si>
  <si>
    <t>Water Parks &amp; Slides</t>
  </si>
  <si>
    <t>Water Tables</t>
  </si>
  <si>
    <t>Puzzles</t>
  </si>
  <si>
    <t>Jigsaw Puzzle Accessories</t>
  </si>
  <si>
    <t>Jigsaw Puzzles</t>
  </si>
  <si>
    <t>Mechanical Puzzles</t>
  </si>
  <si>
    <t>Wooden &amp; Pegged Puzzles</t>
  </si>
  <si>
    <t>Toys</t>
  </si>
  <si>
    <t>Activity Toys</t>
  </si>
  <si>
    <t>Ball &amp; Cup Games</t>
  </si>
  <si>
    <t>Bouncy Balls</t>
  </si>
  <si>
    <t>Bubble Blowing Solution</t>
  </si>
  <si>
    <t>Bubble Blowing Toys</t>
  </si>
  <si>
    <t>Coiled Spring Toys</t>
  </si>
  <si>
    <t>Marbles</t>
  </si>
  <si>
    <t>Paddle Ball Toys</t>
  </si>
  <si>
    <t>Ribbon &amp; Streamer Toys</t>
  </si>
  <si>
    <t>Spinning Tops</t>
  </si>
  <si>
    <t>Toy Jacks</t>
  </si>
  <si>
    <t>Yo-Yo Parts &amp; Accessories</t>
  </si>
  <si>
    <t>Yo-Yos</t>
  </si>
  <si>
    <t>Art &amp; Drawing Toys</t>
  </si>
  <si>
    <t>Play Dough &amp; Putty</t>
  </si>
  <si>
    <t>Toy Drawing Tablets</t>
  </si>
  <si>
    <t>Ball Pit Accessories</t>
  </si>
  <si>
    <t>Ball Pit Balls</t>
  </si>
  <si>
    <t>Ball Pits</t>
  </si>
  <si>
    <t>Bath Toys</t>
  </si>
  <si>
    <t>Beach &amp; Sand Toys</t>
  </si>
  <si>
    <t>Building Toys</t>
  </si>
  <si>
    <t>Construction Set Toys</t>
  </si>
  <si>
    <t>Foam Blocks</t>
  </si>
  <si>
    <t>Interlocking Blocks</t>
  </si>
  <si>
    <t>Marble Track Sets</t>
  </si>
  <si>
    <t>Wooden Blocks</t>
  </si>
  <si>
    <t>Dolls, Playsets &amp; Toy Figures</t>
  </si>
  <si>
    <t>Action &amp; Toy Figures</t>
  </si>
  <si>
    <t>Bobblehead Figures</t>
  </si>
  <si>
    <t>Doll &amp; Action Figure Accessories</t>
  </si>
  <si>
    <t>Dollhouse Accessories</t>
  </si>
  <si>
    <t>Dollhouses</t>
  </si>
  <si>
    <t>Dolls</t>
  </si>
  <si>
    <t>Paper &amp; Magnetic Dolls</t>
  </si>
  <si>
    <t>Puppet &amp; Puppet Theater Accessories</t>
  </si>
  <si>
    <t>Puppet Theaters</t>
  </si>
  <si>
    <t>Puppets &amp; Marionettes</t>
  </si>
  <si>
    <t>Stuffed Animals</t>
  </si>
  <si>
    <t>Toy Playsets</t>
  </si>
  <si>
    <t>Educational Toys</t>
  </si>
  <si>
    <t>Ant Farms</t>
  </si>
  <si>
    <t>Astronomy Toys &amp; Models</t>
  </si>
  <si>
    <t>Bug Collecting Kits</t>
  </si>
  <si>
    <t>Educational Flash Cards</t>
  </si>
  <si>
    <t>Reading Toys</t>
  </si>
  <si>
    <t>Science &amp; Exploration Sets</t>
  </si>
  <si>
    <t>Toy Abacuses</t>
  </si>
  <si>
    <t>Executive Toys</t>
  </si>
  <si>
    <t>Magnet Toys</t>
  </si>
  <si>
    <t>Flying Toy Accessories</t>
  </si>
  <si>
    <t>Kite Accessories</t>
  </si>
  <si>
    <t>Kite Line Reels &amp; Winders</t>
  </si>
  <si>
    <t>Flying Toys</t>
  </si>
  <si>
    <t>Air &amp; Water Rockets</t>
  </si>
  <si>
    <t>Kites</t>
  </si>
  <si>
    <t>Toy Gliders</t>
  </si>
  <si>
    <t>Toy Parachutes</t>
  </si>
  <si>
    <t>Musical Toys</t>
  </si>
  <si>
    <t>Toy Instruments</t>
  </si>
  <si>
    <t>Play Vehicle Accessories</t>
  </si>
  <si>
    <t>Toy Race Car &amp; Track Accessories</t>
  </si>
  <si>
    <t>Toy Train Accessories</t>
  </si>
  <si>
    <t>Play Vehicles</t>
  </si>
  <si>
    <t>Toy Airplanes</t>
  </si>
  <si>
    <t>Toy Boats</t>
  </si>
  <si>
    <t>Toy Cars</t>
  </si>
  <si>
    <t>Toy Helicopters</t>
  </si>
  <si>
    <t>Toy Motorcycles</t>
  </si>
  <si>
    <t>Toy Race Car &amp; Track Sets</t>
  </si>
  <si>
    <t>Toy Spaceships</t>
  </si>
  <si>
    <t>Toy Trains &amp; Train Sets</t>
  </si>
  <si>
    <t>Toy Trucks &amp; Construction Vehicles</t>
  </si>
  <si>
    <t>Pretend Play</t>
  </si>
  <si>
    <t>Play Money &amp; Banking</t>
  </si>
  <si>
    <t>Pretend Electronics</t>
  </si>
  <si>
    <t>Pretend Housekeeping</t>
  </si>
  <si>
    <t>Pretend Lawn &amp; Garden</t>
  </si>
  <si>
    <t>Pretend Professions &amp; Role Playing</t>
  </si>
  <si>
    <t>Pretend Shopping &amp; Grocery</t>
  </si>
  <si>
    <t>Toy Kitchens &amp; Play Food</t>
  </si>
  <si>
    <t>Play Food</t>
  </si>
  <si>
    <t>Toy Cookware</t>
  </si>
  <si>
    <t>Toy Kitchens</t>
  </si>
  <si>
    <t>Toy Tableware</t>
  </si>
  <si>
    <t>Toy Tools</t>
  </si>
  <si>
    <t>Remote Control Toy Accessories</t>
  </si>
  <si>
    <t>Remote Control Toys</t>
  </si>
  <si>
    <t>Remote Control Airships &amp; Blimps</t>
  </si>
  <si>
    <t>Remote Control Boats &amp; Watercraft</t>
  </si>
  <si>
    <t>Remote Control Cars &amp; Trucks</t>
  </si>
  <si>
    <t>Remote Control Helicopters</t>
  </si>
  <si>
    <t>Remote Control Motorcycles</t>
  </si>
  <si>
    <t>Remote Control Planes</t>
  </si>
  <si>
    <t>Remote Control Robots</t>
  </si>
  <si>
    <t>Remote Control Tanks</t>
  </si>
  <si>
    <t>Riding Toy Accessories</t>
  </si>
  <si>
    <t>Riding Toys</t>
  </si>
  <si>
    <t>Electric Riding Vehicles</t>
  </si>
  <si>
    <t>Hobby Horses</t>
  </si>
  <si>
    <t>Push &amp; Pedal Riding Vehicles</t>
  </si>
  <si>
    <t>Rocking &amp; Spring Riding Toys</t>
  </si>
  <si>
    <t>Wagons</t>
  </si>
  <si>
    <t>Robotic Toys</t>
  </si>
  <si>
    <t>Sports Toy Accessories</t>
  </si>
  <si>
    <t>Fitness Toy Accessories</t>
  </si>
  <si>
    <t>Hula Hoop Accessories</t>
  </si>
  <si>
    <t>Sports Toys</t>
  </si>
  <si>
    <t>American Football Toys</t>
  </si>
  <si>
    <t>Baseball Toys</t>
  </si>
  <si>
    <t>Basketball Toys</t>
  </si>
  <si>
    <t>Boomerangs</t>
  </si>
  <si>
    <t>Bowling Toys</t>
  </si>
  <si>
    <t>Fingerboards &amp; Fingerboard Sets</t>
  </si>
  <si>
    <t>Fishing Toys</t>
  </si>
  <si>
    <t>Fitness Toys</t>
  </si>
  <si>
    <t>Hula Hoops</t>
  </si>
  <si>
    <t>Flying Discs</t>
  </si>
  <si>
    <t>Footbags</t>
  </si>
  <si>
    <t>Golf Toys</t>
  </si>
  <si>
    <t>Hockey Toys</t>
  </si>
  <si>
    <t>Playground Balls</t>
  </si>
  <si>
    <t>Racquet Sport Toys</t>
  </si>
  <si>
    <t>Toy Gift Baskets</t>
  </si>
  <si>
    <t>Toy Weapon &amp; Gadget Accessories</t>
  </si>
  <si>
    <t>Toy Weapons &amp; Gadgets</t>
  </si>
  <si>
    <t>Visual Toys</t>
  </si>
  <si>
    <t>Kaleidoscopes</t>
  </si>
  <si>
    <t>Prisms</t>
  </si>
  <si>
    <t>Wind-Up Toys</t>
  </si>
  <si>
    <t>Vehicles &amp; Parts</t>
  </si>
  <si>
    <t>Vehicle Parts &amp; Accessories</t>
  </si>
  <si>
    <t>Aircraft Parts &amp; Accessories</t>
  </si>
  <si>
    <t>Motor Vehicle Electronics</t>
  </si>
  <si>
    <t>Motor Vehicle A/V Players &amp; In-Dash Systems</t>
  </si>
  <si>
    <t>Motor Vehicle Amplifiers</t>
  </si>
  <si>
    <t>Motor Vehicle Cassette Adapters</t>
  </si>
  <si>
    <t>Motor Vehicle Cassette Players</t>
  </si>
  <si>
    <t>Motor Vehicle Equalizers &amp; Crossovers</t>
  </si>
  <si>
    <t>Motor Vehicle Parking Cameras</t>
  </si>
  <si>
    <t>Motor Vehicle Speakerphones</t>
  </si>
  <si>
    <t>Motor Vehicle Speakers</t>
  </si>
  <si>
    <t>Motor Vehicle Subwoofers</t>
  </si>
  <si>
    <t>Motor Vehicle Video Monitor Mounts</t>
  </si>
  <si>
    <t>Motor Vehicle Parts</t>
  </si>
  <si>
    <t>Motor Vehicle Braking</t>
  </si>
  <si>
    <t>Motor Vehicle Carpet &amp; Upholstery</t>
  </si>
  <si>
    <t>Motor Vehicle Climate Control</t>
  </si>
  <si>
    <t>Motor Vehicle Controls</t>
  </si>
  <si>
    <t>Motor Vehicle Engine Oil Circulation</t>
  </si>
  <si>
    <t>Motor Vehicle Engine Parts</t>
  </si>
  <si>
    <t>Motor Vehicle Engines</t>
  </si>
  <si>
    <t>Motor Vehicle Exhaust</t>
  </si>
  <si>
    <t>Motor Vehicle Frame &amp; Body Parts</t>
  </si>
  <si>
    <t>Motor Vehicle Fuel Systems</t>
  </si>
  <si>
    <t>Motor Vehicle Interior Fittings</t>
  </si>
  <si>
    <t>Motor Vehicle Lighting</t>
  </si>
  <si>
    <t>Motor Vehicle Mirrors</t>
  </si>
  <si>
    <t>Motor Vehicle Power &amp; Electrical Systems</t>
  </si>
  <si>
    <t>Motor Vehicle Seating</t>
  </si>
  <si>
    <t>Motor Vehicle Sensors &amp; Gauges</t>
  </si>
  <si>
    <t>Motor Vehicle Suspension Parts</t>
  </si>
  <si>
    <t>Motor Vehicle Towing</t>
  </si>
  <si>
    <t>Motor Vehicle Transmission &amp; Drivetrain Parts</t>
  </si>
  <si>
    <t>Motor Vehicle Wheel Systems</t>
  </si>
  <si>
    <t>Motor Vehicle Rims &amp; Wheels</t>
  </si>
  <si>
    <t>Motor Vehicle Tire Accessories</t>
  </si>
  <si>
    <t>Motor Vehicle Tires</t>
  </si>
  <si>
    <t>Motor Vehicle Wheel Parts</t>
  </si>
  <si>
    <t>Motor Vehicle Window Parts &amp; Accessories</t>
  </si>
  <si>
    <t>Vehicle Maintenance, Care &amp; Decor</t>
  </si>
  <si>
    <t>Portable Fuel Cans</t>
  </si>
  <si>
    <t>Vehicle Cleaning</t>
  </si>
  <si>
    <t>Car Wash Brushes</t>
  </si>
  <si>
    <t>Car Wash Solutions</t>
  </si>
  <si>
    <t>Vehicle Carpet &amp; Upholstery Cleaners</t>
  </si>
  <si>
    <t>Vehicle Fuel Injection Cleaning Kits</t>
  </si>
  <si>
    <t>Vehicle Glass Cleaners</t>
  </si>
  <si>
    <t>Vehicle Waxes, Polishes &amp; Protectants</t>
  </si>
  <si>
    <t>Vehicle Covers</t>
  </si>
  <si>
    <t>Golf Cart Enclosures</t>
  </si>
  <si>
    <t>Motor Vehicle Windshield Covers</t>
  </si>
  <si>
    <t>Tonneau Covers</t>
  </si>
  <si>
    <t>Vehicle Hardtops</t>
  </si>
  <si>
    <t>Vehicle Soft Tops</t>
  </si>
  <si>
    <t>Vehicle Storage Covers</t>
  </si>
  <si>
    <t>Vehicle Decor</t>
  </si>
  <si>
    <t>Bumper Stickers</t>
  </si>
  <si>
    <t>Vehicle Air Fresheners</t>
  </si>
  <si>
    <t>Vehicle Antenna Balls</t>
  </si>
  <si>
    <t>Vehicle Dashboard Accessories</t>
  </si>
  <si>
    <t>Vehicle Decals</t>
  </si>
  <si>
    <t>Vehicle Decor Accessory Sets</t>
  </si>
  <si>
    <t>Vehicle Display Flags</t>
  </si>
  <si>
    <t>Vehicle Emblems &amp; Hood Ornaments</t>
  </si>
  <si>
    <t>Vehicle Hitch Covers</t>
  </si>
  <si>
    <t>Vehicle License Plate Covers</t>
  </si>
  <si>
    <t>Vehicle License Plate Frames</t>
  </si>
  <si>
    <t>Vehicle License Plate Mounts &amp; Holders</t>
  </si>
  <si>
    <t>Vehicle License Plates</t>
  </si>
  <si>
    <t>Vehicle Magnets</t>
  </si>
  <si>
    <t>Vehicle Rear View Mirror Ornaments</t>
  </si>
  <si>
    <t>Vehicle Shift Boots</t>
  </si>
  <si>
    <t>Vehicle Shift Knobs</t>
  </si>
  <si>
    <t>Vehicle Steering Wheel Covers</t>
  </si>
  <si>
    <t>Vehicle Wraps</t>
  </si>
  <si>
    <t>Vehicle Fluids</t>
  </si>
  <si>
    <t>Vehicle Antifreeze</t>
  </si>
  <si>
    <t>Vehicle Brake Fluid</t>
  </si>
  <si>
    <t>Vehicle Cooling System Additives</t>
  </si>
  <si>
    <t>Vehicle Engine Degreasers</t>
  </si>
  <si>
    <t>Vehicle Fuel System Cleaners</t>
  </si>
  <si>
    <t>Vehicle Greases</t>
  </si>
  <si>
    <t>Vehicle Hydraulic Clutch Fluid</t>
  </si>
  <si>
    <t>Vehicle Motor Oil</t>
  </si>
  <si>
    <t>Vehicle Performance Additives</t>
  </si>
  <si>
    <t>Vehicle Power Steering Fluid</t>
  </si>
  <si>
    <t>Vehicle Transmission Fluid</t>
  </si>
  <si>
    <t>Vehicle Windshield Fluid</t>
  </si>
  <si>
    <t>Vehicle Paint</t>
  </si>
  <si>
    <t>Motor Vehicle Body Paint</t>
  </si>
  <si>
    <t>Motor Vehicle Brake Caliper Paint</t>
  </si>
  <si>
    <t>Vehicle Repair &amp; Specialty Tools</t>
  </si>
  <si>
    <t>Motor Vehicle Brake Service Kits</t>
  </si>
  <si>
    <t>Motor Vehicle Clutch Alignment &amp; Removal Tools</t>
  </si>
  <si>
    <t>Vehicle Battery Chargers</t>
  </si>
  <si>
    <t>Vehicle Battery Testers</t>
  </si>
  <si>
    <t>Vehicle Body Filler</t>
  </si>
  <si>
    <t>Vehicle Diagnostic Scanners</t>
  </si>
  <si>
    <t>Vehicle Jump Starters</t>
  </si>
  <si>
    <t>Vehicle Jumper Cables</t>
  </si>
  <si>
    <t>Vehicle Tire Repair &amp; Tire Changing Tools</t>
  </si>
  <si>
    <t>Windshield Repair Kits</t>
  </si>
  <si>
    <t>Vehicle Safety &amp; Security</t>
  </si>
  <si>
    <t>Motorcycle Protective Gear</t>
  </si>
  <si>
    <t>Motorcycle Chest &amp; Back Protectors</t>
  </si>
  <si>
    <t>Motorcycle Elbow &amp; Wrist Guards</t>
  </si>
  <si>
    <t>Motorcycle Gloves</t>
  </si>
  <si>
    <t>Motorcycle Goggles</t>
  </si>
  <si>
    <t>Motorcycle Hand Guards</t>
  </si>
  <si>
    <t>Motorcycle Helmet Parts &amp; Accessories</t>
  </si>
  <si>
    <t>Motorcycle Helmets</t>
  </si>
  <si>
    <t>Motorcycle Kidney Belts</t>
  </si>
  <si>
    <t>Motorcycle Knee &amp; Shin Guards</t>
  </si>
  <si>
    <t>Motorcycle Neck Braces</t>
  </si>
  <si>
    <t>Off-Road &amp; All-Terrain Vehicle Protective Gear</t>
  </si>
  <si>
    <t>ATV &amp; UTV Bar Pads</t>
  </si>
  <si>
    <t>Vehicle Alarms &amp; Locks</t>
  </si>
  <si>
    <t>Automotive Alarm Accessories</t>
  </si>
  <si>
    <t>Automotive Alarm Systems</t>
  </si>
  <si>
    <t>Motorcycle Alarms &amp; Locks</t>
  </si>
  <si>
    <t>Vehicle Door Locks &amp; Parts</t>
  </si>
  <si>
    <t>Vehicle Hitch Locks</t>
  </si>
  <si>
    <t>Vehicle Immobilizers</t>
  </si>
  <si>
    <t>Vehicle Remote Keyless Systems</t>
  </si>
  <si>
    <t>Vehicle Steering Wheel Locks</t>
  </si>
  <si>
    <t>Vehicle Wheel Clamps</t>
  </si>
  <si>
    <t>Vehicle Safety Equipment</t>
  </si>
  <si>
    <t>Car Window Nets</t>
  </si>
  <si>
    <t>Emergency Road Flares</t>
  </si>
  <si>
    <t>Motor Vehicle Airbag Parts</t>
  </si>
  <si>
    <t>Motor Vehicle Roll Cages &amp; Bars</t>
  </si>
  <si>
    <t>Vehicle Seat Belt Buckles</t>
  </si>
  <si>
    <t>Vehicle Seat Belt Covers</t>
  </si>
  <si>
    <t>Vehicle Seat Belt Straps</t>
  </si>
  <si>
    <t>Vehicle Seat Belts</t>
  </si>
  <si>
    <t>Vehicle Warning Whips</t>
  </si>
  <si>
    <t>Vehicle Wheel Chocks</t>
  </si>
  <si>
    <t>Vehicle Storage &amp; Cargo</t>
  </si>
  <si>
    <t>Motor Vehicle Cargo Nets</t>
  </si>
  <si>
    <t>Motor Vehicle Carrying Rack Accessories</t>
  </si>
  <si>
    <t>Vehicle Bicycle Rack Accessories</t>
  </si>
  <si>
    <t>Vehicle Ski &amp; Snowboard Rack Accessories</t>
  </si>
  <si>
    <t>Motor Vehicle Carrying Racks</t>
  </si>
  <si>
    <t>Vehicle Base Rack Systems</t>
  </si>
  <si>
    <t>Vehicle Bicycle Racks</t>
  </si>
  <si>
    <t>Vehicle Boat Racks</t>
  </si>
  <si>
    <t>Vehicle Cargo Racks</t>
  </si>
  <si>
    <t>Vehicle Fishing Rod Racks</t>
  </si>
  <si>
    <t>Vehicle Gun Racks</t>
  </si>
  <si>
    <t>Vehicle Motorcycle &amp; Scooter Racks</t>
  </si>
  <si>
    <t>Vehicle Ski &amp; Snowboard Racks</t>
  </si>
  <si>
    <t>Vehicle Water Sport Board Racks</t>
  </si>
  <si>
    <t>Motor Vehicle Loading Ramps</t>
  </si>
  <si>
    <t>Motor Vehicle Trailers</t>
  </si>
  <si>
    <t>Boat Trailers</t>
  </si>
  <si>
    <t>Horse &amp; Livestock Trailers</t>
  </si>
  <si>
    <t>Travel Trailers</t>
  </si>
  <si>
    <t>Utility &amp; Cargo Trailers</t>
  </si>
  <si>
    <t>Motorcycle Bags &amp; Panniers</t>
  </si>
  <si>
    <t>Truck Bed Storage Boxes &amp; Organizers</t>
  </si>
  <si>
    <t>Vehicle Headrest Hangers &amp; Hooks</t>
  </si>
  <si>
    <t>Vehicle Organizers</t>
  </si>
  <si>
    <t>Watercraft Parts &amp; Accessories</t>
  </si>
  <si>
    <t>Docking &amp; Anchoring</t>
  </si>
  <si>
    <t>Anchor Chains</t>
  </si>
  <si>
    <t>Anchor Lines &amp; Ropes</t>
  </si>
  <si>
    <t>Anchor Windlasses</t>
  </si>
  <si>
    <t>Anchors</t>
  </si>
  <si>
    <t>Boat Hooks</t>
  </si>
  <si>
    <t>Boat Ladders</t>
  </si>
  <si>
    <t>Dock Cleats</t>
  </si>
  <si>
    <t>Dock Steps</t>
  </si>
  <si>
    <t>Sailboat Parts</t>
  </si>
  <si>
    <t>Watercraft Care</t>
  </si>
  <si>
    <t>Watercraft Cleaners</t>
  </si>
  <si>
    <t>Watercraft Polishes</t>
  </si>
  <si>
    <t>Watercraft Engine Parts</t>
  </si>
  <si>
    <t>Watercraft Alternators</t>
  </si>
  <si>
    <t>Watercraft Carburetors &amp; Parts</t>
  </si>
  <si>
    <t>Watercraft Engine Controls</t>
  </si>
  <si>
    <t>Watercraft Ignition Parts</t>
  </si>
  <si>
    <t>Watercraft Impellers</t>
  </si>
  <si>
    <t>Watercraft Motor Locks</t>
  </si>
  <si>
    <t>Watercraft Motor Mounts</t>
  </si>
  <si>
    <t>Watercraft Pistons &amp; Parts</t>
  </si>
  <si>
    <t>Watercraft Propellers</t>
  </si>
  <si>
    <t>Watercraft Engines &amp; Motors</t>
  </si>
  <si>
    <t>Watercraft Exhaust Parts</t>
  </si>
  <si>
    <t>Watercraft Manifolds</t>
  </si>
  <si>
    <t>Watercraft Mufflers &amp; Parts</t>
  </si>
  <si>
    <t>Watercraft Fuel Systems</t>
  </si>
  <si>
    <t>Watercraft Fuel Lines &amp; Parts</t>
  </si>
  <si>
    <t>Watercraft Fuel Meters</t>
  </si>
  <si>
    <t>Watercraft Fuel Pumps &amp; Parts</t>
  </si>
  <si>
    <t>Watercraft Fuel Tanks &amp; Parts</t>
  </si>
  <si>
    <t>Watercraft Lighting</t>
  </si>
  <si>
    <t>Watercraft Steering Parts</t>
  </si>
  <si>
    <t>Watercraft Steering Cables</t>
  </si>
  <si>
    <t>Watercraft Steering Wheels</t>
  </si>
  <si>
    <t>Vehicles</t>
  </si>
  <si>
    <t>Aircraft</t>
  </si>
  <si>
    <t>Motor Vehicles</t>
  </si>
  <si>
    <t>Cars, Trucks &amp; Vans</t>
  </si>
  <si>
    <t>Golf Carts</t>
  </si>
  <si>
    <t>Motorcycles &amp; Scooters</t>
  </si>
  <si>
    <t>Off-Road and All-Terrain Vehicles</t>
  </si>
  <si>
    <t>ATVs &amp; UTVs</t>
  </si>
  <si>
    <t>Go Karts &amp; Dune Buggies</t>
  </si>
  <si>
    <t>Recreational Vehicles</t>
  </si>
  <si>
    <t>Snowmobiles</t>
  </si>
  <si>
    <t>Watercraft</t>
  </si>
  <si>
    <t>Motor Boats</t>
  </si>
  <si>
    <t>Personal Watercraft</t>
  </si>
  <si>
    <t>Sailboats</t>
  </si>
  <si>
    <t>Yachts</t>
  </si>
  <si>
    <t>Global Attribute ID</t>
  </si>
  <si>
    <t>Content</t>
  </si>
  <si>
    <t>Photo name?</t>
  </si>
  <si>
    <t>not needed - Hardware Type</t>
  </si>
  <si>
    <t>not needed - Parent</t>
  </si>
  <si>
    <t>Internal Notes</t>
  </si>
  <si>
    <t>Internal Notes 2</t>
  </si>
  <si>
    <t>034-miller-fabric</t>
  </si>
  <si>
    <t>429402GR10</t>
  </si>
  <si>
    <t>034-miller-fabric#429402GR10.jpg</t>
  </si>
  <si>
    <t>Fabric</t>
  </si>
  <si>
    <t>color</t>
  </si>
  <si>
    <t>Done</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</si>
  <si>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</si>
  <si>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</si>
  <si>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</si>
  <si>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</si>
  <si>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</si>
  <si>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</si>
  <si>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</si>
  <si>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</si>
  <si>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</si>
  <si>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</si>
  <si>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</si>
  <si>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</si>
  <si>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</si>
  <si>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</si>
  <si>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</si>
  <si>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</si>
  <si>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</si>
  <si>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</si>
  <si>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</si>
  <si>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</si>
  <si>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</si>
  <si>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</si>
  <si>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</si>
  <si>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</si>
  <si>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</si>
  <si>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</si>
  <si>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</si>
  <si>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</si>
  <si>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</si>
  <si>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</si>
  <si>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</si>
  <si>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</si>
  <si>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</si>
  <si>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</si>
  <si>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</si>
  <si>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</si>
  <si>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</si>
  <si>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</si>
  <si>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</si>
  <si>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</si>
  <si>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</si>
  <si>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</si>
  <si>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</si>
  <si>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</si>
  <si>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</si>
  <si>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</si>
  <si>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</si>
  <si>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</si>
  <si>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</si>
  <si>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</si>
  <si>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</si>
  <si>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</si>
  <si>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</si>
  <si>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</si>
  <si>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</si>
  <si>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</si>
  <si>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</si>
  <si>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</si>
  <si>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</si>
  <si>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</si>
  <si>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</si>
  <si>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</si>
  <si>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Nailhead Color</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</si>
  <si>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</si>
  <si>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</si>
  <si>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</si>
  <si>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</si>
  <si>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</si>
  <si>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</si>
  <si>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</si>
  <si>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</si>
  <si>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</si>
  <si>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</si>
  <si>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</si>
  <si>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</si>
  <si>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</si>
  <si>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</si>
  <si>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</si>
  <si>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</si>
  <si>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</si>
  <si>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</si>
  <si>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</si>
  <si>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</si>
  <si>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</si>
  <si>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</si>
  <si>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</si>
  <si>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</si>
  <si>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</si>
  <si>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</si>
  <si>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Wood Color</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</si>
  <si>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</si>
  <si>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</si>
  <si>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</si>
  <si>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</si>
  <si>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</si>
  <si>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</si>
  <si>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</si>
  <si>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</si>
  <si>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</si>
  <si>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</si>
  <si>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</si>
  <si>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</si>
  <si>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</si>
  <si>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</si>
  <si>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</si>
  <si>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</si>
  <si>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</si>
  <si>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</si>
  <si>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</si>
  <si>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</si>
  <si>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</si>
  <si>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</si>
  <si>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</si>
  <si>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Poly Accessory</t>
  </si>
  <si>
    <t>191-aluminum</t>
  </si>
  <si>
    <t>Black</t>
  </si>
  <si>
    <t>poly-aluminum-Black.jpg</t>
  </si>
  <si>
    <t>Poly Aliminum</t>
  </si>
  <si>
    <t>Color</t>
  </si>
  <si>
    <t>Clay</t>
  </si>
  <si>
    <t>poly-aluminum-Clay.jpg</t>
  </si>
  <si>
    <t>Granite Speckle</t>
  </si>
  <si>
    <t>poly-aluminum-Granite Speckle.jpg</t>
  </si>
  <si>
    <t>12884?</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</si>
  <si>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</si>
  <si>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</si>
  <si>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</si>
  <si>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</si>
  <si>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</si>
  <si>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</si>
  <si>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</si>
  <si>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</si>
  <si>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</si>
  <si>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</si>
  <si>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31771CN</t>
  </si>
  <si>
    <t>Sahara Speckle</t>
  </si>
  <si>
    <t>poly-aluminum-Sahara Speckle.jpg</t>
  </si>
  <si>
    <t>White</t>
  </si>
  <si>
    <t>poly-aluminum-White.jpg</t>
  </si>
  <si>
    <t>191-fabric-group-a</t>
  </si>
  <si>
    <t>Beaming Lagoon</t>
  </si>
  <si>
    <t>fabric-group-a#Beaming Lagoon.webp</t>
  </si>
  <si>
    <t>Fabric Group A</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</si>
  <si>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</si>
  <si>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</si>
  <si>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</si>
  <si>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</si>
  <si>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</si>
  <si>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</si>
  <si>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</si>
  <si>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</si>
  <si>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</si>
  <si>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</si>
  <si>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</si>
  <si>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</si>
  <si>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</si>
  <si>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</si>
  <si>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</si>
  <si>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</si>
  <si>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</si>
  <si>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</si>
  <si>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</si>
  <si>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</si>
  <si>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</si>
  <si>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</si>
  <si>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</si>
  <si>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</si>
  <si>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</si>
  <si>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</si>
  <si>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</si>
  <si>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</si>
  <si>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</si>
  <si>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</si>
  <si>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</si>
  <si>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</si>
  <si>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</si>
  <si>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</si>
  <si>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</si>
  <si>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</si>
  <si>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</si>
  <si>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</si>
  <si>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</si>
  <si>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</si>
  <si>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</si>
  <si>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</si>
  <si>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</si>
  <si>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</si>
  <si>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</si>
  <si>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</si>
  <si>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</si>
  <si>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</si>
  <si>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</si>
  <si>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</si>
  <si>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</si>
  <si>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</si>
  <si>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</si>
  <si>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</si>
  <si>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</si>
  <si>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</si>
  <si>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</si>
  <si>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</si>
  <si>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</si>
  <si>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</si>
  <si>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</si>
  <si>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</si>
  <si>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</si>
  <si>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</si>
  <si>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</si>
  <si>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</si>
  <si>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</si>
  <si>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</si>
  <si>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</si>
  <si>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</si>
  <si>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</si>
  <si>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</si>
  <si>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</si>
  <si>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</si>
  <si>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</si>
  <si>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</si>
  <si>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</si>
  <si>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</si>
  <si>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</si>
  <si>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</si>
  <si>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</si>
  <si>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</si>
  <si>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</si>
  <si>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</si>
  <si>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</si>
  <si>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</si>
  <si>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</si>
  <si>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</si>
  <si>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</si>
  <si>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</si>
  <si>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</si>
  <si>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</si>
  <si>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</si>
  <si>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</si>
  <si>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</si>
  <si>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</si>
  <si>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</si>
  <si>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</si>
  <si>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</si>
  <si>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</si>
  <si>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</si>
  <si>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</si>
  <si>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</si>
  <si>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</si>
  <si>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</si>
  <si>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</si>
  <si>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</si>
  <si>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</si>
  <si>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</si>
  <si>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</si>
  <si>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</si>
  <si>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</si>
  <si>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</si>
  <si>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</si>
  <si>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</si>
  <si>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</si>
  <si>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</si>
  <si>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</si>
  <si>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</si>
  <si>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</si>
  <si>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</si>
  <si>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</si>
  <si>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</si>
  <si>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</si>
  <si>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</si>
  <si>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</si>
  <si>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</si>
  <si>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</si>
  <si>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</si>
  <si>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</si>
  <si>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</si>
  <si>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</si>
  <si>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</si>
  <si>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</si>
  <si>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</si>
  <si>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</si>
  <si>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</si>
  <si>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</si>
  <si>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</si>
  <si>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</si>
  <si>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</si>
  <si>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</si>
  <si>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Fabric Group A LTD</t>
  </si>
  <si>
    <t>Waterpoint Marble</t>
  </si>
  <si>
    <t>fabric-group-a-ltd#Waterpoint Marble.webp</t>
  </si>
  <si>
    <t>191-fabric-group-b</t>
  </si>
  <si>
    <t>Blend Coal</t>
  </si>
  <si>
    <t>fabric-group-b#Blend Coal.webp</t>
  </si>
  <si>
    <t>Fabric Group B</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</si>
  <si>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</si>
  <si>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</si>
  <si>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</si>
  <si>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</si>
  <si>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</si>
  <si>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</si>
  <si>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</si>
  <si>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</si>
  <si>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</si>
  <si>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</si>
  <si>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</si>
  <si>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</si>
  <si>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</si>
  <si>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</si>
  <si>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</si>
  <si>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</si>
  <si>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</si>
  <si>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</si>
  <si>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</si>
  <si>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Fabric Group B LTD</t>
  </si>
  <si>
    <t>La La Land</t>
  </si>
  <si>
    <t>Palm Springs Navy</t>
  </si>
  <si>
    <t>Palm Springs Sand</t>
  </si>
  <si>
    <t>Ponder Spa</t>
  </si>
  <si>
    <t>191-fabric-group-c</t>
  </si>
  <si>
    <t>Array Dune</t>
  </si>
  <si>
    <t>fabric-group-c#Array-Dune.webp</t>
  </si>
  <si>
    <t>Fabric Group C</t>
  </si>
  <si>
    <t>Heritage Ashe</t>
  </si>
  <si>
    <t>Heritage Char</t>
  </si>
  <si>
    <t>fabric-group-c#Heritage Char.webp</t>
  </si>
  <si>
    <t>Heritage Leaf</t>
  </si>
  <si>
    <t>191-fabric-group-c-ltd</t>
  </si>
  <si>
    <t>Sebastian Charcoal</t>
  </si>
  <si>
    <t>Fabric Group C LTD</t>
  </si>
  <si>
    <t>Sebastian Navy</t>
  </si>
  <si>
    <t>Sebastian Sand</t>
  </si>
  <si>
    <t>191-fabric-group-c-rain</t>
  </si>
  <si>
    <t>Canvas Granite Rain</t>
  </si>
  <si>
    <t>fabric-group-c-rain#Canvas Granite-Rain.webp</t>
  </si>
  <si>
    <t>Fabric Group C Rain</t>
  </si>
  <si>
    <t>**</t>
  </si>
  <si>
    <t>Canvas Heather Beige Rain</t>
  </si>
  <si>
    <t>fabric-group-c-rain#Canvas Heather Beige-Rain.webp</t>
  </si>
  <si>
    <t>Canvas Navy Rain</t>
  </si>
  <si>
    <t>fabric-group-c-rain#Canvas Navy Rain.webp</t>
  </si>
  <si>
    <t>191-fabric-group-d</t>
  </si>
  <si>
    <t>Improve Dune</t>
  </si>
  <si>
    <t>Fabric Group D</t>
  </si>
  <si>
    <t>Improve White</t>
  </si>
  <si>
    <t>191-fabric-group-d-rain</t>
  </si>
  <si>
    <t>Brannon Redwood Rain</t>
  </si>
  <si>
    <t>fabric-group-d-rain#Brannon-Redwood-Rain.webp</t>
  </si>
  <si>
    <t>Fabric Group D Rain</t>
  </si>
  <si>
    <t>Cultivate Stone Rain</t>
  </si>
  <si>
    <t>fabric-group-d-rain#Cultivate-Stone-Rain.webp</t>
  </si>
  <si>
    <t>Gateway Mist Rain</t>
  </si>
  <si>
    <t>fabric-group-d-rain#Gateway-Mist-Rain.webp</t>
  </si>
  <si>
    <t>191-hammer</t>
  </si>
  <si>
    <t>Hammered Black</t>
  </si>
  <si>
    <t>poly-hammer#Hammered-Black.jpg</t>
  </si>
  <si>
    <t>Poly Hammer</t>
  </si>
  <si>
    <t>Hammered Bronze</t>
  </si>
  <si>
    <t>poly-hammer#Hammered-Bronze.jpg</t>
  </si>
  <si>
    <t>Hammered Stainless</t>
  </si>
  <si>
    <t>poly-hammer#Hammered-Stainless.jpg</t>
  </si>
  <si>
    <t>191-marine</t>
  </si>
  <si>
    <t>MGP Berry</t>
  </si>
  <si>
    <t>poly-marine#MGP-Berry.jpg</t>
  </si>
  <si>
    <t>Poly Marine</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</si>
  <si>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</si>
  <si>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</si>
  <si>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</si>
  <si>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</si>
  <si>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</si>
  <si>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</si>
  <si>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</si>
  <si>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</si>
  <si>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</si>
  <si>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</si>
  <si>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</si>
  <si>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</si>
  <si>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</si>
  <si>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</si>
  <si>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</si>
  <si>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</si>
  <si>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</si>
  <si>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</si>
  <si>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</si>
  <si>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Poly Natural</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</si>
  <si>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</si>
  <si>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</si>
  <si>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</si>
  <si>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</si>
  <si>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</si>
  <si>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</si>
  <si>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</si>
  <si>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</si>
  <si>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</si>
  <si>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</si>
  <si>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</si>
  <si>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</si>
  <si>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</si>
  <si>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Sling Group A</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</si>
  <si>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</si>
  <si>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</si>
  <si>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</si>
  <si>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</si>
  <si>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</si>
  <si>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</si>
  <si>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</si>
  <si>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</si>
  <si>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</si>
  <si>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</si>
  <si>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</si>
  <si>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</si>
  <si>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</si>
  <si>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</si>
  <si>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</si>
  <si>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Sling Group B</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</si>
  <si>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</si>
  <si>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</si>
  <si>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</si>
  <si>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</si>
  <si>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</si>
  <si>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</si>
  <si>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</si>
  <si>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</si>
  <si>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</si>
  <si>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</si>
  <si>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</si>
  <si>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</si>
  <si>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</si>
  <si>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</si>
  <si>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</si>
  <si>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</si>
  <si>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</si>
  <si>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</si>
  <si>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</si>
  <si>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</si>
  <si>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</si>
  <si>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</si>
  <si>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</si>
  <si>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</si>
  <si>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</si>
  <si>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</si>
  <si>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Poly Standard</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</si>
  <si>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</si>
  <si>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</si>
  <si>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</si>
  <si>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</si>
  <si>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</si>
  <si>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</si>
  <si>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</si>
  <si>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</si>
  <si>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</si>
  <si>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</si>
  <si>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</si>
  <si>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</si>
  <si>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</si>
  <si>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</si>
  <si>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Style</t>
  </si>
  <si>
    <t>191-tropical</t>
  </si>
  <si>
    <t>Aruba Blue</t>
  </si>
  <si>
    <t>poly-standard#Aruba-Blue.jpg</t>
  </si>
  <si>
    <t>Poly Tropical</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</si>
  <si>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</si>
  <si>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</si>
  <si>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</si>
  <si>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</si>
  <si>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</si>
  <si>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</si>
  <si>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</si>
  <si>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</si>
  <si>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</si>
  <si>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</si>
  <si>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</si>
  <si>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</si>
  <si>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</si>
  <si>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</si>
  <si>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</si>
  <si>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</si>
  <si>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</si>
  <si>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</si>
  <si>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</si>
  <si>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</si>
  <si>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</si>
  <si>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</si>
  <si>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</si>
  <si>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</si>
  <si>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</si>
  <si>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</si>
  <si>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</si>
  <si>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</si>
  <si>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</si>
  <si>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</si>
  <si>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</si>
  <si>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</si>
  <si>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</si>
  <si>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</si>
  <si>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</si>
  <si>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</si>
  <si>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</si>
  <si>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</si>
  <si>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</si>
  <si>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</si>
  <si>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</si>
  <si>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</si>
  <si>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</si>
  <si>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</si>
  <si>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</si>
  <si>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</si>
  <si>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</si>
  <si>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</si>
  <si>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</si>
  <si>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</si>
  <si>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</si>
  <si>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</si>
  <si>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</si>
  <si>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</si>
  <si>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</si>
  <si>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</si>
  <si>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</si>
  <si>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</si>
  <si>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</si>
  <si>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</si>
  <si>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</si>
  <si>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</si>
  <si>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</si>
  <si>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</si>
  <si>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</si>
  <si>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</si>
  <si>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</si>
  <si>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</si>
  <si>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</si>
  <si>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</si>
  <si>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</si>
  <si>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</si>
  <si>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</si>
  <si>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</si>
  <si>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</si>
  <si>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</si>
  <si>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</si>
  <si>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</si>
  <si>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</si>
  <si>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</si>
  <si>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</si>
  <si>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</si>
  <si>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</si>
  <si>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</si>
  <si>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</si>
  <si>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</si>
  <si>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</si>
  <si>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</si>
  <si>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</si>
  <si>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</si>
  <si>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</si>
  <si>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</si>
  <si>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</si>
  <si>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</si>
  <si>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</si>
  <si>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</si>
  <si>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</si>
  <si>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</si>
  <si>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</si>
  <si>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</si>
  <si>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</si>
  <si>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</si>
  <si>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</si>
  <si>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</si>
  <si>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</si>
  <si>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</si>
  <si>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</si>
  <si>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</si>
  <si>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</si>
  <si>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</si>
  <si>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</si>
  <si>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</si>
  <si>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</si>
  <si>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</si>
  <si>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</si>
  <si>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</si>
  <si>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</si>
  <si>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</si>
  <si>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</si>
  <si>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</si>
  <si>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</si>
  <si>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</si>
  <si>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</si>
  <si>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</si>
  <si>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</si>
  <si>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</si>
  <si>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</si>
  <si>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</si>
  <si>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</si>
  <si>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</si>
  <si>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</si>
  <si>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</si>
  <si>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</si>
  <si>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</si>
  <si>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</si>
  <si>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</si>
  <si>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</si>
  <si>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</si>
  <si>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</si>
  <si>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</si>
  <si>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</si>
  <si>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</si>
  <si>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</si>
  <si>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</si>
  <si>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</si>
  <si>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</si>
  <si>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</si>
  <si>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</si>
  <si>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</si>
  <si>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</si>
  <si>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</si>
  <si>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</si>
  <si>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</si>
  <si>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</si>
  <si>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</si>
  <si>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</si>
  <si>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</si>
  <si>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</si>
  <si>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</si>
  <si>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</si>
  <si>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</si>
  <si>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</si>
  <si>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</si>
  <si>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</si>
  <si>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</si>
  <si>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</si>
  <si>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</si>
  <si>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</si>
  <si>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</si>
  <si>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</si>
  <si>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</si>
  <si>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</si>
  <si>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</si>
  <si>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</si>
  <si>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</si>
  <si>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</si>
  <si>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</si>
  <si>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</si>
  <si>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</si>
  <si>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</si>
  <si>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</si>
  <si>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</si>
  <si>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</si>
  <si>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</si>
  <si>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</si>
  <si>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</si>
  <si>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</si>
  <si>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</si>
  <si>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</si>
  <si>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</si>
  <si>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</si>
  <si>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</si>
  <si>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</si>
  <si>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</si>
  <si>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</si>
  <si>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</si>
  <si>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</si>
  <si>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</si>
  <si>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</si>
  <si>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</si>
  <si>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</si>
  <si>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</si>
  <si>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</si>
  <si>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</si>
  <si>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</si>
  <si>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</si>
  <si>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</si>
  <si>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</si>
  <si>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</si>
  <si>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</si>
  <si>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</si>
  <si>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</si>
  <si>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</si>
  <si>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</si>
  <si>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</si>
  <si>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</si>
  <si>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</si>
  <si>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</si>
  <si>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</si>
  <si>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</si>
  <si>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</si>
  <si>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</si>
  <si>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</si>
  <si>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</si>
  <si>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</si>
  <si>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</si>
  <si>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</si>
  <si>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</si>
  <si>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</si>
  <si>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</si>
  <si>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</si>
  <si>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</si>
  <si>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</si>
  <si>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</si>
  <si>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</si>
  <si>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</si>
  <si>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</si>
  <si>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</si>
  <si>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</si>
  <si>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</si>
  <si>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</si>
  <si>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</si>
  <si>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</si>
  <si>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</si>
  <si>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</si>
  <si>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</si>
  <si>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</si>
  <si>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</si>
  <si>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</si>
  <si>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</si>
  <si>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</si>
  <si>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</si>
  <si>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</si>
  <si>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</si>
  <si>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</si>
  <si>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</si>
  <si>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</si>
  <si>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</si>
  <si>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</si>
  <si>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</si>
  <si>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</si>
  <si>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</si>
  <si>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</si>
  <si>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</si>
  <si>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</si>
  <si>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</si>
  <si>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</si>
  <si>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</si>
  <si>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</si>
  <si>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</si>
  <si>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</si>
  <si>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</si>
  <si>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</si>
  <si>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</si>
  <si>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</si>
  <si>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</si>
  <si>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</si>
  <si>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</si>
  <si>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</si>
  <si>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</si>
  <si>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</si>
  <si>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</si>
  <si>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</si>
  <si>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</si>
  <si>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</si>
  <si>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</si>
  <si>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</si>
  <si>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</si>
  <si>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</si>
  <si>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</si>
  <si>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</si>
  <si>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</si>
  <si>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</si>
  <si>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</si>
  <si>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</si>
  <si>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</si>
  <si>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</si>
  <si>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</si>
  <si>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</si>
  <si>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</si>
  <si>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</si>
  <si>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</si>
  <si>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</si>
  <si>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</si>
  <si>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</si>
  <si>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</si>
  <si>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</si>
  <si>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</si>
  <si>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</si>
  <si>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</si>
  <si>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</si>
  <si>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</si>
  <si>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</si>
  <si>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</si>
  <si>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</si>
  <si>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</si>
  <si>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</si>
  <si>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</si>
  <si>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</si>
  <si>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</si>
  <si>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</si>
  <si>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</si>
  <si>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</si>
  <si>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</si>
  <si>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</si>
  <si>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</si>
  <si>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</si>
  <si>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</si>
  <si>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</si>
  <si>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</si>
  <si>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</si>
  <si>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</si>
  <si>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</si>
  <si>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</si>
  <si>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</si>
  <si>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</si>
  <si>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</si>
  <si>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</si>
  <si>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</si>
  <si>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</si>
  <si>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</si>
  <si>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</si>
  <si>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</si>
  <si>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</si>
  <si>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</si>
  <si>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</si>
  <si>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</si>
  <si>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</si>
  <si>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</si>
  <si>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233-heartland-leather#rum.webp</t>
  </si>
  <si>
    <t>Tapestry</t>
  </si>
  <si>
    <t>233-heartland-leather#tapestry.webp</t>
  </si>
  <si>
    <t>Texas</t>
  </si>
  <si>
    <t>233-heartland-leather#texas.webp</t>
  </si>
  <si>
    <t>Tumbleweed</t>
  </si>
  <si>
    <t>233-heartland-leather#tumbleweed.webp</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</si>
  <si>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</si>
  <si>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</si>
  <si>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</si>
  <si>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</si>
  <si>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</si>
  <si>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</si>
  <si>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</si>
  <si>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</si>
  <si>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</si>
  <si>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</si>
  <si>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</si>
  <si>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</si>
  <si>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</si>
  <si>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</si>
  <si>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</si>
  <si>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</si>
  <si>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</si>
  <si>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</si>
  <si>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</si>
  <si>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</si>
  <si>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</si>
  <si>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</si>
  <si>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</si>
  <si>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</si>
  <si>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</si>
  <si>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</si>
  <si>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</si>
  <si>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</si>
  <si>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</si>
  <si>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</si>
  <si>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</si>
  <si>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</si>
  <si>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</si>
  <si>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</si>
  <si>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</si>
  <si>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</si>
  <si>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</si>
  <si>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</si>
  <si>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</si>
  <si>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</si>
  <si>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</si>
  <si>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</si>
  <si>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</si>
  <si>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</si>
  <si>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</si>
  <si>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</si>
  <si>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</si>
  <si>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</si>
  <si>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</si>
  <si>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</si>
  <si>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</si>
  <si>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</si>
  <si>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</si>
  <si>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</si>
  <si>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</si>
  <si>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</si>
  <si>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</si>
  <si>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</si>
  <si>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</si>
  <si>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</si>
  <si>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</si>
  <si>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</si>
  <si>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</si>
  <si>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</si>
  <si>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</si>
  <si>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</si>
  <si>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</si>
  <si>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</si>
  <si>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</si>
  <si>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</si>
  <si>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</si>
  <si>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</si>
  <si>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</si>
  <si>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</si>
  <si>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</si>
  <si>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</si>
  <si>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</si>
  <si>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</si>
  <si>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</si>
  <si>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</si>
  <si>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</si>
  <si>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</si>
  <si>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</si>
  <si>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</si>
  <si>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</si>
  <si>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</si>
  <si>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</si>
  <si>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</si>
  <si>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</si>
  <si>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</si>
  <si>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</si>
  <si>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</si>
  <si>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</si>
  <si>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</si>
  <si>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</si>
  <si>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</si>
  <si>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</si>
  <si>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</si>
  <si>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</si>
  <si>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</si>
  <si>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</si>
  <si>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</si>
  <si>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</si>
  <si>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</si>
  <si>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</si>
  <si>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</si>
  <si>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</si>
  <si>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</si>
  <si>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</si>
  <si>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</si>
  <si>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</si>
  <si>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</si>
  <si>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</si>
  <si>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</si>
  <si>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</si>
  <si>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</si>
  <si>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</si>
  <si>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</si>
  <si>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</si>
  <si>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</si>
  <si>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</si>
  <si>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</si>
  <si>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</si>
  <si>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</si>
  <si>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</si>
  <si>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</si>
  <si>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</si>
  <si>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</si>
  <si>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</si>
  <si>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</si>
  <si>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</si>
  <si>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</si>
  <si>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</si>
  <si>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</si>
  <si>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</si>
  <si>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</si>
  <si>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</si>
  <si>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</si>
  <si>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</si>
  <si>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</si>
  <si>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</si>
  <si>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</si>
  <si>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</si>
  <si>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</si>
  <si>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</si>
  <si>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</si>
  <si>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</si>
  <si>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</si>
  <si>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</si>
  <si>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</si>
  <si>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</si>
  <si>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</si>
  <si>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</si>
  <si>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</si>
  <si>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</si>
  <si>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</si>
  <si>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</si>
  <si>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</si>
  <si>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</si>
  <si>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</si>
  <si>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</si>
  <si>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</si>
  <si>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</si>
  <si>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</si>
  <si>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</si>
  <si>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</si>
  <si>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</si>
  <si>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</si>
  <si>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</si>
  <si>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</si>
  <si>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</si>
  <si>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</si>
  <si>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</si>
  <si>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</si>
  <si>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</si>
  <si>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</si>
  <si>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</si>
  <si>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</si>
  <si>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</si>
  <si>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</si>
  <si>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</si>
  <si>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</si>
  <si>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</si>
  <si>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</si>
  <si>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</si>
  <si>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</si>
  <si>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</si>
  <si>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</si>
  <si>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</si>
  <si>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</si>
  <si>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</si>
  <si>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</si>
  <si>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</si>
  <si>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</si>
  <si>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</si>
  <si>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</si>
  <si>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</si>
  <si>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</si>
  <si>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</si>
  <si>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</si>
  <si>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</si>
  <si>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</si>
  <si>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</si>
  <si>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</si>
  <si>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</si>
  <si>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</si>
  <si>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</si>
  <si>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</si>
  <si>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</si>
  <si>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</si>
  <si>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</si>
  <si>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</si>
  <si>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</si>
  <si>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</si>
  <si>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</si>
  <si>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</si>
  <si>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</si>
  <si>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</si>
  <si>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</si>
  <si>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</si>
  <si>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</si>
  <si>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</si>
  <si>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</si>
  <si>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</si>
  <si>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</si>
  <si>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</si>
  <si>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</si>
  <si>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</si>
  <si>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</si>
  <si>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</si>
  <si>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</si>
  <si>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</si>
  <si>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</si>
  <si>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</si>
  <si>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</si>
  <si>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</si>
  <si>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</si>
  <si>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</si>
  <si>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</si>
  <si>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</si>
  <si>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</si>
  <si>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</si>
  <si>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</si>
  <si>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</si>
  <si>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</si>
  <si>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</si>
  <si>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</si>
  <si>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</si>
  <si>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</si>
  <si>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</si>
  <si>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</si>
  <si>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</si>
  <si>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</si>
  <si>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</si>
  <si>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</si>
  <si>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</si>
  <si>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</si>
  <si>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</si>
  <si>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</si>
  <si>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</si>
  <si>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</si>
  <si>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</si>
  <si>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</si>
  <si>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</si>
  <si>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</si>
  <si>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</si>
  <si>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</si>
  <si>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</si>
  <si>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</si>
  <si>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</si>
  <si>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</si>
  <si>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</si>
  <si>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</si>
  <si>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</si>
  <si>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</si>
  <si>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</si>
  <si>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</si>
  <si>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</si>
  <si>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</si>
  <si>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</si>
  <si>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</si>
  <si>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</si>
  <si>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</si>
  <si>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</si>
  <si>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</si>
  <si>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</si>
  <si>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</si>
  <si>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</si>
  <si>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</si>
  <si>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</si>
  <si>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</si>
  <si>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</si>
  <si>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</si>
  <si>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</si>
  <si>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</si>
  <si>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</si>
  <si>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</si>
  <si>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</si>
  <si>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</si>
  <si>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</si>
  <si>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</si>
  <si>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</si>
  <si>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</si>
  <si>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</si>
  <si>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</si>
  <si>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</si>
  <si>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</si>
  <si>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</si>
  <si>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</si>
  <si>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</si>
  <si>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</si>
  <si>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</si>
  <si>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</si>
  <si>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</si>
  <si>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</si>
  <si>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</si>
  <si>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</si>
  <si>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</si>
  <si>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</si>
  <si>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</si>
  <si>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</si>
  <si>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</si>
  <si>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</si>
  <si>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</si>
  <si>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</si>
  <si>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</si>
  <si>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</si>
  <si>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</si>
  <si>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</si>
  <si>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</si>
  <si>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</si>
  <si>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</si>
  <si>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</si>
  <si>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</si>
  <si>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</si>
  <si>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</si>
  <si>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</si>
  <si>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</si>
  <si>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</si>
  <si>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Temporarily removed London Fog</t>
  </si>
  <si>
    <t>FCN3031 Tawny</t>
  </si>
  <si>
    <t>London Fog</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</si>
  <si>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</si>
  <si>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</si>
  <si>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</si>
  <si>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</si>
  <si>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</si>
  <si>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</si>
  <si>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</si>
  <si>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</si>
  <si>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</si>
  <si>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</si>
  <si>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</si>
  <si>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</si>
  <si>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</si>
  <si>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</si>
  <si>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</si>
  <si>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</si>
  <si>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</si>
  <si>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</si>
  <si>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</si>
  <si>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</si>
  <si>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</si>
  <si>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</si>
  <si>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</si>
  <si>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</si>
  <si>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</si>
  <si>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</si>
  <si>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</si>
  <si>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</si>
  <si>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</si>
  <si>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</si>
  <si>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</si>
  <si>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</si>
  <si>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</si>
  <si>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</si>
  <si>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</si>
  <si>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</si>
  <si>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</si>
  <si>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</si>
  <si>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</si>
  <si>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</si>
  <si>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</si>
  <si>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</si>
  <si>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</si>
  <si>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</si>
  <si>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</si>
  <si>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</si>
  <si>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</si>
  <si>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</si>
  <si>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</si>
  <si>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</si>
  <si>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</si>
  <si>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</si>
  <si>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</si>
  <si>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</si>
  <si>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</si>
  <si>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</si>
  <si>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</si>
  <si>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</si>
  <si>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</si>
  <si>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</si>
  <si>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</si>
  <si>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</si>
  <si>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</si>
  <si>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</si>
  <si>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</si>
  <si>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</si>
  <si>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</si>
  <si>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</si>
  <si>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</si>
  <si>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</si>
  <si>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</si>
  <si>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</si>
  <si>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</si>
  <si>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</si>
  <si>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</si>
  <si>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</si>
  <si>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</si>
  <si>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</si>
  <si>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</si>
  <si>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</si>
  <si>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</si>
  <si>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</si>
  <si>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</si>
  <si>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</si>
  <si>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</si>
  <si>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</si>
  <si>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</si>
  <si>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</si>
  <si>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</si>
  <si>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</si>
  <si>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</si>
  <si>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</si>
  <si>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</si>
  <si>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</si>
  <si>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</si>
  <si>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</si>
  <si>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</si>
  <si>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</si>
  <si>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</si>
  <si>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</si>
  <si>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</si>
  <si>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</si>
  <si>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</si>
  <si>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</si>
  <si>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</si>
  <si>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</si>
  <si>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</si>
  <si>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</si>
  <si>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</si>
  <si>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</si>
  <si>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</si>
  <si>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</si>
  <si>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</si>
  <si>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</si>
  <si>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</si>
  <si>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</si>
  <si>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</si>
  <si>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</si>
  <si>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</si>
  <si>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</si>
  <si>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</si>
  <si>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</si>
  <si>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</si>
  <si>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</si>
  <si>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</si>
  <si>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</si>
  <si>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</si>
  <si>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</si>
  <si>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</si>
  <si>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</si>
  <si>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</si>
  <si>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</si>
  <si>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</si>
  <si>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</si>
  <si>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</si>
  <si>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</si>
  <si>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</si>
  <si>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</si>
  <si>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</si>
  <si>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</si>
  <si>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</si>
  <si>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</si>
  <si>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</si>
  <si>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</si>
  <si>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</si>
  <si>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</si>
  <si>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</si>
  <si>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</si>
  <si>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</si>
  <si>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</si>
  <si>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</si>
  <si>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</si>
  <si>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</si>
  <si>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</si>
  <si>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</si>
  <si>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</si>
  <si>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</si>
  <si>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</si>
  <si>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</si>
  <si>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</si>
  <si>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</si>
  <si>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</si>
  <si>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</si>
  <si>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</si>
  <si>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</si>
  <si>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</si>
  <si>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</si>
  <si>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</si>
  <si>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</si>
  <si>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</si>
  <si>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</si>
  <si>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</si>
  <si>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</si>
  <si>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</si>
  <si>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</si>
  <si>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</si>
  <si>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</si>
  <si>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</si>
  <si>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</si>
  <si>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</si>
  <si>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</si>
  <si>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</si>
  <si>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</si>
  <si>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</si>
  <si>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</si>
  <si>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</si>
  <si>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</si>
  <si>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</si>
  <si>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</si>
  <si>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</si>
  <si>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</si>
  <si>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</si>
  <si>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</si>
  <si>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</si>
  <si>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</si>
  <si>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</si>
  <si>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</si>
  <si>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</si>
  <si>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</si>
  <si>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</si>
  <si>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</si>
  <si>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</si>
  <si>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</si>
  <si>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</si>
  <si>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</si>
  <si>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</si>
  <si>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</si>
  <si>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</si>
  <si>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</si>
  <si>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</si>
  <si>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</si>
  <si>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</si>
  <si>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</si>
  <si>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</si>
  <si>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</si>
  <si>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</si>
  <si>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</si>
  <si>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</si>
  <si>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</si>
  <si>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</si>
  <si>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</si>
  <si>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</si>
  <si>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</si>
  <si>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</si>
  <si>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</si>
  <si>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</si>
  <si>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</si>
  <si>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</si>
  <si>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</si>
  <si>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</si>
  <si>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</si>
  <si>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</si>
  <si>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</si>
  <si>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379404</t>
  </si>
  <si>
    <t>034-Tan-Solid-28#379404.webp</t>
  </si>
  <si>
    <t>034-Tan-Solid-25</t>
  </si>
  <si>
    <t>514704</t>
  </si>
  <si>
    <t>034-Tan-Solid-25#514704.webp</t>
  </si>
  <si>
    <t>498004</t>
  </si>
  <si>
    <t>034-Tan-Solid-25#498004.webp</t>
  </si>
  <si>
    <t>238302</t>
  </si>
  <si>
    <t>034-Tan-Solid-25#238302.webp</t>
  </si>
  <si>
    <t>034-Tan-Solid-24</t>
  </si>
  <si>
    <t>516004</t>
  </si>
  <si>
    <t>034-Tan-Solid-24#516004.webp</t>
  </si>
  <si>
    <t>034-Tan-Solid-23</t>
  </si>
  <si>
    <t>459104</t>
  </si>
  <si>
    <t>034-Tan-Solid-23#459104.webp</t>
  </si>
  <si>
    <t>034-Tan-Solid-22</t>
  </si>
  <si>
    <t>408107</t>
  </si>
  <si>
    <t>034-Tan-Solid-22#408107.webp</t>
  </si>
  <si>
    <t>348404</t>
  </si>
  <si>
    <t>034-Tan-Solid-22#348404.webp</t>
  </si>
  <si>
    <t>034-Tan-Solid-21</t>
  </si>
  <si>
    <t>440904</t>
  </si>
  <si>
    <t>034-Tan-Solid-21#440904.webp</t>
  </si>
  <si>
    <t>034-Tan-Solid-20</t>
  </si>
  <si>
    <t>517304</t>
  </si>
  <si>
    <t>034-Tan-Solid-20#517304.webp</t>
  </si>
  <si>
    <t>489803</t>
  </si>
  <si>
    <t>034-Tan-Solid-20#489803.webp</t>
  </si>
  <si>
    <t>440504</t>
  </si>
  <si>
    <t>034-Tan-Solid-20#440504.webp</t>
  </si>
  <si>
    <t>350714</t>
  </si>
  <si>
    <t>034-Tan-Solid-20#350714.webp</t>
  </si>
  <si>
    <t>034-Tan-Solid-19</t>
  </si>
  <si>
    <t>221203</t>
  </si>
  <si>
    <t>034-Tan-Solid-19#221203.webp</t>
  </si>
  <si>
    <t>034-Tan-Solid-18</t>
  </si>
  <si>
    <t>541303</t>
  </si>
  <si>
    <t>034-Tan-Solid-18#541303.webp</t>
  </si>
  <si>
    <t>450904</t>
  </si>
  <si>
    <t>034-Tan-Solid-18#450904.webp</t>
  </si>
  <si>
    <t>427414</t>
  </si>
  <si>
    <t>034-Tan-Solid-18#427414.webp</t>
  </si>
  <si>
    <t>034-Tan-Solid-17</t>
  </si>
  <si>
    <t>543003</t>
  </si>
  <si>
    <t>034-Tan-Solid-17#543003.webp</t>
  </si>
  <si>
    <t>486904</t>
  </si>
  <si>
    <t>034-Tan-Solid-17#486904.webp</t>
  </si>
  <si>
    <t>486104</t>
  </si>
  <si>
    <t>034-Tan-Solid-17#486104.webp</t>
  </si>
  <si>
    <t>377007</t>
  </si>
  <si>
    <t>034-Tan-Solid-17#377007.webp</t>
  </si>
  <si>
    <t>034-Tan-Solid-16</t>
  </si>
  <si>
    <t>543403</t>
  </si>
  <si>
    <t>034-Tan-Solid-16#543403.webp</t>
  </si>
  <si>
    <t>532514</t>
  </si>
  <si>
    <t>034-Tan-Solid-16#532514.webp</t>
  </si>
  <si>
    <t>522404</t>
  </si>
  <si>
    <t>034-Tan-Solid-16#522404.webp</t>
  </si>
  <si>
    <t>519004</t>
  </si>
  <si>
    <t>034-Tan-Solid-16#519004.webp</t>
  </si>
  <si>
    <t>502504</t>
  </si>
  <si>
    <t>034-Tan-Solid-16#502504.webp</t>
  </si>
  <si>
    <t>486714</t>
  </si>
  <si>
    <t>034-Tan-Solid-16#486714.webp</t>
  </si>
  <si>
    <t>486708</t>
  </si>
  <si>
    <t>034-Tan-Solid-16#486708.webp</t>
  </si>
  <si>
    <t>486704</t>
  </si>
  <si>
    <t>034-Tan-Solid-16#486704.webp</t>
  </si>
  <si>
    <t>486703</t>
  </si>
  <si>
    <t>034-Tan-Solid-16#486703.webp</t>
  </si>
  <si>
    <t>486702</t>
  </si>
  <si>
    <t>034-Tan-Solid-16#486702.webp</t>
  </si>
  <si>
    <t>458904</t>
  </si>
  <si>
    <t>034-Tan-Solid-16#458904.webp</t>
  </si>
  <si>
    <t>034-Tan-Solid-15</t>
  </si>
  <si>
    <t>539502</t>
  </si>
  <si>
    <t>034-Tan-Solid-15#539502.webp</t>
  </si>
  <si>
    <t>536014</t>
  </si>
  <si>
    <t>034-Tan-Solid-15#536014.webp</t>
  </si>
  <si>
    <t>533904</t>
  </si>
  <si>
    <t>034-Tan-Solid-15#533904.webp</t>
  </si>
  <si>
    <t>524304</t>
  </si>
  <si>
    <t>034-Tan-Solid-15#524304.webp</t>
  </si>
  <si>
    <t>518704</t>
  </si>
  <si>
    <t>034-Tan-Solid-15#518704.webp</t>
  </si>
  <si>
    <t>506704</t>
  </si>
  <si>
    <t>034-Tan-Solid-15#506704.webp</t>
  </si>
  <si>
    <t>499004</t>
  </si>
  <si>
    <t>034-Tan-Solid-15#499004.webp</t>
  </si>
  <si>
    <t>494004</t>
  </si>
  <si>
    <t>034-Tan-Solid-15#494004.webp</t>
  </si>
  <si>
    <t>492904</t>
  </si>
  <si>
    <t>034-Tan-Solid-15#492904.webp</t>
  </si>
  <si>
    <t>474014</t>
  </si>
  <si>
    <t>034-Tan-Solid-15#474014.webp</t>
  </si>
  <si>
    <t>464704</t>
  </si>
  <si>
    <t>034-Tan-Solid-15#464704.webp</t>
  </si>
  <si>
    <t>430702</t>
  </si>
  <si>
    <t>034-Tan-Solid-15#430702.webp</t>
  </si>
  <si>
    <t>427202</t>
  </si>
  <si>
    <t>034-Tan-Solid-15#427202.webp</t>
  </si>
  <si>
    <t>404114</t>
  </si>
  <si>
    <t>034-Tan-Solid-15#404114.webp</t>
  </si>
  <si>
    <t>404104</t>
  </si>
  <si>
    <t>034-Tan-Solid-15#404104.webp</t>
  </si>
  <si>
    <t>352604</t>
  </si>
  <si>
    <t>034-Tan-Solid-15#352604.webp</t>
  </si>
  <si>
    <t>034-Tan-Solid-14</t>
  </si>
  <si>
    <t>533504</t>
  </si>
  <si>
    <t>034-Tan-Solid-14#533504.webp</t>
  </si>
  <si>
    <t>529003</t>
  </si>
  <si>
    <t>034-Tan-Solid-14#529003.webp</t>
  </si>
  <si>
    <t>525004</t>
  </si>
  <si>
    <t>034-Tan-Solid-14#525004.webp</t>
  </si>
  <si>
    <t>517004</t>
  </si>
  <si>
    <t>034-Tan-Solid-14#517004.webp</t>
  </si>
  <si>
    <t>497904</t>
  </si>
  <si>
    <t>034-Tan-Solid-14#497904.webp</t>
  </si>
  <si>
    <t>479004</t>
  </si>
  <si>
    <t>034-Tan-Solid-14#479004.webp</t>
  </si>
  <si>
    <t>479003</t>
  </si>
  <si>
    <t>034-Tan-Solid-14#479003.webp</t>
  </si>
  <si>
    <t>421004</t>
  </si>
  <si>
    <t>034-Tan-Solid-14#421004.webp</t>
  </si>
  <si>
    <t>034-Tan-Solid-13</t>
  </si>
  <si>
    <t>542403</t>
  </si>
  <si>
    <t>034-Tan-Solid-13#542403.webp</t>
  </si>
  <si>
    <t>539904</t>
  </si>
  <si>
    <t>034-Tan-Solid-13#539904.webp</t>
  </si>
  <si>
    <t>532204</t>
  </si>
  <si>
    <t>034-Tan-Solid-13#532204.webp</t>
  </si>
  <si>
    <t>532202</t>
  </si>
  <si>
    <t>034-Tan-Solid-13#532202.webp</t>
  </si>
  <si>
    <t>527903</t>
  </si>
  <si>
    <t>034-Tan-Solid-13#527903.webp</t>
  </si>
  <si>
    <t>515004</t>
  </si>
  <si>
    <t>034-Tan-Solid-13#515004.webp</t>
  </si>
  <si>
    <t>513204</t>
  </si>
  <si>
    <t>034-Tan-Solid-13#513204.webp</t>
  </si>
  <si>
    <t>508004</t>
  </si>
  <si>
    <t>034-Tan-Solid-13#508004.webp</t>
  </si>
  <si>
    <t>506304</t>
  </si>
  <si>
    <t>034-Tan-Solid-13#506304.webp</t>
  </si>
  <si>
    <t>489004</t>
  </si>
  <si>
    <t>034-Tan-Solid-13#489004.webp</t>
  </si>
  <si>
    <t>484214</t>
  </si>
  <si>
    <t>034-Tan-Solid-13#484214.webp</t>
  </si>
  <si>
    <t>480804</t>
  </si>
  <si>
    <t>034-Tan-Solid-13#480804.webp</t>
  </si>
  <si>
    <t>477202</t>
  </si>
  <si>
    <t>034-Tan-Solid-13#477202.webp</t>
  </si>
  <si>
    <t>034-Tan-Solid-12</t>
  </si>
  <si>
    <t>531704</t>
  </si>
  <si>
    <t>034-Tan-Solid-12#531704.webp</t>
  </si>
  <si>
    <t>523904</t>
  </si>
  <si>
    <t>034-Tan-Solid-12#523904.webp</t>
  </si>
  <si>
    <t>518604</t>
  </si>
  <si>
    <t>034-Tan-Solid-12#518604.webp</t>
  </si>
  <si>
    <t>509802</t>
  </si>
  <si>
    <t>034-Tan-Solid-12#509802.webp</t>
  </si>
  <si>
    <t>475003</t>
  </si>
  <si>
    <t>034-Tan-Solid-12#475003.webp</t>
  </si>
  <si>
    <t>456714</t>
  </si>
  <si>
    <t>034-Tan-Solid-12#456714.webp</t>
  </si>
  <si>
    <t>456704</t>
  </si>
  <si>
    <t>034-Tan-Solid-12#456704.webp</t>
  </si>
  <si>
    <t>385914</t>
  </si>
  <si>
    <t>034-Tan-Solid-12#385914.webp</t>
  </si>
  <si>
    <t>385904</t>
  </si>
  <si>
    <t>034-Tan-Solid-12#385904.webp</t>
  </si>
  <si>
    <t>384714</t>
  </si>
  <si>
    <t>034-Tan-Solid-12#384714.webp</t>
  </si>
  <si>
    <t>034-Tan-Solid-11</t>
  </si>
  <si>
    <t>540911</t>
  </si>
  <si>
    <t>034-Tan-Solid-11#540911.webp</t>
  </si>
  <si>
    <t>531104</t>
  </si>
  <si>
    <t>034-Tan-Solid-11#531104.webp</t>
  </si>
  <si>
    <t>527308</t>
  </si>
  <si>
    <t>034-Tan-Solid-11#527308.webp</t>
  </si>
  <si>
    <t>522704</t>
  </si>
  <si>
    <t>034-Tan-Solid-11#522704.webp</t>
  </si>
  <si>
    <t>514502</t>
  </si>
  <si>
    <t>034-Tan-Solid-11#514502.webp</t>
  </si>
  <si>
    <t>511604</t>
  </si>
  <si>
    <t>034-Tan-Solid-11#511604.webp</t>
  </si>
  <si>
    <t>511414</t>
  </si>
  <si>
    <t>034-Tan-Solid-11#511414.webp</t>
  </si>
  <si>
    <t>497014</t>
  </si>
  <si>
    <t>034-Tan-Solid-11#497014.webp</t>
  </si>
  <si>
    <t>488004</t>
  </si>
  <si>
    <t>034-Tan-Solid-11#488004.webp</t>
  </si>
  <si>
    <t>488003</t>
  </si>
  <si>
    <t>034-Tan-Solid-11#488003.webp</t>
  </si>
  <si>
    <t>476302</t>
  </si>
  <si>
    <t>034-Tan-Solid-11#476302.webp</t>
  </si>
  <si>
    <t>411704</t>
  </si>
  <si>
    <t>034-Tan-Solid-11#411704.webp</t>
  </si>
  <si>
    <t>407614</t>
  </si>
  <si>
    <t>034-Tan-Solid-11#407614.webp</t>
  </si>
  <si>
    <t>393002</t>
  </si>
  <si>
    <t>034-Tan-Solid-11#393002.webp</t>
  </si>
  <si>
    <t>377604</t>
  </si>
  <si>
    <t>034-Tan-Solid-11#377604.webp</t>
  </si>
  <si>
    <t>034-Tan-Solid-10</t>
  </si>
  <si>
    <t>546302</t>
  </si>
  <si>
    <t>034-Tan-Solid-10#546302.webp</t>
  </si>
  <si>
    <t>546202</t>
  </si>
  <si>
    <t>034-Tan-Solid-10#546202.webp</t>
  </si>
  <si>
    <t>546102</t>
  </si>
  <si>
    <t>034-Tan-Solid-10#546102.webp</t>
  </si>
  <si>
    <t>533702</t>
  </si>
  <si>
    <t>034-Tan-Solid-10#533702.webp</t>
  </si>
  <si>
    <t>504504</t>
  </si>
  <si>
    <t>034-Tan-Solid-10#504504.webp</t>
  </si>
  <si>
    <t>482014</t>
  </si>
  <si>
    <t>034-Tan-Solid-10#482014.webp</t>
  </si>
  <si>
    <t>482011</t>
  </si>
  <si>
    <t>034-Tan-Solid-10#482011.webp</t>
  </si>
  <si>
    <t>461404</t>
  </si>
  <si>
    <t>034-Tan-Solid-10#461404.webp</t>
  </si>
  <si>
    <t>034-Tan-Pattern-64</t>
  </si>
  <si>
    <t>545504</t>
  </si>
  <si>
    <t>034-Tan-Pattern-64#545504.webp</t>
  </si>
  <si>
    <t>034-Tan-Pattern-60</t>
  </si>
  <si>
    <t>530408</t>
  </si>
  <si>
    <t>034-Tan-Pattern-60#530408.webp</t>
  </si>
  <si>
    <t>034-Tan-Pattern-49</t>
  </si>
  <si>
    <t>524208</t>
  </si>
  <si>
    <t>034-Tan-Pattern-49#524208.webp</t>
  </si>
  <si>
    <t>519104</t>
  </si>
  <si>
    <t>034-Tan-Pattern-49#519104.webp</t>
  </si>
  <si>
    <t>512104</t>
  </si>
  <si>
    <t>034-Tan-Pattern-49#512104.webp</t>
  </si>
  <si>
    <t>034-Tan-Pattern-47</t>
  </si>
  <si>
    <t>543903</t>
  </si>
  <si>
    <t>034-Tan-Pattern-47#543903.webp</t>
  </si>
  <si>
    <t>034-Tan-Pattern-46</t>
  </si>
  <si>
    <t>516204</t>
  </si>
  <si>
    <t>034-Tan-Pattern-46#516204.webp</t>
  </si>
  <si>
    <t>034-Tan-Pattern-45</t>
  </si>
  <si>
    <t>539204</t>
  </si>
  <si>
    <t>034-Tan-Pattern-45#539204.webp</t>
  </si>
  <si>
    <t>530804</t>
  </si>
  <si>
    <t>034-Tan-Pattern-45#530804.webp</t>
  </si>
  <si>
    <t>034-Tan-Pattern-44</t>
  </si>
  <si>
    <t>518404</t>
  </si>
  <si>
    <t>034-Tan-Pattern-44#518404.webp</t>
  </si>
  <si>
    <t>464004</t>
  </si>
  <si>
    <t>034-Tan-Pattern-44#464004.webp</t>
  </si>
  <si>
    <t>034-Tan-Pattern-43</t>
  </si>
  <si>
    <t>545704</t>
  </si>
  <si>
    <t>034-Tan-Pattern-43#545704.webp</t>
  </si>
  <si>
    <t>034-Tan-Pattern-41</t>
  </si>
  <si>
    <t>516104</t>
  </si>
  <si>
    <t>034-Tan-Pattern-41#516104.webp</t>
  </si>
  <si>
    <t>034-Tan-Pattern-40</t>
  </si>
  <si>
    <t>545904</t>
  </si>
  <si>
    <t>034-Tan-Pattern-40#545904.webp</t>
  </si>
  <si>
    <t>034-Tan-Pattern-39</t>
  </si>
  <si>
    <t>303304</t>
  </si>
  <si>
    <t>034-Tan-Pattern-39#303304.webp</t>
  </si>
  <si>
    <t>034-Tan-Pattern-38</t>
  </si>
  <si>
    <t>521814</t>
  </si>
  <si>
    <t>034-Tan-Pattern-38#521814.webp</t>
  </si>
  <si>
    <t>034-Tan-Pattern-37</t>
  </si>
  <si>
    <t>418703</t>
  </si>
  <si>
    <t>034-Tan-Pattern-37#418703.webp</t>
  </si>
  <si>
    <t>303404</t>
  </si>
  <si>
    <t>034-Tan-Pattern-37#303404.webp</t>
  </si>
  <si>
    <t>303402</t>
  </si>
  <si>
    <t>034-Tan-Pattern-37#303402.webp</t>
  </si>
  <si>
    <t>034-Tan-Pattern-36</t>
  </si>
  <si>
    <t>523609</t>
  </si>
  <si>
    <t>034-Tan-Pattern-36#523609.webp</t>
  </si>
  <si>
    <t>034-Tan-Pattern-35</t>
  </si>
  <si>
    <t>303702</t>
  </si>
  <si>
    <t>034-Tan-Pattern-35#303702.webp</t>
  </si>
  <si>
    <t>303602</t>
  </si>
  <si>
    <t>034-Tan-Pattern-35#303602.webp</t>
  </si>
  <si>
    <t>303601</t>
  </si>
  <si>
    <t>034-Tan-Pattern-35#303601.webp</t>
  </si>
  <si>
    <t>034-Tan-Pattern-34</t>
  </si>
  <si>
    <t>518304</t>
  </si>
  <si>
    <t>034-Tan-Pattern-34#518304.webp</t>
  </si>
  <si>
    <t>426604</t>
  </si>
  <si>
    <t>034-Tan-Pattern-34#426604.webp</t>
  </si>
  <si>
    <t>034-Tan-Pattern-33</t>
  </si>
  <si>
    <t>540804</t>
  </si>
  <si>
    <t>034-Tan-Pattern-33#540804.webp</t>
  </si>
  <si>
    <t>532315</t>
  </si>
  <si>
    <t>034-Tan-Pattern-33#532315.webp</t>
  </si>
  <si>
    <t>523303</t>
  </si>
  <si>
    <t>034-Tan-Pattern-33#523303.webp</t>
  </si>
  <si>
    <t>515604</t>
  </si>
  <si>
    <t>034-Tan-Pattern-33#515604.webp</t>
  </si>
  <si>
    <t>444504</t>
  </si>
  <si>
    <t>034-Tan-Pattern-33#444504.webp</t>
  </si>
  <si>
    <t>034-Tan-Pattern-32</t>
  </si>
  <si>
    <t>530904</t>
  </si>
  <si>
    <t>034-Tan-Pattern-32#530904.webp</t>
  </si>
  <si>
    <t>034-Tan-Pattern-31</t>
  </si>
  <si>
    <t>546018</t>
  </si>
  <si>
    <t>034-Tan-Pattern-31#546018.webp</t>
  </si>
  <si>
    <t>528204</t>
  </si>
  <si>
    <t>034-Tan-Pattern-31#528204.webp</t>
  </si>
  <si>
    <t>034-Tan-Pattern-30</t>
  </si>
  <si>
    <t>513704</t>
  </si>
  <si>
    <t>034-Tan-Pattern-30#513704.webp</t>
  </si>
  <si>
    <t>508803</t>
  </si>
  <si>
    <t>034-Tan-Pattern-30#508803.webp</t>
  </si>
  <si>
    <t>455804</t>
  </si>
  <si>
    <t>034-Tan-Pattern-30#455804.webp</t>
  </si>
  <si>
    <t>034-Tan-Pattern-28</t>
  </si>
  <si>
    <t>516404</t>
  </si>
  <si>
    <t>034-Tan-Pattern-28#516404.webp</t>
  </si>
  <si>
    <t>034-Tan-Pattern-27</t>
  </si>
  <si>
    <t>515704</t>
  </si>
  <si>
    <t>034-Tan-Pattern-27#515704.webp</t>
  </si>
  <si>
    <t>487004</t>
  </si>
  <si>
    <t>034-Tan-Pattern-27#487004.webp</t>
  </si>
  <si>
    <t>034-Tan-Pattern-26</t>
  </si>
  <si>
    <t>501504</t>
  </si>
  <si>
    <t>034-Tan-Pattern-26#501504.webp</t>
  </si>
  <si>
    <t>034-Tan-Pattern-25</t>
  </si>
  <si>
    <t>541202</t>
  </si>
  <si>
    <t>034-Tan-Pattern-25#541202.webp</t>
  </si>
  <si>
    <t>523509</t>
  </si>
  <si>
    <t>034-Tan-Pattern-25#523509.webp</t>
  </si>
  <si>
    <t>513604</t>
  </si>
  <si>
    <t>034-Tan-Pattern-25#513604.webp</t>
  </si>
  <si>
    <t>034-Tan-Pattern-23</t>
  </si>
  <si>
    <t>523203</t>
  </si>
  <si>
    <t>034-Tan-Pattern-23#523203.webp</t>
  </si>
  <si>
    <t>511104</t>
  </si>
  <si>
    <t>034-Tan-Pattern-23#511104.webp</t>
  </si>
  <si>
    <t>510904</t>
  </si>
  <si>
    <t>034-Tan-Pattern-23#510904.webp</t>
  </si>
  <si>
    <t>034-Tan-Pattern-22</t>
  </si>
  <si>
    <t>532807</t>
  </si>
  <si>
    <t>034-Tan-Pattern-22#532807.webp</t>
  </si>
  <si>
    <t>471603</t>
  </si>
  <si>
    <t>034-Tan-Pattern-22#471603.webp</t>
  </si>
  <si>
    <t>456804</t>
  </si>
  <si>
    <t>034-Tan-Pattern-22#456804.webp</t>
  </si>
  <si>
    <t>034-Tan-Pattern-21</t>
  </si>
  <si>
    <t>537904</t>
  </si>
  <si>
    <t>034-Tan-Pattern-21#537904.webp</t>
  </si>
  <si>
    <t>497704</t>
  </si>
  <si>
    <t>034-Tan-Pattern-21#497704.webp</t>
  </si>
  <si>
    <t>034-Tan-Pattern-20</t>
  </si>
  <si>
    <t>515904</t>
  </si>
  <si>
    <t>034-Tan-Pattern-20#515904.webp</t>
  </si>
  <si>
    <t>508903</t>
  </si>
  <si>
    <t>034-Tan-Pattern-20#508903.webp</t>
  </si>
  <si>
    <t>469503</t>
  </si>
  <si>
    <t>034-Tan-Pattern-20#469503.webp</t>
  </si>
  <si>
    <t>458304</t>
  </si>
  <si>
    <t>034-Tan-Pattern-20#458304.webp</t>
  </si>
  <si>
    <t>034-Tan-Pattern-19</t>
  </si>
  <si>
    <t>488404</t>
  </si>
  <si>
    <t>034-Tan-Pattern-19#488404.webp</t>
  </si>
  <si>
    <t>034-Tan-Pattern-18</t>
  </si>
  <si>
    <t>531904</t>
  </si>
  <si>
    <t>034-Tan-Pattern-18#531904.webp</t>
  </si>
  <si>
    <t>528304</t>
  </si>
  <si>
    <t>034-Tan-Pattern-18#528304.webp</t>
  </si>
  <si>
    <t>522604</t>
  </si>
  <si>
    <t>034-Tan-Pattern-18#522604.webp</t>
  </si>
  <si>
    <t>509003</t>
  </si>
  <si>
    <t>034-Tan-Pattern-18#509003.webp</t>
  </si>
  <si>
    <t>034-Tan-Pattern-17</t>
  </si>
  <si>
    <t>448604</t>
  </si>
  <si>
    <t>034-Tan-Pattern-17#448604.webp</t>
  </si>
  <si>
    <t>034-Tan-Pattern-16</t>
  </si>
  <si>
    <t>509504</t>
  </si>
  <si>
    <t>034-Tan-Pattern-16#509504.webp</t>
  </si>
  <si>
    <t>507404</t>
  </si>
  <si>
    <t>034-Tan-Pattern-16#507404.webp</t>
  </si>
  <si>
    <t>034-Tan-Pattern-15</t>
  </si>
  <si>
    <t>462802</t>
  </si>
  <si>
    <t>034-Tan-Pattern-15#462802.webp</t>
  </si>
  <si>
    <t>034-Tan-Pattern-14</t>
  </si>
  <si>
    <t>541104</t>
  </si>
  <si>
    <t>034-Tan-Pattern-14#541104.webp</t>
  </si>
  <si>
    <t>541102</t>
  </si>
  <si>
    <t>034-Tan-Pattern-14#541102.webp</t>
  </si>
  <si>
    <t>519204</t>
  </si>
  <si>
    <t>034-Tan-Pattern-14#519204.webp</t>
  </si>
  <si>
    <t>034-Tan-Pattern-11</t>
  </si>
  <si>
    <t>409004</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</si>
  <si>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</si>
  <si>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</si>
  <si>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</si>
  <si>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</si>
  <si>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</si>
  <si>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</si>
  <si>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</si>
  <si>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</si>
  <si>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</si>
  <si>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</si>
  <si>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</si>
  <si>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</si>
  <si>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</si>
  <si>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</si>
  <si>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</si>
  <si>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</si>
  <si>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</si>
  <si>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</si>
  <si>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</si>
  <si>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</si>
  <si>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</si>
  <si>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</si>
  <si>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</si>
  <si>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</si>
  <si>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</si>
  <si>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</si>
  <si>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</si>
  <si>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</si>
  <si>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</si>
  <si>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</si>
  <si>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034-leather-Tan</t>
  </si>
  <si>
    <t>1510GR2</t>
  </si>
  <si>
    <t>034-leather-Tan#1510.webp</t>
  </si>
  <si>
    <t>1610GR2</t>
  </si>
  <si>
    <t>034-leather-Tan#1610.webp</t>
  </si>
  <si>
    <t>034-leather-Gray</t>
  </si>
  <si>
    <t>1810GR1</t>
  </si>
  <si>
    <t>034-leather-Gray#1810.webp</t>
  </si>
  <si>
    <t>1811GR1</t>
  </si>
  <si>
    <t>034-leather-Gray#1811.webp</t>
  </si>
  <si>
    <t>034-leather-Black</t>
  </si>
  <si>
    <t>1813GR1</t>
  </si>
  <si>
    <t>034-leather-Black#1813.webp</t>
  </si>
  <si>
    <t>1814GR1</t>
  </si>
  <si>
    <t>034-leather-Gray#1814.webp</t>
  </si>
  <si>
    <t>034-leather-White</t>
  </si>
  <si>
    <t>2020GR2</t>
  </si>
  <si>
    <t>034-leather-White#2020.webp</t>
  </si>
  <si>
    <t>2021GR2</t>
  </si>
  <si>
    <t>034-leather-White#2021.webp</t>
  </si>
  <si>
    <t>2022GR2</t>
  </si>
  <si>
    <t>034-leather-Tan#2022.webp</t>
  </si>
  <si>
    <t>2023GR2</t>
  </si>
  <si>
    <t>034-leather-Gray#2023.webp</t>
  </si>
  <si>
    <t>2024GR2</t>
  </si>
  <si>
    <t>034-leather-Tan#2024.webp</t>
  </si>
  <si>
    <t>034-leather-Blue</t>
  </si>
  <si>
    <t>2025GR2</t>
  </si>
  <si>
    <t>034-leather-Blue#2025.webp</t>
  </si>
  <si>
    <t>2026GR2</t>
  </si>
  <si>
    <t>034-leather-Blue#2026.webp</t>
  </si>
  <si>
    <t>2027GR2</t>
  </si>
  <si>
    <t>034-leather-Tan#2027.webp</t>
  </si>
  <si>
    <t>034-leather-Brown</t>
  </si>
  <si>
    <t>2028GR2</t>
  </si>
  <si>
    <t>034-leather-Brown#2028.webp</t>
  </si>
  <si>
    <t>2029GR2</t>
  </si>
  <si>
    <t>034-leather-Black#2029.webp</t>
  </si>
  <si>
    <t>2210GR1</t>
  </si>
  <si>
    <t>034-leather-Tan#2210.webp</t>
  </si>
  <si>
    <t>2310GR1</t>
  </si>
  <si>
    <t>034-leather-White#2310.webp</t>
  </si>
  <si>
    <t>2311GR1</t>
  </si>
  <si>
    <t>034-leather-Tan#2311.webp</t>
  </si>
  <si>
    <t>2312GR1</t>
  </si>
  <si>
    <t>034-leather-Tan#2312.webp</t>
  </si>
  <si>
    <t>2313GR1</t>
  </si>
  <si>
    <t>034-leather-Brown#2313.webp</t>
  </si>
  <si>
    <t>2314GR1</t>
  </si>
  <si>
    <t>034-leather-Brown#2314.webp</t>
  </si>
  <si>
    <t>2315GR1</t>
  </si>
  <si>
    <t>034-leather-Blue#2315.webp</t>
  </si>
  <si>
    <t>2316GR1</t>
  </si>
  <si>
    <t>034-leather-Blue#2316.webp</t>
  </si>
  <si>
    <t>034-leather-Green</t>
  </si>
  <si>
    <t>2317GR1</t>
  </si>
  <si>
    <t>034-leather-Green#2317.webp</t>
  </si>
  <si>
    <t>034-leather-Orange</t>
  </si>
  <si>
    <t>2318GR1</t>
  </si>
  <si>
    <t>034-leather-Orange#2318.webp</t>
  </si>
  <si>
    <t>2320GR1</t>
  </si>
  <si>
    <t>034-leather-Blue#2320.webp</t>
  </si>
  <si>
    <t>2321GR1</t>
  </si>
  <si>
    <t>034-leather-Blue#2321.webp</t>
  </si>
  <si>
    <t>2322GR1</t>
  </si>
  <si>
    <t>034-leather-Blue#2322.webp</t>
  </si>
  <si>
    <t>2323GR1</t>
  </si>
  <si>
    <t>034-leather-Gray#2323.webp</t>
  </si>
  <si>
    <t>2324GR1</t>
  </si>
  <si>
    <t>034-leather-Black#2324.webp</t>
  </si>
  <si>
    <t>2810GR2</t>
  </si>
  <si>
    <t>034-leather-Brown#2810.webp</t>
  </si>
  <si>
    <t>2811GR2</t>
  </si>
  <si>
    <t>034-leather-Brown#2811.webp</t>
  </si>
  <si>
    <t>2813GR2</t>
  </si>
  <si>
    <t>034-leather-Tan#2813.webp</t>
  </si>
  <si>
    <t>2920GR1</t>
  </si>
  <si>
    <t>034-leather-Tan#2920.webp</t>
  </si>
  <si>
    <t>2921GR1</t>
  </si>
  <si>
    <t>034-leather-Tan#2921.webp</t>
  </si>
  <si>
    <t>2922GR1</t>
  </si>
  <si>
    <t>034-leather-Brown#2922.webp</t>
  </si>
  <si>
    <t>2923GR1</t>
  </si>
  <si>
    <t>034-leather-Brown#2923.webp</t>
  </si>
  <si>
    <t>2924GR1</t>
  </si>
  <si>
    <t>034-leather-Green#2924.webp</t>
  </si>
  <si>
    <t>2925GR1</t>
  </si>
  <si>
    <t>034-leather-Blue#2925.webp</t>
  </si>
  <si>
    <t>2926GR1</t>
  </si>
  <si>
    <t>034-leather-Green#2926.webp</t>
  </si>
  <si>
    <t>2927GR1</t>
  </si>
  <si>
    <t>034-leather-Tan#2927.webp</t>
  </si>
  <si>
    <t>3010GR1</t>
  </si>
  <si>
    <t>034-leather-Gray#3010.webp</t>
  </si>
  <si>
    <t>3011GR1</t>
  </si>
  <si>
    <t>034-leather-Tan#3011.webp</t>
  </si>
  <si>
    <t>3013GR1</t>
  </si>
  <si>
    <t>034-leather-Brown#3013.webp</t>
  </si>
  <si>
    <t>3014GR1</t>
  </si>
  <si>
    <t>034-leather-Gray#3014.webp</t>
  </si>
  <si>
    <t>3015GR1</t>
  </si>
  <si>
    <t>034-leather-Brown#3015.webp</t>
  </si>
  <si>
    <t>3016GR1</t>
  </si>
  <si>
    <t>034-leather-Blue#3016.webp</t>
  </si>
  <si>
    <t>3017GR1</t>
  </si>
  <si>
    <t>034-leather-Tan#3017.webp</t>
  </si>
  <si>
    <t>034-leather-Red</t>
  </si>
  <si>
    <t>3018GR1</t>
  </si>
  <si>
    <t>034-leather-Red#3018.webp</t>
  </si>
  <si>
    <t>3215GR3</t>
  </si>
  <si>
    <t>034-leather-Red#3215.webp</t>
  </si>
  <si>
    <t>3216GR3</t>
  </si>
  <si>
    <t>034-leather-Brown#3216.webp</t>
  </si>
  <si>
    <t>3218GR3</t>
  </si>
  <si>
    <t>034-leather-Red#3218.webp</t>
  </si>
  <si>
    <t>3225GR3</t>
  </si>
  <si>
    <t>034-leather-Brown#3225.webp</t>
  </si>
  <si>
    <t>3226GR3</t>
  </si>
  <si>
    <t>034-leather-Tan#3226.webp</t>
  </si>
  <si>
    <t>3410GR6</t>
  </si>
  <si>
    <t>034-leather-Tan#3410.webp</t>
  </si>
  <si>
    <t>3411GR6</t>
  </si>
  <si>
    <t>034-leather-Brown#3411.webp</t>
  </si>
  <si>
    <t>4110GR3</t>
  </si>
  <si>
    <t>034-leather-Brown#4110.webp</t>
  </si>
  <si>
    <t>4113GR3</t>
  </si>
  <si>
    <t>034-leather-White#4113.webp</t>
  </si>
  <si>
    <t>4114GR3</t>
  </si>
  <si>
    <t>034-leather-Tan#4114.webp</t>
  </si>
  <si>
    <t>4115GR3</t>
  </si>
  <si>
    <t>034-leather-Tan#4115.webp</t>
  </si>
  <si>
    <t>4116GR3</t>
  </si>
  <si>
    <t>034-leather-Tan#4116.webp</t>
  </si>
  <si>
    <t>4117GR3</t>
  </si>
  <si>
    <t>034-leather-Brown#4117.webp</t>
  </si>
  <si>
    <t>4118GR3</t>
  </si>
  <si>
    <t>034-leather-Blue#4118.webp</t>
  </si>
  <si>
    <t>4119GR3</t>
  </si>
  <si>
    <t>034-leather-Green#4119.webp</t>
  </si>
  <si>
    <t>4310GR2</t>
  </si>
  <si>
    <t>034-leather-Red#4310.webp</t>
  </si>
  <si>
    <t>4311GR2</t>
  </si>
  <si>
    <t>034-leather-Tan#4311.webp</t>
  </si>
  <si>
    <t>4610GR3</t>
  </si>
  <si>
    <t>034-leather-Brown#4610.webp</t>
  </si>
  <si>
    <t>4611GR3</t>
  </si>
  <si>
    <t>034-leather-Tan#4611.webp</t>
  </si>
  <si>
    <t>6610GR4</t>
  </si>
  <si>
    <t>034-leather-Tan#6610.webp</t>
  </si>
  <si>
    <t>6611GR4</t>
  </si>
  <si>
    <t>034-leather-Brown#6611.webp</t>
  </si>
  <si>
    <t>6710GR3</t>
  </si>
  <si>
    <t>034-leather-Brown#6710.webp</t>
  </si>
  <si>
    <t>6711GR3</t>
  </si>
  <si>
    <t>034-leather-Brown#6711.webp</t>
  </si>
  <si>
    <t>7110GR2</t>
  </si>
  <si>
    <t>034-leather-Green#7110.webp</t>
  </si>
  <si>
    <t>7311GR2</t>
  </si>
  <si>
    <t>034-leather-Gray#7311.webp</t>
  </si>
  <si>
    <t>7312GR2</t>
  </si>
  <si>
    <t>034-leather-Tan#7312.webp</t>
  </si>
  <si>
    <t>7314GR2</t>
  </si>
  <si>
    <t>034-leather-Tan#7314.webp</t>
  </si>
  <si>
    <t>7801GR4</t>
  </si>
  <si>
    <t>034-leather-Tan#7801.webp</t>
  </si>
  <si>
    <t>7802GR4</t>
  </si>
  <si>
    <t>034-leather-Brown#7802.webp</t>
  </si>
  <si>
    <t>7804GR4</t>
  </si>
  <si>
    <t>034-leather-Gray#7804.webp</t>
  </si>
  <si>
    <t>7805GR4</t>
  </si>
  <si>
    <t>034-leather-Tan#7805.webp</t>
  </si>
  <si>
    <t>8311GR1</t>
  </si>
  <si>
    <t>034-leather-Blue#8311.webp</t>
  </si>
  <si>
    <t>8313GR1</t>
  </si>
  <si>
    <t>034-leather-Tan#8313.webp</t>
  </si>
  <si>
    <t>8810GR3</t>
  </si>
  <si>
    <t>034-leather-Tan#8810.webp</t>
  </si>
  <si>
    <t>8811GR3</t>
  </si>
  <si>
    <t>034-leather-Brown#8811.webp</t>
  </si>
  <si>
    <t>8812GR3</t>
  </si>
  <si>
    <t>034-leather-Gray#8812.webp</t>
  </si>
  <si>
    <t>8815GR3</t>
  </si>
  <si>
    <t>034-leather-Gray#8815.webp</t>
  </si>
  <si>
    <t>8817GR3</t>
  </si>
  <si>
    <t>034-leather-Tan#8817.webp</t>
  </si>
  <si>
    <t>8818GR3</t>
  </si>
  <si>
    <t>034-leather-Tan#8818.webp</t>
  </si>
  <si>
    <t>8819GR3</t>
  </si>
  <si>
    <t>034-leather-Tan#8819.webp</t>
  </si>
  <si>
    <t>9210GR3</t>
  </si>
  <si>
    <t>034-leather-Gray#9210.webp</t>
  </si>
  <si>
    <t>9211GR3</t>
  </si>
  <si>
    <t>034-leather-Tan#9211.webp</t>
  </si>
  <si>
    <t>9212GR3</t>
  </si>
  <si>
    <t>034-leather-Tan#9212.webp</t>
  </si>
  <si>
    <t>9213GR3</t>
  </si>
  <si>
    <t>034-leather-Brown#9213.webp</t>
  </si>
  <si>
    <t>9214GR3</t>
  </si>
  <si>
    <t>034-leather-Tan#9214.webp</t>
  </si>
  <si>
    <t>9216GR3</t>
  </si>
  <si>
    <t>034-leather-Tan#9216.webp</t>
  </si>
  <si>
    <t>9217GR3</t>
  </si>
  <si>
    <t>034-leather-Blue#9217.webp</t>
  </si>
  <si>
    <t>9220GR3</t>
  </si>
  <si>
    <t>034-leather-Brown#9220.webp</t>
  </si>
  <si>
    <t>9221GR3</t>
  </si>
  <si>
    <t>034-leather-Gray#9221.webp</t>
  </si>
  <si>
    <t>9223GR3</t>
  </si>
  <si>
    <t>034-leather-Tan#9223.webp</t>
  </si>
  <si>
    <t>9224GR3</t>
  </si>
  <si>
    <t>034-leather-White#9224.webp</t>
  </si>
  <si>
    <t>URL</t>
  </si>
  <si>
    <t>Schema</t>
  </si>
  <si>
    <t>Name</t>
  </si>
  <si>
    <t>Schema Types</t>
  </si>
  <si>
    <t>Schema Count</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</si>
  <si>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</si>
  <si>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</si>
  <si>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AdministrativeArea (x12)
AggregateRating
BreadcrumbList
City (x9)
Country
GeoCoordinates
ImageObject (x2)
ListItem (x3)
OfferCatalog (x6)
OpeningHoursSpecification (x3)
PostalAddress
QuantitativeValue
State (x4)
WarrantyPromise
WebPage
WebSite</t>
  </si>
  <si>
    <t>Green Highlighted cells have not been double checked</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</si>
  <si>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</si>
  <si>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</si>
  <si>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AdministrativeArea (x22)
AggregateRating
BreadcrumbList
City (x18)
Country
GeoCoordinates
ImageObject (x2)
ListItem (x3)
OfferCatalog (x6)
OpeningHoursSpecification (x3)
PostalAddress
QuantitativeValue
State (x5)
WarrantyPromise
WebPage
WebSite</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</si>
  <si>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</si>
  <si>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</si>
  <si>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AdministrativeArea (x18)
AggregateRating
BreadcrumbList
City (x15)
Country
GeoCoordinates
ImageObject (x2)
ListItem (x3)
OfferCatalog (x6)
OpeningHoursSpecification (x3)
PostalAddress
QuantitativeValue
State (x4)
WarrantyPromise
WebPage
WebSite</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</si>
  <si>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</si>
  <si>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</si>
  <si>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AdministrativeArea (x13)
AggregateRating
BreadcrumbList
City (x11)
Country
GeoCoordinates
ImageObject (x2)
ListItem (x3)
OfferCatalog (x6)
OpeningHoursSpecification (x3)
PostalAddress
QuantitativeValue
State (x3)
WarrantyPromise
WebPage
WebSite</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</si>
  <si>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</si>
  <si>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</si>
  <si>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AdministrativeArea (x14)
AggregateRating
BreadcrumbList
City (x10)
Country
GeoCoordinates
ImageObject (x2)
ListItem (x3)
OfferCatalog (x6)
PostalAddress
QuantitativeValue
State (x5)
WarrantyPromise
WebPage
WebSite</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</si>
  <si>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</si>
  <si>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</si>
  <si>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AdministrativeArea (x13)
AggregateRating
BreadcrumbList
City (x10)
Country
GeoCoordinates
ImageObject (x2)
ListItem (x3)
OfferCatalog (x6)
OpeningHoursSpecification (x3)
PostalAddress
QuantitativeValue
State (x4)
WarrantyPromise
WebPage
WebSite</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</si>
  <si>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</si>
  <si>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</si>
  <si>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AdministrativeArea (x8)
AggregateRating
BreadcrumbList
City (x7)
Country
GeoCoordinates
ImageObject (x2)
ListItem (x3)
OfferCatalog (x6)
OpeningHoursSpecification (x3)
PostalAddress
QuantitativeValue
State (x2)
WarrantyPromise
WebPage
WebSite</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</si>
  <si>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</si>
  <si>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</si>
  <si>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AdministrativeArea (x9)
AggregateRating
BreadcrumbList
City (x6)
Country
GeoCoordinates
ImageObject (x2)
ListItem (x3)
OfferCatalog (x6)
OpeningHoursSpecification (x3)
PostalAddress
QuantitativeValue
State (x4)
WarrantyPromise
WebPage
WebSite</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</si>
  <si>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</si>
  <si>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</si>
  <si>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AdministrativeArea (x10)
AggregateRating
BreadcrumbList
City (x8)
Country
GeoCoordinates
ImageObject (x2)
ListItem (x3)
OfferCatalog (x6)
OpeningHoursSpecification (x3)
PostalAddress
QuantitativeValue
State (x3)
WarrantyPromise
WebPage
WebSite</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</si>
  <si>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</si>
  <si>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</si>
  <si>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</si>
  <si>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</si>
  <si>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AdministrativeArea (x17)
AggregateRating
BreadcrumbList
City (x15)
Country
GeoCoordinates
ImageObject (x2)
ListItem (x3)
OfferCatalog (x6)
OpeningHoursSpecification (x3)
PostalAddress
QuantitativeValue
State (x3)
WarrantyPromise
WebPage
WebSite</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</si>
  <si>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</si>
  <si>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</si>
  <si>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AdministrativeArea (x6)
AggregateRating
BreadcrumbList
City (x5)
Country
GeoCoordinates
ImageObject (x2)
ListItem (x3)
OfferCatalog (x6)
OpeningHoursSpecification (x3)
PostalAddress
QuantitativeValue
State (x2)
WarrantyPromise
WebPage
WebSite</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</si>
  <si>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</si>
  <si>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</si>
  <si>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AdministrativeArea (x11)
AggregateRating
BreadcrumbList
City (x9)
Country
GeoCoordinates
ImageObject (x2)
ListItem (x3)
OfferCatalog (x6)
OpeningHoursSpecification (x3)
PostalAddress
QuantitativeValue
State (x3)
WarrantyPromise
WebPage
WebSite</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</si>
  <si>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</si>
  <si>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</si>
  <si>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AdministrativeArea (x26)
AggregateRating
BreadcrumbList
City (x23)
Country
GeoCoordinates
ImageObject (x2)
ListItem (x3)
OfferCatalog (x6)
OpeningHoursSpecification (x3)
PostalAddress
QuantitativeValue
State (x4)
WarrantyPromise
WebPage
WebSite</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</si>
  <si>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</si>
  <si>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</si>
  <si>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</si>
  <si>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</si>
  <si>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AdministrativeArea (x11)
AggregateRating
BreadcrumbList
City (x8)
Country
GeoCoordinates
ImageObject (x2)
ListItem (x3)
OfferCatalog (x6)
OpeningHoursSpecification (x3)
PostalAddress
QuantitativeValue
State (x4)
WarrantyPromise
WebPage
WebSite</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</si>
  <si>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</si>
  <si>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</si>
  <si>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AdministrativeArea (x15)
AggregateRating
BreadcrumbList
City (x12)
Country
GeoCoordinates
ImageObject (x2)
ListItem (x3)
OfferCatalog (x6)
OpeningHoursSpecification (x3)
PostalAddress
QuantitativeValue
State (x4)
WarrantyPromise
WebPage
WebSite</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</si>
  <si>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</si>
  <si>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</si>
  <si>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AdministrativeArea (x17)
AggregateRating
BreadcrumbList
City (x13)
Country
GeoCoordinates
ImageObject (x2)
ListItem (x3)
OfferCatalog (x6)
OpeningHoursSpecification (x3)
PostalAddress
QuantitativeValue
State (x5)
WarrantyPromise
WebPage
WebSite</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</si>
  <si>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</si>
  <si>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</si>
  <si>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AdministrativeArea (x8)
AggregateRating
BreadcrumbList
City (x6)
Country
GeoCoordinates
ImageObject (x2)
ListItem (x3)
OfferCatalog (x6)
OpeningHoursSpecification (x3)
PostalAddress
QuantitativeValue
State (x3)
WarrantyPromise
WebPage
WebSite</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</si>
  <si>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</si>
  <si>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</si>
  <si>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AdministrativeArea (x12)
AggregateRating
BreadcrumbList
City (x10)
Country
GeoCoordinates
ImageObject (x2)
ListItem (x3)
OfferCatalog (x6)
OpeningHoursSpecification (x3)
PostalAddress
QuantitativeValue
State (x3)
WarrantyPromise
WebPage
WebSite</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</si>
  <si>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</si>
  <si>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</si>
  <si>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AdministrativeArea (x9)
AggregateRating
BreadcrumbList
City (x8)
Country
GeoCoordinates
ImageObject (x2)
ListItem (x3)
OfferCatalog (x6)
OpeningHoursSpecification (x3)
PostalAddress
QuantitativeValue
State (x2)
WarrantyPromise
WebPage
WebSite</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</si>
  <si>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</si>
  <si>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</si>
  <si>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AdministrativeArea (x19)
AggregateRating
BreadcrumbList
City (x16)
Country
GeoCoordinates
ImageObject (x2)
ListItem (x3)
OfferCatalog (x6)
OpeningHoursSpecification (x3)
PostalAddress
QuantitativeValue
State (x4)
WarrantyPromise
WebPage
WebSite</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</si>
  <si>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</si>
  <si>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</si>
  <si>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</si>
  <si>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</si>
  <si>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</si>
  <si>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</si>
  <si>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</si>
  <si>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</si>
  <si>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</si>
  <si>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</si>
  <si>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AdministrativeArea (x13)
AggregateRating
BreadcrumbList
City (x9)
Country
GeoCoordinates
ImageObject (x2)
ListItem (x3)
OfferCatalog (x6)
OpeningHoursSpecification (x3)
PostalAddress
QuantitativeValue
State (x5)
WarrantyPromise
WebPage
WebSite</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</si>
  <si>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</si>
  <si>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</si>
  <si>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AdministrativeArea (x7)
AggregateRating
BreadcrumbList
City (x6)
Country
GeoCoordinates
ImageObject (x2)
ListItem (x3)
OfferCatalog (x6)
OpeningHoursSpecification (x3)
PostalAddress
QuantitativeValue
State (x2)
WarrantyPromise
WebPage
WebSite</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</si>
  <si>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</si>
  <si>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</si>
  <si>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AdministrativeArea (x16)
AggregateRating
BreadcrumbList
City (x12)
Country
GeoCoordinates
ImageObject (x2)
ListItem (x3)
OfferCatalog (x6)
OpeningHoursSpecification (x3)
PostalAddress
QuantitativeValue
State (x5)
WarrantyPromise
WebPage
WebSite</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</si>
  <si>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</si>
  <si>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</si>
  <si>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AdministrativeArea (x8)
AggregateRating
BreadcrumbList
City (x4)
Country
GeoCoordinates
ImageObject (x2)
ListItem (x3)
OfferCatalog (x6)
OpeningHoursSpecification (x3)
PostalAddress
QuantitativeValue
State (x5)
WarrantyPromise
WebPage
WebSite</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</si>
  <si>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</si>
  <si>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</si>
  <si>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AdministrativeArea (x16)
AggregateRating
BreadcrumbList
City (x13)
Country
GeoCoordinates
ImageObject (x2)
ListItem (x3)
OfferCatalog (x6)
OpeningHoursSpecification (x3)
PostalAddress
QuantitativeValue
State (x4)
WarrantyPromise
WebPage
WebSite</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</si>
  <si>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</si>
  <si>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</si>
  <si>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</si>
  <si>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</si>
  <si>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</si>
  <si>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</si>
  <si>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AdministrativeArea (x11)
AggregateRating
BreadcrumbList
City (x10)
Country
GeoCoordinates
ImageObject (x2)
ListItem (x3)
OfferCatalog (x6)
OpeningHoursSpecification (x3)
PostalAddress
QuantitativeValue
State (x2)
WarrantyPromise
WebPage
WebSite</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</si>
  <si>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</si>
  <si>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</si>
  <si>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</si>
  <si>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</si>
  <si>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</si>
  <si>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</si>
  <si>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</si>
  <si>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</si>
  <si>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AdministrativeArea (x18)
AggregateRating
BreadcrumbList
City (x13)
Country
GeoCoordinates
ImageObject (x2)
ListItem (x3)
OfferCatalog (x6)
OpeningHoursSpecification (x3)
PostalAddress
QuantitativeValue
State (x6)
WarrantyPromise
WebPage
WebSite</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</si>
  <si>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</si>
  <si>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</si>
  <si>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</si>
  <si>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</si>
  <si>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</si>
  <si>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</si>
  <si>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</si>
  <si>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</si>
  <si>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AdministrativeArea (x14)
AggregateRating
BreadcrumbList
City (x12)
Country
GeoCoordinates
ImageObject (x2)
ListItem (x3)
OfferCatalog (x6)
OpeningHoursSpecification (x3)
PostalAddress
QuantitativeValue
State (x3)
WarrantyPromise
WebPage
WebSite</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</si>
  <si>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</si>
  <si>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"Office Sale",
      "description": "25% off office items during July",
      "validFrom": "2026-07-01",
      "validThrough": "2026-07-31",
      "category": "Furniture Discount"
    },
    {
      "@type": "Offer",
      "name": "Entertainment Sale",
      "description": "25% off entertainment items during July",
      "validFrom": "2026-07-01",
      "validThrough": "2026-07-31",
      "category": "Furniture Discount"
    },
    {
      "@type": "Offer",
      "name": "Backroom Sale",
      "description": "50% off select items during July",
      "validFrom": "2026-07-01",
      "validThrough": "2026-07-31",
      "category": "Furniture Discount"
    },
    {
      "@type": "Offer",
      "name": "Outdoor Sale",
      "description": "15% off any outdoor furniture pieces during July",
      "validFrom": "2026-07-01",
      "validThrough": "2026-07-31",
      "category": "Furniture Discount"
    } 
 ]
}
&lt;/script&gt;</t>
  </si>
  <si>
    <t>Country
FurnitureStore
GeoCircle
GeoCoordinates (x2)
GeoShape
Offer (x4)
PostalAddress</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</si>
  <si>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</si>
  <si>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</si>
  <si>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AdministrativeArea (x17)
AggregateRating
BreadcrumbList
City (x16)
Country
GeoCoordinates
ImageObject (x2)
ListItem (x3)
OfferCatalog (x6)
OpeningHoursSpecification (x3)
PostalAddress
QuantitativeValue
State (x2)
WarrantyPromise
WebPage
WebSite</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</si>
  <si>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</si>
  <si>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"https://millwest.com/wp-content/uploads/2025/10/Millwest-2-scaled.jpg"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</si>
  <si>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</si>
  <si>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 xml:space="preserve">   </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</si>
  <si>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</si>
  <si>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</si>
  <si>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AdministrativeArea (x11)
AggregateRating
BreadcrumbList
City (x9)
Country
GeoCoordinates
ImageObject (x2)
ListItem (x4)
OfferCatalog (x11)
OpeningHoursSpecification (x3)
PostalAddress
Service
State (x3)
WarrantyPromise
WebPage
WebSite</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</si>
  <si>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</si>
  <si>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made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"https://millwest.com/wp-content/uploads/2026/06/Millwest-82-3-scaled.webp"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"Whitehall",
          "containedInPlace": {
            "@type": "AdministrativeArea",
            "name": "Franklin County"
          }
        },
        {
          "@type": "City",
          "name": "Reynoldsburg",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"Service",
      "@id": "https://millwest.com/ohio/dublin/outdoor-furniture/#outdoor-furniture-service",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</si>
  <si>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https://millwest.com/ohio/toledo/outdoor-furniture/</t>
  </si>
  <si>
    <t>&lt;script type="application/ld+json"&gt;
{
  "@context": "https://schema.org",
  "@graph": [
    {
      "@type": "WebSite",
      "@id": "https://millwest.com/#website",
      "name": "Millwest Amish Furniture",
      "url": "https://millwest.com/",
      "publisher": {
        "@id": "https://millwest.com/#millwest-amish-furniture"
      }
    },
    {
      "@type": "WebPage",
      "@id": "https://millwest.com/ohio/toledo/outdoor-furniture/#webpage",
      "url": "https://millwest.com/ohio/toledo/outdoor-furniture/",
      "name": "Outdoor Furniture for Toledo, Ohio | Amish Country Poly",
      "description": "Shop poly outdoor furniture made in Ohio's Amish country and delivered across Toledo.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"https://millwest.com/ohio/toledo/outdoor-furniture/#breadcrumb"
      },
      "inLanguage": "en-US"
    },
    {
      "@type": ["LocalBusiness", "FurnitureStore"],
      "@id": "https://millwest.com/#millwest-amish-furniture",
      "name": "Millwest Amish Furniture",
      "alternateName": "Miller's Furniture",
      "url": "https://millwest.com/ohio/toledo/outdoor-furniture/",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"Toledo",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"Genoa",
          "containedInPlace": {
            "@type": "AdministrativeArea",
            "name": "Ottawa County"
          }
        },
        {
          "@type": "City",
          "name": "Swanton",
          "containedInPlace": {
            "@type": "AdministrativeArea",
            "name": "Fulton County"
          }
        },
        {
          "@type": "AdministrativeArea",
          "name": "Lucas County",
          "containedInPlace": {
            "@type": "State",
            "name": "Ohio"
          }
        },
        {
          "@type": "AdministrativeArea",
          "name": "Wood County",
          "containedInPlace": {
            "@type": "State",
            "name": "Ohio"
          }
        },
        {
          "@type": "AdministrativeArea",
          "name": "Ottawa County",
          "containedInPlace": {
            "@type": "State",
            "name": "Ohio"
          }
        },
        {
          "@type": "AdministrativeArea",
          "name": "Fulton County",
          "containedInPlace": {
            "@type": "State",
            "name": "Ohio"
          }
        }
      ]
    },
    {
      "@type": "Service",
      "@id": "https://millwest.com/ohio/toledo/outdoor-furniture/#outdoor-furniture-service",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"https://millwest.com/ohio/toledo/outdoor-furniture/#breadcrumb",
      "itemListElement": [
        {
          "@type": "ListItem",
          "position": 1,
          "name": "Home",
          "item": "https://millwest.com/"
        },
        {
          "@type": "ListItem",
          "position": 2,
          "name": "Ohio",
          "item": "https://millwest.com/ohio/"
        },
        {
          "@type": "ListItem",
          "position": 3,
          "name": "Toledo",
          "item": "https://millwest.com/ohio/toledo/"
        },
        {
          "@type": "ListItem",
          "position": 4,
          "name": "Outdoor Furniture",
          "item": "https://millwest.com/ohio/toledo/outdoor-furniture/"
        }
      ]
    }
  ]
}
&lt;/script&gt;</t>
  </si>
  <si>
    <t>AdministrativeArea (x15)
AggregateRating
BreadcrumbList
City (x11)
Country
GeoCoordinates
ImageObject (x2)
ListItem (x4)
OfferCatalog (x11)
OpeningHoursSpecification (x3)
PostalAddress
Service
State (x5)
WarrantyPromise
WebPage
WebSite</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</si>
  <si>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</si>
  <si>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</si>
  <si>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</si>
  <si>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</si>
  <si>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AdministrativeArea (x7)
AggregateRating
BreadcrumbList
City (x5)
Country
GeoCoordinates
ImageObject (x2)
ListItem (x4)
OfferCatalog (x11)
OpeningHoursSpecification (x3)
PostalAddress
Service
State (x3)
WarrantyPromise
WebPage
WebSite</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</si>
  <si>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</si>
  <si>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</si>
  <si>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AdministrativeArea (x13)
AggregateRating
BreadcrumbList
City (x10)
Country
GeoCoordinates
ImageObject (x2)
ListItem (x4)
OfferCatalog (x11)
OpeningHoursSpecification (x3)
PostalAddress
Service
State (x4)
WarrantyPromise
WebPage
WebSite</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</si>
  <si>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</si>
  <si>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</si>
  <si>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AdministrativeArea (x8)
AggregateRating
BreadcrumbList
City (x7)
Country
GeoCoordinates
ImageObject (x2)
ListItem (x4)
OfferCatalog (x11)
OpeningHoursSpecification (x3)
PostalAddress
Service
State (x2)
WarrantyPromise
WebPage
WebSite</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</si>
  <si>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</si>
  <si>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</si>
  <si>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AdministrativeArea (x9)
AggregateRating
BreadcrumbList
City (x6)
Country
GeoCoordinates
ImageObject (x2)
ListItem (x4)
OfferCatalog (x11)
OpeningHoursSpecification (x3)
PostalAddress
Service
State (x4)
WarrantyPromise
WebPage
WebSite</t>
  </si>
  <si>
    <t>https://millwest.com/ohio/grove-city/outdoor-furniture/</t>
  </si>
  <si>
    <t>&lt;script type="application/ld+json"&gt;
{
  "@context": "https://schema.org",
  "@graph": [
    {
      "@type": "WebSite",
      "@id": "https://millwest.com/#website",
      "name": "Millwest Amish Furniture",
      "url": "https://millwest.com/",
      "publisher": {
        "@id": "https://millwest.com/#millwest-amish-furniture"
      }
    },
    {
      "@type": "WebPage",
      "@id": "https://millwest.com/ohio/grove-city/outdoor-furniture/#webpage",
      "url": "https://millwest.com/ohio/grove-city/outdoor-furniture/",
      "name": "Outdoor Furniture in Grove City, Ohio | Amish Country Poly",
      "description": "Shop poly outdoor furniture made in Ohio's Amish country and delivered across Grove City.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"https://millwest.com/ohio/grove-city/outdoor-furniture/#breadcrumb"
      },
      "inLanguage": "en-US"
    },
    {
      "@type": ["LocalBusiness", "FurnitureStore"],
      "@id": "https://millwest.com/#millwest-amish-furniture",
      "name": "Millwest Amish Furniture",
      "alternateName": "Miller's Furniture",
      "url": "https://millwest.com/ohio/grove-city/outdoor-furniture/",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"Grove City",
          "containedInPlace": {
            "@type": "AdministrativeArea",
            "name": "Franklin County"
          }
        },
        {
          "@type": "City",
          "name": "Urbancrest",
          "containedInPlace": {
            "@type": "AdministrativeArea",
            "name": "Franklin County"
          }
        },
        {
          "@type": "City",
          "name": "Obetz",
          "containedInPlace": {
            "@type": "AdministrativeArea",
            "name": "Franklin County"
          }
        },
        {
          "@type": "City",
          "name": "Grandview Heights",
          "containedInPlace": {
            "@type": "AdministrativeArea",
            "name": "Franklin County"
          }
        },
        {
          "@type": "City",
          "name": "Groveport",
          "containedInPlace": {
            "@type": "AdministrativeArea",
            "name": "Franklin County"
          }
        },
        {
          "@type": "City",
          "name": "Lockbourne",
          "containedInPlace": {
            "@type": "AdministrativeArea",
            "name": "Franklin County"
          }
        },
        {
          "@type": "City",
          "name": "Canal Winchester",
          "containedInPlace": {
            "@type": "AdministrativeArea",
            "name": "Franklin County"
          }
        },
        {
          "@type": "City",
          "name": "Commercial Point",
          "containedInPlace": {
            "@type": "AdministrativeArea",
            "name": "Pickaway County"
          }
        },
        {
          "@type": "City",
          "name": "Ashville",
          "containedInPlace": {
            "@type": "AdministrativeArea",
            "name": "Pickaway County"
          }
        },
        {
          "@type": "AdministrativeArea",
          "name": "Franklin County",
          "containedInPlace": {
            "@type": "State",
            "name": "Ohio"
          }
        },
        {
          "@type": "AdministrativeArea",
          "name": "Pickaway County",
          "containedInPlace": {
            "@type": "State",
            "name": "Ohio"
          }
        }
      ]
    },
    {
      "@type": "Service",
      "@id": "https://millwest.com/ohio/grove-city/outdoor-furniture/#outdoor-furniture-service",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"https://millwest.com/ohio/grove-city/outdoor-furniture/#breadcrumb",
      "itemListElement": [
        {
          "@type": "ListItem",
          "position": 1,
          "name": "Home",
          "item": "https://millwest.com/"
        },
        {
          "@type": "ListItem",
          "position": 2,
          "name": "Ohio",
          "item": "https://millwest.com/ohio/"
        },
        {
          "@type": "ListItem",
          "position": 3,
          "name": "Grove City",
          "item": "https://millwest.com/ohio/grove-city/"
        },
        {
          "@type": "ListItem",
          "position": 4,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</si>
  <si>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</si>
  <si>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</si>
  <si>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AdministrativeArea (x16)
AggregateRating
BreadcrumbList
City (x13)
Country
GeoCoordinates
ImageObject (x2)
ListItem (x4)
OfferCatalog (x12)
OpeningHoursSpecification (x3)
PostalAddress
Service
State (x4)
WarrantyPromise
WebPage
WebSite</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</si>
  <si>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</si>
  <si>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</si>
  <si>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AdministrativeArea (x21)
AggregateRating
BreadcrumbList
City (x17)
Country
GeoCoordinates
ImageObject (x2)
ListItem (x4)
OfferCatalog (x12)
OpeningHoursSpecification (x3)
PostalAddress
Service
State (x5)
WarrantyPromise
WebPage
WebSite</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</si>
  <si>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</si>
  <si>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</si>
  <si>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AdministrativeArea (x12)
AggregateRating
BreadcrumbList
City (x10)
Country
GeoCoordinates
ImageObject (x2)
ListItem (x4)
OfferCatalog (x12)
OpeningHoursSpecification (x3)
PostalAddress
Service
State (x3)
WarrantyPromise
WebPage
WebSite</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</si>
  <si>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</si>
  <si>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</si>
  <si>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AdministrativeArea (x7)
AggregateRating
BreadcrumbList
City (x6)
Country
GeoCoordinates
ImageObject (x2)
ListItem (x4)
OfferCatalog (x11)
OpeningHoursSpecification (x3)
PostalAddress
Service
State (x2)
WarrantyPromise
WebPage
WebSite</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</si>
  <si>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</si>
  <si>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</si>
  <si>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AdministrativeArea (x17)
AggregateRating
BreadcrumbList
City (x16)
Country
GeoCoordinates
ImageObject (x2)
ListItem (x4)
OfferCatalog (x11)
OpeningHoursSpecification (x3)
PostalAddress
Service
State (x2)
WarrantyPromise
WebPage
WebSite</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</si>
  <si>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</si>
  <si>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</si>
  <si>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AdministrativeArea (x10)
AggregateRating
BreadcrumbList
City (x7)
Country
GeoCoordinates
ImageObject (x2)
ListItem (x4)
OfferCatalog (x11)
OpeningHoursSpecification (x3)
PostalAddress
Service
State (x4)
WarrantyPromise
WebPage
WebSite</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</si>
  <si>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</si>
  <si>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</si>
  <si>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AdministrativeArea (x9)
AggregateRating
BreadcrumbList
City (x7)
Country
GeoCoordinates
ImageObject (x2)
ListItem (x4)
OfferCatalog (x11)
OpeningHoursSpecification (x3)
PostalAddress
Service
State (x3)
WarrantyPromise
WebPage
WebSite</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</si>
  <si>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</si>
  <si>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</si>
  <si>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AdministrativeArea (x10)
AggregateRating
BreadcrumbList
City (x8)
Country
GeoCoordinates
ImageObject (x2)
ListItem (x4)
OfferCatalog (x11)
OpeningHoursSpecification (x3)
PostalAddress
Service
State (x3)
WarrantyPromise
WebPage
WebSite</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</si>
  <si>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</si>
  <si>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</si>
  <si>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AdministrativeArea (x17)
AggregateRating
BreadcrumbList
City (x11)
Country
GeoCoordinates
ImageObject (x2)
ListItem (x4)
OfferCatalog (x11)
OpeningHoursSpecification (x3)
PostalAddress
Service
State (x7)
WarrantyPromise
WebPage
WebSite</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</si>
  <si>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</si>
  <si>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</si>
  <si>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AdministrativeArea (x6)
AggregateRating
BreadcrumbList
City (x5)
Country
GeoCoordinates
ImageObject (x2)
ListItem (x4)
OfferCatalog (x11)
OpeningHoursSpecification (x3)
PostalAddress
Service
State (x2)
WarrantyPromise
WebPage
WebSite</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</si>
  <si>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</si>
  <si>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</si>
  <si>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</si>
  <si>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</si>
  <si>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AdministrativeArea (x13)
AggregateRating
BreadcrumbList
City (x9)
Country
GeoCoordinates
ImageObject (x2)
ListItem (x4)
OfferCatalog (x11)
OpeningHoursSpecification (x3)
PostalAddress
Service
State (x5)
WarrantyPromise
WebPage
WebSite</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</si>
  <si>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</si>
  <si>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</si>
  <si>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AdministrativeArea (x11)
AggregateRating
BreadcrumbList
City (x8)
Country
GeoCoordinates
ImageObject (x2)
ListItem (x4)
OfferCatalog (x11)
OpeningHoursSpecification (x3)
PostalAddress
Service
State (x4)
WarrantyPromise
WebPage
WebSite</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</si>
  <si>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</si>
  <si>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</si>
  <si>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</si>
  <si>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</si>
  <si>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AdministrativeArea (x10)
AggregateRating
BreadcrumbList
City (x6)
Country
GeoCoordinates
ImageObject (x2)
ListItem (x4)
OfferCatalog (x11)
OpeningHoursSpecification (x3)
PostalAddress
Service
State (x5)
WarrantyPromise
WebPage
WebSite</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</si>
  <si>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</si>
  <si>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</si>
  <si>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</si>
  <si>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</si>
  <si>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</si>
  <si>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</si>
  <si>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https://millwest.com/ohio/sylvania/outdoor-furniture/</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</si>
  <si>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</si>
  <si>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https://millwest.com/ohio/tipp-city/outdoor-furniture/</t>
  </si>
  <si>
    <t>&lt;script type="application/ld+json"&gt;
{
  "@context": "https://schema.org",
  "@graph": [
    {
      "@type": "WebSite",
      "@id": "https://millwest.com/#website",
      "name": "Millwest Amish Furniture",
      "url": "https://millwest.com/",
      "publisher": {
        "@id": "https://millwest.com/#millwest-amish-furniture"
      }
    },
    {
      "@type": "WebPage",
      "@id": "https://millwest.com/ohio/tipp-city/outdoor-furniture/#webpage",
      "url": "https://millwest.com/ohio/tipp-city/outdoor-furniture/",
      "name": "Outdoor Furniture for Tipp City, Ohio | Amish Country Poly, Millwest",
      "description": "Shop poly outdoor furniture made in Ohio's Amish country and delivered across Tipp City.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"https://millwest.com/ohio/tipp-city/outdoor-furniture/#breadcrumb"
      },
      "inLanguage": "en-US"
    },
    {
      "@type": ["LocalBusiness", "FurnitureStore"],
      "@id": "https://millwest.com/#millwest-amish-furniture",
      "name": "Millwest Amish Furniture",
      "alternateName": "Miller's Furniture",
      "url": "https://millwest.com/ohio/tipp-city/outdoor-furniture/",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"Tipp City",
          "containedInPlace": {
            "@type": "AdministrativeArea",
            "name": "Miami County"
          }
        },
        {
          "@type": "City",
          "name": "Potsdam",
          "containedInPlace": {
            "@type": "AdministrativeArea",
            "name": "Miami County"
          }
        },
        {
          "@type": "City",
          "name": "West Milton",
          "containedInPlace": {
            "@type": "AdministrativeArea",
            "name": "Miami County"
          }
        },
        {
          "@type": "City",
          "name": "Covington",
          "containedInPlace": {
            "@type": "AdministrativeArea",
            "name": "Miami County"
          }
        },
        {
          "@type": "City",
          "name": "Pleasant Hill",
          "containedInPlace": {
            "@type": "AdministrativeArea",
            "name": "Miami County"
          }
        },
        {
          "@type": "City",
          "name": "Casstown",
          "containedInPlace": {
            "@type": "AdministrativeArea",
            "name": "Miami County"
          }
        },
        {
          "@type": "City",
          "name": "Tremont City",
          "containedInPlace": {
            "@type": "AdministrativeArea",
            "name": "Clark County"
          }
        },
        {
          "@type": "City",
          "name": "Medway",
          "containedInPlace": {
            "@type": "AdministrativeArea",
            "name": "Clark County"
          }
        },
        {
          "@type": "City",
          "name": "New Carlisle",
          "containedInPlace": {
            "@type": "AdministrativeArea",
            "name": "Clark County"
          }
        },
        {
          "@type": "AdministrativeArea",
          "name": "Miami County",
          "containedInPlace": {
            "@type": "State",
            "name": "Ohio"
          }
        },
        {
          "@type": "AdministrativeArea",
          "name": "Clark County",
          "containedInPlace": {
            "@type": "State",
            "name": "Ohio"
          }
        }
      ]
    },
    {
      "@type": "Service",
      "@id": "https://millwest.com/ohio/tipp-city/outdoor-furniture/#outdoor-furniture-service",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"https://millwest.com/ohio/tipp-city/outdoor-furniture/#breadcrumb",
      "itemListElement": [
        {
          "@type": "ListItem",
          "position": 1,
          "name": "Home",
          "item": "https://millwest.com/"
        },
        {
          "@type": "ListItem",
          "position": 2,
          "name": "Ohio",
          "item": "https://millwest.com/ohio/"
        },
        {
          "@type": "ListItem",
          "position": 3,
          "name": "Tipp City",
          "item": "https://millwest.com/ohio/tipp-city/"
        },
        {
          "@type": "ListItem",
          "position": 4,
          "name": "Outdoor Furniture",
          "item": "https://millwest.com/ohio/tipp-city/outdoor-furniture/"
        }
      ]
    }
  ]
}
&lt;/script&gt;</t>
  </si>
  <si>
    <t>https://millwest.com/ohio/trotwood/outdoor-furniture/</t>
  </si>
  <si>
    <t>&lt;script type="application/ld+json"&gt;
{
  "@context": "https://schema.org",
  "@graph": [
    {
      "@type": "WebSite",
      "@id": "https://millwest.com/#website",
      "name": "Millwest Amish Furniture",
      "url": "https://millwest.com/",
      "publisher": {
        "@id": "https://millwest.com/#millwest-amish-furniture"
      }
    },
    {
      "@type": "WebPage",
      "@id": "https://millwest.com/ohio/trotwood/outdoor-furniture/#webpage",
      "url": "https://millwest.com/ohio/trotwood/outdoor-furniture/",
      "name": "Outdoor Furniture for Trotwood, Ohio | Amish Country Poly, Millwest",
      "description": "Shop poly outdoor furniture made in Ohio's Amish country and delivered across Trotwood.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"https://millwest.com/ohio/trotwood/outdoor-furniture/#breadcrumb"
      },
      "inLanguage": "en-US"
    },
    {
      "@type": ["LocalBusiness", "FurnitureStore"],
      "@id": "https://millwest.com/#millwest-amish-furniture",
      "name": "Millwest Amish Furniture",
      "alternateName": "Miller's Furniture",
      "url": "https://millwest.com/ohio/trotwood/outdoor-furniture/",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"Kids",
            "url": "https://millwest.com/product-category/outdoor-furniture-collections/kids/"
          },
          {
            "@type": "OfferCatalog",
            "name": "Fire Pits",
            "url": "https://millwest.com/product-category/outdoor-furniture-collections/fire-pits/"
          },
          {
            "@type": "OfferCatalog",
            "name": "Outdoor Rockers",
            "url": "https://millwest.com/product-category/outdoor-furniture-collections/rockers/"
          }
        ]
      },
      "aggregateRating": {
        "@type": "AggregateRating",
        "ratingValue": "4.9",
        "bestRating": "5",
        "worstRating": "1",
        "reviewCount": "210"
      },
      "areaServed": [
        {
          "@type": "State",
          "name": "Ohio",
          "containedInPlace": {
            "@type": "Country",
            "name": "United States"
          }
        },
        {
          "@type": "City",
          "name": "Trotwood",
          "containedInPlace": {
            "@type": "AdministrativeArea",
            "name": "Montgomery County"
          }
        },
        {
          "@type": "City",
          "name": "Brookville",
          "containedInPlace": {
            "@type": "AdministrativeArea",
            "name": "Montgomery County"
          }
        },
        {
          "@type": "City",
          "name": "Union",
          "containedInPlace": {
            "@type": "AdministrativeArea",
            "name": "Montgomery County"
          }
        },
        {
          "@type": "City",
          "name": "New Lebanon",
          "containedInPlace": {
            "@type": "AdministrativeArea",
            "name": "Montgomery County"
          }
        },
        {
          "@type": "City",
          "name": "Farmersville",
          "containedInPlace": {
            "@type": "AdministrativeArea",
            "name": "Montgomery County"
          }
        },
        {
          "@type": "City",
          "name": "Phillipsburg",
          "containedInPlace": {
            "@type": "AdministrativeArea",
            "name": "Montgomery County"
          }
        },
        {
          "@type": "City",
          "name": "Eaton",
          "containedInPlace": {
            "@type": "AdministrativeArea",
            "name": "Preble County"
          }
        },
        {
          "@type": "City",
          "name": "West Alexandria",
          "containedInPlace": {
            "@type": "AdministrativeArea",
            "name": "Preble County"
          }
        },
        {
          "@type": "City",
          "name": "Lewisburg",
          "containedInPlace": {
            "@type": "AdministrativeArea",
            "name": "Preble County"
          }
        },
        {
          "@type": "City",
          "name": "Camden",
          "containedInPlace": {
            "@type": "AdministrativeArea",
            "name": "Preble County"
          }
        },
        {
          "@type": "AdministrativeArea",
          "name": "Montgomery County",
          "containedInPlace": {
            "@type": "State",
            "name": "Ohio"
          }
        },
        {
          "@type": "AdministrativeArea",
          "name": "Preble County",
          "containedInPlace": {
            "@type": "State",
            "name": "Ohio"
          }
        }
      ]
    },
    {
      "@type": "Service",
      "@id": "https://millwest.com/ohio/trotwood/outdoor-furniture/#outdoor-furniture-service",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"https://millwest.com/ohio/trotwood/outdoor-furniture/#breadcrumb",
      "itemListElement": [
        {
          "@type": "ListItem",
          "position": 1,
          "name": "Home",
          "item": "https://millwest.com/"
        },
        {
          "@type": "ListItem",
          "position": 2,
          "name": "Ohio",
          "item": "https://millwest.com/ohio/"
        },
        {
          "@type": "ListItem",
          "position": 3,
          "name": "Trotwood",
          "item": "https://millwest.com/ohio/trotwood/"
        },
        {
          "@type": "ListItem",
          "position": 4,
          "name": "Outdoor Furniture",
          "item": "https://millwest.com/ohio/trotwood/outdoor-furniture/"
        }
      ]
    }
  ]
}
&lt;/script&gt;</t>
  </si>
  <si>
    <t>AdministrativeArea (x12)
AggregateRating
BreadcrumbList
City (x10)
Country
GeoCoordinates
ImageObject (x2)
ListItem (x4)
OfferCatalog (x11)
OpeningHoursSpecification (x3)
PostalAddress
Service
State (x3)
WarrantyPromise
WebPage
WebSite</t>
  </si>
  <si>
    <t>https://millwest.com/ohio/troy/outdoor-furniture/</t>
  </si>
  <si>
    <t>&lt;script type="application/ld+json"&gt;
{
  "@context": "https://schema.org",
  "@graph": [
    {
      "@type": "WebSite",
      "@id": "https://millwest.com/#website",
      "name": "Millwest Amish Furniture",
      "url": "https://millwest.com/",
      "publisher": {
        "@id": "https://millwest.com/#millwest-amish-furniture"
      }
    },
    {
      "@type": "WebPage",
      "@id": "https://millwest.com/ohio/troy/outdoor-furniture/#webpage",
      "url": "https://millwest.com/ohio/troy/outdoor-furniture/",
      "name": "Outdoor Furniture for Troy, Ohio | Amish Country Poly, Millwest",
      "description": "Shop poly outdoor furniture made in Ohio's Amish country and delivered across Troy.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"https://millwest.com/ohio/troy/outdoor-furniture/#breadcrumb"
      },
      "inLanguage": "en-US"
    },
    {
      "@type": ["LocalBusiness", "FurnitureStore"],
      "@id": "https://millwest.com/#millwest-amish-furniture",
      "name": "Millwest Amish Furniture",
      "alternateName": "Miller's Furniture",
      "url": "https://millwest.com/ohio/troy/outdoor-furniture/",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"Troy",
          "containedInPlace": {
            "@type": "AdministrativeArea",
            "name": "Miami County"
          }
        },
        {
          "@type": "City",
          "name": "Casstown",
          "containedInPlace": {
            "@type": "AdministrativeArea",
            "name": "Miami County"
          }
        },
        {
          "@type": "City",
          "name": "Covington",
          "containedInPlace": {
            "@type": "AdministrativeArea",
            "name": "Miami County"
          }
        },
        {
          "@type": "City",
          "name": "Pleasant Hill",
          "containedInPlace": {
            "@type": "AdministrativeArea",
            "name": "Miami County"
          }
        },
        {
          "@type": "City",
          "name": "Russia",
          "containedInPlace": {
            "@type": "AdministrativeArea",
            "name": "Shelby County"
          }
        },
        {
          "@type": "City",
          "name": "Christiansburg",
          "containedInPlace": {
            "@type": "AdministrativeArea",
            "name": "Champaign County"
          }
        },
        {
          "@type": "City",
          "name": "Pitsburg",
          "containedInPlace": {
            "@type": "AdministrativeArea",
            "name": "Darke County"
          }
        },
        {
          "@type": "AdministrativeArea",
          "name": "Miami County",
          "containedInPlace": {
            "@type": "State",
            "name": "Ohio"
          }
        },
        {
          "@type": "AdministrativeArea",
          "name": "Shelby County",
          "containedInPlace": {
            "@type": "State",
            "name": "Ohio"
          }
        },
        {
          "@type": "AdministrativeArea",
          "name": "Champaign County",
          "containedInPlace": {
            "@type": "State",
            "name": "Ohio"
          }
        },
        {
          "@type": "AdministrativeArea",
          "name": "Darke County",
          "containedInPlace": {
            "@type": "State",
            "name": "Ohio"
          }
        }
      ]
    },
    {
      "@type": "Service",
      "@id": "https://millwest.com/ohio/troy/outdoor-furniture/#outdoor-furniture-service",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"https://millwest.com/ohio/troy/outdoor-furniture/#breadcrumb",
      "itemListElement": [
        {
          "@type": "ListItem",
          "position": 1,
          "name": "Home",
          "item": "https://millwest.com/"
        },
        {
          "@type": "ListItem",
          "position": 2,
          "name": "Ohio",
          "item": "https://millwest.com/ohio/"
        },
        {
          "@type": "ListItem",
          "position": 3,
          "name": "Troy",
          "item": "https://millwest.com/ohio/troy/"
        },
        {
          "@type": "ListItem",
          "position": 4,
          "name": "Outdoor Furniture",
          "item": "https://millwest.com/ohio/troy/outdoor-furniture/"
        }
      ]
    }
  ]
}
&lt;/script&gt;</t>
  </si>
  <si>
    <t>AdministrativeArea (x11)
AggregateRating
BreadcrumbList
City (x7)
Country
GeoCoordinates
ImageObject (x2)
ListItem (x4)
OfferCatalog (x11)
OpeningHoursSpecification (x3)
PostalAddress
Service
State (x5)
WarrantyPromise
WebPage
WebSite</t>
  </si>
  <si>
    <t>https://millwest.com/ohio/washington-court-house/outdoor-furniture/</t>
  </si>
  <si>
    <t>&lt;script type="application/ld+json"&gt;
{
  "@context": "https://schema.org",
  "@graph": [
    {
      "@type": "WebSite",
      "@id": "https://millwest.com/#website",
      "name": "Millwest Amish Furniture",
      "url": "https://millwest.com/",
      "publisher": {
        "@id": "https://millwest.com/#millwest-amish-furniture"
      }
    },
    {
      "@type": "WebPage",
      "@id": "https://millwest.com/ohio/washington-court-house/outdoor-furniture/#webpage",
      "url": "https://millwest.com/ohio/washington-court-house/outdoor-furniture/",
      "name": "Outdoor Furniture Washington Court House | Amish Country Poly",
      "description": "Shop poly outdoor furniture made in Ohio's Amish country and delivered across Washington Court House. 400+ colors, 20-year warranty, free quotes.",
      "isPartOf": {
        "@id": "https://millwest.com/#website"
      },
      "about": {
        "@id": "https://millwest.com/#millwest-amish-furniture"
      },
      "mainEntity": {
        "@id": "https://millwest.com/#millwest-amish-furniture"
      },
      "primaryImageOfPage": {
        "@type": "ImageObject",
        "url": "https://millwest.com/wp-content/uploads/2026/06/Millwest-58-scaled.webp"
      },
      "breadcrumb": {
        "@id": "https://millwest.com/ohio/washington-court-house/outdoor-furniture/#breadcrumb"
      },
      "inLanguage": "en-US"
    },
    {
      "@type": ["LocalBusiness", "FurnitureStore"],
      "@id": "https://millwest.com/#millwest-amish-furniture",
      "name": "Millwest Amish Furniture",
      "alternateName": "Miller's Furniture",
      "url": "https://millwest.com/ohio/washington-court-house/outdoor-furniture/",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"New Holland",
          "containedInPlace": {
            "@type": "AdministrativeArea",
            "name": "Pickaway County"
          }
        },
        {
          "@type": "City",
          "name": "Williamsport",
          "containedInPlace": {
            "@type": "AdministrativeArea",
            "name": "Pickaway County"
          }
        },
        {
          "@type": "City",
          "name": "Circleville",
          "containedInPlace": {
            "@type": "AdministrativeArea",
            "name": "Pickaway County"
          }
        },
        {
          "@type": "City",
          "name": "Mount Sterling",
          "containedInPlace": {
            "@type": "AdministrativeArea",
            "name": "Madison County"
          }
        },
        {
          "@type": "City",
          "name": "Greenfield",
          "containedInPlace": {
            "@type": "AdministrativeArea",
            "name": "Highland County"
          }
        },
        {
          "@type": "City",
          "name": "Sabina",
          "containedInPlace": {
            "@type": "AdministrativeArea",
            "name": "Clinton County"
          }
        },
        {
          "@type": "City",
          "name": "Frankfort",
          "containedInPlace": {
            "@type": "AdministrativeArea",
            "name": "Ross County"
          }
        },
        {
          "@type": "AdministrativeArea",
          "name": "Fayette County",
          "containedInPlace": {
            "@type": "State",
            "name": "Ohio"
          }
        },
        {
          "@type": "AdministrativeArea",
          "name": "Pickaway County",
          "containedInPlace": {
            "@type": "State",
            "name": "Ohio"
          }
        },
        {
          "@type": "AdministrativeArea",
          "name": "Madison County",
          "containedInPlace": {
            "@type": "State",
            "name": "Ohio"
          }
        },
        {
          "@type": "AdministrativeArea",
          "name": "Highland County",
          "containedInPlace": {
            "@type": "State",
            "name": "Ohio"
          }
        },
        {
          "@type": "AdministrativeArea",
          "name": "Clinton County",
          "containedInPlace": {
            "@type": "State",
            "name": "Ohio"
          }
        },
        {
          "@type": "AdministrativeArea",
          "name": "Ross County",
          "containedInPlace": {
            "@type": "State",
            "name": "Ohio"
          }
        }
      ]
    },
    {
      "@type": "Service",
      "@id": "https://millwest.com/ohio/washington-court-house/outdoor-furniture/#outdoor-furniture-service",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"https://millwest.com/ohio/washington-court-house/outdoor-furniture/#breadcrumb",
      "itemListElement": [
        {
          "@type": "ListItem",
          "position": 1,
          "name": "Home",
          "item": "https://millwest.com/"
        },
        {
          "@type": "ListItem",
          "position": 2,
          "name": "Ohio",
          "item": "https://millwest.com/ohio/"
        },
        {
          "@type": "ListItem",
          "position": 3,
          "name": "Washington Court House",
          "item": "https://millwest.com/ohio/washington-court-house/"
        },
        {
          "@type": "ListItem",
          "position": 4,
          "name": "Outdoor Furniture",
          "item": "https://millwest.com/ohio/washington-court-house/outdoor-furniture/"
        }
      ]
    }
  ]
}
&lt;/script&gt;</t>
  </si>
  <si>
    <t>AdministrativeArea (x16)
AggregateRating
BreadcrumbList
City (x10)
Country
GeoCoordinates
ImageObject (x2)
ListItem (x4)
OfferCatalog (x11)
OpeningHoursSpecification (x3)
PostalAddress
Service
State (x7)
WarrantyPromise
WebPage
WebSite</t>
  </si>
  <si>
    <t>https://millwest.com/ohio/clearcreek/outdoor-furniture/</t>
  </si>
  <si>
    <t>&lt;script type="application/ld+json"&gt;
{
  "@context": "https://schema.org",
  "@graph": [
    {
      "@type": "WebSite",
      "@id": "https://millwest.com/#website",
      "name": "Millwest Amish Furniture",
      "url": "https://millwest.com/",
      "publisher": {
        "@id": "https://millwest.com/#millwest-amish-furniture"
      }
    },
    {
      "@type": "WebPage",
      "@id": "https://millwest.com/ohio/clearcreek/outdoor-furniture/#webpage",
      "url": "https://millwest.com/ohio/clearcreek/outdoor-furniture/",
      "name": "Outdoor Furniture for Clearcreek, Ohio | Amish Country Poly",
      "description": "Shop poly outdoor furniture made in Ohio's Amish country and delivered across Clearcreek.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"https://millwest.com/ohio/clearcreek/outdoor-furniture/#breadcrumb"
      },
      "inLanguage": "en-US"
    },
    {
      "@type": ["LocalBusiness", "FurnitureStore"],
      "@id": "https://millwest.com/#millwest-amish-furniture",
      "name": "Millwest Amish Furniture",
      "alternateName": "Miller's Furniture",
      "url": "https://millwest.com/ohio/clearcreek/outdoor-furniture/",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"Clearcreek",
          "containedInPlace": {
            "@type": "AdministrativeArea",
            "name": "Warren County"
          }
        },
        {
          "@type": "City",
          "name": "Waynesville",
          "containedInPlace": {
            "@type": "AdministrativeArea",
            "name": "Warren County"
          }
        },
        {
          "@type": "City",
          "name": "Harveysburg",
          "containedInPlace": {
            "@type": "AdministrativeArea",
            "name": "Warren County"
          }
        },
        {
          "@type": "City",
          "name": "Maineville",
          "containedInPlace": {
            "@type": "AdministrativeArea",
            "name": "Warren County"
          }
        },
        {
          "@type": "City",
          "name": "Morrow",
          "containedInPlace": {
            "@type": "AdministrativeArea",
            "name": "Warren County"
          }
        },
        {
          "@type": "City",
          "name": "South Lebanon",
          "containedInPlace": {
            "@type": "AdministrativeArea",
            "name": "Warren County"
          }
        },
        {
          "@type": "City",
          "name": "Carlisle",
          "containedInPlace": {
            "@type": "AdministrativeArea",
            "name": "Warren County"
          }
        },
        {
          "@type": "AdministrativeArea",
          "name": "Warren County",
          "containedInPlace": {
            "@type": "State",
            "name": "Ohio"
          }
        }
      ]
    },
    {
      "@type": "Service",
      "@id": "https://millwest.com/ohio/clearcreek/outdoor-furniture/#outdoor-furniture-service",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"https://millwest.com/ohio/clearcreek/outdoor-furniture/#breadcrumb",
      "itemListElement": [
        {
          "@type": "ListItem",
          "position": 1,
          "name": "Home",
          "item": "https://millwest.com/"
        },
        {
          "@type": "ListItem",
          "position": 2,
          "name": "Ohio",
          "item": "https://millwest.com/ohio/"
        },
        {
          "@type": "ListItem",
          "position": 3,
          "name": "Clearcreek",
          "item": "https://millwest.com/ohio/clearcreek/"
        },
        {
          "@type": "ListItem",
          "position": 4,
          "name": "Outdoor Furniture",
          "item": "https://millwest.com/ohio/clearcreek/outdoor-furniture/"
        }
      ]
    }
  ]
}
&lt;/script&gt;</t>
  </si>
  <si>
    <t>https://millwest.com/ohio/delaware/outdoor-furniture/</t>
  </si>
  <si>
    <t>&lt;script type="application/ld+json"&gt;
{
  "@context": "https://schema.org",
  "@graph": [
    {
      "@type": "WebSite",
      "@id": "https://millwest.com/#website",
      "name": "Millwest Amish Furniture",
      "url": "https://millwest.com/",
      "publisher": {
        "@id": "https://millwest.com/#millwest-amish-furniture"
      }
    },
    {
      "@type": "WebPage",
      "@id": "https://millwest.com/ohio/delaware/outdoor-furniture/#webpage",
      "url": "https://millwest.com/ohio/delaware/outdoor-furniture/",
      "name": "Outdoor Furniture for Delaware Ohio | Amish Country Poly, Millwest",
      "description": "Shop poly outdoor furniture made in Ohio's Amish country and delivered across Delaware.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"https://millwest.com/ohio/delaware/outdoor-furniture/#breadcrumb"
      },
      "inLanguage": "en-US"
    },
    {
      "@type": ["LocalBusiness", "FurnitureStore"],
      "@id": "https://millwest.com/#millwest-amish-furniture",
      "name": "Millwest Amish Furniture",
      "alternateName": "Miller's Furniture",
      "url": "https://millwest.com/ohio/delaware/outdoor-furniture/",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"Delaware",
          "containedInPlace": {
            "@type": "AdministrativeArea",
            "name": "Delaware County"
          }
        },
        {
          "@type": "AdministrativeArea",
          "name": "Delaware County",
          "containedInPlace": {
            "@type": "State",
            "name": "Ohio"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"Ostrander",
          "containedInPlace": {
            "@type": "AdministrativeArea",
            "name": "Delaware County"
          }
        },
        {
          "@type": "City",
          "name": "Ashley",
          "containedInPlace": {
            "@type": "AdministrativeArea",
            "name": "Delaware County"
          }
        },
        {
          "@type": "City",
          "name": "Mount Gilead",
          "containedInPlace": {
            "@type": "AdministrativeArea",
            "name": "Morrow County"
          }
        },
        {
          "@type": "AdministrativeArea",
          "name": "Morrow County",
          "containedInPlace": {
            "@type": "State",
            "name": "Ohio"
          }
        }
      ]
    },
    {
      "@type": "Service",
      "@id": "https://millwest.com/ohio/delaware/outdoor-furniture/#outdoor-furniture-service",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"https://millwest.com/ohio/delaware/outdoor-furniture/#breadcrumb",
      "itemListElement": [
        {
          "@type": "ListItem",
          "position": 1,
          "name": "Home",
          "item": "https://millwest.com/"
        },
        {
          "@type": "ListItem",
          "position": 2,
          "name": "Ohio",
          "item": "https://millwest.com/ohio/"
        },
        {
          "@type": "ListItem",
          "position": 3,
          "name": "Delaware",
          "item": "https://millwest.com/ohio/delaware/"
        },
        {
          "@type": "ListItem",
          "position": 4,
          "name": "Outdoor Furniture",
          "item": "https://millwest.com/ohio/delaware/outdoor-furniture/"
        }
      ]
    }
  ]
}
&lt;/script&gt;</t>
  </si>
  <si>
    <t>https://millwest.com/ohio/marion/outdoor-furniture/</t>
  </si>
  <si>
    <t>&lt;script type="application/ld+json"&gt;
{
  "@context": "https://schema.org",
  "@graph": [
    {
      "@type": "WebSite",
      "@id": "https://millwest.com/#website",
      "name": "Millwest Amish Furniture",
      "url": "https://millwest.com/",
      "publisher": {
        "@id": "https://millwest.com/#millwest-amish-furniture"
      }
    },
    {
      "@type": "WebPage",
      "@id": "https://millwest.com/ohio/marion/outdoor-furniture/#webpage",
      "url": "https://millwest.com/ohio/marion/outdoor-furniture/",
      "name": "Outdoor Furniture for Marion, Ohio | Amish Country Poly",
      "description": "Shop poly outdoor furniture made in Ohio's Amish country and delivered across Marion. 400+ colors, 20-year warranty, free quotes.",
      "isPartOf": {
        "@id": "https://millwest.com/#website"
      },
      "about": {
        "@id": "https://millwest.com/#millwest-amish-furniture"
      },
      "mainEntity": {
        "@id": "https://millwest.com/#millwest-amish-furniture"
      },
      "primaryImageOfPage": {
        "@type": "ImageObject",
        "url": "https://millwest.com/wp-content/uploads/2026/06/Millwest-67-scaled.webp"
      },
      "breadcrumb": {
        "@id": "https://millwest.com/ohio/marion/outdoor-furniture/#breadcrumb"
      },
      "inLanguage": "en-US"
    },
    {
      "@type": ["LocalBusiness", "FurnitureStore"],
      "@id": "https://millwest.com/#millwest-amish-furniture",
      "name": "Millwest Amish Furniture",
      "alternateName": "Miller's Furniture",
      "url": "https://millwest.com/ohio/marion/outdoor-furniture/",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"LaRue",
          "containedInPlace": {
            "@type": "AdministrativeArea",
            "name": "Marion County"
          }
        },
        {
          "@type": "City",
          "name": "Green Camp",
          "containedInPlace": {
            "@type": "AdministrativeArea",
            "name": "Marion County"
          }
        },
        {
          "@type": "City",
          "name": "Waldo",
          "containedInPlace": {
            "@type": "AdministrativeArea",
            "name": "Marion County"
          }
        },
        {
          "@type": "City",
          "name": "Morral",
          "containedInPlace": {
            "@type": "AdministrativeArea",
            "name": "Marion County"
          }
        },
        {
          "@type": "City",
          "name": "New Bloomington",
          "containedInPlace": {
            "@type": "AdministrativeArea",
            "name": "Marion County"
          }
        },
        {
          "@type": "City",
          "name": "Mount Gilead",
          "containedInPlace": {
            "@type": "AdministrativeArea",
            "name": "Morrow County"
          }
        },
        {
          "@type": "City",
          "name": "Cardington",
          "containedInPlace": {
            "@type": "AdministrativeArea",
            "name": "Morrow County"
          }
        },
        {
          "@type": "City",
          "name": "Bucyrus",
          "containedInPlace": {
            "@type": "AdministrativeArea",
            "name": "Crawford County"
          }
        },
        {
          "@type": "City",
          "name": "Galion",
          "containedInPlace": {
            "@type": "AdministrativeArea",
            "name": "Crawford County"
          }
        },
        {
          "@type": "City",
          "name": "Kenton",
          "containedInPlace": {
            "@type": "AdministrativeArea",
            "name": "Hardin County"
          }
        },
        {
          "@type": "City",
          "name": "Richwood",
          "containedInPlace": {
            "@type": "AdministrativeArea",
            "name": "Union County"
          }
        },
        {
          "@type": "City",
          "name": "Magnetic Springs",
          "containedInPlace": {
            "@type": "AdministrativeArea",
            "name": "Union County"
          }
        },
        {
          "@type": "AdministrativeArea",
          "name": "Marion County",
          "containedInPlace": {
            "@type": "State",
            "name": "Ohio"
          }
        },
        {
          "@type": "AdministrativeArea",
          "name": "Morrow County",
          "containedInPlace": {
            "@type": "State",
            "name": "Ohio"
          }
        },
        {
          "@type": "AdministrativeArea",
          "name": "Crawford County",
          "containedInPlace": {
            "@type": "State",
            "name": "Ohio"
          }
        },
        {
          "@type": "AdministrativeArea",
          "name": "Hardin County",
          "containedInPlace": {
            "@type": "State",
            "name": "Ohio"
          }
        },
        {
          "@type": "AdministrativeArea",
          "name": "Union County",
          "containedInPlace": {
            "@type": "State",
            "name": "Ohio"
          }
        }
      ]
    },
    {
      "@type": "Service",
      "@id": "https://millwest.com/ohio/marion/outdoor-furniture/#outdoor-furniture-service",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"https://millwest.com/ohio/marion/outdoor-furniture/#breadcrumb",
      "itemListElement": [
        {
          "@type": "ListItem",
          "position": 1,
          "name": "Home",
          "item": "https://millwest.com/"
        },
        {
          "@type": "ListItem",
          "position": 2,
          "name": "Ohio",
          "item": "https://millwest.com/ohio/"
        },
        {
          "@type": "ListItem",
          "position": 3,
          "name": "Marion",
          "item": "https://millwest.com/ohio/marion/"
        },
        {
          "@type": "ListItem",
          "position": 4,
          "name": "Outdoor Furniture",
          "item": "https://millwest.com/ohio/marion/outdoor-furniture/"
        }
      ]
    }
  ]
}
&lt;/script&gt;</t>
  </si>
  <si>
    <t>AdministrativeArea (x20)
AggregateRating
BreadcrumbList
City (x15)
Country
GeoCoordinates
ImageObject (x2)
ListItem (x4)
OfferCatalog (x11)
OpeningHoursSpecification (x3)
PostalAddress
Service
State (x6)
WarrantyPromise
WebPage
WebSite</t>
  </si>
  <si>
    <t>https://millwest.com/ohio/west-carrollton/outdoor-furniture/</t>
  </si>
  <si>
    <t>&lt;script type="application/ld+json"&gt;
{
  "@context": "https://schema.org",
  "@graph": [
    {
      "@type": "WebSite",
      "@id": "https://millwest.com/#website",
      "name": "Millwest Amish Furniture",
      "url": "https://millwest.com/",
      "publisher": {
        "@id": "https://millwest.com/#millwest-amish-furniture"
      }
    },
    {
      "@type": "WebPage",
      "@id": "https://millwest.com/ohio/west-carrollton/outdoor-furniture/#webpage",
      "url": "https://millwest.com/ohio/west-carrollton/outdoor-furniture/",
      "name": "Outdoor Furniture for West Carrollton, Ohio | Amish Country Poly",
      "description": "Shop poly outdoor furniture made in Ohio's Amish country and delivered across West Carrollton.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"https://millwest.com/ohio/west-carrollton/outdoor-furniture/#breadcrumb"
      },
      "inLanguage": "en-US"
    },
    {
      "@type": ["LocalBusiness", "FurnitureStore"],
      "@id": "https://millwest.com/#millwest-amish-furniture",
      "name": "Millwest Amish Furniture",
      "alternateName": "Miller's Furniture",
      "url": "https://millwest.com/ohio/west-carrollton/outdoor-furniture/",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"West Carrollton",
          "containedInPlace": {
            "@type": "AdministrativeArea",
            "name": "Montgomery County"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"Bellbrook",
          "containedInPlace": {
            "@type": "AdministrativeArea",
            "name": "Greene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"https://millwest.com/ohio/west-carrollton/outdoor-furniture/#outdoor-furniture-service",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"https://millwest.com/ohio/west-carrollton/outdoor-furniture/#breadcrumb",
      "itemListElement": [
        {
          "@type": "ListItem",
          "position": 1,
          "name": "Home",
          "item": "https://millwest.com/"
        },
        {
          "@type": "ListItem",
          "position": 2,
          "name": "Ohio",
          "item": "https://millwest.com/ohio/"
        },
        {
          "@type": "ListItem",
          "position": 3,
          "name": "West Carrollton",
          "item": "https://millwest.com/ohio/west-carrollton/"
        },
        {
          "@type": "ListItem",
          "position": 4,
          "name": "Outdoor Furniture",
          "item": "https://millwest.com/ohio/west-carrollton/outdoor-furniture/"
        }
      ]
    }
  ]
}
&lt;/script&gt;</t>
  </si>
  <si>
    <t>https://millwest.com/ohio/sandusky/outdoor-furniture/</t>
  </si>
  <si>
    <t>&lt;script type="application/ld+json"&gt;
{
  "@context": "https://schema.org",
  "@graph": [
    {
      "@type": "WebSite",
      "@id": "https://millwest.com/#website",
      "name": "Millwest Amish Furniture",
      "url": "https://millwest.com/",
      "publisher": {
        "@id": "https://millwest.com/#millwest-amish-furniture"
      }
    },
    {
      "@type": "WebPage",
      "@id": "https://millwest.com/ohio/sandusky/outdoor-furniture/#webpage",
      "url": "https://millwest.com/ohio/sandusky/outdoor-furniture/",
      "name": "Outdoor Furniture for Sandusky Ohio | Amish Country Poly, Millwest",
      "description": "Shop poly outdoor furniture made in Ohio's Amish country and delivered across Sandusky.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"https://millwest.com/ohio/sandusky/outdoor-furniture/#breadcrumb"
      },
      "inLanguage": "en-US"
    },
    {
      "@type": ["LocalBusiness", "FurnitureStore"],
      "@id": "https://millwest.com/#millwest-amish-furniture",
      "name": "Millwest Amish Furniture",
      "alternateName": "Miller's Furniture",
      "url": "https://millwest.com/ohio/sandusky/outdoor-furniture/",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"Sandusky",
          "containedInPlace": {
            "@type": "AdministrativeArea",
            "name": "Erie County"
          }
        },
        {
          "@type": "City",
          "name": "Huron",
          "containedInPlace": {
            "@type": "AdministrativeArea",
            "name": "Erie County"
          }
        },
        {
          "@type": "City",
          "name": "Castalia",
          "containedInPlace": {
            "@type": "AdministrativeArea",
            "name": "Erie County"
          }
        },
        {
          "@type": "City",
          "name": "Milan",
          "containedInPlace": {
            "@type": "AdministrativeArea",
            "name": "Erie County"
          }
        },
        {
          "@type": "City",
          "name": "Vermilion",
          "containedInPlace": {
            "@type": "AdministrativeArea",
            "name": "Erie County"
          }
        },
        {
          "@type": "AdministrativeArea",
          "name": "Erie County",
          "containedInPlace": {
            "@type": "State",
            "name": "Ohio"
          }
        },
        {
          "@type": "City",
          "name": "Norwalk",
          "containedInPlace": {
            "@type": "AdministrativeArea",
            "name": "Huron County"
          }
        },
        {
          "@type": "AdministrativeArea",
          "name": "Huron County",
          "containedInPlace": {
            "@type": "State",
            "name": "Ohio"
          }
        },
        {
          "@type": "City",
          "name": "Port Clinton",
          "containedInPlace": {
            "@type": "AdministrativeArea",
            "name": "Ottawa County"
          }
        },
        {
          "@type": "AdministrativeArea",
          "name": "Ottawa County",
          "containedInPlace": {
            "@type": "State",
            "name": "Ohio"
          }
        }
      ]
    },
    {
      "@type": "Service",
      "@id": "https://millwest.com/ohio/sandusky/outdoor-furniture/#outdoor-furniture-service",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"https://millwest.com/ohio/sandusky/outdoor-furniture/#breadcrumb",
      "itemListElement": [
        {
          "@type": "ListItem",
          "position": 1,
          "name": "Home",
          "item": "https://millwest.com/"
        },
        {
          "@type": "ListItem",
          "position": 2,
          "name": "Ohio",
          "item": "https://millwest.com/ohio/"
        },
        {
          "@type": "ListItem",
          "position": 3,
          "name": "Sandusky",
          "item": "https://millwest.com/ohio/sandusky/"
        },
        {
          "@type": "ListItem",
          "position": 4,
          "name": "Outdoor Furniture",
          "item": "https://millwest.com/ohio/sandusky/outdoor-furniture/"
        }
      ]
    }
  ]
}
&lt;/script&gt;</t>
  </si>
  <si>
    <t>https://millwest.com/ohio/west-jefferson/outdoor-furniture/</t>
  </si>
  <si>
    <t>&lt;script type="application/ld+json"&gt;
{
  "@context": "https://schema.org",
  "@graph": [
    {
      "@type": "WebSite",
      "@id": "https://millwest.com/#website",
      "name": "Millwest Amish Furniture",
      "url": "https://millwest.com/",
      "publisher": {
        "@id": "https://millwest.com/#millwest-amish-furniture"
      }
    },
    {
      "@type": "WebPage",
      "@id": "https://millwest.com/ohio/west-jefferson/outdoor-furniture/#webpage",
      "url": "https://millwest.com/ohio/west-jefferson/outdoor-furniture/",
      "name": "Outdoor Furniture in West Jefferson, Ohio | Amish Country Poly",
      "description": "Shop poly outdoor furniture made in Ohio's Amish country and delivered across West Jefferson.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"https://millwest.com/ohio/west-jefferson/outdoor-furniture/#breadcrumb"
      },
      "inLanguage": "en-US"
    },
    {
      "@type": ["LocalBusiness", "FurnitureStore"],
      "@id": "https://millwest.com/#millwest-amish-furniture",
      "name": "Millwest Amish Furniture",
      "alternateName": "Miller's Furniture",
      "url": "https://millwest.com/ohio/west-jefferson/outdoor-furniture/",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"Harrisburg",
          "containedInPlace": {
            "@type": "AdministrativeArea",
            "name": "Franklin County"
          }
        },
        {
          "@type": "City",
          "name": "Orient",
          "containedInPlace": {
            "@type": "AdministrativeArea",
            "name": "Pickaway County"
          }
        },
        {
          "@type": "City",
          "name": "Commercial Point",
          "containedInPlace": {
            "@type": "AdministrativeArea",
            "name": "Pickaway County"
          }
        },
        {
          "@type": "City",
          "name": "Milford Center",
          "containedInPlace": {
            "@type": "AdministrativeArea",
            "name": "Union County"
          }
        },
        {
          "@type": "AdministrativeArea",
          "name": "Madison County",
          "containedInPlace": {
            "@type": "State",
            "name": "Ohio"
          }
        },
        {
          "@type": "AdministrativeArea",
          "name": "Franklin County",
          "containedInPlace": {
            "@type": "State",
            "name": "Ohio"
          }
        },
        {
          "@type": "AdministrativeArea",
          "name": "Pickaway County",
          "containedInPlace": {
            "@type": "State",
            "name": "Ohio"
          }
        },
        {
          "@type": "AdministrativeArea",
          "name": "Union County",
          "containedInPlace": {
            "@type": "State",
            "name": "Ohio"
          }
        }
      ]
    },
    {
      "@type": "Service",
      "@id": "https://millwest.com/ohio/west-jefferson/outdoor-furniture/#outdoor-furniture-service",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"https://millwest.com/ohio/west-jefferson/outdoor-furniture/#breadcrumb",
      "itemListElement": [
        {
          "@type": "ListItem",
          "position": 1,
          "name": "Home",
          "item": "https://millwest.com/"
        },
        {
          "@type": "ListItem",
          "position": 2,
          "name": "Ohio",
          "item": "https://millwest.com/ohio/"
        },
        {
          "@type": "ListItem",
          "position": 3,
          "name": "West Jefferson",
          "item": "https://millwest.com/ohio/west-jefferson/"
        },
        {
          "@type": "ListItem",
          "position": 4,
          "name": "Outdoor Furniture",
          "item": "https://millwest.com/ohio/west-jefferson/outdoor-furniture/"
        }
      ]
    }
  ]
}
&lt;/script&gt;</t>
  </si>
  <si>
    <t>AdministrativeArea (x10)
AggregateRating
BreadcrumbList
City (x6)
Country
GeoCoordinates
ImageObject (x2)
ListItem (x4)
OfferCatalog (x12)
OpeningHoursSpecification (x3)
PostalAddress
Service
State (x5)
WarrantyPromise
WebPage
WebSite</t>
  </si>
  <si>
    <t>https://millwest.com/ohio/galloway/outdoor-furniture/</t>
  </si>
  <si>
    <t>&lt;script type="application/ld+json"&gt;
{
  "@context": "https://schema.org",
  "@graph": [
    {
      "@type": "WebSite",
      "@id": "https://millwest.com/#website",
      "name": "Millwest Amish Furniture",
      "url": "https://millwest.com/",
      "publisher": {
        "@id": "https://millwest.com/#millwest-amish-furniture"
      }
    },
    {
      "@type": "WebPage",
      "@id": "https://millwest.com/ohio/galloway/outdoor-furniture/#webpage",
      "url": "https://millwest.com/ohio/galloway/outdoor-furniture/",
      "name": "Outdoor Furniture in Galloway, Ohio | Amish Country Poly, Millwest",
      "description": "Shop poly outdoor furniture made in Ohio's Amish country and delivered across Galloway.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"https://millwest.com/ohio/galloway/outdoor-furniture/#breadcrumb"
      },
      "inLanguage": "en-US"
    },
    {
      "@type": ["LocalBusiness", "FurnitureStore"],
      "@id": "https://millwest.com/#millwest-amish-furniture",
      "name": "Millwest Amish Furniture",
      "alternateName": "Miller's Furniture",
      "url": "https://millwest.com/ohio/galloway/outdoor-furniture/",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"Galloway",
          "containedInPlace": {
            "@type": "AdministrativeArea",
            "name": "Franklin County"
          }
        },
        {
          "@type": "City",
          "name": "Urbancrest",
          "containedInPlace": {
            "@type": "AdministrativeArea",
            "name": "Franklin County"
          }
        },
        {
          "@type": "City",
          "name": "Lockbourne",
          "containedInPlace": {
            "@type": "AdministrativeArea",
            "name": "Franklin County"
          }
        },
        {
          "@type": "City",
          "name": "Mount Sterling",
          "containedInPlace": {
            "@type": "AdministrativeArea",
            "name": "Madison County"
          }
        },
        {
          "@type": "City",
          "name": "Commercial Point",
          "containedInPlace": {
            "@type": "AdministrativeArea",
            "name": "Pickaway County"
          }
        },
        {
          "@type": "AdministrativeArea",
          "name": "Franklin County",
          "containedInPlace": {
            "@type": "State",
            "name": "Ohio"
          }
        },
        {
          "@type": "AdministrativeArea",
          "name": "Madison County",
          "containedInPlace": {
            "@type": "State",
            "name": "Ohio"
          }
        },
        {
          "@type": "AdministrativeArea",
          "name": "Pickaway County",
          "containedInPlace": {
            "@type": "State",
            "name": "Ohio"
          }
        }
      ]
    },
    {
      "@type": "Service",
      "@id": "https://millwest.com/ohio/galloway/outdoor-furniture/#outdoor-furniture-service",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"https://millwest.com/ohio/galloway/outdoor-furniture/#breadcrumb",
      "itemListElement": [
        {
          "@type": "ListItem",
          "position": 1,
          "name": "Home",
          "item": "https://millwest.com/"
        },
        {
          "@type": "ListItem",
          "position": 2,
          "name": "Ohio",
          "item": "https://millwest.com/ohio/"
        },
        {
          "@type": "ListItem",
          "position": 3,
          "name": "Galloway",
          "item": "https://millwest.com/ohio/galloway/"
        },
        {
          "@type": "ListItem",
          "position": 4,
          "name": "Outdoor Furniture",
          "item": "https://millwest.com/ohio/galloway/outdoor-furniture/"
        }
      ]
    }
  ]
}
&lt;/script&gt;</t>
  </si>
  <si>
    <t>AdministrativeArea (x8)
AggregateRating
BreadcrumbList
City (x5)
Country
GeoCoordinates
ImageObject (x2)
ListItem (x4)
OfferCatalog (x11)
OpeningHoursSpecification (x3)
PostalAddress
Service
State (x4)
WarrantyPromise
WebPage
WebSite</t>
  </si>
  <si>
    <t>https://millwest.com/ohio/powell/outdoor-furniture/</t>
  </si>
  <si>
    <t>&lt;script type="application/ld+json"&gt;
{
  "@context": "https://schema.org",
  "@graph": [
    {
      "@type": "WebSite",
      "@id": "https://millwest.com/#website",
      "name": "Millwest Amish Furniture",
      "url": "https://millwest.com/",
      "publisher": {
        "@id": "https://millwest.com/#millwest-amish-furniture"
      }
    },
    {
      "@type": "WebPage",
      "@id": "https://millwest.com/ohio/powell/outdoor-furniture/#webpage",
      "url": "https://millwest.com/ohio/powell/outdoor-furniture/",
      "name": "Outdoor Furniture in Powell, Ohio | Amish Country Poly, Millwest",
      "description": "Shop poly outdoor furniture made in Ohio's Amish country and delivered across Powell.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"https://millwest.com/ohio/powell/outdoor-furniture/#breadcrumb"
      },
      "inLanguage": "en-US"
    },
    {
      "@type": ["LocalBusiness", "FurnitureStore"],
      "@id": "https://millwest.com/#millwest-amish-furniture",
      "name": "Millwest Amish Furniture",
      "alternateName": "Miller's Furniture",
      "url": "https://millwest.com/ohio/powell/outdoor-furniture/",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"Powell",
          "containedInPlace": {
            "@type": "AdministrativeArea",
            "name": "Delaware County"
          }
        },
        {
          "@type": "AdministrativeArea",
          "name": "Delaware County",
          "containedInPlace": {
            "@type": "State",
            "name": "Ohio"
          }
        },
        {
          "@type": "City",
          "name": "Lewis Center",
          "containedInPlace": {
            "@type": "AdministrativeArea",
            "name": "Delaware County"
          }
        },
        {
          "@type": "City",
          "name": "Shawnee Hills",
          "containedInPlace": {
            "@type": "AdministrativeArea",
            "name": "Delaware County"
          }
        },
        {
          "@type": "City",
          "name": "Galena",
          "containedInPlace": {
            "@type": "AdministrativeArea",
            "name": "Delaware County"
          }
        },
        {
          "@type": "City",
          "name": "Sunbury",
          "containedInPlace": {
            "@type": "AdministrativeArea",
            "name": "Delaware County"
          }
        },
        {
          "@type": "City",
          "name": "Ostrander",
          "containedInPlace": {
            "@type": "AdministrativeArea",
            "name": "Delaware County"
          }
        }
      ]
    },
    {
      "@type": "Service",
      "@id": "https://millwest.com/ohio/powell/outdoor-furniture/#outdoor-furniture-service",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"https://millwest.com/ohio/powell/outdoor-furniture/#breadcrumb",
      "itemListElement": [
        {
          "@type": "ListItem",
          "position": 1,
          "name": "Home",
          "item": "https://millwest.com/"
        },
        {
          "@type": "ListItem",
          "position": 2,
          "name": "Ohio",
          "item": "https://millwest.com/ohio/"
        },
        {
          "@type": "ListItem",
          "position": 3,
          "name": "Powell",
          "item": "https://millwest.com/ohio/powell/"
        },
        {
          "@type": "ListItem",
          "position": 4,
          "name": "Outdoor Furniture",
          "item": "https://millwest.com/ohio/powell/outdoor-furniture/"
        }
      ]
    }
  ]
}
&lt;/script&gt;</t>
  </si>
  <si>
    <t>https://millwest.com/ohio/london/outdoor-furniture/</t>
  </si>
  <si>
    <t>&lt;script type="application/ld+json"&gt;
{
  "@context": "https://schema.org",
  "@graph": [
    {
      "@type": "WebSite",
      "@id": "https://millwest.com/#website",
      "name": "Millwest Amish Furniture",
      "url": "https://millwest.com/",
      "publisher": {
        "@id": "https://millwest.com/#millwest-amish-furniture"
      }
    },
    {
      "@type": "WebPage",
      "@id": "https://millwest.com/ohio/london/outdoor-furniture/#webpage",
      "url": "https://millwest.com/ohio/london/outdoor-furniture/",
      "name": "Outdoor Furniture in London, Ohio | Amish Country Poly, Millwest",
      "description": "Shop poly outdoor furniture made in Ohio's Amish country and delivered across London.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"https://millwest.com/ohio/london/outdoor-furniture/#breadcrumb"
      },
      "inLanguage": "en-US"
    },
    {
      "@type": ["LocalBusiness", "FurnitureStore"],
      "@id": "https://millwest.com/#millwest-amish-furniture",
      "name": "Millwest Amish Furniture",
      "alternateName": "Miller's Furniture",
      "url": "https://millwest.com/ohio/london/outdoor-furniture/",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"London",
          "containedInPlace": {
            "@type": "AdministrativeArea",
            "name": "Madison County"
          }
        },
        {
          "@type": "AdministrativeArea",
          "name": "Madison County",
          "containedInPlace": {
            "@type": "State",
            "name": "Ohio"
          }
        },
        {
          "@type": "City",
          "name": "Mount Sterling",
          "containedInPlace": {
            "@type": "AdministrativeArea",
            "name": "Madison County"
          }
        },
        {
          "@type": "City",
          "name": "South Charleston",
          "containedInPlace": {
            "@type": "AdministrativeArea",
            "name": "Clark County"
          }
        },
        {
          "@type": "AdministrativeArea",
          "name": "Clark County",
          "containedInPlace": {
            "@type": "State",
            "name": "Ohio"
          }
        },
        {
          "@type": "City",
          "name": "Jeffersonville",
          "containedInPlace": {
            "@type": "AdministrativeArea",
            "name": "Fayette County"
          }
        },
        {
          "@type": "AdministrativeArea",
          "name": "Fayette County",
          "containedInPlace": {
            "@type": "State",
            "name": "Ohio"
          }
        },
        {
          "@type": "City",
          "name": "Mechanicsburg",
          "containedInPlace": {
            "@type": "AdministrativeArea",
            "name": "Champaign County"
          }
        },
        {
          "@type": "AdministrativeArea",
          "name": "Champaign County",
          "containedInPlace": {
            "@type": "State",
            "name": "Ohio"
          }
        }
      ]
    },
    {
      "@type": "Service",
      "@id": "https://millwest.com/ohio/london/outdoor-furniture/#outdoor-furniture-service",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"https://millwest.com/ohio/london/outdoor-furniture/#breadcrumb",
      "itemListElement": [
        {
          "@type": "ListItem",
          "position": 1,
          "name": "Home",
          "item": "https://millwest.com/"
        },
        {
          "@type": "ListItem",
          "position": 2,
          "name": "Ohio",
          "item": "https://millwest.com/ohio/"
        },
        {
          "@type": "ListItem",
          "position": 3,
          "name": "London",
          "item": "https://millwest.com/ohio/london/"
        },
        {
          "@type": "ListItem",
          "position": 4,
          "name": "Outdoor Furniture",
          "item": "https://millwest.com/ohio/london/outdoor-furniture/"
        }
      ]
    }
  ]
}
&lt;/script&gt;</t>
  </si>
  <si>
    <t>AdministrativeArea (x9)
AggregateRating
BreadcrumbList
City (x5)
Country
GeoCoordinates
ImageObject (x2)
ListItem (x4)
OfferCatalog (x11)
OpeningHoursSpecification (x3)
PostalAddress
Service
State (x5)
WarrantyPromise
WebPage
WebSite</t>
  </si>
  <si>
    <t>https://millwest.com/ohio/worthington/outdoor-furniture/</t>
  </si>
  <si>
    <t>&lt;script type="application/ld+json"&gt;
{
  "@context": "https://schema.org",
  "@graph": [
    {
      "@type": "WebSite",
      "@id": "https://millwest.com/#website",
      "name": "Millwest Amish Furniture",
      "url": "https://millwest.com/",
      "publisher": {
        "@id": "https://millwest.com/#millwest-amish-furniture"
      }
    },
    {
      "@type": "WebPage",
      "@id": "https://millwest.com/ohio/worthington/outdoor-furniture/#webpage",
      "url": "https://millwest.com/ohio/worthington/outdoor-furniture/",
      "name": "Outdoor Furniture in Worthington, Ohio | Amish Country Poly",
      "description": "Shop poly outdoor furniture made in Ohio's Amish country and delivered across Worthington.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"https://millwest.com/ohio/worthington/outdoor-furniture/#breadcrumb"
      },
      "inLanguage": "en-US"
    },
    {
      "@type": ["LocalBusiness", "FurnitureStore"],
      "@id": "https://millwest.com/#millwest-amish-furniture",
      "name": "Millwest Amish Furniture",
      "alternateName": "Miller's Furniture",
      "url": "https://millwest.com/ohio/worthington/outdoor-furniture/",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"Worthington",
          "containedInPlace": {
            "@type": "AdministrativeArea",
            "name": "Franklin County"
          }
        },
        {
          "@type": "AdministrativeArea",
          "name": "Franklin County",
          "containedInPlace": {
            "@type": "State",
            "name": "Ohio"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"Grandview Heights",
          "containedInPlace": {
            "@type": "AdministrativeArea",
            "name": "Franklin County"
          }
        },
        {
          "@type": "City",
          "name": "Sunbury",
          "containedInPlace": {
            "@type": "AdministrativeArea",
            "name": "Delaware County"
          }
        },
        {
          "@type": "AdministrativeArea",
          "name": "Delaware County",
          "containedInPlace": {
            "@type": "State",
            "name": "Ohio"
          }
        }
      ]
    },
    {
      "@type": "Service",
      "@id": "https://millwest.com/ohio/worthington/outdoor-furniture/#outdoor-furniture-service",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"https://millwest.com/ohio/worthington/outdoor-furniture/#breadcrumb",
      "itemListElement": [
        {
          "@type": "ListItem",
          "position": 1,
          "name": "Home",
          "item": "https://millwest.com/"
        },
        {
          "@type": "ListItem",
          "position": 2,
          "name": "Ohio",
          "item": "https://millwest.com/ohio/"
        },
        {
          "@type": "ListItem",
          "position": 3,
          "name": "Worthington",
          "item": "https://millwest.com/ohio/worthington/"
        },
        {
          "@type": "ListItem",
          "position": 4,
          "name": "Outdoor Furniture",
          "item": "https://millwest.com/ohio/worthington/outdoor-furniture/"
        }
      ]
    }
  ]
}
&lt;/script&gt;</t>
  </si>
  <si>
    <t>AdministrativeArea (x9)
AggregateRating
BreadcrumbList
City (x7)
Country
GeoCoordinates
ImageObject (x2)
ListItem (x4)
OfferCatalog (x12)
OpeningHoursSpecification (x3)
PostalAddress
Service
State (x3)
WarrantyPromise
WebPage
WebSite</t>
  </si>
  <si>
    <t>https://millwest.com/ohio/westerville/outdoor-furniture/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</si>
  <si>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"https://millwest.com/ohio/westerville/outdoor-furniture/#webpage",
      "url": "https://millwest.com/ohio/westerville/outdoor-furniture/",
      "name": "Outdoor Furniture in Westerville, Ohio | Amish Country Poly",
      "description": "Shop poly outdoor furniture made in Ohio's Amish country and delivered across Westerville.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"https://millwest.com/ohio/westerville/outdoor-furniture/#breadcrumb"
      },
      "inLanguage": "en-US"
    },
    {
      "@type": ["LocalBusiness", "FurnitureStore"],
      "@id": "https://millwest.com/#millwest-amish-furniture",
      "name": "Millwest Amish Furniture",
      "alternateName": "Miller's Furniture",
      "url": "https://millwest.com/ohio/westerville/outdoor-furniture/",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"Westerville",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"Minerva Park",
          "containedInPlace": {
            "@type": "AdministrativeArea",
            "name": "Franklin County"
          }
        },
        {
          "@type": "AdministrativeArea",
          "name": "Franklin County",
          "containedInPlace": {
            "@type": "State",
            "name": "Ohio"
          }
        },
        {
          "@type": "City",
          "name": "Sunbury",
          "containedInPlace": {
            "@type": "AdministrativeArea",
            "name": "Delaware County"
          }
        },
        {
          "@type": "AdministrativeArea",
          "name": "Delaware County",
          "containedInPlace": {
            "@type": "State",
            "name": "Ohio"
          }
        },
        {
          "@type": "City",
          "name": "Johnstown",
          "containedInPlace": {
            "@type": "AdministrativeArea",
            "name": "Licking County"
          }
        },
        {
          "@type": "AdministrativeArea",
          "name": "Licking County",
          "containedInPlace": {
            "@type": "State",
            "name": "Ohio"
          }
        },
        {
          "@type": "City",
          "name": "Pickerington",
          "containedInPlace": {
            "@type": "AdministrativeArea",
            "name": "Fairfield County"
          }
        },
        {
          "@type": "AdministrativeArea",
          "name": "Fairfield County",
          "containedInPlace": {
            "@type": "State",
            "name": "Ohio"
          }
        }
      ]
    },
    {
      "@type": "Service",
      "@id": "https://millwest.com/ohio/westerville/outdoor-furniture/#outdoor-furniture-service",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"https://millwest.com/ohio/westerville/outdoor-furniture/#breadcrumb",
      "itemListElement": [
        {
          "@type": "ListItem",
          "position": 1,
          "name": "Home",
          "item": "https://millwest.com/"
        },
        {
          "@type": "ListItem",
          "position": 2,
          "name": "Ohio",
          "item": "https://millwest.com/ohio/"
        },
        {
          "@type": "ListItem",
          "position": 3,
          "name": "Westerville",
          "item": "https://millwest.com/ohio/westerville/"
        },
        {
          "@type": "ListItem",
          "position": 4,
          "name": "Outdoor Furniture",
          "item": "https://millwest.com/ohio/westerville/outdoor-furniture/"
        }
      ]
    }
  ]
}
&lt;/script&gt;</t>
  </si>
  <si>
    <t>https://millwest.com/ohio/urbana/outdoor-furniture/</t>
  </si>
  <si>
    <t>&lt;script type="application/ld+json"&gt;
{
  "@context": "https://schema.org",
  "@graph": [
    {
      "@type": "WebSite",
      "@id": "https://millwest.com/#website",
      "name": "Millwest Amish Furniture",
      "url": "https://millwest.com/",
      "publisher": {
        "@id": "https://millwest.com/#millwest-amish-furniture"
      }
    },
    {
      "@type": "WebPage",
      "@id": "https://millwest.com/ohio/urbana/outdoor-furniture/#webpage",
      "url": "https://millwest.com/ohio/urbana/outdoor-furniture/",
      "name": "Outdoor Furniture in Urbana, Ohio | Amish Country Poly, Millwest",
      "description": "Shop poly outdoor furniture made in Ohio's Amish country and delivered across Urbana. 400+ colors, 20-year warranty, free quotes.",
      "isPartOf": {
        "@id": "https://millwest.com/#website"
      },
      "about": {
        "@id": "https://millwest.com/#millwest-amish-furniture"
      },
      "mainEntity": {
        "@id": "https://millwest.com/#millwest-amish-furniture"
      },
      "primaryImageOfPage": {
        "@type": "ImageObject",
        "url": "https://millwest.com/wp-content/uploads/2026/06/Millwest-82-2-scaled.webp"
      },
      "breadcrumb": {
        "@id": "https://millwest.com/ohio/urbana/outdoor-furniture/#breadcrumb"
      },
      "inLanguage": "en-US"
    },
    {
      "@type": ["LocalBusiness", "FurnitureStore"],
      "@id": "https://millwest.com/#millwest-amish-furniture",
      "name": "Millwest Amish Furniture",
      "alternateName": "Miller's Furniture",
      "url": "https://millwest.com/ohio/urbana/outdoor-furniture/",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"Woodstock",
          "containedInPlace": {
            "@type": "AdministrativeArea",
            "name": "Champaign County"
          }
        },
        {
          "@type": "City",
          "name": "West Liberty",
          "containedInPlace": {
            "@type": "AdministrativeArea",
            "name": "Logan County"
          }
        },
        {
          "@type": "AdministrativeArea",
          "name": "Champaign County",
          "containedInPlace": {
            "@type": "State",
            "name": "Ohio"
          }
        },
        {
          "@type": "AdministrativeArea",
          "name": "Logan County",
          "containedInPlace": {
            "@type": "State",
            "name": "Ohio"
          }
        }
      ]
    },
    {
      "@type": "Service",
      "@id": "https://millwest.com/ohio/urbana/outdoor-furniture/#outdoor-furniture-service",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"https://millwest.com/ohio/urbana/outdoor-furniture/#breadcrumb",
      "itemListElement": [
        {
          "@type": "ListItem",
          "position": 1,
          "name": "Home",
          "item": "https://millwest.com/"
        },
        {
          "@type": "ListItem",
          "position": 2,
          "name": "Ohio",
          "item": "https://millwest.com/ohio/"
        },
        {
          "@type": "ListItem",
          "position": 3,
          "name": "Urbana",
          "item": "https://millwest.com/ohio/urbana/"
        },
        {
          "@type": "ListItem",
          "position": 4,
          "name": "Outdoor Furniture",
          "item": "https://millwest.com/ohio/urbana/outdoor-furniture/"
        }
      ]
    }
  ]
}
&lt;/script&gt;</t>
  </si>
  <si>
    <t>AdministrativeArea (x8)
AggregateRating
BreadcrumbList
City (x6)
Country
GeoCoordinates
ImageObject (x2)
ListItem (x4)
OfferCatalog (x11)
OpeningHoursSpecification (x3)
PostalAddress
Service
State (x3)
WarrantyPromise
WebPage
WebSite</t>
  </si>
  <si>
    <t>https://millwest.com/ohio/plain-city/outdoor-furniture/</t>
  </si>
  <si>
    <t>&lt;script type="application/ld+json"&gt;
{
  "@context": "https://schema.org",
  "@graph": [
    {
      "@type": "WebSite",
      "@id": "https://millwest.com/#website",
      "name": "Millwest Amish Furniture",
      "url": "https://millwest.com/",
      "publisher": {
        "@id": "https://millwest.com/#millwest-amish-furniture"
      }
    },
    {
      "@type": "WebPage",
      "@id": "https://millwest.com/ohio/plain-city/outdoor-furniture/#webpage",
      "url": "https://millwest.com/ohio/plain-city/outdoor-furniture/",
      "name": "Outdoor Furniture in Plain City, Ohio | Amish Country Poly, Millwest",
      "description": "Shop poly outdoor furniture made in Ohio's Amish country and delivered across Plain City. 400+ colors, 20-year warranty, free quotes.",
      "isPartOf": {
        "@id": "https://millwest.com/#website"
      },
      "about": {
        "@id": "https://millwest.com/#millwest-amish-furniture"
      },
      "mainEntity": {
        "@id": "https://millwest.com/#millwest-amish-furniture"
      },
      "primaryImageOfPage": {
        "@type": "ImageObject",
        "url": "https://millwest.com/wp-content/uploads/2026/06/Millwest-96-2-scaled.webp"
      },
      "breadcrumb": {
        "@id": "https://millwest.com/ohio/plain-city/outdoor-furniture/#breadcrumb"
      },
      "inLanguage": "en-US"
    },
    {
      "@type": ["LocalBusiness", "FurnitureStore"],
      "@id": "https://millwest.com/#millwest-amish-furniture",
      "name": "Millwest Amish Furniture",
      "alternateName": "Miller's Furniture",
      "url": "https://millwest.com/ohio/plain-city/outdoor-furniture/",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"Plain City",
          "containedInPlace": {
            "@type": "AdministrativeArea",
            "name": "Madison County"
          }
        },
        {
          "@type": "City",
          "name": "Mount Sterling",
          "containedInPlace": {
            "@type": "AdministrativeArea",
            "name": "Madison County"
          }
        },
        {
          "@type": "AdministrativeArea",
          "name": "Madison County",
          "containedInPlace": {
            "@type": "State",
            "name": "Ohio"
          }
        },
        {
          "@type": "City",
          "name": "Irwin",
          "containedInPlace": {
            "@type": "AdministrativeArea",
            "name": "Union County"
          }
        },
        {
          "@type": "City",
          "name": "Milford Center",
          "containedInPlace": {
            "@type": "AdministrativeArea",
            "name": "Union County"
          }
        },
        {
          "@type": "City",
          "name": "Unionville Center",
          "containedInPlace": {
            "@type": "AdministrativeArea",
            "name": "Union County"
          }
        },
        {
          "@type": "AdministrativeArea",
          "name": "Union County",
          "containedInPlace": {
            "@type": "State",
            "name": "Ohio"
          }
        },
        {
          "@type": "City",
          "name": "Mechanicsburg",
          "containedInPlace": {
            "@type": "AdministrativeArea",
            "name": "Champaign County"
          }
        },
        {
          "@type": "AdministrativeArea",
          "name": "Champaign County",
          "containedInPlace": {
            "@type": "State",
            "name": "Ohio"
          }
        }
      ]
    },
    {
      "@type": "Service",
      "@id": "https://millwest.com/ohio/plain-city/outdoor-furniture/#outdoor-furniture-service",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"https://millwest.com/ohio/plain-city/outdoor-furniture/#breadcrumb",
      "itemListElement": [
        {
          "@type": "ListItem",
          "position": 1,
          "name": "Home",
          "item": "https://millwest.com/"
        },
        {
          "@type": "ListItem",
          "position": 2,
          "name": "Ohio",
          "item": "https://millwest.com/ohio/"
        },
        {
          "@type": "ListItem",
          "position": 3,
          "name": "Plain City",
          "item": "https://millwest.com/ohio/plain-city/"
        },
        {
          "@type": "ListItem",
          "position": 4,
          "name": "Outdoor Furniture",
          "item": "https://millwest.com/ohio/plain-city/outdoor-furniture/"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</si>
  <si>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</si>
  <si>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</si>
  <si>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AdministrativeArea (x10)
AggregateRating
Answer (x4)
BreadcrumbList
City (x10)
FAQPage
FurnitureStore
GeoCoordinates
ListItem (x2)
OfferCatalog (x13)
PostalAddress
Question (x4)
State
WebPage
WebSite</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</si>
  <si>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</si>
  <si>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</si>
  <si>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AggregateRating
Answer (x4)
BreadcrumbList
City (x8)
Country
FAQPage
FurnitureStore
GeoCoordinates
ListItem (x2)
OfferCatalog (x13)
PostalAddress
Question (x4)
State (x9)
WebPage
WebSite</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</si>
  <si>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</si>
  <si>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</si>
  <si>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AggregateRating
Answer (x4)
BreadcrumbList
City (x3)
Country
FAQPage
FurnitureStore
GeoCoordinates
ListItem (x2)
OfferCatalog (x13)
PostalAddress
Question (x4)
State (x4)
WebPage
WebSite</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</si>
  <si>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</si>
  <si>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</si>
  <si>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</si>
  <si>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</si>
  <si>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AdministrativeArea (x5)
AggregateRating
Answer (x4)
BreadcrumbList
City (x6)
Country
FAQPage
FurnitureStore
GeoCoordinates
ListItem (x2)
OfferCatalog (x13)
PostalAddress
Question (x4)
State (x12)
WebPage
WebSite</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</si>
  <si>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</si>
  <si>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</si>
  <si>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AggregateRating
Answer (x4)
BreadcrumbList
City (x5)
Country
FAQPage
FurnitureStore
GeoCoordinates
ListItem (x2)
OfferCatalog (x13)
PostalAddress
Question (x4)
State (x6)
WebPage
WebSite</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</si>
  <si>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</si>
  <si>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</si>
  <si>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AdministrativeArea (x8)
AggregateRating
Answer (x4)
BreadcrumbList
City (x15)
Country
FAQPage
FurnitureStore
GeoCoordinates
ListItem (x2)
OfferCatalog (x13)
OpeningHoursSpecification (x2)
Person (x2)
PostalAddress
Question (x4)
State (x24)
WebPage
WebSite</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</si>
  <si>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</si>
  <si>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</si>
  <si>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AggregateRating
Answer (x4)
BreadcrumbList
City (x24)
Country
FAQPage
FurnitureStore
GeoCoordinates
ListItem (x2)
OfferCatalog (x13)
PostalAddress
Question (x4)
State (x25)
WebPage
WebSite</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</si>
  <si>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</si>
  <si>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</si>
  <si>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AdministrativeArea (x3)
AggregateRating
Answer (x4)
BreadcrumbList
City (x5)
FAQPage
FurnitureStore
GeoCoordinates
ListItem (x2)
OfferCatalog (x13)
PostalAddress (x2)
Question (x4)
State (x6)
WebPage
WebSite</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</si>
  <si>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</si>
  <si>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</si>
  <si>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</si>
  <si>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</si>
  <si>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AggregateRating
Answer (x4)
BreadcrumbList
City (x10)
Country
FAQPage
FurnitureStore
GeoCoordinates
ListItem (x2)
OfferCatalog (x13)
Person (x2)
PostalAddress
Question (x4)
State (x11)
WebPage
WebSite</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</si>
  <si>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</si>
  <si>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</si>
  <si>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AdministrativeArea (x10)
AggregateRating
Answer (x4)
BreadcrumbList
City (x15)
FAQPage
FurnitureStore
GeoCoordinates
ListItem (x2)
OfferCatalog (x13)
PostalAddress
Question (x4)
State (x26)
WebPage
WebSite</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</si>
  <si>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</si>
  <si>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</si>
  <si>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AdministrativeArea (x3)
AggregateRating
Answer (x4)
BreadcrumbList
City (x15)
Country
FAQPage
FurnitureStore
GeoCoordinates
ListItem (x2)
OfferCatalog (x13)
PostalAddress
Question (x4)
State (x19)
WebPage
WebSite</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</si>
  <si>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</si>
  <si>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</si>
  <si>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AdministrativeArea (x5)
AggregateRating
Answer (x4)
BreadcrumbList
City (x15)
FAQPage
FurnitureStore
GeoCoordinates
ListItem (x2)
OfferCatalog (x13)
Person (x2)
PostalAddress
Question (x4)
State (x21)
WebPage
WebSite</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</si>
  <si>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</si>
  <si>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</si>
  <si>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AdministrativeArea (x45)
AggregateRating
Answer (x4)
BreadcrumbList
City (x25)
FAQPage
FurnitureStore
GeoCoordinates
ListItem (x2)
OfferCatalog (x13)
Person (x2)
PostalAddress
Question (x4)
State
WebPage
WebSite</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</si>
  <si>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</si>
  <si>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</si>
  <si>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AdministrativeArea (x41)
AggregateRating
Answer (x4)
BreadcrumbList
City (x20)
FAQPage
FurnitureStore
GeoCoordinates
ListItem (x2)
OfferCatalog (x13)
Person (x2)
PostalAddress
Question (x4)
State
WebPage
WebSite</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</si>
  <si>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</si>
  <si>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</si>
  <si>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AdministrativeArea (x16)
AggregateRating
Answer (x4)
BreadcrumbList
City (x24)
FAQPage
FurnitureStore
GeoCoordinates
ListItem (x2)
OfferCatalog (x13)
Person (x2)
PostalAddress
Question (x4)
State (x41)
WebPage
WebSite</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</si>
  <si>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</si>
  <si>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</si>
  <si>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AdministrativeArea (x10)
AggregateRating
Answer (x4)
BreadcrumbList
City (x20)
FAQPage
FurnitureStore
GeoCoordinates
ListItem (x2)
OfferCatalog (x13)
Person (x2)
PostalAddress
Question (x4)
State (x31)
WebPage
WebSite</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</si>
  <si>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</si>
  <si>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</si>
  <si>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AdministrativeArea (x28)
AggregateRating
Answer (x4)
BreadcrumbList
City (x20)
FAQPage
FurnitureStore
GeoCoordinates
ListItem (x2)
OfferCatalog (x13)
PostalAddress
Question (x4)
State (x9)
WebPage
WebSite</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</si>
  <si>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</si>
  <si>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</si>
  <si>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</si>
  <si>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</si>
  <si>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AdministrativeArea (x14)
AggregateRating
Answer (x4)
BreadcrumbList
City (x20)
Country
FAQPage
FurnitureStore
GeoCoordinates
ListItem (x2)
OfferCatalog (x13)
PostalAddress
Question (x4)
State (x35)
WebPage
WebSite</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</si>
  <si>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</si>
  <si>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</si>
  <si>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AdministrativeArea (x4)
AggregateRating
Answer (x4)
BreadcrumbList
City (x10)
FAQPage
FurnitureStore
GeoCoordinates
ListItem (x2)
OfferCatalog (x13)
PostalAddress
Question (x4)
State (x15)
WebPage
WebSite</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</si>
  <si>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</si>
  <si>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</si>
  <si>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AdministrativeArea (x5)
AggregateRating
Answer (x4)
BreadcrumbList
City (x8)
Country
FAQPage
FurnitureStore
GeoCoordinates
ListItem (x2)
OfferCatalog (x13)
OpeningHoursSpecification (x2)
Person (x2)
PostalAddress
Question (x4)
State (x14)
WebPage
WebSite</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</si>
  <si>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</si>
  <si>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</si>
  <si>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AdministrativeArea (x3)
AggregateRating
Answer (x4)
BreadcrumbList
City (x8)
FAQPage
FurnitureStore
GeoCoordinates
ListItem (x2)
OfferCatalog (x13)
Person (x2)
PostalAddress (x2)
Question (x4)
State (x9)
WebPage
WebSite</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</si>
  <si>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</si>
  <si>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</si>
  <si>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AdministrativeArea (x7)
AggregateRating
Answer (x4)
BreadcrumbList
City (x4)
FAQPage
FurnitureStore
GeoCoordinates
ListItem (x2)
OfferCatalog (x13)
PostalAddress
Question (x4)
State
WebPage
WebSite</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</si>
  <si>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</si>
  <si>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</si>
  <si>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AggregateRating
Answer (x4)
BreadcrumbList
City (x8)
FAQPage
FurnitureStore
GeoCoordinates
ListItem (x2)
OfferCatalog (x13)
OpeningHoursSpecification (x2)
Person (x2)
PostalAddress (x2)
Question (x4)
State (x9)
WebPage
WebSite</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</si>
  <si>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</si>
  <si>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</si>
  <si>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AggregateRating
Answer (x4)
BreadcrumbList
City (x6)
FAQPage
FurnitureStore
GeoCoordinates
ListItem (x2)
OfferCatalog (x13)
OpeningHoursSpecification (x2)
Person (x2)
PostalAddress (x2)
Question (x4)
State (x7)
WebPage
WebSite</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</si>
  <si>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</si>
  <si>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</si>
  <si>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</si>
  <si>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</si>
  <si>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AggregateRating
Answer (x4)
BreadcrumbList
City (x10)
FAQPage
FurnitureStore
GeoCoordinates
ListItem (x2)
OfferCatalog (x13)
OpeningHoursSpecification (x2)
Person (x2)
PostalAddress
Question (x4)
State (x11)
WebPage
WebSite</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</si>
  <si>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</si>
  <si>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</si>
  <si>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AdministrativeArea (x10)
AggregateRating
Answer (x4)
BreadcrumbList
City (x20)
FAQPage
FurnitureStore
GeoCoordinates
ListItem (x2)
OfferCatalog (x13)
PostalAddress
Question (x4)
State (x31)
WebPage
WebSite</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</si>
  <si>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</si>
  <si>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</si>
  <si>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AdministrativeArea (x8)
AggregateRating
Answer (x4)
BreadcrumbList
City (x20)
FAQPage
FurnitureStore
GeoCoordinates
ListItem (x2)
OfferCatalog (x13)
Person (x2)
PostalAddress (x2)
Question (x4)
State (x29)
WebPage
WebSite</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</si>
  <si>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</si>
  <si>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</si>
  <si>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AdministrativeArea (x10)
AggregateRating
Answer (x4)
BreadcrumbList
City (x25)
FAQPage
FurnitureStore
GeoCoordinates
ListItem (x2)
OfferCatalog (x13)
PostalAddress
Question (x4)
State (x36)
WebPage
WebSite</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</si>
  <si>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</si>
  <si>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</si>
  <si>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</si>
  <si>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</si>
  <si>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AdministrativeArea (x10)
AggregateRating
Answer (x4)
BreadcrumbList
City (x24)
FAQPage
FurnitureStore
GeoCoordinates
ListItem (x2)
OfferCatalog (x13)
PostalAddress
Question (x4)
State
WebPage
WebSite</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</si>
  <si>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</si>
  <si>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</si>
  <si>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</si>
  <si>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</si>
  <si>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</si>
  <si>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</si>
  <si>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AdministrativeArea (x10)
AggregateRating
Answer (x4)
BreadcrumbList
City (x20)
Country
FAQPage
FurnitureStore
GeoCoordinates
ListItem (x2)
OfferCatalog (x13)
PostalAddress
Question (x4)
State (x31)
WebPage
WebSite</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</si>
  <si>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</si>
  <si>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</si>
  <si>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AdministrativeArea (x10)
AggregateRating
Answer (x4)
BreadcrumbList
City (x20)
Country
FAQPage
FurnitureStore
GeoCoordinates
ListItem (x2)
OfferCatalog (x13)
Person (x2)
PostalAddress
Question (x4)
State (x31)
WebPage
WebSite</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</si>
  <si>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</si>
  <si>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</si>
  <si>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</si>
  <si>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</si>
  <si>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AdministrativeArea (x25)
AggregateRating
Answer (x4)
BreadcrumbList
City (x15)
FAQPage
FurnitureStore
GeoCoordinates
ListItem (x2)
OfferCatalog (x13)
Person (x2)
PostalAddress
Question (x4)
State (x11)
WebPage
WebSite</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</si>
  <si>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</si>
  <si>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</si>
  <si>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AdministrativeArea (x23)
AggregateRating
Answer (x4)
BreadcrumbList
City (x15)
Country
FAQPage
FurnitureStore
GeoCoordinates
ListItem (x2)
OfferCatalog (x13)
Person (x2)
PostalAddress
Question (x4)
State (x24)
WebPage
WebSite</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</si>
  <si>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</si>
  <si>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</si>
  <si>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AdministrativeArea (x28)
AggregateRating
Answer (x4)
BreadcrumbList
City (x20)
FAQPage
FurnitureStore
GeoCoordinates
ListItem (x2)
OfferCatalog (x13)
PostalAddress
Question (x4)
State (x29)
WebPage
WebSite</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</si>
  <si>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</si>
  <si>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</si>
  <si>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AdministrativeArea (x15)
AggregateRating
Answer (x4)
BreadcrumbList
City (x10)
FAQPage
FurnitureStore
GeoCoordinates (x2)
ListItem (x2)
OfferCatalog (x13)
OpeningHoursSpecification (x2)
Person (x2)
PostalAddress
Question (x4)
State (x6)
WebPage
WebSite</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</si>
  <si>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</si>
  <si>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</si>
  <si>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AdministrativeArea (x6)
AggregateRating
Answer (x4)
BreadcrumbList
City (x12)
Country
FAQPage
FurnitureStore
GeoCoordinates
ListItem (x2)
OfferCatalog (x13)
OpeningHoursSpecification (x2)
Person (x2)
PostalAddress
Question (x4)
State (x19)
WebPage
WebSite</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</si>
  <si>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</si>
  <si>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</si>
  <si>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AdministrativeArea (x2)
AggregateRating
Answer (x4)
BreadcrumbList
City (x10)
FAQPage
FurnitureStore
GeoCoordinates
ListItem (x2)
OfferCatalog (x13)
Person (x2)
PostalAddress (x2)
Question (x4)
State (x13)
WebPage
WebSite</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</si>
  <si>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</si>
  <si>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</si>
  <si>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AdministrativeArea (x6)
AggregateRating
Answer (x4)
BreadcrumbList
City (x13)
FAQPage
FurnitureStore
GeoCoordinates
ListItem (x2)
OfferCatalog (x13)
Person (x2)
PostalAddress (x2)
Question (x4)
State (x20)
WebPage
WebSite</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</si>
  <si>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</si>
  <si>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</si>
  <si>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AdministrativeArea (x4)
AggregateRating
Answer (x4)
BreadcrumbList
City (x10)
Country
FAQPage
FurnitureStore
GeoCoordinates
ListItem (x2)
OfferCatalog (x13)
OpeningHoursSpecification (x2)
Person (x2)
PostalAddress
Question (x4)
State (x11)
WebPage
WebSite</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</si>
  <si>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</si>
  <si>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</si>
  <si>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AdministrativeArea (x5)
AggregateRating
Answer (x4)
BreadcrumbList
City (x11)
FAQPage
FurnitureStore
GeoCoordinates
ListItem (x2)
OfferCatalog (x13)
OpeningHoursSpecification (x2)
Person (x2)
PostalAddress
Question (x4)
State (x17)
WebPage
WebSite</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</si>
  <si>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</si>
  <si>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</si>
  <si>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AdministrativeArea (x25)
AggregateRating
Answer (x4)
BreadcrumbList
City (x25)
FAQPage
FurnitureStore
GeoCoordinates
ListItem (x2)
OfferCatalog (x13)
OpeningHoursSpecification (x3)
Person (x2)
Place (x24)
PostalAddress
Question (x4)
WebPage
WebSite</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</si>
  <si>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</si>
  <si>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</si>
  <si>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AggregateRating
Answer (x4)
BreadcrumbList
City (x19)
Country
FAQPage
FurnitureStore
GeoCoordinates
ListItem (x3)
OfferCatalog (x10)
OpeningHoursSpecification (x2)
Person (x2)
PostalAddress
Question (x4)
State (x20)
WebPage
WebSite</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</si>
  <si>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</si>
  <si>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</si>
  <si>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AggregateRating
Answer (x4)
BreadcrumbList
City (x20)
Country
FAQPage
FurnitureStore
GeoCoordinates
ListItem (x3)
OfferCatalog (x10)
OpeningHoursSpecification (x2)
Person (x2)
PostalAddress
Question (x4)
State (x21)
WebPage
WebSite</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</si>
  <si>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</si>
  <si>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</si>
  <si>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AdministrativeArea (x6)
AggregateRating
Answer (x4)
BreadcrumbList
City (x8)
Country
FAQPage
FurnitureStore
GeoCoordinates
Language
ListItem (x3)
OfferCatalog (x10)
Person (x2)
PostalAddress
Question (x4)
State (x15)
WebPage
WebSite</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</si>
  <si>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</si>
  <si>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</si>
  <si>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AdministrativeArea (x5)
AggregateRating
Answer (x4)
BreadcrumbList
City (x11)
Country
FAQPage
FurnitureStore
GeoCoordinates
ListItem (x3)
OfferCatalog (x10)
Person (x2)
PostalAddress
Question (x4)
State (x17)
WebPage
WebSite</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</si>
  <si>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</si>
  <si>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</si>
  <si>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AdministrativeArea (x8)
AggregateRating
Answer (x4)
BreadcrumbList
City (x9)
Country
FAQPage
FurnitureStore
GeoCoordinates
Language
ListItem (x3)
OfferCatalog (x10)
Person (x2)
PostalAddress
Question (x4)
State (x18)
WebPage
WebSite</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</si>
  <si>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</si>
  <si>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</si>
  <si>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AdministrativeArea (x5)
AggregateRating
Answer (x4)
BreadcrumbList
City (x5)
Country
FAQPage
FurnitureStore
GeoCoordinates
ListItem (x3)
OfferCatalog (x10)
Person (x2)
PostalAddress
Question (x4)
State (x11)
WebPage
WebSite</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</si>
  <si>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</si>
  <si>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</si>
  <si>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AdministrativeArea (x5)
AggregateRating
Answer (x4)
BreadcrumbList
City (x5)
Country
FAQPage
FurnitureStore
GeoCoordinates
ListItem (x3)
OfferCatalog (x10)
OpeningHoursSpecification (x2)
Person (x2)
PostalAddress
Question (x4)
State (x11)
WebPage
WebSite</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</si>
  <si>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</si>
  <si>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</si>
  <si>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AdministrativeArea (x4)
AggregateRating
Answer (x4)
BreadcrumbList
City (x8)
Country
FAQPage
FurnitureStore
GeoCoordinates
ListItem (x3)
OfferCatalog (x10)
Person (x2)
PostalAddress (x2)
Question (x4)
State (x13)
WebPage
WebSite</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</si>
  <si>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</si>
  <si>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</si>
  <si>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</si>
  <si>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</si>
  <si>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</si>
  <si>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</si>
  <si>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AdministrativeArea (x3)
AggregateRating
Answer (x4)
BreadcrumbList
City (x20)
Country
FAQPage
FurnitureStore
GeoCoordinates
ListItem (x3)
OfferCatalog (x10)
Person (x2)
PostalAddress
Question (x4)
State (x24)
WebPage
WebSite</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</si>
  <si>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</si>
  <si>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</si>
  <si>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AdministrativeArea (x6)
AggregateRating
Answer (x4)
BreadcrumbList
City (x10)
Country
FAQPage
FurnitureStore
GeoCoordinates
ListItem (x3)
OfferCatalog (x10)
OpeningHoursSpecification (x2)
Person (x2)
PostalAddress
Question (x4)
State (x17)
WebPage
WebSite</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</si>
  <si>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</si>
  <si>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</si>
  <si>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AdministrativeArea (x4)
AggregateRating
Answer (x4)
BreadcrumbList
City (x8)
Country
FAQPage
FurnitureStore
GeoCoordinates
ListItem (x3)
OfferCatalog (x10)
OpeningHoursSpecification (x2)
Person (x2)
PostalAddress (x2)
Question (x4)
State (x13)
WebPage
WebSite</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</si>
  <si>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</si>
  <si>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</si>
  <si>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AdministrativeArea (x4)
AggregateRating
Answer (x4)
BreadcrumbList
City (x10)
Country
FAQPage
FurnitureStore
GeoCoordinates
ListItem (x3)
OfferCatalog (x10)
Person (x2)
PostalAddress
Question (x4)
State (x15)
WebPage
WebSite</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</si>
  <si>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</si>
  <si>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</si>
  <si>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AdministrativeArea (x5)
AggregateRating
Answer (x4)
BreadcrumbList
City (x10)
Country
FAQPage
FurnitureStore
GeoCoordinates
ListItem (x3)
OfferCatalog (x10)
OpeningHoursSpecification (x2)
Person (x2)
PostalAddress
Question (x4)
State (x16)
WebPage
WebSite</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</si>
  <si>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</si>
  <si>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</si>
  <si>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AdministrativeArea (x8)
AggregateRating
Answer (x4)
BreadcrumbList
City (x20)
Country
FAQPage
FurnitureStore
GeoCoordinates
ListItem (x3)
OfferCatalog (x10)
Person (x2)
PostalAddress
Question (x4)
State (x29)
WebPage
WebSite</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</si>
  <si>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</si>
  <si>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</si>
  <si>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AdministrativeArea (x10)
AggregateRating
Answer (x4)
BreadcrumbList
City (x23)
Country
FAQPage
FurnitureStore
GeoCoordinates
ListItem (x3)
OfferCatalog (x10)
OpeningHoursSpecification (x2)
Person (x2)
PostalAddress
Question (x4)
State (x34)
WebPage
WebSite</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</si>
  <si>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</si>
  <si>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</si>
  <si>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</si>
  <si>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</si>
  <si>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AdministrativeArea (x10)
AggregateRating
Answer (x4)
BreadcrumbList
City (x25)
Country
FAQPage
FurnitureStore
GeoCoordinates
ListItem (x3)
OfferCatalog (x10)
Person (x2)
PostalAddress
Question (x4)
State (x36)
WebPage
WebSite</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</si>
  <si>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</si>
  <si>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</si>
  <si>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AdministrativeArea (x3)
AggregateRating
Answer (x4)
BreadcrumbList
City (x10)
Country
FAQPage
FurnitureStore
GeoCoordinates
ListItem (x3)
OfferCatalog (x10)
Person (x2)
PostalAddress
Question (x4)
State (x14)
WebPage
WebSite</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</si>
  <si>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</si>
  <si>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</si>
  <si>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AdministrativeArea (x5)
AggregateRating
Answer (x4)
BreadcrumbList
City (x9)
Country
FAQPage
FurnitureStore
GeoCoordinates
ListItem (x3)
Offer
OfferCatalog (x10)
OpeningHoursSpecification (x2)
Person (x2)
PostalAddress
Question (x4)
State (x16)
WebPage
WebSite</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</si>
  <si>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</si>
  <si>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</si>
  <si>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AdministrativeArea (x10)
AggregateRating
Answer (x4)
BreadcrumbList
City (x20)
Country
FAQPage
FurnitureStore
GeoCoordinates
ListItem (x3)
OfferCatalog (x10)
Person (x2)
PostalAddress
Question (x4)
State (x31)
WebPage
WebSite</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</si>
  <si>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</si>
  <si>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</si>
  <si>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</si>
  <si>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</si>
  <si>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AdministrativeArea (x8)
AggregateRating
Answer (x4)
BreadcrumbList
City (x20)
Country
FAQPage
FurnitureStore
GeoCoordinates
ListItem (x3)
OfferCatalog (x10)
OpeningHoursSpecification (x2)
Person (x2)
PostalAddress
QuantitativeValue
Question (x4)
State (x29)
WebPage
WebSite</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</si>
  <si>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</si>
  <si>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</si>
  <si>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</si>
  <si>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</si>
  <si>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</si>
  <si>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</si>
  <si>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AdministrativeArea (x10)
AggregateRating
Answer (x4)
BreadcrumbList
City (x25)
Country
FAQPage
FurnitureStore
GeoCoordinates
ListItem (x3)
OfferCatalog (x10)
OpeningHoursSpecification (x2)
Person (x2)
PostalAddress
QuantitativeValue
Question (x4)
State (x36)
WebPage
WebSite</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</si>
  <si>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</si>
  <si>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</si>
  <si>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AdministrativeArea (x10)
AggregateRating
Answer (x4)
BreadcrumbList
City (x20)
Country
FAQPage
FurnitureStore
GeoCoordinates
ListItem (x3)
OfferCatalog (x10)
OpeningHoursSpecification (x2)
Person (x2)
PostalAddress
QuantitativeValue
Question (x4)
State (x31)
WebPage
WebSite</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</si>
  <si>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</si>
  <si>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</si>
  <si>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</si>
  <si>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</si>
  <si>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AdministrativeArea (x8)
AggregateRating
Answer (x4)
BreadcrumbList
City (x24)
Country
FAQPage
FurnitureStore
GeoCoordinates
ListItem (x3)
OfferCatalog (x10)
OpeningHoursSpecification (x2)
Person (x2)
PostalAddress
QuantitativeValue
Question (x4)
State (x33)
WebPage
WebSite</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</si>
  <si>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</si>
  <si>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</si>
  <si>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</si>
  <si>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</si>
  <si>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</si>
  <si>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</si>
  <si>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AdministrativeArea (x8)
AggregateRating
Answer (x4)
BreadcrumbList
City (x16)
Country
FAQPage
FurnitureStore
GeoCoordinates
ListItem (x3)
OfferCatalog (x10)
OpeningHoursSpecification (x2)
Person (x2)
PostalAddress
QuantitativeValue
Question (x4)
State (x25)
WebPage
WebSite</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</si>
  <si>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</si>
  <si>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</si>
  <si>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AdministrativeArea (x8)
AggregateRating
Answer (x4)
BreadcrumbList
City (x15)
Country
FAQPage
FurnitureStore
GeoCoordinates
ListItem (x3)
OfferCatalog (x10)
OpeningHoursSpecification (x2)
Person (x2)
PostalAddress
QuantitativeValue
Question (x4)
State (x24)
WebPage
WebSite</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</si>
  <si>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</si>
  <si>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</si>
  <si>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AdministrativeArea (x7)
AggregateRating
Answer (x4)
BreadcrumbList
City (x20)
Country
FAQPage
FurnitureStore
GeoCoordinates
ListItem (x3)
OfferCatalog (x10)
OpeningHoursSpecification (x2)
Person (x2)
PostalAddress
QuantitativeValue
Question (x4)
State (x28)
WebPage
WebSite</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</si>
  <si>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</si>
  <si>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</si>
  <si>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</si>
  <si>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</si>
  <si>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AdministrativeArea (x12)
AggregateRating
Answer (x4)
BreadcrumbList
City (x25)
Country
FAQPage
FurnitureStore
GeoCoordinates
ListItem (x3)
OfferCatalog (x10)
OpeningHoursSpecification (x2)
Person (x2)
PostalAddress
QuantitativeValue
Question (x4)
State (x38)
WebPage
WebSite</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</si>
  <si>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</si>
  <si>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</si>
  <si>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</si>
  <si>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</si>
  <si>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</si>
  <si>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</si>
  <si>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AdministrativeArea (x9)
AggregateRating
Answer (x4)
BreadcrumbList
City (x20)
Country
FAQPage
FurnitureStore
GeoCoordinates
ListItem (x3)
OfferCatalog (x10)
OpeningHoursSpecification (x2)
Person (x2)
PostalAddress
QuantitativeValue
Question (x4)
State (x30)
WebPage
WebSite</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</si>
  <si>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</si>
  <si>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</si>
  <si>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AdministrativeArea (x10)
AggregateRating
Answer (x4)
BreadcrumbList
City (x20)
Country
FAQPage
FurnitureStore
GeoCoordinates
ListItem (x3)
OfferCatalog (x10)
OpeningHoursSpecification (x2)
Person (x4)
PostalAddress
QuantitativeValue
Question (x4)
State (x31)
WebPage
WebSite</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</si>
  <si>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</si>
  <si>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</si>
  <si>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</si>
  <si>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</si>
  <si>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</si>
  <si>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</si>
  <si>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AdministrativeArea (x8)
AggregateRating
Answer (x4)
BreadcrumbList
City (x23)
Country
FAQPage
FurnitureStore
GeoCoordinates
ListItem (x3)
OfferCatalog (x10)
OpeningHoursSpecification (x2)
Person (x2)
PostalAddress
QuantitativeValue
Question (x4)
State (x32)
WebPage
WebSite</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</si>
  <si>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</si>
  <si>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</si>
  <si>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AdministrativeArea (x10)
AggregateRating
Answer (x4)
BreadcrumbList
City (x24)
Country
FAQPage
FurnitureStore
GeoCoordinates
ListItem (x3)
OfferCatalog (x10)
OpeningHoursSpecification (x2)
Person (x2)
PostalAddress
QuantitativeValue
Question (x4)
State (x35)
WebPage
WebSite</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</si>
  <si>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</si>
  <si>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</si>
  <si>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AdministrativeArea (x4)
AggregateRating
Answer (x4)
BreadcrumbList
City (x25)
Country
FAQPage
FurnitureStore
GeoCoordinates
ListItem (x3)
OfferCatalog (x10)
OpeningHoursSpecification (x2)
Person (x2)
PostalAddress
QuantitativeValue
Question (x4)
State (x30)
WebPage
WebSite</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</si>
  <si>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</si>
  <si>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</si>
  <si>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</si>
  <si>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</si>
  <si>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AdministrativeArea (x6)
AggregateRating
Answer (x4)
BreadcrumbList
City (x19)
Country
FAQPage
FurnitureStore
GeoCoordinates
ListItem (x3)
OfferCatalog (x10)
OpeningHoursSpecification (x2)
Person (x2)
PostalAddress
QuantitativeValue
Question (x4)
State (x26)
WebPage
WebSite</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</si>
  <si>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</si>
  <si>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</si>
  <si>
    <t>Fill out offer forms:</t>
  </si>
  <si>
    <t>Offer 1</t>
  </si>
  <si>
    <t>Offer 2</t>
  </si>
  <si>
    <t>Offer 3</t>
  </si>
  <si>
    <t>Offer 4</t>
  </si>
  <si>
    <t>Offer 5</t>
  </si>
  <si>
    <t>Main Code</t>
  </si>
  <si>
    <t>Offer Template</t>
  </si>
  <si>
    <t>Output</t>
  </si>
  <si>
    <t>Month</t>
  </si>
  <si>
    <t>July</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</si>
  <si>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t>
  </si>
  <si>
    <t xml:space="preserve">
    {
      "@type": "Offer",
      "name": "</t>
  </si>
  <si>
    <t>Ending</t>
  </si>
  <si>
    <t>Office Sale</t>
  </si>
  <si>
    <t>Entertainment Sale</t>
  </si>
  <si>
    <t>Backroom Sale</t>
  </si>
  <si>
    <t>Outdoor Sale</t>
  </si>
  <si>
    <t>",
      "description": "</t>
  </si>
  <si>
    <t xml:space="preserve"> 
 ]
}
&lt;/script&gt;</t>
  </si>
  <si>
    <t>25% off office items</t>
  </si>
  <si>
    <t>25% off entertainment items</t>
  </si>
  <si>
    <t>50% off select items</t>
  </si>
  <si>
    <t>15% off any outdoor furniture pieces</t>
  </si>
  <si>
    <t>",
      "validFrom": "</t>
  </si>
  <si>
    <t>Starting Date</t>
  </si>
  <si>
    <t>",
      "validThrough": "</t>
  </si>
  <si>
    <t>Ending Date</t>
  </si>
  <si>
    <t>",
      "category": "</t>
  </si>
  <si>
    <t>Furniture Discount</t>
  </si>
  <si>
    <t>"
    }</t>
  </si>
  <si>
    <t>,</t>
  </si>
  <si>
    <t>Right click cell C11, then go to Schema!B37 and paste values only</t>
  </si>
  <si>
    <t xml:space="preserve"> during </t>
  </si>
  <si>
    <t>Select the cell below (do not activate it) and press Ctrl + C to copy the formula output. Then right click on the cell it gets pasted to and select Paste Special, Value Only</t>
  </si>
  <si>
    <t>Copy Here -----&gt;</t>
  </si>
  <si>
    <t>Paste Special Values Only Here -----&gt;</t>
  </si>
  <si>
    <t>Schema!B44</t>
  </si>
  <si>
    <t>Offer 1 Output</t>
  </si>
  <si>
    <t>Offer 2 Output</t>
  </si>
  <si>
    <t>Offer 3 Output</t>
  </si>
  <si>
    <t>Offer 4 Output</t>
  </si>
  <si>
    <t>Offer 5 Output</t>
  </si>
  <si>
    <t>Shipping Class</t>
  </si>
  <si>
    <t>Text</t>
  </si>
  <si>
    <t>Price</t>
  </si>
  <si>
    <t>Priority</t>
  </si>
  <si>
    <t>Minimum</t>
  </si>
  <si>
    <t>Pickup</t>
  </si>
  <si>
    <t>Pickup at store</t>
  </si>
  <si>
    <t>Local</t>
  </si>
  <si>
    <t>Only available to an Ohio address</t>
  </si>
  <si>
    <t>2.33 per mile</t>
  </si>
  <si>
    <t>?? Possible new shipping option</t>
  </si>
  <si>
    <t>In-home</t>
  </si>
  <si>
    <t>Long Distance, In-Home</t>
  </si>
  <si>
    <t>Curbside</t>
  </si>
  <si>
    <t>Long Distance, Curbside</t>
  </si>
  <si>
    <t>rh has unlimited furniture delivery $299</t>
  </si>
  <si>
    <t>Free</t>
  </si>
  <si>
    <t>Free Shipping</t>
  </si>
  <si>
    <t>Zip</t>
  </si>
  <si>
    <t xml:space="preserve">OLD - PHASE OUT inside of zip, east, west, and distance in ohio </t>
  </si>
  <si>
    <t>Inside Ohio rates</t>
  </si>
  <si>
    <t>5-25 miles</t>
  </si>
  <si>
    <t>25-50 miles</t>
  </si>
  <si>
    <t>beyond</t>
  </si>
  <si>
    <t>zip-tier-1</t>
  </si>
  <si>
    <t>zip-tier-2</t>
  </si>
  <si>
    <t>zip-ohio-only</t>
  </si>
  <si>
    <t>zip-per-item-price</t>
  </si>
  <si>
    <t>East Zone Item, West Zone Item</t>
  </si>
  <si>
    <t>THIS SHEET WILL NOT UPLOAD &amp;</t>
  </si>
  <si>
    <t>THEREFORE NOT DYNAMIC</t>
  </si>
  <si>
    <t>It is however used for validating the shipping codes in our items. km</t>
  </si>
  <si>
    <t>Data Master location</t>
  </si>
  <si>
    <t>https://docs.google.com/spreadsheets/d/1AkBpVmP_rlHx-ANCEcK2B72cC5o7O_XYsNJ5-QJcYxA/edit?gid=567006336#gid=567006336</t>
  </si>
  <si>
    <t>Ohio zip</t>
  </si>
  <si>
    <t>Distance from PC store</t>
  </si>
  <si>
    <t>Delivery Price</t>
  </si>
  <si>
    <t>Up to 50</t>
  </si>
  <si>
    <t>50 +</t>
  </si>
  <si>
    <t>zzzzzz</t>
  </si>
  <si>
    <t>West Zone (pink/magenta):</t>
  </si>
  <si>
    <t>East Zone (orange/peach):</t>
  </si>
  <si>
    <t>Arizona</t>
  </si>
  <si>
    <t>Alabama</t>
  </si>
  <si>
    <t>California</t>
  </si>
  <si>
    <t>Arkansas</t>
  </si>
  <si>
    <t>Colorado</t>
  </si>
  <si>
    <t>Connecticut</t>
  </si>
  <si>
    <t>Idaho</t>
  </si>
  <si>
    <t>Delaware</t>
  </si>
  <si>
    <t>Iowa</t>
  </si>
  <si>
    <t>District of Columbia</t>
  </si>
  <si>
    <t>Kansas</t>
  </si>
  <si>
    <t>Florida</t>
  </si>
  <si>
    <t>Minnesota</t>
  </si>
  <si>
    <t>Georgia</t>
  </si>
  <si>
    <t>Montana</t>
  </si>
  <si>
    <t>Illinois</t>
  </si>
  <si>
    <t>Nebraska</t>
  </si>
  <si>
    <t>Indiana</t>
  </si>
  <si>
    <t>Nevada</t>
  </si>
  <si>
    <t>Kentucky</t>
  </si>
  <si>
    <t>New Mexico</t>
  </si>
  <si>
    <t>Louisiana</t>
  </si>
  <si>
    <t>North Dakota</t>
  </si>
  <si>
    <t>Maine</t>
  </si>
  <si>
    <t>Oklahoma</t>
  </si>
  <si>
    <t>Maryland</t>
  </si>
  <si>
    <t>Oregon</t>
  </si>
  <si>
    <t>Massachusetts</t>
  </si>
  <si>
    <t>South Dakota</t>
  </si>
  <si>
    <t>Michigan</t>
  </si>
  <si>
    <t>Mississippi</t>
  </si>
  <si>
    <t>Utah</t>
  </si>
  <si>
    <t>New Hampshire</t>
  </si>
  <si>
    <t>Washington</t>
  </si>
  <si>
    <t>New Jersey</t>
  </si>
  <si>
    <t>Wyoming</t>
  </si>
  <si>
    <t>New York</t>
  </si>
  <si>
    <t>Missouri</t>
  </si>
  <si>
    <t>North Carolina</t>
  </si>
  <si>
    <t>Pennsylvania</t>
  </si>
  <si>
    <t>Rhode Island</t>
  </si>
  <si>
    <t>South Carolina</t>
  </si>
  <si>
    <t>Tennessee</t>
  </si>
  <si>
    <t>Vermont</t>
  </si>
  <si>
    <t>Virginia</t>
  </si>
  <si>
    <t>West Virginia</t>
  </si>
  <si>
    <t>Wisconsin</t>
  </si>
  <si>
    <t>Item #</t>
  </si>
  <si>
    <t>Image name</t>
  </si>
  <si>
    <t>Attributes</t>
  </si>
  <si>
    <t>Order on Item Page</t>
  </si>
  <si>
    <t>Type</t>
  </si>
  <si>
    <t>017-ABC123</t>
  </si>
  <si>
    <t>017-ABC123#1.jpg</t>
  </si>
  <si>
    <t>Rustic QSWO#OCS - 113 MICHAEL'S CHERRY#Black Pulls#1003160-BCR#Black Knobs#100312-BCR</t>
  </si>
  <si>
    <t>Image</t>
  </si>
  <si>
    <t>017-ABC456</t>
  </si>
  <si>
    <t>017-ABC456#1.jpg</t>
  </si>
  <si>
    <t>Rustic QSWO#OCS - 113 MICHAEL'S CHERRY#King Storage 001, 002 or 005#Black Pulls#1003160-BCR</t>
  </si>
  <si>
    <t>017-ABC456#2.jpg</t>
  </si>
  <si>
    <t>Rustic QSWO#OCS - 112 PROVINCIAL#Queen Storage 001, 002 or 005#Black Knobs#100312-BCRa</t>
  </si>
  <si>
    <t>191-ABC123</t>
  </si>
  <si>
    <t>191-ABC123#1.jpg</t>
  </si>
  <si>
    <t>Sunburst-Yellow#Mango-Orange</t>
  </si>
  <si>
    <t>191-ABC123#2.jpg</t>
  </si>
  <si>
    <t>Weatherwood#Driftwood-Gray</t>
  </si>
  <si>
    <t>191-ABC123#3.jpg</t>
  </si>
  <si>
    <t>Antique-Mahogany#Seashell</t>
  </si>
  <si>
    <t>https://www.youtube.com/watch?v=NSG43hgr0Vc</t>
  </si>
  <si>
    <t>sample.pdf</t>
  </si>
  <si>
    <t>Instruction Manual</t>
  </si>
  <si>
    <t>Pdf</t>
  </si>
  <si>
    <t>Modified Item #</t>
  </si>
  <si>
    <t>Dropdown #</t>
  </si>
  <si>
    <t>Order in Dropdown</t>
  </si>
  <si>
    <t>Parent Dropdown</t>
  </si>
  <si>
    <t>Parent Order in Dropdown</t>
  </si>
  <si>
    <t>Title - needs to be unique in item#</t>
  </si>
  <si>
    <t>Global Attribute</t>
  </si>
  <si>
    <t>PRICE MODIFIER TYPE</t>
  </si>
  <si>
    <t>Template</t>
  </si>
  <si>
    <t>Default</t>
  </si>
  <si>
    <t>Controls</t>
  </si>
  <si>
    <t>Number of Errors in Col I: 0</t>
  </si>
  <si>
    <t>CWF811</t>
  </si>
  <si>
    <t>017-ZTC144</t>
  </si>
  <si>
    <t>Wood</t>
  </si>
  <si>
    <t>Oak</t>
  </si>
  <si>
    <t>Button</t>
  </si>
  <si>
    <t>Rustic QSWO</t>
  </si>
  <si>
    <t>Rustic Cherry</t>
  </si>
  <si>
    <t>Brown Maple</t>
  </si>
  <si>
    <t>Sap Cherry</t>
  </si>
  <si>
    <t>QSWO</t>
  </si>
  <si>
    <t>Elm</t>
  </si>
  <si>
    <t>Hickory</t>
  </si>
  <si>
    <t>Hard Maple</t>
  </si>
  <si>
    <t>Stain</t>
  </si>
  <si>
    <t>**Universal Oak</t>
  </si>
  <si>
    <t>Photo</t>
  </si>
  <si>
    <t>**Universal Rustic QSWO</t>
  </si>
  <si>
    <t>**Universal Rustic Cherry</t>
  </si>
  <si>
    <t>**Universal Brown Maple</t>
  </si>
  <si>
    <t>**Sap Cherry</t>
  </si>
  <si>
    <t>**Universal QSWO</t>
  </si>
  <si>
    <t>**Universal Cherry</t>
  </si>
  <si>
    <t>**Elm</t>
  </si>
  <si>
    <t>**Universal Hickory</t>
  </si>
  <si>
    <t>**Hard Maple</t>
  </si>
  <si>
    <t>s-hard-maple</t>
  </si>
  <si>
    <t>Hardware for small drawers</t>
  </si>
  <si>
    <t>Black Pulls</t>
  </si>
  <si>
    <t>Black Knobs</t>
  </si>
  <si>
    <t>Silver Pulls</t>
  </si>
  <si>
    <t>Silver Knobs</t>
  </si>
  <si>
    <t>Bronze Pulls</t>
  </si>
  <si>
    <t>Bronze Knobs</t>
  </si>
  <si>
    <t>Gold Pulls</t>
  </si>
  <si>
    <t>Gold Knobs</t>
  </si>
  <si>
    <t>Wood Pulls</t>
  </si>
  <si>
    <t>Wood Knobs</t>
  </si>
  <si>
    <t>** Universal Black Pulls</t>
  </si>
  <si>
    <t>** Universal Black Knobs</t>
  </si>
  <si>
    <t>** Universal Silver Pulls</t>
  </si>
  <si>
    <t>** Universal Silver Knobs</t>
  </si>
  <si>
    <t>** Universal Bronze Pulls</t>
  </si>
  <si>
    <t>** Universal Brownze Knobs</t>
  </si>
  <si>
    <t>** Universal Gold Pulls</t>
  </si>
  <si>
    <t>** Universal Gold Knobs</t>
  </si>
  <si>
    <t>** Universal Wood Pulls</t>
  </si>
  <si>
    <t>** Universal Wood Knobs</t>
  </si>
  <si>
    <t>Hardware for large drawers</t>
  </si>
  <si>
    <t>CWF8111</t>
  </si>
  <si>
    <t>017-ZTC1444</t>
  </si>
  <si>
    <t>CWF8112</t>
  </si>
  <si>
    <t>017-ZTC1445</t>
  </si>
  <si>
    <t>CWF812</t>
  </si>
  <si>
    <t>017-ZTC145</t>
  </si>
  <si>
    <t>CWF8120</t>
  </si>
  <si>
    <t>017-ZTC1453</t>
  </si>
  <si>
    <t>Hardware for drawers</t>
  </si>
  <si>
    <t>Hardware for doors</t>
  </si>
  <si>
    <t>CWF8121</t>
  </si>
  <si>
    <t>017-ZTC1454</t>
  </si>
  <si>
    <t>CWF8124</t>
  </si>
  <si>
    <t>017-ZTC1457</t>
  </si>
  <si>
    <t>CWF8126</t>
  </si>
  <si>
    <t>017-ZTC1459</t>
  </si>
  <si>
    <t>CWF8127</t>
  </si>
  <si>
    <t>017-ZTC1450</t>
  </si>
  <si>
    <t>CWF8131</t>
  </si>
  <si>
    <t>017-ZTC1464</t>
  </si>
  <si>
    <t>CWF8130</t>
  </si>
  <si>
    <t>017-ZTC1463</t>
  </si>
  <si>
    <t>CWF8135</t>
  </si>
  <si>
    <t>017-ZTC1468</t>
  </si>
  <si>
    <t>CWF8136</t>
  </si>
  <si>
    <t>017-ZTC1469</t>
  </si>
  <si>
    <t>CWF8140</t>
  </si>
  <si>
    <t>017-ZTC1473</t>
  </si>
  <si>
    <t>CWF8150</t>
  </si>
  <si>
    <t>017-ZTC1483</t>
  </si>
  <si>
    <t>CWF820</t>
  </si>
  <si>
    <t>017-ZTC153</t>
  </si>
  <si>
    <t>CWF821</t>
  </si>
  <si>
    <t>017-ZTC154</t>
  </si>
  <si>
    <t>CWF827</t>
  </si>
  <si>
    <t>017-ZTC150</t>
  </si>
  <si>
    <t>CWF830</t>
  </si>
  <si>
    <t>017-ZTC163</t>
  </si>
  <si>
    <t>CWF831</t>
  </si>
  <si>
    <t>017-ZTC164</t>
  </si>
  <si>
    <t>CWF835</t>
  </si>
  <si>
    <t>017-ZTC168</t>
  </si>
  <si>
    <t>CWF840</t>
  </si>
  <si>
    <t>017-ZTC173</t>
  </si>
  <si>
    <t>CWF849</t>
  </si>
  <si>
    <t>017-ZTC172</t>
  </si>
  <si>
    <t>CWF850</t>
  </si>
  <si>
    <t>017-ZTC183</t>
  </si>
  <si>
    <t>CWF8101</t>
  </si>
  <si>
    <t>017-ZTC1434</t>
  </si>
  <si>
    <t>**Universal Sap Cherry</t>
  </si>
  <si>
    <t>Size</t>
  </si>
  <si>
    <t>Twin</t>
  </si>
  <si>
    <t>Twin - Headboard Only</t>
  </si>
  <si>
    <t>Full</t>
  </si>
  <si>
    <t>Queen</t>
  </si>
  <si>
    <t>Full - Headboard Only</t>
  </si>
  <si>
    <t>Queen - Headboard Only</t>
  </si>
  <si>
    <t>King</t>
  </si>
  <si>
    <t>California King</t>
  </si>
  <si>
    <t>King - Headboard Only</t>
  </si>
  <si>
    <t>California King - Headboard Only</t>
  </si>
  <si>
    <t>CWF8102</t>
  </si>
  <si>
    <t>017-ZTC1435</t>
  </si>
  <si>
    <t>CWF8001</t>
  </si>
  <si>
    <t>017-ZTC1334</t>
  </si>
  <si>
    <t>CWF801</t>
  </si>
  <si>
    <t>017-ZTC134</t>
  </si>
  <si>
    <t>CWF803</t>
  </si>
  <si>
    <t>017-ZTC136</t>
  </si>
  <si>
    <t>Yes</t>
  </si>
  <si>
    <t>fc-1111 specialty finish</t>
  </si>
  <si>
    <t>Small Drawer Hardware Color</t>
  </si>
  <si>
    <t>default hardware</t>
  </si>
  <si>
    <t>hardware for small drawers</t>
  </si>
  <si>
    <t>hardware for big drawers</t>
  </si>
  <si>
    <t>s-rustic-qswo</t>
  </si>
  <si>
    <t>s-rustic-cherry</t>
  </si>
  <si>
    <t xml:space="preserve">Size </t>
  </si>
  <si>
    <t>Twin Headboard Only</t>
  </si>
  <si>
    <t>Full Headboard Only</t>
  </si>
  <si>
    <t>Queen Headboard Only</t>
  </si>
  <si>
    <t>King Headboard Only</t>
  </si>
  <si>
    <t>California King Headboard Only</t>
  </si>
  <si>
    <t>Twin Storage 001, 002 or 005</t>
  </si>
  <si>
    <t>Full Storage 001, 002 or 005</t>
  </si>
  <si>
    <t>Queen Storage 001, 002 or 005</t>
  </si>
  <si>
    <t>King Storage 001, 002 or 005</t>
  </si>
  <si>
    <t>Full Storage 003, 004 or 006</t>
  </si>
  <si>
    <t>Queen Storage 003, 004 or 006</t>
  </si>
  <si>
    <t>King Storage 003, 004 or 006</t>
  </si>
  <si>
    <t>Size 2</t>
  </si>
  <si>
    <t>Size 3</t>
  </si>
  <si>
    <t>Size 4</t>
  </si>
  <si>
    <t>Size 5</t>
  </si>
  <si>
    <t>Size 6</t>
  </si>
  <si>
    <t>Size 7</t>
  </si>
  <si>
    <t>Size 8</t>
  </si>
  <si>
    <t>Size 9</t>
  </si>
  <si>
    <t>Size 10</t>
  </si>
  <si>
    <t xml:space="preserve">Hardware </t>
  </si>
  <si>
    <t>Hardware 2</t>
  </si>
  <si>
    <t>Hardware 3</t>
  </si>
  <si>
    <t>Hardware 4</t>
  </si>
  <si>
    <t>Hardware 5</t>
  </si>
  <si>
    <t>Hardware 6</t>
  </si>
  <si>
    <t>Hardware 7</t>
  </si>
  <si>
    <t>+%</t>
  </si>
  <si>
    <t>PEDC2127</t>
  </si>
  <si>
    <t>Top Color</t>
  </si>
  <si>
    <t>**Universal Standard Colors</t>
  </si>
  <si>
    <t>2-dropdown#2-in-1</t>
  </si>
  <si>
    <t>Top Color 2</t>
  </si>
  <si>
    <t>**Universal Natural Colors</t>
  </si>
  <si>
    <t>Bottom Color</t>
  </si>
  <si>
    <t>Bottom Color 2</t>
  </si>
  <si>
    <t>SGWG2424</t>
  </si>
  <si>
    <t>191-SGWG2424</t>
  </si>
  <si>
    <t>no-dropdowns</t>
  </si>
  <si>
    <t>PAFT2410</t>
  </si>
  <si>
    <t>191-PAFT2410</t>
  </si>
  <si>
    <t>1-dropdown#2-in-1</t>
  </si>
  <si>
    <t>???</t>
  </si>
  <si>
    <t>CTCC3034</t>
  </si>
  <si>
    <t>**Universal Fabric A</t>
  </si>
  <si>
    <t>2-dropdowns#4-in-1#2-in-1</t>
  </si>
  <si>
    <t>**Universal Fabric B</t>
  </si>
  <si>
    <t>**Universal Fabric C</t>
  </si>
  <si>
    <t>**Universal Fabric D</t>
  </si>
  <si>
    <t>take-highest-price</t>
  </si>
  <si>
    <t>when an item has no dropdowns</t>
  </si>
  <si>
    <t>Vendor #</t>
  </si>
  <si>
    <t>Time Frame in Weeks</t>
  </si>
  <si>
    <t>Note on Orders</t>
  </si>
  <si>
    <t>Quick Ship Time Frame in Weeks</t>
  </si>
  <si>
    <t>Quick Ship Note on Orders</t>
  </si>
  <si>
    <t>12-16</t>
  </si>
  <si>
    <t>Estimated Delivery Time: 12-16 Weeks, Initials</t>
  </si>
  <si>
    <t>8-12</t>
  </si>
  <si>
    <t>Estimated Delivery Time: 8-12 Weeks, Initials</t>
  </si>
  <si>
    <t>6-8</t>
  </si>
  <si>
    <t>Estimated Delivery Time: 6-8 Weeks, Initials</t>
  </si>
  <si>
    <t>16-20</t>
  </si>
  <si>
    <t>Estimated Delivery Time: 16-20 Weeks, Initials</t>
  </si>
  <si>
    <t>4-5</t>
  </si>
  <si>
    <t>Estimated Delivery Time: 4-5 Weeks, Initials</t>
  </si>
  <si>
    <t>20-28</t>
  </si>
  <si>
    <t>Estimated Delivery Time: 20-28 Weeks, Initials</t>
  </si>
  <si>
    <t>4-8</t>
  </si>
  <si>
    <t>Estimated Delivery Time: 4-8 Weeks, Initials</t>
  </si>
  <si>
    <t>28-36</t>
  </si>
  <si>
    <t>Estimated Delivery Time: 28-36 Weeks, Initials</t>
  </si>
  <si>
    <t>Box</t>
  </si>
  <si>
    <t>Order in Box</t>
  </si>
  <si>
    <t>Collection name</t>
  </si>
  <si>
    <t>017-chloe</t>
  </si>
  <si>
    <t>017-kensington</t>
  </si>
  <si>
    <t>017-denali</t>
  </si>
  <si>
    <t>017-charland</t>
  </si>
  <si>
    <t>016-liberty</t>
  </si>
  <si>
    <t>016-oakharbor</t>
  </si>
  <si>
    <t>016-arlington</t>
  </si>
  <si>
    <t>016-rockland</t>
  </si>
  <si>
    <t>016-lakeside</t>
  </si>
  <si>
    <t>016-addison</t>
  </si>
  <si>
    <t>016-shaker</t>
  </si>
  <si>
    <t>016-richville</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</si>
  <si>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</si>
  <si>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</si>
  <si>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</si>
  <si>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</si>
  <si>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</si>
  <si>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</si>
  <si>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</si>
  <si>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</si>
  <si>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</si>
  <si>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</si>
  <si>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</si>
  <si>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</si>
  <si>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</si>
  <si>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</si>
  <si>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</si>
  <si>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017-cody-entertainment</t>
  </si>
  <si>
    <t>017-brooklyn-entertainment</t>
  </si>
  <si>
    <t>017-duchess-entertainment</t>
  </si>
  <si>
    <t>058-quiet-night</t>
  </si>
  <si>
    <t>058-integrity</t>
  </si>
  <si>
    <t>058-fuchsia</t>
  </si>
  <si>
    <t>058-motion-bases</t>
  </si>
  <si>
    <t>191-PAVILIONS</t>
  </si>
  <si>
    <t>191-GAZEBOS</t>
  </si>
  <si>
    <t>191-PERGOLAS</t>
  </si>
  <si>
    <t>326-mid-sized-playsets</t>
  </si>
  <si>
    <t>326-compact-playsets</t>
  </si>
  <si>
    <t>326-economy-playsets</t>
  </si>
  <si>
    <t>326-expansive-playsets</t>
  </si>
  <si>
    <t>Vendor Tabs</t>
  </si>
  <si>
    <t>Tab's Last Column</t>
  </si>
  <si>
    <t>Data Master Tabs</t>
  </si>
  <si>
    <t>tracking the last column allows us to verify that a sheet has the most recent columns that may have been added, KM</t>
  </si>
  <si>
    <t>Collections</t>
  </si>
  <si>
    <t>T</t>
  </si>
  <si>
    <t>J</t>
  </si>
  <si>
    <t>Related Collections</t>
  </si>
  <si>
    <t>D</t>
  </si>
  <si>
    <t>L</t>
  </si>
  <si>
    <t>Items</t>
  </si>
  <si>
    <t>AI</t>
  </si>
  <si>
    <t>Global Attributes</t>
  </si>
  <si>
    <t>Photos</t>
  </si>
  <si>
    <t>G</t>
  </si>
  <si>
    <t>Lead Times</t>
  </si>
  <si>
    <t>Dropdowns</t>
  </si>
  <si>
    <t>P</t>
  </si>
  <si>
    <t>E</t>
  </si>
  <si>
    <t>Collection Photos</t>
  </si>
  <si>
    <t>Front Page Boxes</t>
  </si>
  <si>
    <t>C</t>
  </si>
  <si>
    <t>ZIPCODES</t>
  </si>
  <si>
    <t>Distance from 300 S Jefferson Ave, Plain City, OH 43064, United States</t>
  </si>
  <si>
    <t>ZONE</t>
  </si>
  <si>
    <t>STATE</t>
  </si>
  <si>
    <t>CODE</t>
  </si>
  <si>
    <t>EAST</t>
  </si>
  <si>
    <t>AL</t>
  </si>
  <si>
    <t>NO</t>
  </si>
  <si>
    <t>Alaska</t>
  </si>
  <si>
    <t>AK</t>
  </si>
  <si>
    <t>WEST</t>
  </si>
  <si>
    <t>AZ</t>
  </si>
  <si>
    <t>AR</t>
  </si>
  <si>
    <t>CA</t>
  </si>
  <si>
    <t>CO</t>
  </si>
  <si>
    <t>CT</t>
  </si>
  <si>
    <t>DE</t>
  </si>
  <si>
    <t>DC</t>
  </si>
  <si>
    <t>FL</t>
  </si>
  <si>
    <t>GA</t>
  </si>
  <si>
    <t>Hawaii</t>
  </si>
  <si>
    <t>HI</t>
  </si>
  <si>
    <t>ID</t>
  </si>
  <si>
    <t>IL</t>
  </si>
  <si>
    <t>IN</t>
  </si>
  <si>
    <t>IA</t>
  </si>
  <si>
    <t>KS</t>
  </si>
  <si>
    <t>KY</t>
  </si>
  <si>
    <t>LA</t>
  </si>
  <si>
    <t>ME</t>
  </si>
  <si>
    <t>MD</t>
  </si>
  <si>
    <t>MA</t>
  </si>
  <si>
    <t>MI</t>
  </si>
  <si>
    <t>MN</t>
  </si>
  <si>
    <t>MS</t>
  </si>
  <si>
    <t>MO</t>
  </si>
  <si>
    <t>MT</t>
  </si>
  <si>
    <t>NE</t>
  </si>
  <si>
    <t>NV</t>
  </si>
  <si>
    <t>NH</t>
  </si>
  <si>
    <t>NJ</t>
  </si>
  <si>
    <t>NM</t>
  </si>
  <si>
    <t>NY</t>
  </si>
  <si>
    <t>NC</t>
  </si>
  <si>
    <t>ND</t>
  </si>
  <si>
    <t>Ohio</t>
  </si>
  <si>
    <t>OH</t>
  </si>
  <si>
    <t>OK</t>
  </si>
  <si>
    <t>OR</t>
  </si>
  <si>
    <t>PA</t>
  </si>
  <si>
    <t>RI</t>
  </si>
  <si>
    <t>SC</t>
  </si>
  <si>
    <t>SD</t>
  </si>
  <si>
    <t>TN</t>
  </si>
  <si>
    <t>TX</t>
  </si>
  <si>
    <t>UT</t>
  </si>
  <si>
    <t>VT</t>
  </si>
  <si>
    <t>VA</t>
  </si>
  <si>
    <t>WA</t>
  </si>
  <si>
    <t>WV</t>
  </si>
  <si>
    <t>WI</t>
  </si>
  <si>
    <t>WY</t>
  </si>
  <si>
    <t>Will DY do them?</t>
  </si>
  <si>
    <t>Cost per sample.</t>
  </si>
  <si>
    <t>DY Charges $10 per sample and mails direct</t>
  </si>
  <si>
    <t>Shipping</t>
  </si>
  <si>
    <t>Included in the $10</t>
  </si>
  <si>
    <t>Return label info</t>
  </si>
  <si>
    <t>Charge for customer?</t>
  </si>
  <si>
    <t>Currently thinking of charging $10 and not offering a refund</t>
  </si>
  <si>
    <t>https://www.google.com/search?q=can+you+buy+prepaid+return+labels+usps&amp;oq=can+you+buy+prepaid+return+labels+usps&amp;gs_lcrp=EgZjaHJvbWUyBggAEEUYOTIHCAEQIRigATIHCAIQIRigATIHCAMQIRigATIHCAQQIRigATIHCAUQIRigATIHCAYQIRifBTIHCAcQIRifBTIHCAgQIRifBTIHCAkQIRifBdIBCDk2MjZqMGo3qAIAsAIA&amp;sourceid=chrome&amp;ie=UTF-8</t>
  </si>
  <si>
    <t>Refund to order or if sent back?</t>
  </si>
  <si>
    <t>Not at this time</t>
  </si>
  <si>
    <t>Functionality on website.</t>
  </si>
  <si>
    <t>Should it be a related item or an option on each page?</t>
  </si>
  <si>
    <t>Populated by global attributes</t>
  </si>
  <si>
    <t>Samples will be 2 dropdowns ea. Put 3 or 4 samples per vendor. I.e. Wood Sample 1, Wood Sample 2, Wood Sample 3</t>
  </si>
  <si>
    <t>Wood and stain</t>
  </si>
  <si>
    <t>Consider Millwest Sample Kit also</t>
  </si>
  <si>
    <t>(Down the road)</t>
  </si>
  <si>
    <t>one price, 4 samples, pen, caluclator, small tape measure, etc. Nice package. $50 - $60 maybe</t>
  </si>
  <si>
    <t>Dutchcrafters Samples</t>
  </si>
  <si>
    <t>https://www.dutchcrafters.com/Sample-Kits/cat/780#1-1000</t>
  </si>
  <si>
    <t>How to Order Stain Samples</t>
  </si>
  <si>
    <t>They offer a $40 kit</t>
  </si>
  <si>
    <t>They only appear to refund when the sample kit is ordered and returned (return label included)</t>
  </si>
  <si>
    <r>
      <t xml:space="preserve">Place a stain sample order </t>
    </r>
    <r>
      <rPr>
        <rFont val="Mulish, Arial, sans-serif"/>
        <color rgb="FF1155CC"/>
        <sz val="14.0"/>
        <u/>
      </rPr>
      <t>by phone</t>
    </r>
    <r>
      <rPr>
        <rFont val="Mulish, Arial, sans-serif"/>
        <color rgb="FF555555"/>
        <sz val="14.0"/>
      </rPr>
      <t xml:space="preserve"> at 941-867-2233, on our website, or by placing an order for furniture and, under “Finish,” selecting “Send me samples.”</t>
    </r>
  </si>
  <si>
    <t>(When returned within 30 days)</t>
  </si>
  <si>
    <t>Once you’ve selected your wood type and four finishes you’d like to see, we’ll ship out your samples. Included in your sample kit are four samples and a return bag with a pre-paid return shipping label.</t>
  </si>
  <si>
    <t>View your samples on location in the furniture’s future home, in a variety of lighting conditions. Compare it to the wall color and the floor color in particular, as well as any other wood tones in the room.</t>
  </si>
  <si>
    <t>Tell your furniture specialist which finish you have chosen and place your order if you haven’t yet.</t>
  </si>
  <si>
    <t>And then place all four samples in the included return bag and stick it in the mail!</t>
  </si>
  <si>
    <t>Finally, all that’s left is to wait as your custom furniture is built and finished to your specifications. We’re confident that when you do receive your new pieces, you’ll love what you created.</t>
  </si>
  <si>
    <t>QW Samples</t>
  </si>
  <si>
    <t>https://qualitywoods.com/products/stain-samples-fee-credited-when-samples-returned?variant=29754437075026</t>
  </si>
  <si>
    <t>$10 each</t>
  </si>
  <si>
    <t>Refunded when returned within 30 days</t>
  </si>
  <si>
    <t>(return label included)</t>
  </si>
  <si>
    <t>Doesn't say anything about a minimum amount</t>
  </si>
  <si>
    <t>Amish Oringinals</t>
  </si>
  <si>
    <t>Doesn't offer samples. Just has a link to Finishworks site.</t>
  </si>
  <si>
    <t>Buckeye Amish Furniture</t>
  </si>
  <si>
    <t>https://www.buckeyeamishfurniture.com/sample.php</t>
  </si>
  <si>
    <t>Only offers digital samples</t>
  </si>
  <si>
    <t>Site</t>
  </si>
  <si>
    <t>Dutchcrafters</t>
  </si>
  <si>
    <t>dutchcrafters.com</t>
  </si>
  <si>
    <t>Amish Furniture</t>
  </si>
  <si>
    <t>Quality Wood Furniture</t>
  </si>
  <si>
    <t>https://qualitywoods.com/</t>
  </si>
  <si>
    <t>Amish Originals</t>
  </si>
  <si>
    <t>https://amishoriginals.com/</t>
  </si>
  <si>
    <t>https://www.buckeyeamishfurniture.com/</t>
  </si>
  <si>
    <t>Geitgey's</t>
  </si>
  <si>
    <t>https://amishcountryfurnishings.com/</t>
  </si>
  <si>
    <t>RH</t>
  </si>
  <si>
    <t>rh.com</t>
  </si>
  <si>
    <t>Upscale Furniture</t>
  </si>
  <si>
    <t>characters</t>
  </si>
  <si>
    <t>using char()</t>
  </si>
  <si>
    <t>values</t>
  </si>
  <si>
    <t>¼</t>
  </si>
  <si>
    <t>½</t>
  </si>
  <si>
    <t>¾</t>
  </si>
  <si>
    <t>⅓</t>
  </si>
  <si>
    <t>⅔</t>
  </si>
  <si>
    <t>⅛</t>
  </si>
  <si>
    <t>⅜</t>
  </si>
  <si>
    <t>⅝</t>
  </si>
  <si>
    <t>⅞</t>
  </si>
  <si>
    <t>Quarter-Sawn Wood White Oak</t>
  </si>
  <si>
    <t>Walnut</t>
  </si>
  <si>
    <t>Rustic Hickory</t>
  </si>
  <si>
    <t>Rustic Walnut</t>
  </si>
  <si>
    <t>Wormy Maple</t>
  </si>
  <si>
    <r>
      <rPr>
        <rFont val="Arial"/>
        <color rgb="FF000000"/>
      </rPr>
      <t>Rustic Quarter-Sawn Wood White Oak</t>
    </r>
  </si>
  <si>
    <t>White Oak</t>
  </si>
  <si>
    <t>Rustic White Oak</t>
  </si>
  <si>
    <t>Reclaimed Barnwood</t>
  </si>
  <si>
    <t>Rustic Brown Maple</t>
  </si>
  <si>
    <t>Collection #</t>
  </si>
  <si>
    <t>Header 1</t>
  </si>
  <si>
    <t>Description 1</t>
  </si>
  <si>
    <t>Header 2</t>
  </si>
  <si>
    <t>Description 2</t>
  </si>
  <si>
    <t>Header 3</t>
  </si>
  <si>
    <t>Description 3</t>
  </si>
  <si>
    <t>Header 4</t>
  </si>
  <si>
    <t>Description 4</t>
  </si>
  <si>
    <t>Header 5</t>
  </si>
  <si>
    <t>Description 5</t>
  </si>
  <si>
    <t>Default Photo</t>
  </si>
  <si>
    <t>017 BLOOM</t>
  </si>
  <si>
    <t>Bloomfield Collection</t>
  </si>
  <si>
    <t>With clean, unadorned lines, our Bloomfield Collection
elevates tried-and-true simplicity with a laid-back line
of contemporary bedroom furniture that makes looking
natural appear effortless.</t>
  </si>
  <si>
    <t>Details</t>
  </si>
  <si>
    <t>Experience the charm of a country bed and breakfast every morning in your own home with
 chests, nightstands, and more available from the Bloomfield Collection. Plus, enjoy choosing
 between the classic Bloomfield bed and the Bloomfield poster bed—either option will
 provide your home with a quiet refinement from one generation to the next.</t>
  </si>
  <si>
    <t>Standard Features</t>
  </si>
  <si>
    <t>STANDARD FEATURES
 • 1" Solid Tops
 • Flush Inset Drawers
 • Hardwood Drawer Box
 QUICK SHIP OPTION
 Quick shipping available for the five pieces shown below in Rustic Quarter-Sawn Wood,
 finished in any color.
 • Dovetail Drawers
 • Full Extension Slides</t>
  </si>
  <si>
    <t>Shown As</t>
  </si>
  <si>
    <t>Rustic Quarter-Sawn Wood with OCS 113 Michael’s Cherry Finish, K6373-DMAC Hardware</t>
  </si>
  <si>
    <t>191 COMFO</t>
  </si>
  <si>
    <t>Comfo-Back Collection</t>
  </si>
  <si>
    <t>Classic Adirondack style
— undeniable comfort</t>
  </si>
  <si>
    <t>A purposefully designed contoured back is the
hallmark of our Comfo line. Nestled under a shade
tree or positioned off the patio, Comfo Back
provides the ultimate in relaxed seating options.</t>
  </si>
  <si>
    <t>Order</t>
  </si>
  <si>
    <t>unused for now</t>
  </si>
  <si>
    <t>later want to make carosouls at the top of the collection pages</t>
  </si>
  <si>
    <t>autplay, auto rotate</t>
  </si>
  <si>
    <t>default audio off</t>
  </si>
  <si>
    <t>can choose which you want</t>
  </si>
  <si>
    <t>can use photos or videos</t>
  </si>
  <si>
    <t>Hardware Type</t>
  </si>
  <si>
    <t>Hardware #</t>
  </si>
  <si>
    <t>H1</t>
  </si>
  <si>
    <t>Pull 34133</t>
  </si>
  <si>
    <t>H1#Pull 34133.jpg</t>
  </si>
  <si>
    <t>Pull</t>
  </si>
  <si>
    <t>Pull 34143</t>
  </si>
  <si>
    <t>H1#Pull 34143.jpg</t>
  </si>
  <si>
    <t>Knob 341326</t>
  </si>
  <si>
    <t>H1#Knob 341326.jpg</t>
  </si>
  <si>
    <t>Knob</t>
  </si>
  <si>
    <t>Pull 5301126</t>
  </si>
  <si>
    <t>H1#Pull 5301126.jpg</t>
  </si>
  <si>
    <t>Knob 5301526</t>
  </si>
  <si>
    <t>H1#Knob 5301526.jpg</t>
  </si>
  <si>
    <t>Knob 5301626</t>
  </si>
  <si>
    <t>H1#Knob 5301626.jpg</t>
  </si>
  <si>
    <t>Knob 5301826</t>
  </si>
  <si>
    <t>H1#Knob 5301826.jpg</t>
  </si>
  <si>
    <t>Knob 5347026</t>
  </si>
  <si>
    <t>H1#Knob 5347026.jpg</t>
  </si>
  <si>
    <t>Knob 1443ORB</t>
  </si>
  <si>
    <t>H1#Knob 1443ORB.jpg</t>
  </si>
  <si>
    <t>1443ORB</t>
  </si>
  <si>
    <t>Knob 149ORB</t>
  </si>
  <si>
    <t>H1#Knob 149ORB.jpg</t>
  </si>
  <si>
    <t>149ORB</t>
  </si>
  <si>
    <t>Knob 173G10</t>
  </si>
  <si>
    <t>H1#Knob 173G10.jpg</t>
  </si>
  <si>
    <t>173G10</t>
  </si>
  <si>
    <t>Knob 1910G10</t>
  </si>
  <si>
    <t>H1#Knob 1910G10.jpg</t>
  </si>
  <si>
    <t>1910G10</t>
  </si>
  <si>
    <t>Knob 29112CS</t>
  </si>
  <si>
    <t>H1#Knob 29112CS.jpg</t>
  </si>
  <si>
    <t>29112CS</t>
  </si>
  <si>
    <t>Knob 29113G10</t>
  </si>
  <si>
    <t>H1#Knob 29113G10.jpg</t>
  </si>
  <si>
    <t>29113G10</t>
  </si>
  <si>
    <t>Knob 29113ORB</t>
  </si>
  <si>
    <t>H1#Knob 29113ORB.jpg</t>
  </si>
  <si>
    <t>29113ORB</t>
  </si>
  <si>
    <t>Pull 29115G10</t>
  </si>
  <si>
    <t>H1#Pull 29115G10.jpg</t>
  </si>
  <si>
    <t>29115G10</t>
  </si>
  <si>
    <t>Pull 29116G10</t>
  </si>
  <si>
    <t>H1#Pull 29116G10.jpg</t>
  </si>
  <si>
    <t>29116G10</t>
  </si>
  <si>
    <t>Knob 3401CB</t>
  </si>
  <si>
    <t>H1#Knob 3401CB.jpg</t>
  </si>
  <si>
    <t>3401CB</t>
  </si>
  <si>
    <t>Knob 3403CB</t>
  </si>
  <si>
    <t>H1#Knob 3403CB.jpg</t>
  </si>
  <si>
    <t>3403CB</t>
  </si>
  <si>
    <t>Knob 3423BB</t>
  </si>
  <si>
    <t>H1#Knob 3423BB.jpg</t>
  </si>
  <si>
    <t>3423BB</t>
  </si>
  <si>
    <t>Knob 3433AC</t>
  </si>
  <si>
    <t>H1#Knob 3433AC.jpg</t>
  </si>
  <si>
    <t>3433AC</t>
  </si>
  <si>
    <t>Knob 4476FB</t>
  </si>
  <si>
    <t>H1#Knob 4476FB.jpg</t>
  </si>
  <si>
    <t>4476FB</t>
  </si>
  <si>
    <t>Knob 4476G10</t>
  </si>
  <si>
    <t>H1#Knob 4476G10.jpg</t>
  </si>
  <si>
    <t>4476G10</t>
  </si>
  <si>
    <t>Pull 53000G10</t>
  </si>
  <si>
    <t>H1#Pull 53000G10.jpg</t>
  </si>
  <si>
    <t>53000G10</t>
  </si>
  <si>
    <t>Pull 53001FB</t>
  </si>
  <si>
    <t>H1#Pull 53001FB.jpg</t>
  </si>
  <si>
    <t>53001FB</t>
  </si>
  <si>
    <t>Pull 53001ORB</t>
  </si>
  <si>
    <t>H1#Pull 53001ORB.jpg</t>
  </si>
  <si>
    <t>53001ORB</t>
  </si>
  <si>
    <t>Pull 53002G10</t>
  </si>
  <si>
    <t>H1#Pull 53002G10.jpg</t>
  </si>
  <si>
    <t>53002G10</t>
  </si>
  <si>
    <t>Knob 53002ORB</t>
  </si>
  <si>
    <t>H1#Knob 53002ORB.jpg</t>
  </si>
  <si>
    <t>53002ORB</t>
  </si>
  <si>
    <t>Knob 53004BB</t>
  </si>
  <si>
    <t>H1#Knob 53004BB.jpg</t>
  </si>
  <si>
    <t>53004BB</t>
  </si>
  <si>
    <t>Knob 53004G10</t>
  </si>
  <si>
    <t>H1#Knob 53004G10.jpg</t>
  </si>
  <si>
    <t>53004G10</t>
  </si>
  <si>
    <t>Knob 53004ORB</t>
  </si>
  <si>
    <t>H1#Knob 53004ORB.jpg</t>
  </si>
  <si>
    <t>53004ORB</t>
  </si>
  <si>
    <t>Knob 53011FB</t>
  </si>
  <si>
    <t>H1#Knob 53011FB.jpg</t>
  </si>
  <si>
    <t>53011FB</t>
  </si>
  <si>
    <t>Knob 53011G10</t>
  </si>
  <si>
    <t>H1#Knob 53011G10.jpg</t>
  </si>
  <si>
    <t>53011G10</t>
  </si>
  <si>
    <t>Knob 53011ORB</t>
  </si>
  <si>
    <t>H1#Knob 53011ORB.jpg</t>
  </si>
  <si>
    <t>53011ORB</t>
  </si>
  <si>
    <t>Pull 53015FB</t>
  </si>
  <si>
    <t>H1#Pull 53015FB.jpg</t>
  </si>
  <si>
    <t>53015FB</t>
  </si>
  <si>
    <t>Pull 53015G10</t>
  </si>
  <si>
    <t>H1#Pull 53015G10.jpg</t>
  </si>
  <si>
    <t>53015G10</t>
  </si>
  <si>
    <t>Pull 53015ORB</t>
  </si>
  <si>
    <t>H1#Pull 53015ORB.jpg</t>
  </si>
  <si>
    <t>53015ORB</t>
  </si>
  <si>
    <t>Pull 53018FB</t>
  </si>
  <si>
    <t>H1#Pull 53018FB.jpg</t>
  </si>
  <si>
    <t>53018FB</t>
  </si>
  <si>
    <t>OCS100 - Natural</t>
  </si>
  <si>
    <t>OCS101 - S-2</t>
  </si>
  <si>
    <t>OCS102 - Fruitwood</t>
  </si>
  <si>
    <t>OCS103 - MX</t>
  </si>
  <si>
    <t>OCS104 - Seely</t>
  </si>
  <si>
    <t>OCS106 - Acres</t>
  </si>
  <si>
    <t>OCS107 - Washington Cherry</t>
  </si>
  <si>
    <t>OCS110 - Medium</t>
  </si>
  <si>
    <t>OCS111 - Boston</t>
  </si>
  <si>
    <t>OCS112 - Provincial</t>
  </si>
  <si>
    <t>OCS113 - Michael's</t>
  </si>
  <si>
    <t>OCS116 - Harvest</t>
  </si>
  <si>
    <t>OCS117 - Asbury</t>
  </si>
  <si>
    <t>OCS118 - Antique Slate</t>
  </si>
  <si>
    <t>OCS119 - Cappuccino</t>
  </si>
  <si>
    <t>OCS121 - Smoke</t>
  </si>
  <si>
    <t>OCS122 - Cocoa</t>
  </si>
  <si>
    <t>OCS131 - Frost</t>
  </si>
  <si>
    <t>OCS132 - Sand</t>
  </si>
  <si>
    <t>OCS133 - Tundra</t>
  </si>
  <si>
    <t>OCS135 - Driftwood</t>
  </si>
  <si>
    <t>OCS226 - Coffee</t>
  </si>
  <si>
    <t>OCS227 - Rich Cherry</t>
  </si>
  <si>
    <t>OCS228 - Rich Tobacco</t>
  </si>
  <si>
    <t>OCS230 - Onyx</t>
  </si>
  <si>
    <t>FC-11725 - Acorn</t>
  </si>
  <si>
    <t>s-oak#FC-11725 - Acorn.jpg</t>
  </si>
  <si>
    <t>FC-106 - Acres</t>
  </si>
  <si>
    <t>s-oak#FC-106 - Acres.jpg</t>
  </si>
  <si>
    <t>FC-47872 - Bel Air</t>
  </si>
  <si>
    <t>s-oak#FC-47872 - Bel Air.jpg</t>
  </si>
  <si>
    <t>FC-226 - Coffee</t>
  </si>
  <si>
    <t>s-oak#FC-226 - Coffee.jpg</t>
  </si>
  <si>
    <t>FC-11047 - Ebony</t>
  </si>
  <si>
    <t>s-oak#FC-11047 - Ebony.jpg</t>
  </si>
  <si>
    <t>FC-47871 - Gray Flannel</t>
  </si>
  <si>
    <t>s-oak#FC-47871 - Gray Flannel.jpg</t>
  </si>
  <si>
    <t>FC-N3030 - Kona</t>
  </si>
  <si>
    <t>s-oak#FC-N3030 - Kona.jpg</t>
  </si>
  <si>
    <t>FC-N3176 - Malaguania</t>
  </si>
  <si>
    <t>s-oak#FC-N3176 - Malaguania.jpg</t>
  </si>
  <si>
    <t>FC-N3173 - New Carrington</t>
  </si>
  <si>
    <t>s-oak#FC-N3173 - New Carrington.jpg</t>
  </si>
  <si>
    <t>FC-230 - Onyx</t>
  </si>
  <si>
    <t>s-oak#FC-230 - Onyx.jpg</t>
  </si>
  <si>
    <t>FC-12032 - Pewter</t>
  </si>
  <si>
    <t>s-oak#FC-12032 - Pewter.jpg</t>
  </si>
  <si>
    <t>FC-228 - Rich Tobacco</t>
  </si>
  <si>
    <t>s-oak#FC-228 - Rich Tobacco.jpg</t>
  </si>
  <si>
    <t>FC-10759 - Saddle</t>
  </si>
  <si>
    <t>s-oak#FC-10759 - Saddle.jpg</t>
  </si>
  <si>
    <t>FC-20004 - Sealy</t>
  </si>
  <si>
    <t>s-oak#FC-20004 - Sealy.jpg</t>
  </si>
  <si>
    <t>FC-N3031 Tawny</t>
  </si>
  <si>
    <t>s-oak#FC-N3031 Tawny.jpg</t>
  </si>
  <si>
    <t>FC-12010 - Wheat</t>
  </si>
  <si>
    <t>s-oak#FC-12010 - Wheat.jpg</t>
  </si>
  <si>
    <t>s-maple</t>
  </si>
  <si>
    <t>OCS - 100 NATURAL.jpg</t>
  </si>
  <si>
    <t>s-maple#OCS - 100 NATURAL.jpg</t>
  </si>
  <si>
    <t>OCS - 101 S-2.jpg</t>
  </si>
  <si>
    <t>s-maple#OCS - 101 S-2.jpg</t>
  </si>
  <si>
    <t>OCS - 102 FRUITWOOD.jpg</t>
  </si>
  <si>
    <t>s-maple#OCS - 102 FRUITWOOD.jpg</t>
  </si>
  <si>
    <t>OCS - 103 M-X.jpg</t>
  </si>
  <si>
    <t>s-maple#OCS - 103 M-X.jpg</t>
  </si>
  <si>
    <t>OCS - 104 SEELY.jpg</t>
  </si>
  <si>
    <t>s-maple#OCS - 104 SEELY.jpg</t>
  </si>
  <si>
    <t>OCS - 106 ACRES.jpg</t>
  </si>
  <si>
    <t>s-maple#OCS - 106 ACRES.jpg</t>
  </si>
  <si>
    <t>OCS - 107 WASHINGTON.jpg</t>
  </si>
  <si>
    <t>s-maple#OCS - 107 WASHINGTON.jpg</t>
  </si>
  <si>
    <t>OCS - 110 MEDIUM.jpg</t>
  </si>
  <si>
    <t>s-maple#OCS - 110 MEDIUM.jpg</t>
  </si>
  <si>
    <t>OCS - 111 BOSTON.jpg</t>
  </si>
  <si>
    <t>s-maple#OCS - 111 BOSTON.jpg</t>
  </si>
  <si>
    <t>OCS - 112 PROVINCIAL.jpg</t>
  </si>
  <si>
    <t>s-maple#OCS - 112 PROVINCIAL.jpg</t>
  </si>
  <si>
    <t>OCS - 113 MICHAEL'S.jpg</t>
  </si>
  <si>
    <t>s-maple#OCS - 113 MICHAEL'S.jpg</t>
  </si>
  <si>
    <t>OCS - 116 HARVEST.jpg</t>
  </si>
  <si>
    <t>s-maple#OCS - 116 HARVEST.jpg</t>
  </si>
  <si>
    <t>OCS - 117 ASBURY.jpg</t>
  </si>
  <si>
    <t>s-maple#OCS - 117 ASBURY.jpg</t>
  </si>
  <si>
    <t>OCS - 118 ANTIQUE SLATE.jpg</t>
  </si>
  <si>
    <t>s-maple#OCS - 118 ANTIQUE SLATE.jpg</t>
  </si>
  <si>
    <t>OCS - 119 CAPPUCCINO BROWN MAPLE.jpg</t>
  </si>
  <si>
    <t>s-maple#OCS - 119 CAPPUCCINO BROWN MAPLE.jpg</t>
  </si>
  <si>
    <t>OCS - 121 SMOKE.jpg</t>
  </si>
  <si>
    <t>s-maple#OCS - 121 SMOKE.jpg</t>
  </si>
  <si>
    <t>OCS - 122 COCOA.jpg</t>
  </si>
  <si>
    <t>s-maple#OCS - 122 COCOA.jpg</t>
  </si>
  <si>
    <t>OCS - 131 FROST.jpg</t>
  </si>
  <si>
    <t>s-maple#OCS - 131 FROST.jpg</t>
  </si>
  <si>
    <t>OCS - 132 SAND.jpg</t>
  </si>
  <si>
    <t>s-maple#OCS - 132 SAND.jpg</t>
  </si>
  <si>
    <t>OCS - 133 TUNDRA.jpg</t>
  </si>
  <si>
    <t>s-maple#OCS - 133 TUNDRA.jpg</t>
  </si>
  <si>
    <t>OCS - 135 DRIFTWOOD.jpg</t>
  </si>
  <si>
    <t>s-maple#OCS - 135 DRIFTWOOD.jpg</t>
  </si>
  <si>
    <t>OCS - 226 COFFEE.jpg</t>
  </si>
  <si>
    <t>s-maple#OCS - 226 COFFEE.jpg</t>
  </si>
  <si>
    <t>OCS - 227 RICH CHERRY.jpg</t>
  </si>
  <si>
    <t>s-maple#OCS - 227 RICH CHERRY.jpg</t>
  </si>
  <si>
    <t>OCS - 228 RICH TOBACCO.jpg</t>
  </si>
  <si>
    <t>s-maple#OCS - 228 RICH TOBACCO.jpg</t>
  </si>
  <si>
    <t>OCS - 230 ONYX.jpg</t>
  </si>
  <si>
    <t>s-maple#OCS - 230 ONYX.jpg</t>
  </si>
  <si>
    <t>s-maple#FC-106 - Acres.jpg</t>
  </si>
  <si>
    <t>FC-7992 - Asbury</t>
  </si>
  <si>
    <t>s-maple#FC-7992 - Asbury.jpg</t>
  </si>
  <si>
    <t>s-maple#FC-47872 - Bel Air.jpg</t>
  </si>
  <si>
    <t>FC-9090 - Chocolate Spice</t>
  </si>
  <si>
    <t>s-maple#FC-9090 - Chocolate Spice.jpg</t>
  </si>
  <si>
    <t>s-maple#FC-226 - Coffee.jpg</t>
  </si>
  <si>
    <t>FC-19093 - Dark Knight</t>
  </si>
  <si>
    <t>s-maple#FC-19093 - Dark Knight.jpg</t>
  </si>
  <si>
    <t>s-maple#FC-47871 - Gray Flannel.jpg</t>
  </si>
  <si>
    <t>s-maple#FC-N3030 - Kona.jpg</t>
  </si>
  <si>
    <t>s-maple#FC-N3176 - Malaguania.jpg</t>
  </si>
  <si>
    <t>s-maple#FC-N3173 - New Carrington.jpg</t>
  </si>
  <si>
    <t>FC-1206 - Nutmeg</t>
  </si>
  <si>
    <t>s-maple#FC-1206 - Nutmeg.jpg</t>
  </si>
  <si>
    <t>s-maple#FC-230 - Onyx.jpg</t>
  </si>
  <si>
    <t>s-maple#FC-228 - Rich Tobacco.jpg</t>
  </si>
  <si>
    <t>s-maple#FC-20004 - Sealy.jpg</t>
  </si>
  <si>
    <t>FC-47874 - Stockton</t>
  </si>
  <si>
    <t>s-maple#FC-47874 - Stockton.jpg</t>
  </si>
  <si>
    <t>s-maple#FC-12010 - Wheat.jpg</t>
  </si>
  <si>
    <t>OCS - Natural</t>
  </si>
  <si>
    <t>OCS - 101 S-2</t>
  </si>
  <si>
    <t>OCS - 102 FRUITWOOD</t>
  </si>
  <si>
    <t>OCS - 103 MX</t>
  </si>
  <si>
    <t>OCS - 104 SEELY</t>
  </si>
  <si>
    <t>OCS - 106 ACRES</t>
  </si>
  <si>
    <t>OCS - 107 WASHINGTON</t>
  </si>
  <si>
    <t>OCS - 110 MEDIUM</t>
  </si>
  <si>
    <t>OCS - 111 BOSTON</t>
  </si>
  <si>
    <t>OCS - 112 PROVINCIAL</t>
  </si>
  <si>
    <t>OCS - 113 MICHAEL'S</t>
  </si>
  <si>
    <t>OCS - 116 HARVEST</t>
  </si>
  <si>
    <t>OCS -117 ASBURY</t>
  </si>
  <si>
    <t>OCS - 118 ANTIQUE SLATE</t>
  </si>
  <si>
    <t>OCS - 119 CAPPUCCINO</t>
  </si>
  <si>
    <t>OCS - 121 SMOKE</t>
  </si>
  <si>
    <t>OCS - 122 COCOA</t>
  </si>
  <si>
    <t>OCS - 131 FROST</t>
  </si>
  <si>
    <t>OCS - 132 SAND</t>
  </si>
  <si>
    <t>OCS - 133 TUNDRA</t>
  </si>
  <si>
    <t>OCS - 135 DRIFTWOOD</t>
  </si>
  <si>
    <t>OCS - 226 COFFEE</t>
  </si>
  <si>
    <t>OCS - 227 RICH CHERRY</t>
  </si>
  <si>
    <t>OCS - 228 RICH TOBACCO</t>
  </si>
  <si>
    <t>OCS 230- -ONYX</t>
  </si>
  <si>
    <t>s-cherry#FC-106 - Acres.jpg</t>
  </si>
  <si>
    <t>FC-12108 - Baywood</t>
  </si>
  <si>
    <t>s-cherry#FC-12108 - Baywood.jpg</t>
  </si>
  <si>
    <t>FC-47873 - Blackened Mocha</t>
  </si>
  <si>
    <t>s-cherry#FC-47873 - Blackened Mocha.jpg</t>
  </si>
  <si>
    <t>FC-104 - Chestnut</t>
  </si>
  <si>
    <t>s-cherry#FC-104 - Chestnut.jpg</t>
  </si>
  <si>
    <t>s-cherry#FC-9090 - Chocolate Spice.jpg</t>
  </si>
  <si>
    <t>s-cherry#FC-226 - Coffee.jpg</t>
  </si>
  <si>
    <t>FC-48107 - Cotswold</t>
  </si>
  <si>
    <t>s-cherry#FC-48107 - Cotswold.jpg</t>
  </si>
  <si>
    <t>s-cherry#FC-11047 - Ebony.jpg</t>
  </si>
  <si>
    <t>s-cherry#FC-N3030 - Kona.jpg</t>
  </si>
  <si>
    <t>s-cherry#FC-N3176 - Malaguania.jpg</t>
  </si>
  <si>
    <t>s-cherry#FC-N3173 - New Carrington.jpg</t>
  </si>
  <si>
    <t>s-cherry#FC-228 - Rich Tobacco.jpg</t>
  </si>
  <si>
    <t>s-cherry#FC-10759 - Saddle.jpg</t>
  </si>
  <si>
    <t>s-cherry#FC-20004 - Sealy.jpg</t>
  </si>
  <si>
    <t>s-cherry#FC-N3031 Tawny.jpg</t>
  </si>
  <si>
    <t>FC-6321 - Windsor</t>
  </si>
  <si>
    <t>s-cherry#FC-6321 - Windsor.jpg</t>
  </si>
  <si>
    <t>OCS - 113 MICHAEL'S CHERRY.jpg</t>
  </si>
  <si>
    <t>OCS - 119 CAPPUCCIN.jpg</t>
  </si>
  <si>
    <t>s-QSWO#FC-7992 - Asbury.jpg</t>
  </si>
  <si>
    <t>FC-15743 - Briar</t>
  </si>
  <si>
    <t>s-QSWO#FC-15743 - Briar.jpg</t>
  </si>
  <si>
    <t>FC-7695 - Copper</t>
  </si>
  <si>
    <t>s-QSWO#FC-7695 - Copper.jpg</t>
  </si>
  <si>
    <t>s-QSWO#FC-19093 - Dark Knight.jpg</t>
  </si>
  <si>
    <t>FC-11434 - Driftwood</t>
  </si>
  <si>
    <t>s-QSWO#FC-11434 - Driftwood.jpg</t>
  </si>
  <si>
    <t>FC-10901 - Golden Brown</t>
  </si>
  <si>
    <t>s-QSWO#FC-10901 - Golden Brown.jpg</t>
  </si>
  <si>
    <t>FC-9018 Lite Asbury</t>
  </si>
  <si>
    <t>s-QSWO#FC-9018 Lite Asbury.jpg</t>
  </si>
  <si>
    <t>FC-113 - Michael's Cherry</t>
  </si>
  <si>
    <t>s-QSWO#FC-113 - Michael's Cherry.jpg</t>
  </si>
  <si>
    <t>s-QSWO#FC-N3176 - Malaguania.jpg</t>
  </si>
  <si>
    <t>s-QSWO#FC-230 - Onyx.jpg</t>
  </si>
  <si>
    <t>s-QSWO#FC-20004 - Sealy.jpg</t>
  </si>
  <si>
    <t>FC-7134 - Sierra</t>
  </si>
  <si>
    <t>s-QSWO#FC-7134 - Sierra.jpg</t>
  </si>
  <si>
    <t>FC-15659 - Smokehouse</t>
  </si>
  <si>
    <t>s-QSWO#FC-15659 - Smokehouse.jpg</t>
  </si>
  <si>
    <t>FC-40323 - Storm Gray</t>
  </si>
  <si>
    <t>s-QSWO#FC-40323 - Storm Gray.jpg</t>
  </si>
  <si>
    <t>FC-7136 - Tanbark</t>
  </si>
  <si>
    <t>s-QSWO#FC-7136 - Tanbark.jpg</t>
  </si>
  <si>
    <t>FC-10944 - Tavern</t>
  </si>
  <si>
    <t>s-QSWO#FC-10944 - Tavern.jpg</t>
  </si>
  <si>
    <t>FC-12093 - Tea</t>
  </si>
  <si>
    <t>s-QSWO#FC-12093 - Tea.jpg</t>
  </si>
  <si>
    <t>OCS - 111 S2.jpg</t>
  </si>
  <si>
    <t>s-hickory#OCS - 111 S2.jpg</t>
  </si>
  <si>
    <t>OCS - 119 CAPPUCCINO.jpg</t>
  </si>
  <si>
    <t>Special Ordered Sample</t>
  </si>
  <si>
    <t>6#Special Ordered Sample.jpg</t>
  </si>
  <si>
    <t>7#Special Ordered Sample.jpg</t>
  </si>
  <si>
    <t>s-rustic-cherry#OCS100 - Natural.jpg</t>
  </si>
  <si>
    <t>s-rustic-cherry#OCS101 - S-2.jpg</t>
  </si>
  <si>
    <t>s-rustic-cherry#OCS102 - Fruitwood.jpg</t>
  </si>
  <si>
    <t>s-rustic-cherry#OCS103 - MX.jpg</t>
  </si>
  <si>
    <t>s-rustic-cherry#OCS104 - Seely.jpg</t>
  </si>
  <si>
    <t>s-rustic-cherry#OCS106 - Acres.jpg</t>
  </si>
  <si>
    <t>s-rustic-cherry#OCS107 - Washington Cherry.jpg</t>
  </si>
  <si>
    <t>s-rustic-cherry#OCS110 - Medium.jpg</t>
  </si>
  <si>
    <t>s-rustic-cherry#OCS111 - Boston.jpg</t>
  </si>
  <si>
    <t>s-rustic-cherry#OCS112 - Provincial.jpg</t>
  </si>
  <si>
    <t>OCS113 - Michael's Cherry</t>
  </si>
  <si>
    <t>s-rustic-cherry#OCS113 - Michael's Cherry.jpg</t>
  </si>
  <si>
    <t>s-rustic-cherry#OCS116 - Harvest.jpg</t>
  </si>
  <si>
    <t>s-rustic-cherry#OCS117 - Asbury.jpg</t>
  </si>
  <si>
    <t>s-rustic-cherry#OCS118 - Antique Slate.jpg</t>
  </si>
  <si>
    <t>s-rustic-cherry#OCS119 - Cappuccino.jpg</t>
  </si>
  <si>
    <t>s-rustic-cherry#OCS121 - Smoke.jpg</t>
  </si>
  <si>
    <t>s-rustic-cherry#OCS122 - Cocoa.jpg</t>
  </si>
  <si>
    <t>s-rustic-cherry#OCS131 - Frost.jpg</t>
  </si>
  <si>
    <t>s-rustic-cherry#OCS132 - Sand.jpg</t>
  </si>
  <si>
    <t>s-rustic-cherry#OCS133 - Tundra.jpg</t>
  </si>
  <si>
    <t>s-rustic-cherry#OCS135 - Driftwood.jpg</t>
  </si>
  <si>
    <t>s-rustic-cherry#OCS226 - Coffee.jpg</t>
  </si>
  <si>
    <t>s-rustic-cherry#OCS227 - Rich Cherry.jpg</t>
  </si>
  <si>
    <t>s-rustic-cherry#OCS228 - Rich Tobacco.jpg</t>
  </si>
  <si>
    <t>s-rustic-cherry#OCS230 - Onyx.jpg</t>
  </si>
  <si>
    <t>s-rustic-cherry#FC-106 - Acres.jpg</t>
  </si>
  <si>
    <t>s-rustic-cherry#FC-12108 - Baywood.jpg</t>
  </si>
  <si>
    <t>s-rustic-cherry#FC-47873 - Blackened Mocha.jpg</t>
  </si>
  <si>
    <t>s-rustic-cherry#FC-104 - Chestnut.jpg</t>
  </si>
  <si>
    <t>s-rustic-cherry#FC-9090 - Chocolate Spice.jpg</t>
  </si>
  <si>
    <t>s-rustic-cherry#FC-226 - Coffee.jpg</t>
  </si>
  <si>
    <t>s-rustic-cherry#FC-48107 - Cotswold.jpg</t>
  </si>
  <si>
    <t>s-rustic-cherry#FC-11047 - Ebony.jpg</t>
  </si>
  <si>
    <t>s-rustic-cherry#FC-N3030 - Kona.jpg</t>
  </si>
  <si>
    <t>s-rustic-cherry#FC-N3176 - Malaguania.jpg</t>
  </si>
  <si>
    <t>s-rustic-cherry#FC-N3173 - New Carrington.jpg</t>
  </si>
  <si>
    <t>s-rustic-cherry#FC-228 - Rich Tobacco.jpg</t>
  </si>
  <si>
    <t>s-rustic-cherry#FC-10759 - Saddle.jpg</t>
  </si>
  <si>
    <t>s-rustic-cherry#FC-20004 - Sealy.jpg</t>
  </si>
  <si>
    <t>s-rustic-cherry#FC-N3031 Tawny.jpg</t>
  </si>
  <si>
    <t>s-rustic-cherry#FC-6321 - Windsor.jpg</t>
  </si>
  <si>
    <t>9#Special Ordered Sample.jpg</t>
  </si>
  <si>
    <t>s-rustic-hickory</t>
  </si>
  <si>
    <t>s-rustic-hickory#OCS100 - Natural.jpg</t>
  </si>
  <si>
    <t>s-rustic-hickory#OCS101 - S-2.jpg</t>
  </si>
  <si>
    <t>s-rustic-hickory#OCS102 - Fruitwood.jpg</t>
  </si>
  <si>
    <t>s-rustic-hickory#OCS103 - MX.jpg</t>
  </si>
  <si>
    <t>s-rustic-hickory#OCS104 - Seely.jpg</t>
  </si>
  <si>
    <t>s-rustic-hickory#OCS106 - Acres.jpg</t>
  </si>
  <si>
    <t>s-rustic-hickory#OCS107 - Washington Cherry.jpg</t>
  </si>
  <si>
    <t>s-rustic-hickory#OCS110 - Medium.jpg</t>
  </si>
  <si>
    <t>s-rustic-hickory#OCS111 - Boston.jpg</t>
  </si>
  <si>
    <t>s-rustic-hickory#OCS112 - Provincial.jpg</t>
  </si>
  <si>
    <t>s-rustic-hickory#OCS113 - Michael's Cherry.jpg</t>
  </si>
  <si>
    <t>s-rustic-hickory#OCS116 - Harvest.jpg</t>
  </si>
  <si>
    <t>s-rustic-hickory#OCS117 - Asbury.jpg</t>
  </si>
  <si>
    <t>s-rustic-hickory#OCS118 - Antique Slate.jpg</t>
  </si>
  <si>
    <t>s-rustic-hickory#OCS119 - Cappuccino.jpg</t>
  </si>
  <si>
    <t>s-rustic-hickory#OCS121 - Smoke.jpg</t>
  </si>
  <si>
    <t>s-rustic-hickory#OCS122 - Cocoa.jpg</t>
  </si>
  <si>
    <t>s-rustic-hickory#OCS131 - Frost.jpg</t>
  </si>
  <si>
    <t>s-rustic-hickory#OCS132 - Sand.jpg</t>
  </si>
  <si>
    <t>s-rustic-hickory#OCS133 - Tundra.jpg</t>
  </si>
  <si>
    <t>s-rustic-hickory#OCS135 - Driftwood.jpg</t>
  </si>
  <si>
    <t>s-rustic-hickory#OCS226 - Coffee.jpg</t>
  </si>
  <si>
    <t>s-rustic-hickory#OCS227 - Rich Cherry.jpg</t>
  </si>
  <si>
    <t>s-rustic-hickory#OCS228 - Rich Tobacco.jpg</t>
  </si>
  <si>
    <t>s-rustic-hickory#OCS230 - Onyx.jpg</t>
  </si>
  <si>
    <t>s-rustic-hickory#FC-11725 - Acorn.jpg</t>
  </si>
  <si>
    <t>11#Special Ordered Sample.jpg</t>
  </si>
  <si>
    <t>12#Special Ordered Sample.jpg</t>
  </si>
  <si>
    <t>s-rustic-QSWO</t>
  </si>
  <si>
    <t>s-rustic-QSWO#OCS100 - Natural.jpg</t>
  </si>
  <si>
    <t>s-rustic-QSWO#OCS101 - S-2.jpg</t>
  </si>
  <si>
    <t>s-rustic-QSWO#OCS102 - Fruitwood.jpg</t>
  </si>
  <si>
    <t>s-rustic-QSWO#OCS103 - MX.jpg</t>
  </si>
  <si>
    <t>s-rustic-QSWO#OCS104 - Seely.jpg</t>
  </si>
  <si>
    <t>s-rustic-QSWO#OCS106 - Acres.jpg</t>
  </si>
  <si>
    <t>s-rustic-QSWO#OCS107 - Washington Cherry.jpg</t>
  </si>
  <si>
    <t>s-rustic-QSWO#OCS110 - Medium.jpg</t>
  </si>
  <si>
    <t>s-rustic-QSWO#OCS111 - Boston.jpg</t>
  </si>
  <si>
    <t>s-rustic-QSWO#OCS112 - Provincial.jpg</t>
  </si>
  <si>
    <t>s-rustic-QSWO#OCS113 - Michael's Cherry.jpg</t>
  </si>
  <si>
    <t>s-rustic-QSWO#OCS116 - Harvest.jpg</t>
  </si>
  <si>
    <t>s-rustic-QSWO#OCS117 - Asbury.jpg</t>
  </si>
  <si>
    <t>s-rustic-QSWO#OCS118 - Antique Slate.jpg</t>
  </si>
  <si>
    <t>s-rustic-QSWO#OCS119 - Cappuccino.jpg</t>
  </si>
  <si>
    <t>s-rustic-QSWO#OCS121 - Smoke.jpg</t>
  </si>
  <si>
    <t>s-rustic-QSWO#OCS122 - Cocoa.jpg</t>
  </si>
  <si>
    <t>s-rustic-QSWO#OCS131 - Frost.jpg</t>
  </si>
  <si>
    <t>s-rustic-QSWO#OCS132 - Sand.jpg</t>
  </si>
  <si>
    <t>s-rustic-QSWO#OCS133 - Tundra.jpg</t>
  </si>
  <si>
    <t>s-rustic-QSWO#OCS135 - Driftwood.jpg</t>
  </si>
  <si>
    <t>s-rustic-QSWO#OCS226 - Coffee.jpg</t>
  </si>
  <si>
    <t>s-rustic-QSWO#OCS227 - Rich Cherry.jpg</t>
  </si>
  <si>
    <t>s-rustic-QSWO#OCS228 - Rich Tobacco.jpg</t>
  </si>
  <si>
    <t>s-rustic-QSWO#OCS230 - Onyx.jpg</t>
  </si>
  <si>
    <t>s-rustic-QSWO#FC-7992 - Asbury.jpg</t>
  </si>
  <si>
    <t>s-rustic-QSWO#FC-15743 - Briar.jpg</t>
  </si>
  <si>
    <t>s-rustic-QSWO#FC-7695 - Copper.jpg</t>
  </si>
  <si>
    <t>s-rustic-QSWO#FC-19093 - Dark Knight.jpg</t>
  </si>
  <si>
    <t>s-rustic-QSWO#FC-11434 - Driftwood.jpg</t>
  </si>
  <si>
    <t>s-rustic-QSWO#FC-10901 - Golden Brown.jpg</t>
  </si>
  <si>
    <t>s-rustic-QSWO#FC-9018 Lite Asbury.jpg</t>
  </si>
  <si>
    <t>s-rustic-QSWO#FC-113 - Michael's Cherry.jpg</t>
  </si>
  <si>
    <t>s-rustic-QSWO#FC-N3176 - Malaguania.jpg</t>
  </si>
  <si>
    <t>s-rustic-QSWO#FC-230 - Onyx.jpg</t>
  </si>
  <si>
    <t>s-rustic-QSWO#FC-20004 - Sealy.jpg</t>
  </si>
  <si>
    <t>s-rustic-QSWO#FC-7134 - Sierra.jpg</t>
  </si>
  <si>
    <t>s-rustic-QSWO#FC-15659 - Smokehouse.jpg</t>
  </si>
  <si>
    <t>s-rustic-QSWO#FC-40323 - Storm Gray.jpg</t>
  </si>
  <si>
    <t>s-rustic-QSWO#FC-7136 - Tanbark.jpg</t>
  </si>
  <si>
    <t>s-rustic-QSWO#FC-10944 - Tavern.jpg</t>
  </si>
  <si>
    <t>s-rustic-QSWO#FC-12093 - Tea.jpg</t>
  </si>
  <si>
    <t>14#Special Ordered Sample.jpg</t>
  </si>
  <si>
    <t>15#Special Ordered Sample.jpg</t>
  </si>
  <si>
    <t>16#Special Ordered Sample.jpg</t>
  </si>
  <si>
    <t>Reclaimed Oak</t>
  </si>
  <si>
    <t>P1</t>
  </si>
  <si>
    <t>P1#Black.jpg</t>
  </si>
  <si>
    <t>Burgandy</t>
  </si>
  <si>
    <t>P1#Burgandy.jpg</t>
  </si>
  <si>
    <t>P1#Cedar.jpg</t>
  </si>
  <si>
    <t>P1#Chocolate Brown.jpg</t>
  </si>
  <si>
    <t>Green</t>
  </si>
  <si>
    <t>P1#Green.jpg</t>
  </si>
  <si>
    <t>P1#Light Gray.jpg</t>
  </si>
  <si>
    <t>P1#Navy Blue.jpg</t>
  </si>
  <si>
    <t>P1#Smoke Gray.jpg</t>
  </si>
  <si>
    <t>P1#Weatherwood.jpg</t>
  </si>
  <si>
    <t>P1#White.jpg</t>
  </si>
  <si>
    <t>P1#Aruba Blue.jpg</t>
  </si>
  <si>
    <t>P1#Kiwi Green.jpg</t>
  </si>
  <si>
    <t>P1#Mango Orange.jpg</t>
  </si>
  <si>
    <t>P1#Pacific Blue.jpg</t>
  </si>
  <si>
    <t>P1#Scarlet Red.jpg</t>
  </si>
  <si>
    <t>Suburst Yellow</t>
  </si>
  <si>
    <t>P1#Suburst Yellow.jpg</t>
  </si>
  <si>
    <t>P2</t>
  </si>
  <si>
    <t>P2#Antique Mahogany.jpg</t>
  </si>
  <si>
    <t>P2#Brazilian Walnut.jpg</t>
  </si>
  <si>
    <t>P2#Coastal Gray.jpg</t>
  </si>
  <si>
    <t>P2#Driftwood Gray.jpg</t>
  </si>
  <si>
    <t>P2#Natural Teak.jpg</t>
  </si>
  <si>
    <t>P2#Seashell.jpg</t>
  </si>
  <si>
    <t>P3</t>
  </si>
  <si>
    <t>Berry</t>
  </si>
  <si>
    <t>P3#Berry.jpg</t>
  </si>
  <si>
    <t>P3#Clay.jpg</t>
  </si>
  <si>
    <t>P3#Graphite.jpg</t>
  </si>
  <si>
    <t>Fog</t>
  </si>
  <si>
    <t>P3#Fog.jpg</t>
  </si>
  <si>
    <t>P3#Matte Black.jpg</t>
  </si>
  <si>
    <t>Matte White</t>
  </si>
  <si>
    <t>P3#Matte White.jpg</t>
  </si>
  <si>
    <t>Mint</t>
  </si>
  <si>
    <t>P3#Mint.jpg</t>
  </si>
  <si>
    <t>P3#Red.jpg</t>
  </si>
  <si>
    <t>Teal</t>
  </si>
  <si>
    <t>P3#Teal.jpg</t>
  </si>
  <si>
    <t>PC1</t>
  </si>
  <si>
    <t>Array Dune*</t>
  </si>
  <si>
    <t>PC1#Array Dune*.jpg</t>
  </si>
  <si>
    <t>Array-Dune_145654-0001.jpg</t>
  </si>
  <si>
    <t>PB1</t>
  </si>
  <si>
    <t>Bahia Brick</t>
  </si>
  <si>
    <t>PB1#Bahia Brick.jpg</t>
  </si>
  <si>
    <t>Bahia Brick.jpg</t>
  </si>
  <si>
    <t>Bahia Mist</t>
  </si>
  <si>
    <t>PB1#Bahia Mist.jpg</t>
  </si>
  <si>
    <t>Bahia Mist.jpg</t>
  </si>
  <si>
    <t>Bahia Saffron</t>
  </si>
  <si>
    <t>PB1#Bahia Saffron.jpg</t>
  </si>
  <si>
    <t>Bahia Saffron.jpg</t>
  </si>
  <si>
    <t>PA1</t>
  </si>
  <si>
    <t>Bandeau Glass*</t>
  </si>
  <si>
    <t>PA1#Bandeau Glass*.jpg</t>
  </si>
  <si>
    <t>Bandeau Mineral*</t>
  </si>
  <si>
    <t>PA1#Bandeau Mineral*.jpg</t>
  </si>
  <si>
    <t>PA1#Beckon Ice.jpg</t>
  </si>
  <si>
    <t>Bennett Salt*</t>
  </si>
  <si>
    <t>PA1#Bennett Salt*.jpg</t>
  </si>
  <si>
    <t>Berenson Tuxedo</t>
  </si>
  <si>
    <t>PA1#Berenson Tuxedo.jpg</t>
  </si>
  <si>
    <t>Berenson-Tuxedo_8521-0000.jpg</t>
  </si>
  <si>
    <t>BG Stripe Tropical</t>
  </si>
  <si>
    <t>PA1#BG Stripe Tropical.jpg</t>
  </si>
  <si>
    <t>Berlin Gardens Tropical.jpg</t>
  </si>
  <si>
    <t>PB1#Blend Coal.jpg</t>
  </si>
  <si>
    <t>Blend Coal.jpg</t>
  </si>
  <si>
    <t>PB1#Blend Linen.jpg</t>
  </si>
  <si>
    <t>Blend Linen.jpg</t>
  </si>
  <si>
    <t>PB1#Blend Sand.jpg</t>
  </si>
  <si>
    <t>Blend Sand.jpg</t>
  </si>
  <si>
    <t>PA1#Bluepoint Flax.jpg</t>
  </si>
  <si>
    <t>Blueprint Cement</t>
  </si>
  <si>
    <t>PA1#Blueprint Cement.jpg</t>
  </si>
  <si>
    <t>PA1#Brannon Redwood.jpg</t>
  </si>
  <si>
    <t>Brannon-Redwood_5612-0000.jpg</t>
  </si>
  <si>
    <t>PD1</t>
  </si>
  <si>
    <t>Brannon Redwood**</t>
  </si>
  <si>
    <t>PD1#Brannon Redwood**.jpg</t>
  </si>
  <si>
    <t>Brightside Cherry</t>
  </si>
  <si>
    <t>PA1#Brightside Cherry.jpg</t>
  </si>
  <si>
    <t>Brightside Dark</t>
  </si>
  <si>
    <t>PA1#Brightside Dark.jpg</t>
  </si>
  <si>
    <t>PA1#Brightside Ice.jpg</t>
  </si>
  <si>
    <t>PA1#Brightside Mushroom.jpg</t>
  </si>
  <si>
    <t>Brightside Suncloud</t>
  </si>
  <si>
    <t>PA1#Brightside Suncloud.jpg</t>
  </si>
  <si>
    <t>Calm Graphite*</t>
  </si>
  <si>
    <t>PB1#Calm Graphite*.jpg</t>
  </si>
  <si>
    <t>Calm-Graphite.jpg</t>
  </si>
  <si>
    <t>Calm Laurel*</t>
  </si>
  <si>
    <t>PB1#Calm Laurel*.jpg</t>
  </si>
  <si>
    <t>Calm-Laurel.jpg</t>
  </si>
  <si>
    <t>PA1#Canvas Aruba.jpg</t>
  </si>
  <si>
    <t>Canvas Aruba_5416-0000.jpg</t>
  </si>
  <si>
    <t>PA1#Canvas Black.jpg</t>
  </si>
  <si>
    <t>Canvas Black_5408-0000.jpg</t>
  </si>
  <si>
    <t>PA1#Canvas Capri.jpg</t>
  </si>
  <si>
    <t>Canvas Capri_5426-0000.jpg</t>
  </si>
  <si>
    <t>Canvas Ginko</t>
  </si>
  <si>
    <t>PA1#Canvas Ginko.jpg</t>
  </si>
  <si>
    <t>Canvas Ginkgo_54011-0000.jpg</t>
  </si>
  <si>
    <t>PA1#Canvas Granite.jpg</t>
  </si>
  <si>
    <t>Canvas Granite_5402-0000.jpg</t>
  </si>
  <si>
    <t>Canvas Granite**</t>
  </si>
  <si>
    <t>PD1#Canvas Granite**.jpg</t>
  </si>
  <si>
    <t>PA1#Canvas Heather Beige.jpg</t>
  </si>
  <si>
    <t>Canvas Heather Beige_5476-0000.jpg</t>
  </si>
  <si>
    <t>Canvas Heather Beige**</t>
  </si>
  <si>
    <t>PD1#Canvas Heather Beige**.jpg</t>
  </si>
  <si>
    <t>PA1#Canvas Henna.jpg</t>
  </si>
  <si>
    <t>Canvas Henna.jpg</t>
  </si>
  <si>
    <t>PA1#Canvas Jockey Red.jpg</t>
  </si>
  <si>
    <t>Canvas Jockey Red_5403-0000.jpg</t>
  </si>
  <si>
    <t>PA1#Canvas Natural.jpg</t>
  </si>
  <si>
    <t>Canvas Natural_5404-0000.jpg</t>
  </si>
  <si>
    <t>PA1#Canvas Navy.jpg</t>
  </si>
  <si>
    <t>Canvas Navy_5439-0000.jpg</t>
  </si>
  <si>
    <t>Canvas Navy**</t>
  </si>
  <si>
    <t>PD1#Canvas Navy**.jpg</t>
  </si>
  <si>
    <t>Canvas Seasalt</t>
  </si>
  <si>
    <t>PA1#Canvas Seasalt.jpg</t>
  </si>
  <si>
    <t>Canvas SeaSalt.jpg</t>
  </si>
  <si>
    <t>canvas Skyline</t>
  </si>
  <si>
    <t>PA1#canvas Skyline.jpg</t>
  </si>
  <si>
    <t>Canvas Skyline.JPG</t>
  </si>
  <si>
    <t>PA1#Canvas True Blue.jpg</t>
  </si>
  <si>
    <t>Canvas True Blue.jpeg</t>
  </si>
  <si>
    <t>Cast Coral</t>
  </si>
  <si>
    <t>PA1#Cast Coral.jpg</t>
  </si>
  <si>
    <t>Cast Coral.jpeg</t>
  </si>
  <si>
    <t>PA1#Cast Horizon.jpg</t>
  </si>
  <si>
    <t>Cast Horizon_48091-0000.jpg</t>
  </si>
  <si>
    <t>PA1#Cast Lagoon.jpg</t>
  </si>
  <si>
    <t>Cast Lagoon.jpg</t>
  </si>
  <si>
    <t>Cast Pebble</t>
  </si>
  <si>
    <t>PA1#Cast Pebble.jpg</t>
  </si>
  <si>
    <t>PA1#Cast Sage.jpg</t>
  </si>
  <si>
    <t>Cast Sage.jpg</t>
  </si>
  <si>
    <t>PA1#Cast Slate.jpg</t>
  </si>
  <si>
    <t>Cast Slate.jpg</t>
  </si>
  <si>
    <t>PA1#Cultivate Stone.jpg</t>
  </si>
  <si>
    <t>Cultivate-Stone_56107-0000.jpg</t>
  </si>
  <si>
    <t>Cultivate Stone**</t>
  </si>
  <si>
    <t>PD1#Cultivate Stone**.jpg</t>
  </si>
  <si>
    <t>Depth Indigo*</t>
  </si>
  <si>
    <t>PB1#Depth Indigo*.jpg</t>
  </si>
  <si>
    <t>Depth Indigo_16007-0002.jpg</t>
  </si>
  <si>
    <t>Dip Dye Checkadee*</t>
  </si>
  <si>
    <t>PB1#Dip Dye Checkadee*.jpg</t>
  </si>
  <si>
    <t>Dip Dye Chickadee.jpg</t>
  </si>
  <si>
    <t>PA1#Dolce Oasis.jpg</t>
  </si>
  <si>
    <t>Dolce-Oasis_56001-0000.jpg</t>
  </si>
  <si>
    <t>Dotz Linen*</t>
  </si>
  <si>
    <t>PA1#Dotz Linen*.jpg</t>
  </si>
  <si>
    <t>PA1#Dupione Celeste.jpg</t>
  </si>
  <si>
    <t>Dupione Celeste.png</t>
  </si>
  <si>
    <t>PA1#Dupione Deep Sea.jpg</t>
  </si>
  <si>
    <t>Dupione Deep Sea.jpg</t>
  </si>
  <si>
    <t>Gateway Indigo</t>
  </si>
  <si>
    <t>PA1#Gateway Indigo.jpg</t>
  </si>
  <si>
    <t>Gateway Indigo.JPG</t>
  </si>
  <si>
    <t>PA1#Gateway Mist.jpg</t>
  </si>
  <si>
    <t>Gateway-Mist.jpg</t>
  </si>
  <si>
    <t>Gateway Mist**</t>
  </si>
  <si>
    <t>PD1#Gateway Mist**.jpg</t>
  </si>
  <si>
    <t>PC1#Heritage Char.jpg</t>
  </si>
  <si>
    <t>Heritage Char.JPG</t>
  </si>
  <si>
    <t>Infused Gem*</t>
  </si>
  <si>
    <t>PC1#Infused Gem*.jpg</t>
  </si>
  <si>
    <t>Infused-Gem.jpg</t>
  </si>
  <si>
    <t>Iona Alabaster</t>
  </si>
  <si>
    <t>PB1#Iona Alabaster.jpg</t>
  </si>
  <si>
    <t>Iona Alabaster.jpg</t>
  </si>
  <si>
    <t>PB1#Iona Spa.jpg</t>
  </si>
  <si>
    <t>Iona Spa.jpg</t>
  </si>
  <si>
    <t>PB1#Lively Parchment.jpg</t>
  </si>
  <si>
    <t>Lively Parchment.JPG</t>
  </si>
  <si>
    <t>PB1#Lively Sage.jpg</t>
  </si>
  <si>
    <t>Lively Sage.JPG</t>
  </si>
  <si>
    <t>Marvel Cloud</t>
  </si>
  <si>
    <t>PA1#Marvel Cloud.jpg</t>
  </si>
  <si>
    <t>Marvel Cloud.JPG</t>
  </si>
  <si>
    <t>Marvel Indigo</t>
  </si>
  <si>
    <t>PA1#Marvel Indigo.jpg</t>
  </si>
  <si>
    <t>Marvel Indigo.JPG</t>
  </si>
  <si>
    <t>Marvel Sage</t>
  </si>
  <si>
    <t>PA1#Marvel Sage.jpg</t>
  </si>
  <si>
    <t>Marvel Sage.JPG</t>
  </si>
  <si>
    <t>PA1#Milano Char.jpg</t>
  </si>
  <si>
    <t>Milano Char.jpeg</t>
  </si>
  <si>
    <t>Nantucket Gray*</t>
  </si>
  <si>
    <t>PA1#Nantucket Gray*.jpg</t>
  </si>
  <si>
    <t>Nantucket Linen*</t>
  </si>
  <si>
    <t>PA1#Nantucket Linen*.jpg</t>
  </si>
  <si>
    <t>Nantucket Navy</t>
  </si>
  <si>
    <t>PA1#Nantucket Navy.jpg</t>
  </si>
  <si>
    <t>Nude Beach Sunny</t>
  </si>
  <si>
    <t>PA1#Nude Beach Sunny.jpg</t>
  </si>
  <si>
    <t>Nude Beach Teal</t>
  </si>
  <si>
    <t>PA1#Nude Beach Teal.jpg</t>
  </si>
  <si>
    <t>Nurture Charcoal</t>
  </si>
  <si>
    <t>PC1#Nurture Charcoal.jpg</t>
  </si>
  <si>
    <t>Nurture-Charcoal.jpg</t>
  </si>
  <si>
    <t>Nurture Haze</t>
  </si>
  <si>
    <t>PC1#Nurture Haze.jpg</t>
  </si>
  <si>
    <t>Nurture Haze.jpg</t>
  </si>
  <si>
    <t>Nurture Pebble</t>
  </si>
  <si>
    <t>PC1#Nurture Pebble.jpg</t>
  </si>
  <si>
    <t>Nurture Pebble.jpg</t>
  </si>
  <si>
    <t>Nurture Shale</t>
  </si>
  <si>
    <t>PC1#Nurture Shale.jpg</t>
  </si>
  <si>
    <t>Nurture Shale.jpg</t>
  </si>
  <si>
    <t>Nurture White</t>
  </si>
  <si>
    <t>PC1#Nurture White.jpg</t>
  </si>
  <si>
    <t>Nurture White.jpg</t>
  </si>
  <si>
    <t>Paradigm Stone</t>
  </si>
  <si>
    <t>PA1#Paradigm Stone.jpg</t>
  </si>
  <si>
    <t>Paradigm-Stone_40484-0001.jpg</t>
  </si>
  <si>
    <t>Pencil Cloud*</t>
  </si>
  <si>
    <t>PA1#Pencil Cloud*.jpg</t>
  </si>
  <si>
    <t>PA1#Peyton Granite.jpg</t>
  </si>
  <si>
    <t>Peyton-Granite_56075-0000.jpg</t>
  </si>
  <si>
    <t>Pique Coal*</t>
  </si>
  <si>
    <t>PB1#Pique Coal*.jpg</t>
  </si>
  <si>
    <t>Pique Coal.JPG</t>
  </si>
  <si>
    <t>Pique Gravel*</t>
  </si>
  <si>
    <t>PB1#Pique Gravel*.jpg</t>
  </si>
  <si>
    <t>Pique Gravel.jpg</t>
  </si>
  <si>
    <t>Pizzazz Fog</t>
  </si>
  <si>
    <t>PA1#Pizzazz Fog.jpg</t>
  </si>
  <si>
    <t>Pizzazz Jute</t>
  </si>
  <si>
    <t>PA1#Pizzazz Jute.jpg</t>
  </si>
  <si>
    <t>Pizzazz Sage</t>
  </si>
  <si>
    <t>PA1#Pizzazz Sage.jpg</t>
  </si>
  <si>
    <t>PB1#Ponder Spa.jpg</t>
  </si>
  <si>
    <t>Ponder Spa.jpg</t>
  </si>
  <si>
    <t>PA1#Remix Camel.jpg</t>
  </si>
  <si>
    <t>Remix Camel.JPG</t>
  </si>
  <si>
    <t>Remix Parchment</t>
  </si>
  <si>
    <t>PA1#Remix Parchment.jpg</t>
  </si>
  <si>
    <t>Remix Parchment.JPG</t>
  </si>
  <si>
    <t>PA1#Remix Silk.jpg</t>
  </si>
  <si>
    <t>Remix Silk.JPG</t>
  </si>
  <si>
    <t>PA1#Rumba Canvas.jpg</t>
  </si>
  <si>
    <t>PA1#Rumba Carbon.jpg</t>
  </si>
  <si>
    <t>PA1#Rumba Smoke.jpg</t>
  </si>
  <si>
    <t>PA1#Sail Away Aloe.jpg</t>
  </si>
  <si>
    <t>Sail Away Aloe.JPG</t>
  </si>
  <si>
    <t>Sailboat Navy*</t>
  </si>
  <si>
    <t>PA1#Sailboat Navy*.jpg</t>
  </si>
  <si>
    <t>PA1#Santos Khaki.jpg</t>
  </si>
  <si>
    <t>Santos Smoke</t>
  </si>
  <si>
    <t>PA1#Santos Smoke.jpg</t>
  </si>
  <si>
    <t>PA1#Spectrum Denim.jpg</t>
  </si>
  <si>
    <t>Spectrum Denim.jpeg</t>
  </si>
  <si>
    <t>PA1#Surround Sunrise.jpg</t>
  </si>
  <si>
    <t>Surround Sunrise.jpg</t>
  </si>
  <si>
    <t>Token Surfside</t>
  </si>
  <si>
    <t>PA1#Token Surfside.jpg</t>
  </si>
  <si>
    <t>Token-Surfside.jpg</t>
  </si>
  <si>
    <t>PA1#Tranquil Camel.jpg</t>
  </si>
  <si>
    <t>Tranquil Camel.JPG</t>
  </si>
  <si>
    <t>PA1#Tranquil Linen.jpg</t>
  </si>
  <si>
    <t>Tranquil Linen.JPG</t>
  </si>
  <si>
    <t>PA1#Tranquil Sage.jpg</t>
  </si>
  <si>
    <t>Tranquil Sage.JPG</t>
  </si>
  <si>
    <t>Tropicana Taup</t>
  </si>
  <si>
    <t>PA1#Tropicana Taup.jpg</t>
  </si>
  <si>
    <t>Trusted Coast</t>
  </si>
  <si>
    <t>PA1#Trusted Coast.jpg</t>
  </si>
  <si>
    <t>Trusted Coast.jpeg</t>
  </si>
  <si>
    <t>PA1#Waterpoint Salt.jpg</t>
  </si>
  <si>
    <t>PB1#Waterpoint Stone.jpg</t>
  </si>
  <si>
    <t>Harish, disregard this tab (191 Items)</t>
  </si>
  <si>
    <t>old Modified Item #</t>
  </si>
  <si>
    <t>Accessories, Rocker &amp; Cleaners</t>
  </si>
  <si>
    <t>ATAT1823</t>
  </si>
  <si>
    <t>191-XQXQ4156</t>
  </si>
  <si>
    <t>BG32EC</t>
  </si>
  <si>
    <t>191-YD65BZ</t>
  </si>
  <si>
    <t>BG32HDFC</t>
  </si>
  <si>
    <t>191-YD65EACZ</t>
  </si>
  <si>
    <t>BG32MSR</t>
  </si>
  <si>
    <t>191-YD65JPO</t>
  </si>
  <si>
    <t>BG32WR</t>
  </si>
  <si>
    <t>191-YD65TO</t>
  </si>
  <si>
    <t>DTAT1819</t>
  </si>
  <si>
    <t>191-AQXQ4142</t>
  </si>
  <si>
    <t>HRCT1838</t>
  </si>
  <si>
    <t>191-EOZQ4161</t>
  </si>
  <si>
    <t>MAAT4721</t>
  </si>
  <si>
    <t>191-JXXQ7054</t>
  </si>
  <si>
    <t>MAFF2415</t>
  </si>
  <si>
    <t>191-JXCC5748</t>
  </si>
  <si>
    <t>MAFT2210</t>
  </si>
  <si>
    <t>191-JXCQ5543</t>
  </si>
  <si>
    <t>MGPCH67</t>
  </si>
  <si>
    <t>191-JDMZE90</t>
  </si>
  <si>
    <t>MSAT3030</t>
  </si>
  <si>
    <t>191-JPXQ6363</t>
  </si>
  <si>
    <t>PAFS2400</t>
  </si>
  <si>
    <t>191-MXCP5733</t>
  </si>
  <si>
    <t>191-MXCQ5743</t>
  </si>
  <si>
    <t>PFAF2417</t>
  </si>
  <si>
    <t>191-MCXC5740</t>
  </si>
  <si>
    <t>PFET1522</t>
  </si>
  <si>
    <t>191-MCBQ4855</t>
  </si>
  <si>
    <t>PGST2400</t>
  </si>
  <si>
    <t>191-MDPQ5733</t>
  </si>
  <si>
    <t>PR2545</t>
  </si>
  <si>
    <t>191-MO5878</t>
  </si>
  <si>
    <t>PRCT0018</t>
  </si>
  <si>
    <t>191-MOZQ3341</t>
  </si>
  <si>
    <t>PRET2122</t>
  </si>
  <si>
    <t>191-MOBQ5455</t>
  </si>
  <si>
    <t>PRET2922</t>
  </si>
  <si>
    <t>191-MOBQ5255</t>
  </si>
  <si>
    <t>PRET3222</t>
  </si>
  <si>
    <t>191-MOBQ6555</t>
  </si>
  <si>
    <t>PSET1717</t>
  </si>
  <si>
    <t>191-MPBQ4040</t>
  </si>
  <si>
    <t>PVCH0000</t>
  </si>
  <si>
    <t>191-MSZE3333</t>
  </si>
  <si>
    <t>PVGF2100</t>
  </si>
  <si>
    <t>191-MSDC5433</t>
  </si>
  <si>
    <t>PVGF2100AC</t>
  </si>
  <si>
    <t>191-MSDC5433XZ</t>
  </si>
  <si>
    <t>PVSF2100</t>
  </si>
  <si>
    <t>191-MSPC5433</t>
  </si>
  <si>
    <t>RG717</t>
  </si>
  <si>
    <t>191-OD040</t>
  </si>
  <si>
    <t>RTC32</t>
  </si>
  <si>
    <t>191-OQZ65</t>
  </si>
  <si>
    <t>RTCT2921</t>
  </si>
  <si>
    <t>191-OQZQ5254</t>
  </si>
  <si>
    <t>RTET2115</t>
  </si>
  <si>
    <t>191-OQBQ5448</t>
  </si>
  <si>
    <t>RTET2915</t>
  </si>
  <si>
    <t>191-OQBQ5248</t>
  </si>
  <si>
    <t>RTET3315</t>
  </si>
  <si>
    <t>191-OQBQ6648</t>
  </si>
  <si>
    <t>UCC2X3</t>
  </si>
  <si>
    <t>191-RZZ5U6</t>
  </si>
  <si>
    <t>Berkley, Hudson</t>
  </si>
  <si>
    <t>BET4262D</t>
  </si>
  <si>
    <t>191-YBQ7595A</t>
  </si>
  <si>
    <t>BET4295D</t>
  </si>
  <si>
    <t>191-YBQ7528A</t>
  </si>
  <si>
    <t>BHFT4262D</t>
  </si>
  <si>
    <t>191-YECQ7595A</t>
  </si>
  <si>
    <t>BHFT4295D</t>
  </si>
  <si>
    <t>191-YECQ7528A</t>
  </si>
  <si>
    <t>HHFMT0040B</t>
  </si>
  <si>
    <t>191-EECJQ3373Y</t>
  </si>
  <si>
    <t>HHFMT0040C</t>
  </si>
  <si>
    <t>191-EECJQ3373Z</t>
  </si>
  <si>
    <t>HHFMT0040D</t>
  </si>
  <si>
    <t>191-EECJQ3373A</t>
  </si>
  <si>
    <t>HHFMT4070B</t>
  </si>
  <si>
    <t>191-EECJQ7303Y</t>
  </si>
  <si>
    <t>HHFMT4070C</t>
  </si>
  <si>
    <t>191-EECJQ7303Z</t>
  </si>
  <si>
    <t>HHFMT4070D</t>
  </si>
  <si>
    <t>191-EECJQ7303A</t>
  </si>
  <si>
    <t>HRMT4070B</t>
  </si>
  <si>
    <t>191-EOJQ7303Y</t>
  </si>
  <si>
    <t>HRMT4070C</t>
  </si>
  <si>
    <t>191-EOJQ7303Z</t>
  </si>
  <si>
    <t>HRMT4070D</t>
  </si>
  <si>
    <t>191-EOJQ7303A</t>
  </si>
  <si>
    <t>HSMT0040B</t>
  </si>
  <si>
    <t>191-EPJQ3373Y</t>
  </si>
  <si>
    <t>HSMT0040C</t>
  </si>
  <si>
    <t>191-EPJQ3373Z</t>
  </si>
  <si>
    <t>HSMT0040D</t>
  </si>
  <si>
    <t>191-EPJQ3373A</t>
  </si>
  <si>
    <t>Bradford Pergolas</t>
  </si>
  <si>
    <t>BVPCR40</t>
  </si>
  <si>
    <t>191-YSMZO73</t>
  </si>
  <si>
    <t>PCP</t>
  </si>
  <si>
    <t>191-MZM</t>
  </si>
  <si>
    <t>Bristol, Casual Back, Homestead</t>
  </si>
  <si>
    <t>BAK1022</t>
  </si>
  <si>
    <t>191-YXH4355</t>
  </si>
  <si>
    <t>BBC2045</t>
  </si>
  <si>
    <t>191-YYZ5378</t>
  </si>
  <si>
    <t>BCC2041</t>
  </si>
  <si>
    <t>191-YZZ5374</t>
  </si>
  <si>
    <t>BDC2037</t>
  </si>
  <si>
    <t>191-YAZ5360</t>
  </si>
  <si>
    <t>BSBC2045</t>
  </si>
  <si>
    <t>191-YPYZ5378</t>
  </si>
  <si>
    <t>BSCC2041</t>
  </si>
  <si>
    <t>191-YPZZ5374</t>
  </si>
  <si>
    <t>BSRDC2036</t>
  </si>
  <si>
    <t>191-YPOAZ5369</t>
  </si>
  <si>
    <t>BSXTC2049</t>
  </si>
  <si>
    <t>191-YPUQZ5372</t>
  </si>
  <si>
    <t>BXTC2049</t>
  </si>
  <si>
    <t>191-YUQZ5372</t>
  </si>
  <si>
    <t>HDT0044D</t>
  </si>
  <si>
    <t>191-EAQ3377A</t>
  </si>
  <si>
    <t>HDT4472D</t>
  </si>
  <si>
    <t>191-EAQ7705A</t>
  </si>
  <si>
    <t>PLCL7400</t>
  </si>
  <si>
    <t>191-MIZI0733</t>
  </si>
  <si>
    <t>PLTS4800SS</t>
  </si>
  <si>
    <t>191-MIQP7133PP</t>
  </si>
  <si>
    <t>PLTS4800ZC</t>
  </si>
  <si>
    <t>191-MIQP7133WZ</t>
  </si>
  <si>
    <t>PLTS6000SS</t>
  </si>
  <si>
    <t>191-MIQP9333PP</t>
  </si>
  <si>
    <t>PLTS6000ZC</t>
  </si>
  <si>
    <t>191-MIQP9333WZ</t>
  </si>
  <si>
    <t>Camden, Mayhew Chat &amp; Sling</t>
  </si>
  <si>
    <t>CCC2832</t>
  </si>
  <si>
    <t>191-ZZZ5165</t>
  </si>
  <si>
    <t>CCT1835</t>
  </si>
  <si>
    <t>191-ZZQ4168</t>
  </si>
  <si>
    <t>CET1720</t>
  </si>
  <si>
    <t>191-ZBQ4053</t>
  </si>
  <si>
    <t>CL5332</t>
  </si>
  <si>
    <t>191-ZI8665</t>
  </si>
  <si>
    <t>CO2513</t>
  </si>
  <si>
    <t>191-ZL5846</t>
  </si>
  <si>
    <t>CS7832</t>
  </si>
  <si>
    <t>191-ZP0165</t>
  </si>
  <si>
    <t>CSR2832</t>
  </si>
  <si>
    <t>191-ZPO5165</t>
  </si>
  <si>
    <t>MHCBC2647</t>
  </si>
  <si>
    <t>191-JEZYZ5970</t>
  </si>
  <si>
    <t>MHCCC2644</t>
  </si>
  <si>
    <t>191-JEZZZ5977</t>
  </si>
  <si>
    <t>MHCDC2639</t>
  </si>
  <si>
    <t>191-JEZAZ5962</t>
  </si>
  <si>
    <t>MHCSB2647</t>
  </si>
  <si>
    <t>191-JEZPY5970</t>
  </si>
  <si>
    <t>MHCSC2644</t>
  </si>
  <si>
    <t>191-JEZPZ5977</t>
  </si>
  <si>
    <t>MHCSD2638</t>
  </si>
  <si>
    <t>191-JEZPA5961</t>
  </si>
  <si>
    <t>MHCSR2736</t>
  </si>
  <si>
    <t>191-JEZPO5069</t>
  </si>
  <si>
    <t>MHCSXT2651</t>
  </si>
  <si>
    <t>191-JEZPUQ5984</t>
  </si>
  <si>
    <t>MHCTC2734</t>
  </si>
  <si>
    <t>191-JEZQZ5067</t>
  </si>
  <si>
    <t>MHCXT2651</t>
  </si>
  <si>
    <t>191-JEZUQ5984</t>
  </si>
  <si>
    <t>MHSAC3039</t>
  </si>
  <si>
    <t>191-JEPXZ6362</t>
  </si>
  <si>
    <t>MHSBC2245</t>
  </si>
  <si>
    <t>191-JEPYZ5578</t>
  </si>
  <si>
    <t>MHSCC2241</t>
  </si>
  <si>
    <t>191-JEPZZ5574</t>
  </si>
  <si>
    <t>MHSDAC2236</t>
  </si>
  <si>
    <t>191-JEPAXZ5569</t>
  </si>
  <si>
    <t>MHSSB2245</t>
  </si>
  <si>
    <t>191-JEPPY5578</t>
  </si>
  <si>
    <t>MHSSC2241</t>
  </si>
  <si>
    <t>191-JEPPZ5574</t>
  </si>
  <si>
    <t>MHSSD2235</t>
  </si>
  <si>
    <t>191-JEPPA5568</t>
  </si>
  <si>
    <t>Classic Terrace</t>
  </si>
  <si>
    <t>191-ZQZZ6367</t>
  </si>
  <si>
    <t>CTHSR3045</t>
  </si>
  <si>
    <t>191-ZQEPO6378</t>
  </si>
  <si>
    <t>CTL5734</t>
  </si>
  <si>
    <t>191-ZQI8067</t>
  </si>
  <si>
    <t>CTLSC2934</t>
  </si>
  <si>
    <t>191-ZQIPZ5267</t>
  </si>
  <si>
    <t>CTLSL5334</t>
  </si>
  <si>
    <t>191-ZQIPI8667</t>
  </si>
  <si>
    <t>CTLSS7934</t>
  </si>
  <si>
    <t>191-ZQIPP0267</t>
  </si>
  <si>
    <t>CTRSC2934</t>
  </si>
  <si>
    <t>191-ZQOPZ5267</t>
  </si>
  <si>
    <t>CTRSL5334</t>
  </si>
  <si>
    <t>191-ZQOPI8667</t>
  </si>
  <si>
    <t>CTRSS7934</t>
  </si>
  <si>
    <t>191-ZQOPP0267</t>
  </si>
  <si>
    <t>CTS8034</t>
  </si>
  <si>
    <t>191-ZQP1367</t>
  </si>
  <si>
    <t>CTSR3034</t>
  </si>
  <si>
    <t>191-ZQPO6367</t>
  </si>
  <si>
    <t>Classic Terrace - Cont.</t>
  </si>
  <si>
    <t>CTAC2730</t>
  </si>
  <si>
    <t>191-ZQXZ5063</t>
  </si>
  <si>
    <t>CTACL3063</t>
  </si>
  <si>
    <t>191-ZQXZI6396</t>
  </si>
  <si>
    <t>CTCAS2434</t>
  </si>
  <si>
    <t>191-ZQZXP5767</t>
  </si>
  <si>
    <t>CTCL3363</t>
  </si>
  <si>
    <t>191-ZQZI6696</t>
  </si>
  <si>
    <t>CTCS5742</t>
  </si>
  <si>
    <t>191-ZQZP8075</t>
  </si>
  <si>
    <t>CTDC2744</t>
  </si>
  <si>
    <t>191-ZQAZ5077</t>
  </si>
  <si>
    <t>CTLCL3163</t>
  </si>
  <si>
    <t>191-ZQIZI6496</t>
  </si>
  <si>
    <t>CTLSW5727</t>
  </si>
  <si>
    <t>191-ZQIPT8050</t>
  </si>
  <si>
    <t>CTO2511</t>
  </si>
  <si>
    <t>191-ZQL5844</t>
  </si>
  <si>
    <t>CTRCL3163</t>
  </si>
  <si>
    <t>191-ZQOZI6496</t>
  </si>
  <si>
    <t>Comfo, Cozi</t>
  </si>
  <si>
    <t>ESBC2135</t>
  </si>
  <si>
    <t>191-BPYZ5468</t>
  </si>
  <si>
    <t>ESCC2131</t>
  </si>
  <si>
    <t>191-BPZZ5464</t>
  </si>
  <si>
    <t>ESDC2127</t>
  </si>
  <si>
    <t>191-BPAZ5450</t>
  </si>
  <si>
    <t>ESXTC2139</t>
  </si>
  <si>
    <t>191-BPUQZ5462</t>
  </si>
  <si>
    <t>PATC2400</t>
  </si>
  <si>
    <t>191-MXQZ5733</t>
  </si>
  <si>
    <t>PCCG2400</t>
  </si>
  <si>
    <t>191-MZZD5733</t>
  </si>
  <si>
    <t>PCCG2400AC</t>
  </si>
  <si>
    <t>191-MZZD5733XZ</t>
  </si>
  <si>
    <t>PCCG4800</t>
  </si>
  <si>
    <t>191-MZZD7133</t>
  </si>
  <si>
    <t>PCCG4800AC</t>
  </si>
  <si>
    <t>191-MZZD7133XZ</t>
  </si>
  <si>
    <t>PCCL7400</t>
  </si>
  <si>
    <t>191-MZZI0733</t>
  </si>
  <si>
    <t>PCLS4800</t>
  </si>
  <si>
    <t>191-MZIP7133</t>
  </si>
  <si>
    <t>PCSG2644</t>
  </si>
  <si>
    <t>191-MZPD5977</t>
  </si>
  <si>
    <t>PCSG2644AC</t>
  </si>
  <si>
    <t>191-MZPD5977XZ</t>
  </si>
  <si>
    <t>PCTC2400</t>
  </si>
  <si>
    <t>191-MZQZ5733</t>
  </si>
  <si>
    <t>PCTG2400</t>
  </si>
  <si>
    <t>191-MZQD5733</t>
  </si>
  <si>
    <t>PCTG2400AC</t>
  </si>
  <si>
    <t>191-MZQD5733XZ</t>
  </si>
  <si>
    <t>PCTG4800</t>
  </si>
  <si>
    <t>191-MZQD7133</t>
  </si>
  <si>
    <t>PCTG4800AC</t>
  </si>
  <si>
    <t>191-MZQD7133XZ</t>
  </si>
  <si>
    <t>Comfo-Back Three Seat Glider w/Console</t>
  </si>
  <si>
    <t>PCTG6000</t>
  </si>
  <si>
    <t>191-MZQD9333</t>
  </si>
  <si>
    <t>PCTG6000AC</t>
  </si>
  <si>
    <t>191-MZQD9333XZ</t>
  </si>
  <si>
    <t>PCTR2400</t>
  </si>
  <si>
    <t>191-MZQO5733</t>
  </si>
  <si>
    <t>PCTS4800SS</t>
  </si>
  <si>
    <t>191-MZQP7133PP</t>
  </si>
  <si>
    <t>PCTS4800ZC</t>
  </si>
  <si>
    <t>191-MZQP7133WZ</t>
  </si>
  <si>
    <t>PCTS6000SS</t>
  </si>
  <si>
    <t>191-MZQP9333PP</t>
  </si>
  <si>
    <t>PCTS6000ZC</t>
  </si>
  <si>
    <t>191-MZQP9333WZ</t>
  </si>
  <si>
    <t>PEBC2135</t>
  </si>
  <si>
    <t>191-MBYZ5468</t>
  </si>
  <si>
    <t>PECC2131</t>
  </si>
  <si>
    <t>191-MBZZ5464</t>
  </si>
  <si>
    <t>191-MBAZ5450</t>
  </si>
  <si>
    <t>PEXTC2139</t>
  </si>
  <si>
    <t>191-MBUQZ5462</t>
  </si>
  <si>
    <t>PFAC3240</t>
  </si>
  <si>
    <t>191-MCXZ6573</t>
  </si>
  <si>
    <t>PZBC2135</t>
  </si>
  <si>
    <t>191-MWYZ5468</t>
  </si>
  <si>
    <t>PZCC2131</t>
  </si>
  <si>
    <t>191-MWZZ5464</t>
  </si>
  <si>
    <t>PZCG2400</t>
  </si>
  <si>
    <t>191-MWZD5733</t>
  </si>
  <si>
    <t>PZCG2400AC</t>
  </si>
  <si>
    <t>191-MWZD5733XZ</t>
  </si>
  <si>
    <t>PZCG4800</t>
  </si>
  <si>
    <t>191-MWZD7133</t>
  </si>
  <si>
    <t>PZCG4800AC</t>
  </si>
  <si>
    <t>191-MWZD7133XZ</t>
  </si>
  <si>
    <t>PZDC2127</t>
  </si>
  <si>
    <t>191-MWAZ5450</t>
  </si>
  <si>
    <t>PZLS4800</t>
  </si>
  <si>
    <t>191-MWIP7133</t>
  </si>
  <si>
    <t>PZSG2638</t>
  </si>
  <si>
    <t>191-MWPD5961</t>
  </si>
  <si>
    <t>PZSG2638AC</t>
  </si>
  <si>
    <t>191-MWPD5961XZ</t>
  </si>
  <si>
    <t>PZTG2400</t>
  </si>
  <si>
    <t>191-MWQD5733</t>
  </si>
  <si>
    <t>PZTG2400AC</t>
  </si>
  <si>
    <t>191-MWQD5733XZ</t>
  </si>
  <si>
    <t>PZTG4800</t>
  </si>
  <si>
    <t>191-MWQD7133</t>
  </si>
  <si>
    <t>PZTG4800AC</t>
  </si>
  <si>
    <t>191-MWQD7133XZ</t>
  </si>
  <si>
    <t>PZTG6000</t>
  </si>
  <si>
    <t>191-MWQD9333</t>
  </si>
  <si>
    <t>PZTG6000AC</t>
  </si>
  <si>
    <t>191-MWQD9333XZ</t>
  </si>
  <si>
    <t>PZTS4800SS</t>
  </si>
  <si>
    <t>191-MWQP7133PP</t>
  </si>
  <si>
    <t>PZTS4800ZC</t>
  </si>
  <si>
    <t>191-MWQP7133WZ</t>
  </si>
  <si>
    <t>PZTS6000SS</t>
  </si>
  <si>
    <t>191-MWQP9333PP</t>
  </si>
  <si>
    <t>PZTS6000ZC</t>
  </si>
  <si>
    <t>191-MWQP9333WZ</t>
  </si>
  <si>
    <t>PZXTC2139</t>
  </si>
  <si>
    <t>191-MWUQZ5462</t>
  </si>
  <si>
    <t>ZSBC2135</t>
  </si>
  <si>
    <t>191-WPYZ5468</t>
  </si>
  <si>
    <t>ZSCC2131</t>
  </si>
  <si>
    <t>191-WPZZ5464</t>
  </si>
  <si>
    <t>ZSDC2127</t>
  </si>
  <si>
    <t>191-WPAZ5450</t>
  </si>
  <si>
    <t>ZSXTC2139</t>
  </si>
  <si>
    <t>191-WPUQZ5462</t>
  </si>
  <si>
    <t>BBC1718</t>
  </si>
  <si>
    <t>191-YYZ4041</t>
  </si>
  <si>
    <t>BSC1718</t>
  </si>
  <si>
    <t>191-YPZ4041</t>
  </si>
  <si>
    <t>CBC2232</t>
  </si>
  <si>
    <t>191-ZYZ5565</t>
  </si>
  <si>
    <t>CCB1828</t>
  </si>
  <si>
    <t>191-ZZY4151</t>
  </si>
  <si>
    <t>CSC1520</t>
  </si>
  <si>
    <t>191-ZPZ4853</t>
  </si>
  <si>
    <t>CSC1622</t>
  </si>
  <si>
    <t>191-ZPZ4955</t>
  </si>
  <si>
    <t>CSC1846</t>
  </si>
  <si>
    <t>191-ZPZ4179</t>
  </si>
  <si>
    <t>CSC1860</t>
  </si>
  <si>
    <t>191-ZPZ4193</t>
  </si>
  <si>
    <t>CSC2244</t>
  </si>
  <si>
    <t>191-ZPZ5577</t>
  </si>
  <si>
    <t>CTDSC1922</t>
  </si>
  <si>
    <t>191-ZQAPZ4255</t>
  </si>
  <si>
    <t>DBC1344</t>
  </si>
  <si>
    <t>191-AYZ4677</t>
  </si>
  <si>
    <t>DBC1366</t>
  </si>
  <si>
    <t>191-AYZ4699</t>
  </si>
  <si>
    <t>EBC2028</t>
  </si>
  <si>
    <t>191-BYZ5351</t>
  </si>
  <si>
    <t>HRP912</t>
  </si>
  <si>
    <t>191-EOM245</t>
  </si>
  <si>
    <t>KDBC2019</t>
  </si>
  <si>
    <t>191-HAYZ5342</t>
  </si>
  <si>
    <t>KDSC2017</t>
  </si>
  <si>
    <t>191-HAPZ5340</t>
  </si>
  <si>
    <t>LBC2229</t>
  </si>
  <si>
    <t>191-IYZ5552</t>
  </si>
  <si>
    <t>LBC2446</t>
  </si>
  <si>
    <t>191-IYZ5779</t>
  </si>
  <si>
    <t>LBC2458</t>
  </si>
  <si>
    <t>191-IYZ5781</t>
  </si>
  <si>
    <t>LSC1846</t>
  </si>
  <si>
    <t>191-IPZ4179</t>
  </si>
  <si>
    <t>LSC1858</t>
  </si>
  <si>
    <t>191-IPZ4181</t>
  </si>
  <si>
    <t>LSC2244</t>
  </si>
  <si>
    <t>191-IPZ5577</t>
  </si>
  <si>
    <t>MABC2131</t>
  </si>
  <si>
    <t>191-JXYZ5464</t>
  </si>
  <si>
    <t>MASC1924</t>
  </si>
  <si>
    <t>191-JXPZ4257</t>
  </si>
  <si>
    <t>MCCB2123</t>
  </si>
  <si>
    <t>191-JZZY5456</t>
  </si>
  <si>
    <t>MCCS2023</t>
  </si>
  <si>
    <t>191-JZZP5356</t>
  </si>
  <si>
    <t>MCDB1922</t>
  </si>
  <si>
    <t>191-JZAY4255</t>
  </si>
  <si>
    <t>MCDS1922</t>
  </si>
  <si>
    <t>191-JZAP4255</t>
  </si>
  <si>
    <t>NABC1928</t>
  </si>
  <si>
    <t>191-KXYZ4251</t>
  </si>
  <si>
    <t>NASC1921</t>
  </si>
  <si>
    <t>191-KXPZ4254</t>
  </si>
  <si>
    <t>NP516</t>
  </si>
  <si>
    <t>191-KM849</t>
  </si>
  <si>
    <t>PDSC1819</t>
  </si>
  <si>
    <t>191-MAPZ4142</t>
  </si>
  <si>
    <t>PRSC1818</t>
  </si>
  <si>
    <t>191-MOPZ4141</t>
  </si>
  <si>
    <t>TP0717</t>
  </si>
  <si>
    <t>191-QM3040</t>
  </si>
  <si>
    <t>TP1515</t>
  </si>
  <si>
    <t>191-QM4848</t>
  </si>
  <si>
    <t>TP1717</t>
  </si>
  <si>
    <t>191-QM4040</t>
  </si>
  <si>
    <t>TPC1515</t>
  </si>
  <si>
    <t>191-QMZ4848</t>
  </si>
  <si>
    <t>TPC1717</t>
  </si>
  <si>
    <t>191-QMZ4040</t>
  </si>
  <si>
    <t>ZBC2028</t>
  </si>
  <si>
    <t>191-WYZ5351</t>
  </si>
  <si>
    <t>ZCB1824</t>
  </si>
  <si>
    <t>191-WZY4157</t>
  </si>
  <si>
    <t>Deep Seat Cushions, Umbrellas</t>
  </si>
  <si>
    <t>CTACS2557</t>
  </si>
  <si>
    <t>191-ZQXZP5880</t>
  </si>
  <si>
    <t>CTBC2520</t>
  </si>
  <si>
    <t>191-ZQYZ5853</t>
  </si>
  <si>
    <t>CTCBC2066</t>
  </si>
  <si>
    <t>191-ZQZYZ5399</t>
  </si>
  <si>
    <t>CTCLB3324</t>
  </si>
  <si>
    <t>191-ZQZIY6657</t>
  </si>
  <si>
    <t>CTCLS2957</t>
  </si>
  <si>
    <t>191-ZQZIP5280</t>
  </si>
  <si>
    <t>CTCSC3535</t>
  </si>
  <si>
    <t>191-ZQZPZ6868</t>
  </si>
  <si>
    <t>CTHBC2824</t>
  </si>
  <si>
    <t>191-ZQEYZ5157</t>
  </si>
  <si>
    <t>CTOC2324</t>
  </si>
  <si>
    <t>191-ZQLZ5657</t>
  </si>
  <si>
    <t>CTSC2526</t>
  </si>
  <si>
    <t>191-ZQPZ5859</t>
  </si>
  <si>
    <t>HBC2024</t>
  </si>
  <si>
    <t>191-EYZ5357</t>
  </si>
  <si>
    <t>HLB3324</t>
  </si>
  <si>
    <t>191-EIY6657</t>
  </si>
  <si>
    <t>HLS2957</t>
  </si>
  <si>
    <t>191-EIP5280</t>
  </si>
  <si>
    <t>HOBC2520</t>
  </si>
  <si>
    <t>191-ELYZ5853</t>
  </si>
  <si>
    <t>HOCLB3324</t>
  </si>
  <si>
    <t>191-ELZIY6657</t>
  </si>
  <si>
    <t>HOCLS2957</t>
  </si>
  <si>
    <t>191-ELZIP5280</t>
  </si>
  <si>
    <t>HOSC2526</t>
  </si>
  <si>
    <t>191-ELPZ5859</t>
  </si>
  <si>
    <t>HSC2527</t>
  </si>
  <si>
    <t>191-EPZ5850</t>
  </si>
  <si>
    <t>KLBC2320</t>
  </si>
  <si>
    <t>191-HIYZ5653</t>
  </si>
  <si>
    <t>KLSC2324</t>
  </si>
  <si>
    <t>191-HIPZ5657</t>
  </si>
  <si>
    <t>MAS2557</t>
  </si>
  <si>
    <t>191-JXP5880</t>
  </si>
  <si>
    <t>MBC2024</t>
  </si>
  <si>
    <t>191-JYZ5357</t>
  </si>
  <si>
    <t>MCB1958</t>
  </si>
  <si>
    <t>191-JZY4281</t>
  </si>
  <si>
    <t>MCS2727</t>
  </si>
  <si>
    <t>191-JZP5050</t>
  </si>
  <si>
    <t>MLB3324</t>
  </si>
  <si>
    <t>191-JIY6657</t>
  </si>
  <si>
    <t>MLS2957</t>
  </si>
  <si>
    <t>191-JIP5280</t>
  </si>
  <si>
    <t>MOC2627</t>
  </si>
  <si>
    <t>191-JLZ5950</t>
  </si>
  <si>
    <t>MSC2527</t>
  </si>
  <si>
    <t>191-JPZ5850</t>
  </si>
  <si>
    <t>NBC1424</t>
  </si>
  <si>
    <t>191-KYZ4757</t>
  </si>
  <si>
    <t>NBC2124</t>
  </si>
  <si>
    <t>191-KYZ5457</t>
  </si>
  <si>
    <t>NOC2324</t>
  </si>
  <si>
    <t>191-KLZ5657</t>
  </si>
  <si>
    <t>NSC2325</t>
  </si>
  <si>
    <t>191-KPZ5658</t>
  </si>
  <si>
    <t>UBS32BK</t>
  </si>
  <si>
    <t>191-RYP65YH</t>
  </si>
  <si>
    <t>UEP40C</t>
  </si>
  <si>
    <t>191-RBM73Z</t>
  </si>
  <si>
    <t>UEP44B</t>
  </si>
  <si>
    <t>191-RBM77Y</t>
  </si>
  <si>
    <t>UFAUTO9</t>
  </si>
  <si>
    <t>191-RCXRQL2</t>
  </si>
  <si>
    <t>Donoma</t>
  </si>
  <si>
    <t>1224RESSBC</t>
  </si>
  <si>
    <t>191-4557OBPPYZ</t>
  </si>
  <si>
    <t>1242RESSBC</t>
  </si>
  <si>
    <t>191-4575OBPPYZ</t>
  </si>
  <si>
    <t>21RSSBC</t>
  </si>
  <si>
    <t>191-54OPPYZ</t>
  </si>
  <si>
    <t>CFG1AQ</t>
  </si>
  <si>
    <t>191-ZCD4XN</t>
  </si>
  <si>
    <t>CFG1AR</t>
  </si>
  <si>
    <t>191-ZCD4XO</t>
  </si>
  <si>
    <t>CFG1OX</t>
  </si>
  <si>
    <t>191-ZCD4LU</t>
  </si>
  <si>
    <t>DFPP2544</t>
  </si>
  <si>
    <t>191-ACMM5877</t>
  </si>
  <si>
    <t>DHFFP2544</t>
  </si>
  <si>
    <t>191-AECCM5877</t>
  </si>
  <si>
    <t>DHFFP4254</t>
  </si>
  <si>
    <t>191-AECCM7587</t>
  </si>
  <si>
    <t>DHFT3044D</t>
  </si>
  <si>
    <t>191-AECQ6377A</t>
  </si>
  <si>
    <t>DHFT3644C</t>
  </si>
  <si>
    <t>191-AECQ6977Z</t>
  </si>
  <si>
    <t>DHFT3944B</t>
  </si>
  <si>
    <t>191-AECQ6277Y</t>
  </si>
  <si>
    <t>DHFT4254B</t>
  </si>
  <si>
    <t>191-AECQ7587Y</t>
  </si>
  <si>
    <t>DHFT4254C</t>
  </si>
  <si>
    <t>191-AECQ7587Z</t>
  </si>
  <si>
    <t>DHFT4254D</t>
  </si>
  <si>
    <t>191-AECQ7587A</t>
  </si>
  <si>
    <t>DRFP4254</t>
  </si>
  <si>
    <t>191-AOCM7587</t>
  </si>
  <si>
    <t>DRFT3044D</t>
  </si>
  <si>
    <t>191-AOCQ6377A</t>
  </si>
  <si>
    <t>DRFT3644C</t>
  </si>
  <si>
    <t>191-AOCQ6977Z</t>
  </si>
  <si>
    <t>DRFT3944B</t>
  </si>
  <si>
    <t>191-AOCQ6277Y</t>
  </si>
  <si>
    <t>DRFT4254B</t>
  </si>
  <si>
    <t>191-AOCQ7587Y</t>
  </si>
  <si>
    <t>DRFT4254C</t>
  </si>
  <si>
    <t>191-AOCQ7587Z</t>
  </si>
  <si>
    <t>DRFT4254D</t>
  </si>
  <si>
    <t>191-AOCQ7587A</t>
  </si>
  <si>
    <t>FPC4254</t>
  </si>
  <si>
    <t>191-CMZ7587</t>
  </si>
  <si>
    <t>FPC46</t>
  </si>
  <si>
    <t>191-CMZ79</t>
  </si>
  <si>
    <t>FTC4472</t>
  </si>
  <si>
    <t>191-CQZ7705</t>
  </si>
  <si>
    <t>FTC4496</t>
  </si>
  <si>
    <t>191-CQZ7729</t>
  </si>
  <si>
    <t>GBC20BK</t>
  </si>
  <si>
    <t>191-DYZ53YH</t>
  </si>
  <si>
    <t>GLS1</t>
  </si>
  <si>
    <t>191-DIP4</t>
  </si>
  <si>
    <t>IFF1</t>
  </si>
  <si>
    <t>191-FCC4</t>
  </si>
  <si>
    <t>RGWG1224</t>
  </si>
  <si>
    <t>191-ODTD4557</t>
  </si>
  <si>
    <t>RGWG1242</t>
  </si>
  <si>
    <t>191-ODTD4575</t>
  </si>
  <si>
    <t>RGWG723</t>
  </si>
  <si>
    <t>191-ODTD056</t>
  </si>
  <si>
    <t>TLR1</t>
  </si>
  <si>
    <t>191-QIO4</t>
  </si>
  <si>
    <t>GC Tables Standard Tops</t>
  </si>
  <si>
    <t>GCCB4423</t>
  </si>
  <si>
    <t>191-DZZY7756</t>
  </si>
  <si>
    <t>GCCB6623</t>
  </si>
  <si>
    <t>191-DZZY9956</t>
  </si>
  <si>
    <t>GCDB4418</t>
  </si>
  <si>
    <t>191-DZAY7741</t>
  </si>
  <si>
    <t>GCDB6618</t>
  </si>
  <si>
    <t>191-DZAY9941</t>
  </si>
  <si>
    <t>GCDT0048B</t>
  </si>
  <si>
    <t>191-DZAQ3371Y</t>
  </si>
  <si>
    <t>GCDT0048C</t>
  </si>
  <si>
    <t>191-DZAQ3371Z</t>
  </si>
  <si>
    <t>GCDT0048D</t>
  </si>
  <si>
    <t>191-DZAQ3371A</t>
  </si>
  <si>
    <t>GCFT4472B</t>
  </si>
  <si>
    <t>191-DZCQ7705Y</t>
  </si>
  <si>
    <t>GCFT4472C</t>
  </si>
  <si>
    <t>191-DZCQ7705Z</t>
  </si>
  <si>
    <t>GCFT4472D</t>
  </si>
  <si>
    <t>191-DZCQ7705A</t>
  </si>
  <si>
    <t>GCFT4496B</t>
  </si>
  <si>
    <t>191-DZCQ7729Y</t>
  </si>
  <si>
    <t>GCFT4496C</t>
  </si>
  <si>
    <t>191-DZCQ7729Z</t>
  </si>
  <si>
    <t>GCFT4496D</t>
  </si>
  <si>
    <t>191-DZCQ7729A</t>
  </si>
  <si>
    <t>GCIT4472B</t>
  </si>
  <si>
    <t>191-DZFQ7705Y</t>
  </si>
  <si>
    <t>GCIT4472C</t>
  </si>
  <si>
    <t>191-DZFQ7705Z</t>
  </si>
  <si>
    <t>GCIT4472D</t>
  </si>
  <si>
    <t>191-DZFQ7705A</t>
  </si>
  <si>
    <t>GCLT0044B</t>
  </si>
  <si>
    <t>191-DZIQ3377Y</t>
  </si>
  <si>
    <t>GCLT0044C</t>
  </si>
  <si>
    <t>191-DZIQ3377Z</t>
  </si>
  <si>
    <t>GCLT0044D</t>
  </si>
  <si>
    <t>191-DZIQ3377A</t>
  </si>
  <si>
    <t>GCOT4496B</t>
  </si>
  <si>
    <t>191-DZLQ7729Y</t>
  </si>
  <si>
    <t>GCOT4496C</t>
  </si>
  <si>
    <t>191-DZLQ7729Z</t>
  </si>
  <si>
    <t>GCOT4496D</t>
  </si>
  <si>
    <t>191-DZLQ7729A</t>
  </si>
  <si>
    <t>GCRT0038B</t>
  </si>
  <si>
    <t>191-DZOQ3361Y</t>
  </si>
  <si>
    <t>GCRT0038C</t>
  </si>
  <si>
    <t>191-DZOQ3361Z</t>
  </si>
  <si>
    <t>GCRT0038D</t>
  </si>
  <si>
    <t>191-DZOQ3361A</t>
  </si>
  <si>
    <t>GCRT3366B</t>
  </si>
  <si>
    <t>191-DZOQ6699Y</t>
  </si>
  <si>
    <t>GCRT3366C</t>
  </si>
  <si>
    <t>191-DZOQ6699Z</t>
  </si>
  <si>
    <t>GCRT3366D</t>
  </si>
  <si>
    <t>191-DZOQ6699A</t>
  </si>
  <si>
    <t>GCST0033B</t>
  </si>
  <si>
    <t>191-DZPQ3366Y</t>
  </si>
  <si>
    <t>GCST0033C</t>
  </si>
  <si>
    <t>191-DZPQ3366Z</t>
  </si>
  <si>
    <t>GCST0033D</t>
  </si>
  <si>
    <t>191-DZPQ3366A</t>
  </si>
  <si>
    <t>GCST4464B</t>
  </si>
  <si>
    <t>191-DZPQ7797Y</t>
  </si>
  <si>
    <t>GCST4464C</t>
  </si>
  <si>
    <t>191-DZPQ7797Z</t>
  </si>
  <si>
    <t>GCST4464D</t>
  </si>
  <si>
    <t>191-DZPQ7797A</t>
  </si>
  <si>
    <t>GCT0028B</t>
  </si>
  <si>
    <t>191-DZQ3351Y</t>
  </si>
  <si>
    <t>GCT0028C</t>
  </si>
  <si>
    <t>191-DZQ3351Z</t>
  </si>
  <si>
    <t>GCT0028D</t>
  </si>
  <si>
    <t>191-DZQ3351A</t>
  </si>
  <si>
    <t>GCT0060B</t>
  </si>
  <si>
    <t>191-DZQ3393Y</t>
  </si>
  <si>
    <t>GCT0060C</t>
  </si>
  <si>
    <t>191-DZQ3393Z</t>
  </si>
  <si>
    <t>GCT0060D</t>
  </si>
  <si>
    <t>191-DZQ3393A</t>
  </si>
  <si>
    <t>Harbor Tables Standard Tops</t>
  </si>
  <si>
    <t>HB4418D</t>
  </si>
  <si>
    <t>191-EY7741A</t>
  </si>
  <si>
    <t>HB4423C</t>
  </si>
  <si>
    <t>191-EY7756Z</t>
  </si>
  <si>
    <t>HB6618D</t>
  </si>
  <si>
    <t>191-EY9941A</t>
  </si>
  <si>
    <t>HB6623C</t>
  </si>
  <si>
    <t>191-EY9956Z</t>
  </si>
  <si>
    <t>Kid's Collection</t>
  </si>
  <si>
    <t>KATC2127</t>
  </si>
  <si>
    <t>191-HXQZ5450</t>
  </si>
  <si>
    <t>KCDC1525</t>
  </si>
  <si>
    <t>191-HZAZ4858</t>
  </si>
  <si>
    <t>KRPT3433</t>
  </si>
  <si>
    <t>191-HOMQ6766</t>
  </si>
  <si>
    <t>KRTD0038</t>
  </si>
  <si>
    <t>191-HOQA3361</t>
  </si>
  <si>
    <t>KSTD0033</t>
  </si>
  <si>
    <t>191-HPQA3366</t>
  </si>
  <si>
    <t>Kinsley, Parker</t>
  </si>
  <si>
    <t>KBAC2544</t>
  </si>
  <si>
    <t>191-HYXZ5877</t>
  </si>
  <si>
    <t>KBSC2244</t>
  </si>
  <si>
    <t>191-HYPZ5577</t>
  </si>
  <si>
    <t>KCAC2541</t>
  </si>
  <si>
    <t>191-HZXZ5874</t>
  </si>
  <si>
    <t>KCSC2241</t>
  </si>
  <si>
    <t>191-HZPZ5574</t>
  </si>
  <si>
    <t>KDAC2535</t>
  </si>
  <si>
    <t>191-HAXZ5868</t>
  </si>
  <si>
    <t>KDSC2235</t>
  </si>
  <si>
    <t>191-HAPZ5568</t>
  </si>
  <si>
    <t>KLAC2833</t>
  </si>
  <si>
    <t>191-HIXZ5166</t>
  </si>
  <si>
    <t>PAK1219</t>
  </si>
  <si>
    <t>191-MXH4542</t>
  </si>
  <si>
    <t>PDC2040</t>
  </si>
  <si>
    <t>191-MAZ5373</t>
  </si>
  <si>
    <t>Mayhew Deep Seat</t>
  </si>
  <si>
    <t>MHAC2630</t>
  </si>
  <si>
    <t>191-JEXZ5963</t>
  </si>
  <si>
    <t>MHACL3063</t>
  </si>
  <si>
    <t>191-JEXZI6396</t>
  </si>
  <si>
    <t>MHCAS2334</t>
  </si>
  <si>
    <t>191-JEZXP5667</t>
  </si>
  <si>
    <t>MHCC2834</t>
  </si>
  <si>
    <t>191-JEZZ5167</t>
  </si>
  <si>
    <t>MHCL3163</t>
  </si>
  <si>
    <t>191-JEZI6496</t>
  </si>
  <si>
    <t>MHCS4747</t>
  </si>
  <si>
    <t>191-JEZP7070</t>
  </si>
  <si>
    <t>MHL5234</t>
  </si>
  <si>
    <t>191-JEI8567</t>
  </si>
  <si>
    <t>MHLCL3063</t>
  </si>
  <si>
    <t>191-JEIZI6396</t>
  </si>
  <si>
    <t>MHLSC2734</t>
  </si>
  <si>
    <t>191-JEIPZ5067</t>
  </si>
  <si>
    <t>MHLSL5134</t>
  </si>
  <si>
    <t>191-JEIPI8467</t>
  </si>
  <si>
    <t>MHLSS7734</t>
  </si>
  <si>
    <t>191-JEIPP0067</t>
  </si>
  <si>
    <t>MHO2611</t>
  </si>
  <si>
    <t>191-JEL5944</t>
  </si>
  <si>
    <t>MHRCL3063</t>
  </si>
  <si>
    <t>191-JEOZI6396</t>
  </si>
  <si>
    <t>MHRSC2734</t>
  </si>
  <si>
    <t>191-JEOPZ5067</t>
  </si>
  <si>
    <t>MHRSL5134</t>
  </si>
  <si>
    <t>191-JEOPI8467</t>
  </si>
  <si>
    <t>MHRSS7734</t>
  </si>
  <si>
    <t>191-JEOPP0067</t>
  </si>
  <si>
    <t>MHS7834</t>
  </si>
  <si>
    <t>191-JEP0167</t>
  </si>
  <si>
    <t>MHSR3034</t>
  </si>
  <si>
    <t>191-JEPO6367</t>
  </si>
  <si>
    <t>Nordic, Holland, Hartley</t>
  </si>
  <si>
    <t>HACC2429</t>
  </si>
  <si>
    <t>191-EXZZ5752</t>
  </si>
  <si>
    <t>HACL3029</t>
  </si>
  <si>
    <t>191-EXZI6352</t>
  </si>
  <si>
    <t>HALS4929</t>
  </si>
  <si>
    <t>191-EXIP7252</t>
  </si>
  <si>
    <t>HAS7429</t>
  </si>
  <si>
    <t>191-EXP0752</t>
  </si>
  <si>
    <t>HOCC2429</t>
  </si>
  <si>
    <t>191-ELZZ5752</t>
  </si>
  <si>
    <t>HOCL3029</t>
  </si>
  <si>
    <t>191-ELZI6352</t>
  </si>
  <si>
    <t>HOLS4929</t>
  </si>
  <si>
    <t>191-ELIP7252</t>
  </si>
  <si>
    <t>HOS7429</t>
  </si>
  <si>
    <t>191-ELP0752</t>
  </si>
  <si>
    <t>NAC2939</t>
  </si>
  <si>
    <t>191-KXZ5262</t>
  </si>
  <si>
    <t>NAF1721</t>
  </si>
  <si>
    <t>191-KXC4054</t>
  </si>
  <si>
    <t>NCC2924</t>
  </si>
  <si>
    <t>191-KZZ5257</t>
  </si>
  <si>
    <t>NHCC2934</t>
  </si>
  <si>
    <t>191-KEZZ5267</t>
  </si>
  <si>
    <t>NHL5233</t>
  </si>
  <si>
    <t>191-KEI8566</t>
  </si>
  <si>
    <t>NHR2933</t>
  </si>
  <si>
    <t>191-KEO5266</t>
  </si>
  <si>
    <t>NHS7433</t>
  </si>
  <si>
    <t>191-KEP0766</t>
  </si>
  <si>
    <t>NL5224</t>
  </si>
  <si>
    <t>191-KI8557</t>
  </si>
  <si>
    <t>NO249</t>
  </si>
  <si>
    <t>191-KL572</t>
  </si>
  <si>
    <t>NR2924</t>
  </si>
  <si>
    <t>191-KO5257</t>
  </si>
  <si>
    <t>NRCT4719</t>
  </si>
  <si>
    <t>191-KOZQ7042</t>
  </si>
  <si>
    <t>NRET1819</t>
  </si>
  <si>
    <t>191-KOBQ4142</t>
  </si>
  <si>
    <t>NS7424</t>
  </si>
  <si>
    <t>191-KP0757</t>
  </si>
  <si>
    <t>NSET1819</t>
  </si>
  <si>
    <t>191-KPBQ4142</t>
  </si>
  <si>
    <t>Numa</t>
  </si>
  <si>
    <t>191- PDTD5757</t>
  </si>
  <si>
    <t>24SQSSBC</t>
  </si>
  <si>
    <t>191-57PNPPYZ</t>
  </si>
  <si>
    <t>FPC4747</t>
  </si>
  <si>
    <t>191-CMZ7070</t>
  </si>
  <si>
    <t>NHFP2547</t>
  </si>
  <si>
    <t>191-KECM5870</t>
  </si>
  <si>
    <t>NHFT3147D</t>
  </si>
  <si>
    <t>191-KECQ6470A</t>
  </si>
  <si>
    <t>NHFT3647C</t>
  </si>
  <si>
    <t>191-KECQ6970Z</t>
  </si>
  <si>
    <t>NHFT3947B</t>
  </si>
  <si>
    <t>191-KECQ6270Y</t>
  </si>
  <si>
    <t>NSFP2547</t>
  </si>
  <si>
    <t>191-KPCM5870</t>
  </si>
  <si>
    <t>NSFT3147D</t>
  </si>
  <si>
    <t>191-KPCQ6470A</t>
  </si>
  <si>
    <t>NSFT3647C</t>
  </si>
  <si>
    <t>191-KPCQ6970Z</t>
  </si>
  <si>
    <t>NSFT3947B</t>
  </si>
  <si>
    <t>191-KPCQ6270Y</t>
  </si>
  <si>
    <t>Picnic Tables, Bars &amp; Arbors</t>
  </si>
  <si>
    <t>ODIS4272</t>
  </si>
  <si>
    <t>191-LAFP7505</t>
  </si>
  <si>
    <t>ODIS4272IB</t>
  </si>
  <si>
    <t>191-LAFP7505FY</t>
  </si>
  <si>
    <t>PGBO4800</t>
  </si>
  <si>
    <t>191-MDYL7133</t>
  </si>
  <si>
    <t>POBB3955</t>
  </si>
  <si>
    <t>191-MLYY6288</t>
  </si>
  <si>
    <t>POBS1430</t>
  </si>
  <si>
    <t>191-MLYP4763</t>
  </si>
  <si>
    <t>POBT2050</t>
  </si>
  <si>
    <t>191-MLYQ5383</t>
  </si>
  <si>
    <t>POPB3472</t>
  </si>
  <si>
    <t>191-MLMY6705</t>
  </si>
  <si>
    <t>POPT5184</t>
  </si>
  <si>
    <t>191-MLMQ8417</t>
  </si>
  <si>
    <t>PRPT2872</t>
  </si>
  <si>
    <t>191-MOMQ5105</t>
  </si>
  <si>
    <t>SDBS2131</t>
  </si>
  <si>
    <t>191-PAYP5464</t>
  </si>
  <si>
    <t>SDCS2026</t>
  </si>
  <si>
    <t>191-PAZP5359</t>
  </si>
  <si>
    <t>SRK08</t>
  </si>
  <si>
    <t>191-POH31</t>
  </si>
  <si>
    <t>SRK09</t>
  </si>
  <si>
    <t>191-POH32</t>
  </si>
  <si>
    <t>SRK10</t>
  </si>
  <si>
    <t>191-POH43</t>
  </si>
  <si>
    <t>SRKAF</t>
  </si>
  <si>
    <t>191-POHXC</t>
  </si>
  <si>
    <t>SSBK510</t>
  </si>
  <si>
    <t>191-PPYH843</t>
  </si>
  <si>
    <t>SSSC2</t>
  </si>
  <si>
    <t>191-PPPZ5</t>
  </si>
  <si>
    <t>VAF920</t>
  </si>
  <si>
    <t>191-SXC253</t>
  </si>
  <si>
    <t>VAR100</t>
  </si>
  <si>
    <t>191-SXO433</t>
  </si>
  <si>
    <t>VSA900CA</t>
  </si>
  <si>
    <t>191-SPX233ZX</t>
  </si>
  <si>
    <t>VSA900GA</t>
  </si>
  <si>
    <t>191-SPX233DX</t>
  </si>
  <si>
    <t>ZCSS2</t>
  </si>
  <si>
    <t>191-WZPP5</t>
  </si>
  <si>
    <t>ZSC2</t>
  </si>
  <si>
    <t>191-WPZ5</t>
  </si>
  <si>
    <t>ZSH2</t>
  </si>
  <si>
    <t>191-WPE5</t>
  </si>
  <si>
    <t xml:space="preserve">Content </t>
  </si>
  <si>
    <t>https://viztechfurniture.com/all-vendors/ohio-certified-stains/</t>
  </si>
  <si>
    <t>Standard Poly</t>
  </si>
  <si>
    <t>* Fabric not suggested for umbrellas and Bradford Pergola corner curtain panels.</t>
  </si>
  <si>
    <t>** Sunbrella® Rain Fabrics are only available for Classic Terrace Deep Seating, Mayhew Deep Seating, Camden Deep Seating, Nordic Deep Seating, Holland Deep Seating, Hartley Deep Seating, and Kinsley Lounge Chair.</t>
  </si>
  <si>
    <t>Title</t>
  </si>
  <si>
    <t>MODIFIED PRICE</t>
  </si>
  <si>
    <t>HARDWARE</t>
  </si>
  <si>
    <t>Picture name</t>
  </si>
  <si>
    <t>CWF6011-R</t>
  </si>
  <si>
    <t xml:space="preserve"> =</t>
  </si>
  <si>
    <t>CWF6001-R</t>
  </si>
  <si>
    <t>These pictures will be in a folder but I'm putting them here for now.</t>
  </si>
  <si>
    <t>Picture Names as they would appear in the Folder.</t>
  </si>
  <si>
    <t>017-ABC123 - Rustic QSWO - OCS 113 Michael's Cherry.jpg</t>
  </si>
  <si>
    <t>017-ABC456 - Rustic QSWO - OCS 113 Michael's Cherry.jpg</t>
  </si>
  <si>
    <t>191-ABC123-Antique-Mahogany-Seashell.jpg</t>
  </si>
  <si>
    <t>191-ABC123-Sunburst-Yellow-Mango-Orange.jpg</t>
  </si>
  <si>
    <t>191-ABC123-Weatherwood-Driftwood-Gray.jpg</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</si>
</sst>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quot;/&quot;d&quot;/&quot;yy"/>
    <numFmt numFmtId="165" formatCode="&quot;$&quot;#,##0"/>
  </numFmts>
  <fonts count="69">
    <font>
      <sz val="10.0"/>
      <color rgb="FF000000"/>
      <name val="Arial"/>
      <scheme val="minor"/>
    </font>
    <font>
      <b/>
      <sz val="11.0"/>
      <color rgb="FFFF0000"/>
      <name val="Calibri"/>
    </font>
    <font>
      <b/>
      <color rgb="FFFF0000"/>
      <name val="Arial"/>
      <scheme val="minor"/>
    </font>
    <font>
      <b/>
      <color rgb="FFFF0000"/>
      <name val="Arial"/>
    </font>
    <font>
      <color theme="1"/>
      <name val="Arial"/>
      <scheme val="minor"/>
    </font>
    <font>
      <b/>
      <color theme="1"/>
      <name val="Arial"/>
      <scheme val="minor"/>
    </font>
    <font>
      <sz val="11.0"/>
      <color theme="1"/>
      <name val="Calibri"/>
    </font>
    <font>
      <color theme="1"/>
      <name val="Arial"/>
    </font>
    <font>
      <b/>
      <sz val="10.0"/>
      <color rgb="FFFF0000"/>
      <name val="Arial"/>
      <scheme val="minor"/>
    </font>
    <font>
      <b/>
      <color rgb="FF000000"/>
      <name val="Arial"/>
      <scheme val="minor"/>
    </font>
    <font>
      <b/>
      <color rgb="FF000000"/>
      <name val="Arial"/>
    </font>
    <font>
      <sz val="10.0"/>
      <color theme="1"/>
      <name val="Arial"/>
      <scheme val="minor"/>
    </font>
    <font>
      <u/>
      <color rgb="FF0000FF"/>
    </font>
    <font>
      <color rgb="FF000000"/>
      <name val="Arial"/>
    </font>
    <font>
      <u/>
      <color rgb="FF0000FF"/>
    </font>
    <font>
      <b/>
      <sz val="11.0"/>
      <color theme="1"/>
      <name val="Calibri"/>
    </font>
    <font>
      <sz val="12.0"/>
      <color theme="1"/>
      <name val="Arial"/>
    </font>
    <font>
      <sz val="11.0"/>
      <color rgb="FF000000"/>
      <name val="Calibri"/>
    </font>
    <font>
      <sz val="10.0"/>
      <color theme="1"/>
      <name val="Arial"/>
    </font>
    <font>
      <u/>
      <sz val="11.0"/>
      <color rgb="FF0563C1"/>
      <name val="Calibri"/>
    </font>
    <font>
      <sz val="9.0"/>
      <color rgb="FF000000"/>
      <name val="&quot;Google Sans Mono&quot;"/>
    </font>
    <font>
      <u/>
      <color rgb="FF0000FF"/>
    </font>
    <font>
      <u/>
      <color rgb="FF0000FF"/>
    </font>
    <font>
      <u/>
      <sz val="11.0"/>
      <color rgb="FF0000FF"/>
      <name val="Calibri"/>
    </font>
    <font>
      <u/>
      <sz val="11.0"/>
      <color rgb="FF0000FF"/>
      <name val="Calibri"/>
    </font>
    <font>
      <u/>
      <sz val="11.0"/>
      <color rgb="FF0000FF"/>
      <name val="Calibri"/>
    </font>
    <font>
      <u/>
      <sz val="11.0"/>
      <color rgb="FF1155CC"/>
      <name val="Calibri"/>
    </font>
    <font>
      <u/>
      <color rgb="FF1155CC"/>
      <name val="Arial"/>
    </font>
    <font>
      <u/>
      <color rgb="FF0000FF"/>
    </font>
    <font>
      <b/>
      <sz val="11.0"/>
      <color rgb="FFFF0000"/>
      <name val="Arial"/>
      <scheme val="minor"/>
    </font>
    <font>
      <sz val="11.0"/>
      <color rgb="FF000000"/>
      <name val="Arial"/>
    </font>
    <font>
      <u/>
      <color rgb="FF1155CC"/>
      <name val="Arial"/>
    </font>
    <font>
      <u/>
      <sz val="9.0"/>
      <color rgb="FF1F1F1F"/>
      <name val="&quot;Google Sans&quot;"/>
    </font>
    <font>
      <sz val="9.0"/>
      <color rgb="FF1F1F1F"/>
      <name val="&quot;Google Sans&quot;"/>
    </font>
    <font>
      <b/>
      <sz val="11.0"/>
      <color rgb="FFFF0000"/>
      <name val="Arial"/>
    </font>
    <font>
      <sz val="9.0"/>
      <color rgb="FF3F3F3F"/>
      <name val="&quot;adobe caslon pro&quot;"/>
    </font>
    <font>
      <sz val="9.0"/>
      <color rgb="FF3F3F3F"/>
      <name val="Arial"/>
    </font>
    <font>
      <sz val="9.0"/>
      <color rgb="FF3F3F3F"/>
      <name val="&quot;Adobe Caslon Pro&quot;"/>
    </font>
    <font>
      <b/>
      <sz val="9.0"/>
      <color rgb="FFB6D7A8"/>
      <name val="Arial"/>
    </font>
    <font>
      <b/>
      <sz val="9.0"/>
      <color rgb="FF000000"/>
      <name val="Arial"/>
    </font>
    <font>
      <b/>
      <sz val="9.0"/>
      <color rgb="FFB6D7A8"/>
      <name val="&quot;Adobe Caslon Pro&quot;"/>
    </font>
    <font>
      <sz val="9.0"/>
      <color rgb="FFB6D7A8"/>
      <name val="Arial"/>
    </font>
    <font>
      <sz val="9.0"/>
      <color rgb="FFB6D7A8"/>
      <name val="&quot;Adobe Caslon Pro&quot;"/>
    </font>
    <font>
      <sz val="9.0"/>
      <color rgb="FF6D9EEB"/>
      <name val="Arial"/>
    </font>
    <font>
      <sz val="9.0"/>
      <color rgb="FFD5A6BD"/>
      <name val="Arial"/>
    </font>
    <font>
      <sz val="9.0"/>
      <color theme="1"/>
      <name val="Cambria"/>
    </font>
    <font>
      <b/>
      <sz val="11.0"/>
      <color rgb="FFFF0000"/>
      <name val="Helvetica Neue"/>
    </font>
    <font>
      <u/>
      <sz val="12.0"/>
      <color rgb="FF333333"/>
      <name val="Helvetica Neue"/>
    </font>
    <font>
      <sz val="15.0"/>
      <color rgb="FF333333"/>
      <name val="&quot;Noto Sans&quot;"/>
    </font>
    <font>
      <u/>
      <sz val="12.0"/>
      <color rgb="FF333333"/>
      <name val="Helvetica Neue"/>
    </font>
    <font>
      <u/>
      <sz val="12.0"/>
      <color rgb="FF333333"/>
      <name val="Helvetica Neue"/>
    </font>
    <font>
      <color rgb="FFFF0000"/>
      <name val="Arial"/>
      <scheme val="minor"/>
    </font>
    <font>
      <u/>
      <color rgb="FF0000FF"/>
    </font>
    <font>
      <u/>
      <color rgb="FF0000FF"/>
    </font>
    <font>
      <b/>
      <sz val="24.0"/>
      <color rgb="FF555555"/>
      <name val="Mulish"/>
    </font>
    <font>
      <sz val="14.0"/>
      <color rgb="FF555555"/>
      <name val="Mulish"/>
    </font>
    <font>
      <u/>
      <sz val="14.0"/>
      <color rgb="FF555555"/>
      <name val="Mulish"/>
    </font>
    <font>
      <u/>
      <color rgb="FF0000FF"/>
    </font>
    <font>
      <i/>
      <color theme="1"/>
      <name val="Arial"/>
      <scheme val="minor"/>
    </font>
    <font>
      <i/>
      <u/>
      <color rgb="FF0000FF"/>
    </font>
    <font>
      <b/>
      <color rgb="FF980000"/>
      <name val="Arial"/>
      <scheme val="minor"/>
    </font>
    <font>
      <sz val="11.0"/>
      <color rgb="FF6AA84F"/>
      <name val="Calibri"/>
    </font>
    <font>
      <b/>
      <sz val="11.0"/>
      <color rgb="FF6AA84F"/>
      <name val="Calibri"/>
    </font>
    <font>
      <b/>
      <color rgb="FF6AA84F"/>
      <name val="Arial"/>
      <scheme val="minor"/>
    </font>
    <font>
      <color rgb="FF6AA84F"/>
      <name val="Arial"/>
      <scheme val="minor"/>
    </font>
    <font>
      <sz val="11.0"/>
      <color rgb="FF9900FF"/>
      <name val="Calibri"/>
    </font>
    <font>
      <b/>
      <color rgb="FF9900FF"/>
      <name val="Arial"/>
      <scheme val="minor"/>
    </font>
    <font>
      <color rgb="FF9900FF"/>
      <name val="Arial"/>
      <scheme val="minor"/>
    </font>
    <font>
      <b/>
      <sz val="11.0"/>
      <color rgb="FF9900FF"/>
      <name val="Calibri"/>
    </font>
  </fonts>
  <fills count="13">
    <fill>
      <patternFill patternType="none"/>
    </fill>
    <fill>
      <patternFill patternType="lightGray"/>
    </fill>
    <fill>
      <patternFill patternType="solid">
        <fgColor rgb="FFFFFFFF"/>
        <bgColor rgb="FFFFFFFF"/>
      </patternFill>
    </fill>
    <fill>
      <patternFill patternType="solid">
        <fgColor rgb="FFD5A6BD"/>
        <bgColor rgb="FFD5A6BD"/>
      </patternFill>
    </fill>
    <fill>
      <patternFill patternType="solid">
        <fgColor rgb="FFFFFF00"/>
        <bgColor rgb="FFFFFF00"/>
      </patternFill>
    </fill>
    <fill>
      <patternFill patternType="solid">
        <fgColor rgb="FFF3F3F3"/>
        <bgColor rgb="FFF3F3F3"/>
      </patternFill>
    </fill>
    <fill>
      <patternFill patternType="solid">
        <fgColor rgb="FFFF0000"/>
        <bgColor rgb="FFFF0000"/>
      </patternFill>
    </fill>
    <fill>
      <patternFill patternType="solid">
        <fgColor rgb="FF00FF00"/>
        <bgColor rgb="FF00FF00"/>
      </patternFill>
    </fill>
    <fill>
      <patternFill patternType="solid">
        <fgColor rgb="FFFFF2CC"/>
        <bgColor rgb="FFFFF2CC"/>
      </patternFill>
    </fill>
    <fill>
      <patternFill patternType="solid">
        <fgColor rgb="FF38761D"/>
        <bgColor rgb="FF38761D"/>
      </patternFill>
    </fill>
    <fill>
      <patternFill patternType="solid">
        <fgColor rgb="FFD9D9D9"/>
        <bgColor rgb="FFD9D9D9"/>
      </patternFill>
    </fill>
    <fill>
      <patternFill patternType="solid">
        <fgColor rgb="FFFCE5CD"/>
        <bgColor rgb="FFFCE5CD"/>
      </patternFill>
    </fill>
    <fill>
      <patternFill patternType="solid">
        <fgColor rgb="FFD9EAD3"/>
        <bgColor rgb="FFD9EAD3"/>
      </patternFill>
    </fill>
  </fills>
  <borders count="3">
    <border/>
    <border>
      <left style="thin">
        <color rgb="FF000000"/>
      </left>
      <right style="thin">
        <color rgb="FF000000"/>
      </right>
      <top style="thin">
        <color rgb="FF000000"/>
      </top>
      <bottom style="thin">
        <color rgb="FF000000"/>
      </bottom>
    </border>
    <border>
      <left style="thin">
        <color rgb="FFDDDDDD"/>
      </left>
      <right style="thin">
        <color rgb="FFDDDDDD"/>
      </right>
      <top style="thin">
        <color rgb="FFDDDDDD"/>
      </top>
      <bottom style="thin">
        <color rgb="FFDDDDDD"/>
      </bottom>
    </border>
  </borders>
  <cellStyleXfs count="1">
    <xf borderId="0" fillId="0" fontId="0" numFmtId="0" applyAlignment="1" applyFont="1"/>
  </cellStyleXfs>
  <cellXfs count="236">
    <xf borderId="0" fillId="0" fontId="0" numFmtId="0" xfId="0" applyAlignment="1" applyFont="1">
      <alignment readingOrder="0" shrinkToFit="0" vertical="bottom" wrapText="0"/>
    </xf>
    <xf borderId="0" fillId="0" fontId="1" numFmtId="0" xfId="0" applyAlignment="1" applyFont="1">
      <alignment vertical="bottom"/>
    </xf>
    <xf borderId="0" fillId="0" fontId="1" numFmtId="0" xfId="0" applyAlignment="1" applyFont="1">
      <alignment horizontal="center" readingOrder="0" vertical="bottom"/>
    </xf>
    <xf borderId="0" fillId="0" fontId="2" numFmtId="0" xfId="0" applyAlignment="1" applyFont="1">
      <alignment readingOrder="0" shrinkToFit="0" wrapText="1"/>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2" fontId="3" numFmtId="0" xfId="0" applyAlignment="1" applyFill="1" applyFont="1">
      <alignment readingOrder="0" shrinkToFit="0" vertical="bottom" wrapText="0"/>
    </xf>
    <xf borderId="0" fillId="0" fontId="1" numFmtId="0" xfId="0" applyAlignment="1" applyFont="1">
      <alignment readingOrder="0" vertical="bottom"/>
    </xf>
    <xf borderId="0" fillId="0" fontId="4" numFmtId="0" xfId="0" applyAlignment="1" applyFont="1">
      <alignment readingOrder="0" shrinkToFit="0" wrapText="1"/>
    </xf>
    <xf borderId="0" fillId="0" fontId="5" numFmtId="0" xfId="0" applyAlignment="1" applyFont="1">
      <alignment readingOrder="0"/>
    </xf>
    <xf borderId="0" fillId="0" fontId="6" numFmtId="0" xfId="0" applyAlignment="1" applyFont="1">
      <alignment readingOrder="0" vertical="bottom"/>
    </xf>
    <xf borderId="0" fillId="0" fontId="6" numFmtId="0" xfId="0" applyAlignment="1" applyFont="1">
      <alignment horizontal="center" readingOrder="0" vertical="bottom"/>
    </xf>
    <xf borderId="0" fillId="0" fontId="4" numFmtId="0" xfId="0" applyAlignment="1" applyFont="1">
      <alignment horizontal="center" readingOrder="0"/>
    </xf>
    <xf borderId="0" fillId="0" fontId="4" numFmtId="0" xfId="0" applyAlignment="1" applyFont="1">
      <alignment readingOrder="0"/>
    </xf>
    <xf borderId="0" fillId="2" fontId="4" numFmtId="0" xfId="0" applyAlignment="1" applyFont="1">
      <alignment readingOrder="0"/>
    </xf>
    <xf borderId="0" fillId="0" fontId="6" numFmtId="0" xfId="0" applyAlignment="1" applyFont="1">
      <alignment vertical="bottom"/>
    </xf>
    <xf borderId="0" fillId="0" fontId="6" numFmtId="0" xfId="0" applyAlignment="1" applyFont="1">
      <alignment horizontal="right" readingOrder="0" vertical="bottom"/>
    </xf>
    <xf borderId="0" fillId="0" fontId="4" numFmtId="0" xfId="0" applyAlignment="1" applyFont="1">
      <alignment readingOrder="0" shrinkToFit="0" wrapText="0"/>
    </xf>
    <xf borderId="0" fillId="3" fontId="4" numFmtId="0" xfId="0" applyAlignment="1" applyFill="1" applyFont="1">
      <alignment readingOrder="0"/>
    </xf>
    <xf borderId="0" fillId="2" fontId="4" numFmtId="0" xfId="0" applyAlignment="1" applyFont="1">
      <alignment readingOrder="0"/>
    </xf>
    <xf borderId="0" fillId="0" fontId="4" numFmtId="0" xfId="0" applyFont="1"/>
    <xf borderId="0" fillId="3" fontId="4" numFmtId="0" xfId="0" applyAlignment="1" applyFont="1">
      <alignment readingOrder="0"/>
    </xf>
    <xf borderId="0" fillId="4" fontId="6" numFmtId="0" xfId="0" applyAlignment="1" applyFill="1" applyFont="1">
      <alignment readingOrder="0" vertical="bottom"/>
    </xf>
    <xf borderId="0" fillId="4" fontId="4" numFmtId="0" xfId="0" applyAlignment="1" applyFont="1">
      <alignment readingOrder="0" shrinkToFit="0" wrapText="0"/>
    </xf>
    <xf borderId="0" fillId="2" fontId="4" numFmtId="0" xfId="0" applyAlignment="1" applyFont="1">
      <alignment readingOrder="0" shrinkToFit="0" wrapText="1"/>
    </xf>
    <xf borderId="0" fillId="0" fontId="6" numFmtId="0" xfId="0" applyAlignment="1" applyFont="1">
      <alignment vertical="bottom"/>
    </xf>
    <xf borderId="0" fillId="2" fontId="4" numFmtId="0" xfId="0" applyFont="1"/>
    <xf borderId="0" fillId="0" fontId="4" numFmtId="0" xfId="0" applyAlignment="1" applyFont="1">
      <alignment shrinkToFit="0" wrapText="1"/>
    </xf>
    <xf borderId="0" fillId="0" fontId="4" numFmtId="0" xfId="0" applyAlignment="1" applyFont="1">
      <alignment horizontal="center"/>
    </xf>
    <xf borderId="0" fillId="0" fontId="7" numFmtId="0" xfId="0" applyAlignment="1" applyFont="1">
      <alignment readingOrder="0" shrinkToFit="0" vertical="bottom" wrapText="0"/>
    </xf>
    <xf borderId="0" fillId="0" fontId="8" numFmtId="0" xfId="0" applyAlignment="1" applyFont="1">
      <alignment horizontal="center" shrinkToFit="0" vertical="bottom" wrapText="1"/>
    </xf>
    <xf borderId="0" fillId="0" fontId="1" numFmtId="0" xfId="0" applyAlignment="1" applyFont="1">
      <alignment horizontal="center" readingOrder="0" shrinkToFit="0" vertical="bottom" wrapText="1"/>
    </xf>
    <xf borderId="0" fillId="0" fontId="3" numFmtId="0" xfId="0" applyAlignment="1" applyFont="1">
      <alignment horizontal="center" readingOrder="0" shrinkToFit="0" vertical="bottom" wrapText="1"/>
    </xf>
    <xf borderId="0" fillId="0" fontId="3" numFmtId="0" xfId="0" applyAlignment="1" applyFont="1">
      <alignment horizontal="center" shrinkToFit="0" vertical="bottom" wrapText="1"/>
    </xf>
    <xf borderId="0" fillId="0" fontId="3" numFmtId="0" xfId="0" applyAlignment="1" applyFont="1">
      <alignment horizontal="center" readingOrder="0" shrinkToFit="0" vertical="center" wrapText="1"/>
    </xf>
    <xf borderId="0" fillId="0" fontId="3" numFmtId="4" xfId="0" applyAlignment="1" applyFont="1" applyNumberFormat="1">
      <alignment horizontal="center" shrinkToFit="0" wrapText="1"/>
    </xf>
    <xf borderId="0" fillId="2" fontId="3" numFmtId="0" xfId="0" applyAlignment="1" applyFont="1">
      <alignment horizontal="center" readingOrder="0" shrinkToFit="0" vertical="bottom" wrapText="1"/>
    </xf>
    <xf borderId="0" fillId="0" fontId="2" numFmtId="0" xfId="0" applyAlignment="1" applyFont="1">
      <alignment horizontal="center" shrinkToFit="0" wrapText="1"/>
    </xf>
    <xf borderId="0" fillId="0" fontId="9" numFmtId="0" xfId="0" applyAlignment="1" applyFont="1">
      <alignment horizontal="center" readingOrder="0" shrinkToFit="0" wrapText="1"/>
    </xf>
    <xf borderId="0" fillId="0" fontId="10" numFmtId="0" xfId="0" applyAlignment="1" applyFont="1">
      <alignment horizontal="center" readingOrder="0" shrinkToFit="0" vertical="bottom" wrapText="1"/>
    </xf>
    <xf borderId="0" fillId="0" fontId="10" numFmtId="0" xfId="0" applyAlignment="1" applyFont="1">
      <alignment horizontal="center" shrinkToFit="0" vertical="bottom" wrapText="1"/>
    </xf>
    <xf borderId="0" fillId="0" fontId="11" numFmtId="0" xfId="0" applyAlignment="1" applyFont="1">
      <alignment readingOrder="0" vertical="bottom"/>
    </xf>
    <xf borderId="0" fillId="0" fontId="7" numFmtId="0" xfId="0" applyAlignment="1" applyFont="1">
      <alignment vertical="bottom"/>
    </xf>
    <xf borderId="0" fillId="0" fontId="11" numFmtId="0" xfId="0" applyAlignment="1" applyFont="1">
      <alignment vertical="bottom"/>
    </xf>
    <xf borderId="0" fillId="2" fontId="12" numFmtId="0" xfId="0" applyAlignment="1" applyFont="1">
      <alignment readingOrder="0"/>
    </xf>
    <xf borderId="0" fillId="4" fontId="4" numFmtId="0" xfId="0" applyAlignment="1" applyFont="1">
      <alignment readingOrder="0"/>
    </xf>
    <xf borderId="0" fillId="0" fontId="11" numFmtId="0" xfId="0" applyAlignment="1" applyFont="1">
      <alignment readingOrder="0"/>
    </xf>
    <xf borderId="0" fillId="0" fontId="0" numFmtId="0" xfId="0" applyAlignment="1" applyFont="1">
      <alignment shrinkToFit="0" wrapText="0"/>
    </xf>
    <xf borderId="0" fillId="0" fontId="7" numFmtId="0" xfId="0" applyAlignment="1" applyFont="1">
      <alignment readingOrder="0" vertical="bottom"/>
    </xf>
    <xf borderId="0" fillId="0" fontId="0" numFmtId="0" xfId="0" applyAlignment="1" applyFont="1">
      <alignment readingOrder="0" shrinkToFit="0" wrapText="0"/>
    </xf>
    <xf borderId="0" fillId="0" fontId="7" numFmtId="0" xfId="0" applyAlignment="1" applyFont="1">
      <alignment vertical="bottom"/>
    </xf>
    <xf borderId="0" fillId="0" fontId="13" numFmtId="0" xfId="0" applyAlignment="1" applyFont="1">
      <alignment readingOrder="0" shrinkToFit="0" vertical="center" wrapText="0"/>
    </xf>
    <xf borderId="0" fillId="4" fontId="11" numFmtId="0" xfId="0" applyAlignment="1" applyFont="1">
      <alignment readingOrder="0" vertical="bottom"/>
    </xf>
    <xf borderId="0" fillId="0" fontId="7" numFmtId="0" xfId="0" applyAlignment="1" applyFont="1">
      <alignment horizontal="right" vertical="bottom"/>
    </xf>
    <xf borderId="0" fillId="0" fontId="7" numFmtId="0" xfId="0" applyAlignment="1" applyFont="1">
      <alignment horizontal="center" vertical="bottom"/>
    </xf>
    <xf borderId="0" fillId="4" fontId="11" numFmtId="0" xfId="0" applyAlignment="1" applyFont="1">
      <alignment readingOrder="0"/>
    </xf>
    <xf borderId="0" fillId="4" fontId="7" numFmtId="0" xfId="0" applyAlignment="1" applyFont="1">
      <alignment readingOrder="0" shrinkToFit="0" vertical="bottom" wrapText="0"/>
    </xf>
    <xf borderId="0" fillId="4" fontId="4" numFmtId="0" xfId="0" applyAlignment="1" applyFont="1">
      <alignment horizontal="center" readingOrder="0"/>
    </xf>
    <xf borderId="0" fillId="4" fontId="4" numFmtId="0" xfId="0" applyFont="1"/>
    <xf borderId="0" fillId="4" fontId="4" numFmtId="0" xfId="0" applyAlignment="1" applyFont="1">
      <alignment readingOrder="0"/>
    </xf>
    <xf borderId="0" fillId="4" fontId="14" numFmtId="0" xfId="0" applyAlignment="1" applyFont="1">
      <alignment readingOrder="0"/>
    </xf>
    <xf borderId="0" fillId="0" fontId="11" numFmtId="0" xfId="0" applyFont="1"/>
    <xf borderId="0" fillId="0" fontId="7" numFmtId="0" xfId="0" applyAlignment="1" applyFont="1">
      <alignment shrinkToFit="0" vertical="bottom" wrapText="0"/>
    </xf>
    <xf borderId="0" fillId="5" fontId="7" numFmtId="0" xfId="0" applyAlignment="1" applyFill="1" applyFont="1">
      <alignment readingOrder="0" shrinkToFit="0" vertical="bottom" wrapText="0"/>
    </xf>
    <xf borderId="0" fillId="5" fontId="7" numFmtId="0" xfId="0" applyAlignment="1" applyFont="1">
      <alignment shrinkToFit="0" vertical="bottom" wrapText="0"/>
    </xf>
    <xf borderId="0" fillId="5" fontId="4" numFmtId="0" xfId="0" applyFont="1"/>
    <xf borderId="0" fillId="0" fontId="2" numFmtId="0" xfId="0" applyAlignment="1" applyFont="1">
      <alignment readingOrder="0"/>
    </xf>
    <xf borderId="0" fillId="0" fontId="15" numFmtId="0" xfId="0" applyAlignment="1" applyFont="1">
      <alignment readingOrder="0" vertical="bottom"/>
    </xf>
    <xf borderId="0" fillId="0" fontId="15" numFmtId="0" xfId="0" applyAlignment="1" applyFont="1">
      <alignment horizontal="center" readingOrder="0" vertical="bottom"/>
    </xf>
    <xf borderId="0" fillId="0" fontId="9" numFmtId="0" xfId="0" applyAlignment="1" applyFont="1">
      <alignment readingOrder="0"/>
    </xf>
    <xf borderId="0" fillId="0" fontId="5" numFmtId="0" xfId="0" applyFont="1"/>
    <xf borderId="0" fillId="2" fontId="6" numFmtId="0" xfId="0" applyAlignment="1" applyFont="1">
      <alignment readingOrder="0" vertical="bottom"/>
    </xf>
    <xf borderId="0" fillId="0" fontId="6" numFmtId="0" xfId="0" applyAlignment="1" applyFont="1">
      <alignment horizontal="center" vertical="bottom"/>
    </xf>
    <xf borderId="0" fillId="0" fontId="16" numFmtId="0" xfId="0" applyAlignment="1" applyFont="1">
      <alignment shrinkToFit="0" vertical="bottom" wrapText="0"/>
    </xf>
    <xf borderId="0" fillId="2" fontId="6" numFmtId="0" xfId="0" applyAlignment="1" applyFont="1">
      <alignment vertical="bottom"/>
    </xf>
    <xf borderId="0" fillId="0" fontId="17" numFmtId="0" xfId="0" applyAlignment="1" applyFont="1">
      <alignment readingOrder="0" shrinkToFit="0" vertical="bottom" wrapText="0"/>
    </xf>
    <xf borderId="0" fillId="0" fontId="16" numFmtId="0" xfId="0" applyAlignment="1" applyFont="1">
      <alignment readingOrder="0" shrinkToFit="0" vertical="bottom" wrapText="0"/>
    </xf>
    <xf borderId="0" fillId="6" fontId="4" numFmtId="0" xfId="0" applyAlignment="1" applyFill="1" applyFont="1">
      <alignment horizontal="center" readingOrder="0"/>
    </xf>
    <xf borderId="0" fillId="6" fontId="6" numFmtId="0" xfId="0" applyAlignment="1" applyFont="1">
      <alignment readingOrder="0" vertical="bottom"/>
    </xf>
    <xf borderId="0" fillId="6" fontId="4" numFmtId="0" xfId="0" applyAlignment="1" applyFont="1">
      <alignment readingOrder="0"/>
    </xf>
    <xf borderId="0" fillId="6" fontId="6" numFmtId="0" xfId="0" applyAlignment="1" applyFont="1">
      <alignment vertical="bottom"/>
    </xf>
    <xf borderId="0" fillId="6" fontId="6" numFmtId="0" xfId="0" applyAlignment="1" applyFont="1">
      <alignment horizontal="center" readingOrder="0" vertical="bottom"/>
    </xf>
    <xf borderId="0" fillId="6" fontId="4" numFmtId="0" xfId="0" applyFont="1"/>
    <xf borderId="0" fillId="6" fontId="16" numFmtId="0" xfId="0" applyAlignment="1" applyFont="1">
      <alignment shrinkToFit="0" vertical="bottom" wrapText="0"/>
    </xf>
    <xf borderId="0" fillId="7" fontId="4" numFmtId="0" xfId="0" applyAlignment="1" applyFill="1" applyFont="1">
      <alignment readingOrder="0"/>
    </xf>
    <xf borderId="0" fillId="4" fontId="17" numFmtId="0" xfId="0" applyAlignment="1" applyFont="1">
      <alignment horizontal="center" readingOrder="0" vertical="bottom"/>
    </xf>
    <xf borderId="0" fillId="4" fontId="13" numFmtId="0" xfId="0" applyAlignment="1" applyFont="1">
      <alignment readingOrder="0" vertical="bottom"/>
    </xf>
    <xf borderId="0" fillId="0" fontId="17" numFmtId="0" xfId="0" applyAlignment="1" applyFont="1">
      <alignment horizontal="center" readingOrder="0" vertical="bottom"/>
    </xf>
    <xf borderId="0" fillId="0" fontId="13" numFmtId="0" xfId="0" applyAlignment="1" applyFont="1">
      <alignment readingOrder="0" vertical="bottom"/>
    </xf>
    <xf borderId="0" fillId="2" fontId="13" numFmtId="0" xfId="0" applyAlignment="1" applyFont="1">
      <alignment horizontal="left" readingOrder="0"/>
    </xf>
    <xf borderId="0" fillId="0" fontId="6" numFmtId="0" xfId="0" applyAlignment="1" applyFont="1">
      <alignment horizontal="center" vertical="bottom"/>
    </xf>
    <xf borderId="0" fillId="0" fontId="18" numFmtId="0" xfId="0" applyAlignment="1" applyFont="1">
      <alignment readingOrder="0" vertical="bottom"/>
    </xf>
    <xf borderId="0" fillId="8" fontId="4" numFmtId="0" xfId="0" applyAlignment="1" applyFill="1" applyFont="1">
      <alignment horizontal="center" readingOrder="0"/>
    </xf>
    <xf borderId="0" fillId="8" fontId="6" numFmtId="0" xfId="0" applyAlignment="1" applyFont="1">
      <alignment readingOrder="0" vertical="bottom"/>
    </xf>
    <xf borderId="0" fillId="8" fontId="4" numFmtId="0" xfId="0" applyAlignment="1" applyFont="1">
      <alignment readingOrder="0"/>
    </xf>
    <xf borderId="0" fillId="0" fontId="16" numFmtId="0" xfId="0" applyAlignment="1" applyFont="1">
      <alignment readingOrder="0" vertical="bottom"/>
    </xf>
    <xf borderId="0" fillId="0" fontId="16" numFmtId="0" xfId="0" applyAlignment="1" applyFont="1">
      <alignment vertical="bottom"/>
    </xf>
    <xf borderId="0" fillId="0" fontId="13" numFmtId="0" xfId="0" applyAlignment="1" applyFont="1">
      <alignment horizontal="right" readingOrder="0" vertical="bottom"/>
    </xf>
    <xf borderId="0" fillId="0" fontId="19" numFmtId="0" xfId="0" applyAlignment="1" applyFont="1">
      <alignment readingOrder="0" vertical="bottom"/>
    </xf>
    <xf borderId="0" fillId="2" fontId="20" numFmtId="0" xfId="0" applyFont="1"/>
    <xf borderId="0" fillId="0" fontId="4" numFmtId="10" xfId="0" applyFont="1" applyNumberFormat="1"/>
    <xf borderId="0" fillId="0" fontId="1" numFmtId="0" xfId="0" applyAlignment="1" applyFont="1">
      <alignment horizontal="center" readingOrder="0" shrinkToFit="0" vertical="center" wrapText="1"/>
    </xf>
    <xf borderId="0" fillId="2" fontId="1" numFmtId="0" xfId="0" applyAlignment="1" applyFont="1">
      <alignment horizontal="center" readingOrder="0" shrinkToFit="0" vertical="center" wrapText="0"/>
    </xf>
    <xf borderId="0" fillId="0" fontId="1" numFmtId="0" xfId="0" applyAlignment="1" applyFont="1">
      <alignment readingOrder="0" vertical="center"/>
    </xf>
    <xf borderId="0" fillId="0" fontId="4" numFmtId="0" xfId="0" applyAlignment="1" applyFont="1">
      <alignment horizontal="center" readingOrder="0" vertical="center"/>
    </xf>
    <xf borderId="0" fillId="2" fontId="4" numFmtId="0" xfId="0" applyAlignment="1" applyFont="1">
      <alignment horizontal="center" readingOrder="0" shrinkToFit="0" vertical="center" wrapText="1"/>
    </xf>
    <xf borderId="0" fillId="2" fontId="4" numFmtId="0" xfId="0" applyAlignment="1" applyFont="1">
      <alignment horizontal="center" readingOrder="0" vertical="center"/>
    </xf>
    <xf borderId="0" fillId="0" fontId="21" numFmtId="0" xfId="0" applyAlignment="1" applyFont="1">
      <alignment readingOrder="0" shrinkToFit="0" vertical="center" wrapText="1"/>
    </xf>
    <xf borderId="0" fillId="2" fontId="4" numFmtId="0" xfId="0" applyAlignment="1" applyFont="1">
      <alignment readingOrder="0" shrinkToFit="0" vertical="center" wrapText="0"/>
    </xf>
    <xf borderId="0" fillId="0" fontId="4" numFmtId="0" xfId="0" applyAlignment="1" applyFont="1">
      <alignment horizontal="center" vertical="center"/>
    </xf>
    <xf borderId="0" fillId="2" fontId="4" numFmtId="0" xfId="0" applyAlignment="1" applyFont="1">
      <alignment readingOrder="0" shrinkToFit="0" vertical="center" wrapText="1"/>
    </xf>
    <xf borderId="0" fillId="2" fontId="4" numFmtId="0" xfId="0" applyAlignment="1" applyFont="1">
      <alignment horizontal="center" readingOrder="0" vertical="center"/>
    </xf>
    <xf borderId="0" fillId="9" fontId="4" numFmtId="0" xfId="0" applyAlignment="1" applyFill="1" applyFont="1">
      <alignment readingOrder="0" vertical="center"/>
    </xf>
    <xf borderId="0" fillId="0" fontId="4" numFmtId="0" xfId="0" applyAlignment="1" applyFont="1">
      <alignment vertical="center"/>
    </xf>
    <xf borderId="0" fillId="2" fontId="18" numFmtId="0" xfId="0" applyAlignment="1" applyFont="1">
      <alignment readingOrder="0" shrinkToFit="0" vertical="top" wrapText="1"/>
    </xf>
    <xf borderId="0" fillId="4" fontId="4" numFmtId="0" xfId="0" applyAlignment="1" applyFont="1">
      <alignment readingOrder="0" shrinkToFit="0" vertical="center" wrapText="0"/>
    </xf>
    <xf borderId="0" fillId="2" fontId="4" numFmtId="0" xfId="0" applyAlignment="1" applyFont="1">
      <alignment shrinkToFit="0" vertical="center" wrapText="0"/>
    </xf>
    <xf borderId="0" fillId="0" fontId="22" numFmtId="0" xfId="0" applyAlignment="1" applyFont="1">
      <alignment horizontal="center" vertical="center"/>
    </xf>
    <xf borderId="0" fillId="0" fontId="23" numFmtId="0" xfId="0" applyAlignment="1" applyFont="1">
      <alignment readingOrder="0" shrinkToFit="0" vertical="center" wrapText="1"/>
    </xf>
    <xf borderId="0" fillId="0" fontId="24" numFmtId="0" xfId="0" applyAlignment="1" applyFont="1">
      <alignment vertical="bottom"/>
    </xf>
    <xf borderId="0" fillId="4" fontId="6" numFmtId="0" xfId="0" applyAlignment="1" applyFont="1">
      <alignment vertical="bottom"/>
    </xf>
    <xf borderId="0" fillId="0" fontId="25" numFmtId="0" xfId="0" applyAlignment="1" applyFont="1">
      <alignment readingOrder="0" vertical="bottom"/>
    </xf>
    <xf borderId="0" fillId="0" fontId="26" numFmtId="0" xfId="0" applyAlignment="1" applyFont="1">
      <alignment vertical="bottom"/>
    </xf>
    <xf borderId="0" fillId="0" fontId="27" numFmtId="0" xfId="0" applyAlignment="1" applyFont="1">
      <alignment shrinkToFit="0" vertical="bottom" wrapText="1"/>
    </xf>
    <xf borderId="0" fillId="0" fontId="4" numFmtId="0" xfId="0" applyAlignment="1" applyFont="1">
      <alignment shrinkToFit="0" vertical="center" wrapText="1"/>
    </xf>
    <xf borderId="0" fillId="0" fontId="4" numFmtId="0" xfId="0" applyAlignment="1" applyFont="1">
      <alignment shrinkToFit="0" vertical="center" wrapText="0"/>
    </xf>
    <xf borderId="0" fillId="0" fontId="4" numFmtId="0" xfId="0" applyAlignment="1" applyFont="1">
      <alignment readingOrder="0" shrinkToFit="0" vertical="center" wrapText="1"/>
    </xf>
    <xf borderId="0" fillId="0" fontId="5" numFmtId="0" xfId="0" applyAlignment="1" applyFont="1">
      <alignment horizontal="center"/>
    </xf>
    <xf borderId="0" fillId="0" fontId="5" numFmtId="0" xfId="0" applyAlignment="1" applyFont="1">
      <alignment horizontal="center" readingOrder="0"/>
    </xf>
    <xf borderId="1" fillId="10" fontId="5" numFmtId="0" xfId="0" applyAlignment="1" applyBorder="1" applyFill="1" applyFont="1">
      <alignment horizontal="center" readingOrder="0" shrinkToFit="0" vertical="center" wrapText="1"/>
    </xf>
    <xf borderId="1" fillId="0" fontId="4" numFmtId="0" xfId="0" applyAlignment="1" applyBorder="1" applyFont="1">
      <alignment horizontal="center" readingOrder="0" shrinkToFit="0" vertical="center" wrapText="1"/>
    </xf>
    <xf borderId="0" fillId="0" fontId="4" numFmtId="0" xfId="0" applyAlignment="1" applyFont="1">
      <alignment readingOrder="0" shrinkToFit="0" vertical="top" wrapText="0"/>
    </xf>
    <xf borderId="0" fillId="0" fontId="4" numFmtId="0" xfId="0" applyAlignment="1" applyFont="1">
      <alignment readingOrder="0" vertical="top"/>
    </xf>
    <xf borderId="1" fillId="0" fontId="4" numFmtId="164" xfId="0" applyAlignment="1" applyBorder="1" applyFont="1" applyNumberFormat="1">
      <alignment horizontal="center" readingOrder="0" shrinkToFit="0" vertical="center" wrapText="1"/>
    </xf>
    <xf borderId="0" fillId="0" fontId="2" numFmtId="0" xfId="0" applyAlignment="1" applyFont="1">
      <alignment horizontal="right" readingOrder="0" shrinkToFit="0" wrapText="0"/>
    </xf>
    <xf borderId="0" fillId="0" fontId="4" numFmtId="0" xfId="0" applyAlignment="1" applyFont="1">
      <alignment shrinkToFit="0" wrapText="0"/>
    </xf>
    <xf borderId="0" fillId="0" fontId="28" numFmtId="0" xfId="0" applyAlignment="1" applyFont="1">
      <alignment readingOrder="0" shrinkToFit="0" wrapText="0"/>
    </xf>
    <xf borderId="0" fillId="0" fontId="29" numFmtId="0" xfId="0" applyAlignment="1" applyFont="1">
      <alignment readingOrder="0"/>
    </xf>
    <xf borderId="0" fillId="0" fontId="29" numFmtId="0" xfId="0" applyFont="1"/>
    <xf borderId="0" fillId="0" fontId="30" numFmtId="0" xfId="0" applyAlignment="1" applyFont="1">
      <alignment readingOrder="0"/>
    </xf>
    <xf borderId="0" fillId="0" fontId="4" numFmtId="9" xfId="0" applyAlignment="1" applyFont="1" applyNumberFormat="1">
      <alignment readingOrder="0"/>
    </xf>
    <xf borderId="0" fillId="0" fontId="4" numFmtId="165" xfId="0" applyAlignment="1" applyFont="1" applyNumberFormat="1">
      <alignment readingOrder="0"/>
    </xf>
    <xf borderId="0" fillId="0" fontId="4" numFmtId="0" xfId="0" applyFont="1"/>
    <xf borderId="0" fillId="0" fontId="31" numFmtId="0" xfId="0" applyAlignment="1" applyFont="1">
      <alignment readingOrder="0" vertical="bottom"/>
    </xf>
    <xf borderId="0" fillId="11" fontId="7" numFmtId="0" xfId="0" applyAlignment="1" applyFill="1" applyFont="1">
      <alignment horizontal="center" vertical="bottom"/>
    </xf>
    <xf borderId="0" fillId="12" fontId="7" numFmtId="0" xfId="0" applyAlignment="1" applyFill="1" applyFont="1">
      <alignment horizontal="center" vertical="bottom"/>
    </xf>
    <xf borderId="0" fillId="2" fontId="32" numFmtId="0" xfId="0" applyAlignment="1" applyFont="1">
      <alignment readingOrder="0"/>
    </xf>
    <xf borderId="0" fillId="2" fontId="33" numFmtId="0" xfId="0" applyAlignment="1" applyFont="1">
      <alignment readingOrder="0"/>
    </xf>
    <xf borderId="0" fillId="0" fontId="34" numFmtId="0" xfId="0" applyAlignment="1" applyFont="1">
      <alignment vertical="bottom"/>
    </xf>
    <xf borderId="0" fillId="0" fontId="34" numFmtId="0" xfId="0" applyAlignment="1" applyFont="1">
      <alignment readingOrder="0" vertical="bottom"/>
    </xf>
    <xf borderId="0" fillId="0" fontId="2" numFmtId="0" xfId="0" applyAlignment="1" applyFont="1">
      <alignment horizontal="center" readingOrder="0" vertical="center"/>
    </xf>
    <xf borderId="0" fillId="0" fontId="2" numFmtId="0" xfId="0" applyFont="1"/>
    <xf borderId="0" fillId="0" fontId="35" numFmtId="0" xfId="0" applyAlignment="1" applyFont="1">
      <alignment horizontal="center" readingOrder="0" shrinkToFit="0" vertical="top" wrapText="0"/>
    </xf>
    <xf borderId="0" fillId="0" fontId="35" numFmtId="0" xfId="0" applyAlignment="1" applyFont="1">
      <alignment horizontal="center" shrinkToFit="0" vertical="top" wrapText="0"/>
    </xf>
    <xf borderId="0" fillId="0" fontId="35" numFmtId="0" xfId="0" applyAlignment="1" applyFont="1">
      <alignment horizontal="center" shrinkToFit="0" vertical="top" wrapText="0"/>
    </xf>
    <xf borderId="0" fillId="0" fontId="35" numFmtId="0" xfId="0" applyAlignment="1" applyFont="1">
      <alignment horizontal="center" readingOrder="0" shrinkToFit="0" vertical="bottom" wrapText="0"/>
    </xf>
    <xf borderId="0" fillId="0" fontId="35" numFmtId="0" xfId="0" applyAlignment="1" applyFont="1">
      <alignment horizontal="center" shrinkToFit="0" vertical="bottom" wrapText="0"/>
    </xf>
    <xf borderId="0" fillId="0" fontId="35" numFmtId="0" xfId="0" applyAlignment="1" applyFont="1">
      <alignment horizontal="center" shrinkToFit="0" vertical="bottom" wrapText="0"/>
    </xf>
    <xf borderId="0" fillId="0" fontId="36" numFmtId="0" xfId="0" applyAlignment="1" applyFont="1">
      <alignment horizontal="center" readingOrder="0" shrinkToFit="0" vertical="top" wrapText="0"/>
    </xf>
    <xf borderId="0" fillId="0" fontId="37" numFmtId="0" xfId="0" applyAlignment="1" applyFont="1">
      <alignment horizontal="center" readingOrder="0" shrinkToFit="0" vertical="top" wrapText="0"/>
    </xf>
    <xf borderId="0" fillId="0" fontId="37" numFmtId="0" xfId="0" applyAlignment="1" applyFont="1">
      <alignment horizontal="center" shrinkToFit="0" vertical="top" wrapText="0"/>
    </xf>
    <xf borderId="0" fillId="0" fontId="38" numFmtId="0" xfId="0" applyAlignment="1" applyFont="1">
      <alignment horizontal="center" readingOrder="0" shrinkToFit="0" vertical="top" wrapText="0"/>
    </xf>
    <xf borderId="0" fillId="0" fontId="37" numFmtId="0" xfId="0" applyAlignment="1" applyFont="1">
      <alignment horizontal="center" shrinkToFit="0" vertical="top" wrapText="0"/>
    </xf>
    <xf borderId="0" fillId="0" fontId="39" numFmtId="0" xfId="0" applyAlignment="1" applyFont="1">
      <alignment horizontal="center" readingOrder="0" shrinkToFit="0" vertical="top" wrapText="0"/>
    </xf>
    <xf borderId="0" fillId="0" fontId="40" numFmtId="0" xfId="0" applyAlignment="1" applyFont="1">
      <alignment horizontal="center" readingOrder="0" shrinkToFit="0" vertical="top" wrapText="0"/>
    </xf>
    <xf borderId="0" fillId="0" fontId="41" numFmtId="0" xfId="0" applyAlignment="1" applyFont="1">
      <alignment horizontal="center" readingOrder="0" shrinkToFit="0" vertical="top" wrapText="0"/>
    </xf>
    <xf borderId="0" fillId="0" fontId="42" numFmtId="0" xfId="0" applyAlignment="1" applyFont="1">
      <alignment horizontal="center" readingOrder="0" shrinkToFit="0" vertical="top" wrapText="0"/>
    </xf>
    <xf borderId="0" fillId="4" fontId="36" numFmtId="0" xfId="0" applyAlignment="1" applyFont="1">
      <alignment horizontal="center" readingOrder="0" shrinkToFit="0" vertical="top" wrapText="0"/>
    </xf>
    <xf borderId="0" fillId="0" fontId="43" numFmtId="0" xfId="0" applyAlignment="1" applyFont="1">
      <alignment horizontal="center" readingOrder="0" shrinkToFit="0" vertical="top" wrapText="0"/>
    </xf>
    <xf quotePrefix="1" borderId="0" fillId="0" fontId="36" numFmtId="0" xfId="0" applyAlignment="1" applyFont="1">
      <alignment horizontal="center" readingOrder="0" shrinkToFit="0" vertical="top" wrapText="0"/>
    </xf>
    <xf borderId="0" fillId="0" fontId="36" numFmtId="0" xfId="0" applyAlignment="1" applyFont="1">
      <alignment horizontal="center" vertical="top"/>
    </xf>
    <xf borderId="0" fillId="0" fontId="37" numFmtId="0" xfId="0" applyAlignment="1" applyFont="1">
      <alignment horizontal="center" vertical="top"/>
    </xf>
    <xf borderId="0" fillId="0" fontId="7" numFmtId="0" xfId="0" applyAlignment="1" applyFont="1">
      <alignment vertical="top"/>
    </xf>
    <xf borderId="0" fillId="0" fontId="44" numFmtId="0" xfId="0" applyAlignment="1" applyFont="1">
      <alignment horizontal="center" vertical="top"/>
    </xf>
    <xf borderId="0" fillId="0" fontId="36" numFmtId="0" xfId="0" applyAlignment="1" applyFont="1">
      <alignment horizontal="center" readingOrder="0" vertical="top"/>
    </xf>
    <xf borderId="0" fillId="0" fontId="7" numFmtId="0" xfId="0" applyAlignment="1" applyFont="1">
      <alignment horizontal="center" vertical="bottom"/>
    </xf>
    <xf borderId="0" fillId="0" fontId="44" numFmtId="0" xfId="0" applyAlignment="1" applyFont="1">
      <alignment horizontal="center" readingOrder="0" shrinkToFit="0" vertical="top" wrapText="0"/>
    </xf>
    <xf borderId="0" fillId="0" fontId="7" numFmtId="0" xfId="0" applyAlignment="1" applyFont="1">
      <alignment readingOrder="0" vertical="top"/>
    </xf>
    <xf borderId="0" fillId="0" fontId="7" numFmtId="0" xfId="0" applyAlignment="1" applyFont="1">
      <alignment horizontal="center" readingOrder="0" vertical="bottom"/>
    </xf>
    <xf borderId="0" fillId="0" fontId="13" numFmtId="0" xfId="0" applyAlignment="1" applyFont="1">
      <alignment horizontal="center" readingOrder="0" vertical="bottom"/>
    </xf>
    <xf borderId="0" fillId="0" fontId="10" numFmtId="49" xfId="0" applyAlignment="1" applyFont="1" applyNumberFormat="1">
      <alignment horizontal="center" readingOrder="0" vertical="bottom"/>
    </xf>
    <xf borderId="0" fillId="0" fontId="10" numFmtId="0" xfId="0" applyAlignment="1" applyFont="1">
      <alignment horizontal="center" readingOrder="0" vertical="bottom"/>
    </xf>
    <xf borderId="0" fillId="0" fontId="10" numFmtId="0" xfId="0" applyAlignment="1" applyFont="1">
      <alignment readingOrder="0" vertical="bottom"/>
    </xf>
    <xf borderId="0" fillId="0" fontId="2" numFmtId="0" xfId="0" applyAlignment="1" applyFont="1">
      <alignment horizontal="center" readingOrder="0"/>
    </xf>
    <xf borderId="0" fillId="0" fontId="45" numFmtId="0" xfId="0" applyAlignment="1" applyFont="1">
      <alignment readingOrder="0" vertical="top"/>
    </xf>
    <xf borderId="0" fillId="0" fontId="11" numFmtId="0" xfId="0" applyAlignment="1" applyFont="1">
      <alignment readingOrder="0" shrinkToFit="0" vertical="center" wrapText="1"/>
    </xf>
    <xf borderId="0" fillId="0" fontId="4" numFmtId="0" xfId="0" applyAlignment="1" applyFont="1">
      <alignment readingOrder="0" vertical="center"/>
    </xf>
    <xf borderId="0" fillId="0" fontId="2" numFmtId="0" xfId="0" applyAlignment="1" applyFont="1">
      <alignment horizontal="center" readingOrder="0" shrinkToFit="0" wrapText="1"/>
    </xf>
    <xf borderId="0" fillId="2" fontId="46" numFmtId="0" xfId="0" applyAlignment="1" applyFont="1">
      <alignment readingOrder="0" vertical="bottom"/>
    </xf>
    <xf borderId="0" fillId="0" fontId="34" numFmtId="0" xfId="0" applyAlignment="1" applyFont="1">
      <alignment readingOrder="0" shrinkToFit="0" vertical="bottom" wrapText="0"/>
    </xf>
    <xf borderId="0" fillId="2" fontId="47" numFmtId="0" xfId="0" applyAlignment="1" applyFont="1">
      <alignment horizontal="right" vertical="bottom"/>
    </xf>
    <xf borderId="2" fillId="2" fontId="48" numFmtId="0" xfId="0" applyAlignment="1" applyBorder="1" applyFont="1">
      <alignment readingOrder="0" vertical="top"/>
    </xf>
    <xf borderId="0" fillId="2" fontId="49" numFmtId="0" xfId="0" applyAlignment="1" applyFont="1">
      <alignment horizontal="right" vertical="bottom"/>
    </xf>
    <xf borderId="0" fillId="0" fontId="50" numFmtId="0" xfId="0" applyAlignment="1" applyFont="1">
      <alignment horizontal="right" vertical="bottom"/>
    </xf>
    <xf borderId="0" fillId="0" fontId="7" numFmtId="0" xfId="0" applyAlignment="1" applyFont="1">
      <alignment horizontal="right" readingOrder="0" vertical="bottom"/>
    </xf>
    <xf borderId="0" fillId="0" fontId="51" numFmtId="0" xfId="0" applyAlignment="1" applyFont="1">
      <alignment readingOrder="0"/>
    </xf>
    <xf borderId="0" fillId="0" fontId="52" numFmtId="0" xfId="0" applyAlignment="1" applyFont="1">
      <alignment readingOrder="0" shrinkToFit="0" wrapText="0"/>
    </xf>
    <xf borderId="0" fillId="0" fontId="17" numFmtId="0" xfId="0" applyAlignment="1" applyFont="1">
      <alignment shrinkToFit="0" vertical="bottom" wrapText="0"/>
    </xf>
    <xf borderId="0" fillId="0" fontId="53" numFmtId="0" xfId="0" applyAlignment="1" applyFont="1">
      <alignment readingOrder="0"/>
    </xf>
    <xf borderId="0" fillId="2" fontId="54" numFmtId="0" xfId="0" applyAlignment="1" applyFont="1">
      <alignment readingOrder="0"/>
    </xf>
    <xf borderId="0" fillId="0" fontId="55" numFmtId="0" xfId="0" applyFont="1"/>
    <xf borderId="0" fillId="0" fontId="56" numFmtId="0" xfId="0" applyAlignment="1" applyFont="1">
      <alignment readingOrder="0" shrinkToFit="0" wrapText="0"/>
    </xf>
    <xf borderId="0" fillId="0" fontId="55" numFmtId="0" xfId="0" applyAlignment="1" applyFont="1">
      <alignment shrinkToFit="0" wrapText="0"/>
    </xf>
    <xf borderId="0" fillId="0" fontId="55" numFmtId="0" xfId="0" applyAlignment="1" applyFont="1">
      <alignment readingOrder="0" shrinkToFit="0" wrapText="0"/>
    </xf>
    <xf borderId="0" fillId="0" fontId="4" numFmtId="0" xfId="0" applyAlignment="1" applyFont="1">
      <alignment readingOrder="0"/>
    </xf>
    <xf borderId="0" fillId="0" fontId="57" numFmtId="0" xfId="0" applyAlignment="1" applyFont="1">
      <alignment readingOrder="0"/>
    </xf>
    <xf borderId="0" fillId="0" fontId="11" numFmtId="0" xfId="0" applyAlignment="1" applyFont="1">
      <alignment horizontal="left" readingOrder="0"/>
    </xf>
    <xf borderId="0" fillId="0" fontId="4" numFmtId="0" xfId="0" applyAlignment="1" applyFont="1">
      <alignment horizontal="left" readingOrder="0"/>
    </xf>
    <xf borderId="0" fillId="0" fontId="11" numFmtId="0" xfId="0" applyAlignment="1" applyFont="1">
      <alignment horizontal="left"/>
    </xf>
    <xf borderId="0" fillId="0" fontId="4" numFmtId="0" xfId="0" applyAlignment="1" applyFont="1">
      <alignment readingOrder="0" shrinkToFit="0" vertical="center" wrapText="0"/>
    </xf>
    <xf borderId="0" fillId="0" fontId="4" numFmtId="0" xfId="0" applyAlignment="1" applyFont="1">
      <alignment shrinkToFit="0" vertical="center" wrapText="0"/>
    </xf>
    <xf borderId="0" fillId="0" fontId="15" numFmtId="0" xfId="0" applyAlignment="1" applyFont="1">
      <alignment vertical="bottom"/>
    </xf>
    <xf borderId="0" fillId="0" fontId="15" numFmtId="0" xfId="0" applyAlignment="1" applyFont="1">
      <alignment horizontal="center" vertical="bottom"/>
    </xf>
    <xf borderId="0" fillId="0" fontId="58" numFmtId="0" xfId="0" applyFont="1"/>
    <xf borderId="0" fillId="0" fontId="59" numFmtId="0" xfId="0" applyAlignment="1" applyFont="1">
      <alignment readingOrder="0"/>
    </xf>
    <xf borderId="0" fillId="0" fontId="6" numFmtId="0" xfId="0" applyAlignment="1" applyFont="1">
      <alignment shrinkToFit="0" vertical="bottom" wrapText="0"/>
    </xf>
    <xf borderId="0" fillId="0" fontId="60" numFmtId="0" xfId="0" applyAlignment="1" applyFont="1">
      <alignment horizontal="center" readingOrder="0" vertical="center"/>
    </xf>
    <xf borderId="0" fillId="0" fontId="61" numFmtId="0" xfId="0" applyAlignment="1" applyFont="1">
      <alignment vertical="bottom"/>
    </xf>
    <xf borderId="0" fillId="0" fontId="61" numFmtId="0" xfId="0" applyAlignment="1" applyFont="1">
      <alignment horizontal="right" vertical="bottom"/>
    </xf>
    <xf borderId="0" fillId="0" fontId="62" numFmtId="0" xfId="0" applyAlignment="1" applyFont="1">
      <alignment vertical="bottom"/>
    </xf>
    <xf borderId="0" fillId="0" fontId="63" numFmtId="0" xfId="0" applyAlignment="1" applyFont="1">
      <alignment horizontal="center" readingOrder="0"/>
    </xf>
    <xf borderId="0" fillId="0" fontId="64" numFmtId="0" xfId="0" applyAlignment="1" applyFont="1">
      <alignment horizontal="center" readingOrder="0"/>
    </xf>
    <xf borderId="0" fillId="0" fontId="64" numFmtId="0" xfId="0" applyAlignment="1" applyFont="1">
      <alignment readingOrder="0"/>
    </xf>
    <xf borderId="0" fillId="0" fontId="64" numFmtId="0" xfId="0" applyFont="1"/>
    <xf borderId="0" fillId="0" fontId="65" numFmtId="0" xfId="0" applyAlignment="1" applyFont="1">
      <alignment vertical="bottom"/>
    </xf>
    <xf borderId="0" fillId="0" fontId="65" numFmtId="0" xfId="0" applyAlignment="1" applyFont="1">
      <alignment horizontal="right" vertical="bottom"/>
    </xf>
    <xf borderId="0" fillId="0" fontId="66" numFmtId="0" xfId="0" applyAlignment="1" applyFont="1">
      <alignment horizontal="center" readingOrder="0"/>
    </xf>
    <xf borderId="0" fillId="0" fontId="67" numFmtId="0" xfId="0" applyAlignment="1" applyFont="1">
      <alignment horizontal="center" readingOrder="0"/>
    </xf>
    <xf borderId="0" fillId="0" fontId="67" numFmtId="0" xfId="0" applyAlignment="1" applyFont="1">
      <alignment horizontal="center"/>
    </xf>
    <xf borderId="0" fillId="0" fontId="67" numFmtId="0" xfId="0" applyFont="1"/>
    <xf borderId="0" fillId="0" fontId="6" numFmtId="0" xfId="0" applyAlignment="1" applyFont="1">
      <alignment horizontal="right" vertical="bottom"/>
    </xf>
    <xf borderId="0" fillId="0" fontId="61" numFmtId="0" xfId="0" applyAlignment="1" applyFont="1">
      <alignment readingOrder="0" vertical="bottom"/>
    </xf>
    <xf borderId="0" fillId="0" fontId="62" numFmtId="0" xfId="0" applyAlignment="1" applyFont="1">
      <alignment readingOrder="0" vertical="bottom"/>
    </xf>
    <xf borderId="0" fillId="0" fontId="65" numFmtId="0" xfId="0" applyAlignment="1" applyFont="1">
      <alignment horizontal="right" readingOrder="0" vertical="bottom"/>
    </xf>
    <xf borderId="0" fillId="0" fontId="65" numFmtId="0" xfId="0" applyAlignment="1" applyFont="1">
      <alignment readingOrder="0" vertical="bottom"/>
    </xf>
    <xf borderId="0" fillId="0" fontId="68" numFmtId="0" xfId="0" applyAlignment="1" applyFont="1">
      <alignment readingOrder="0"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 Id="rId31" Type="http://schemas.openxmlformats.org/officeDocument/2006/relationships/worksheet" Target="worksheets/sheet27.xml"/><Relationship Id="rId30" Type="http://schemas.openxmlformats.org/officeDocument/2006/relationships/worksheet" Target="worksheets/sheet26.xml"/><Relationship Id="rId33" Type="http://schemas.openxmlformats.org/officeDocument/2006/relationships/worksheet" Target="worksheets/sheet29.xml"/><Relationship Id="rId32" Type="http://schemas.openxmlformats.org/officeDocument/2006/relationships/worksheet" Target="worksheets/sheet28.xml"/><Relationship Id="rId35" Type="http://schemas.openxmlformats.org/officeDocument/2006/relationships/worksheet" Target="worksheets/sheet31.xml"/><Relationship Id="rId34" Type="http://schemas.openxmlformats.org/officeDocument/2006/relationships/worksheet" Target="worksheets/sheet30.xml"/><Relationship Id="rId37" Type="http://schemas.openxmlformats.org/officeDocument/2006/relationships/worksheet" Target="worksheets/sheet33.xml"/><Relationship Id="rId36" Type="http://schemas.openxmlformats.org/officeDocument/2006/relationships/worksheet" Target="worksheets/sheet32.xml"/><Relationship Id="rId39" Type="http://schemas.openxmlformats.org/officeDocument/2006/relationships/worksheet" Target="worksheets/sheet35.xml"/><Relationship Id="rId38" Type="http://schemas.openxmlformats.org/officeDocument/2006/relationships/worksheet" Target="worksheets/sheet34.xml"/><Relationship Id="rId20" Type="http://schemas.openxmlformats.org/officeDocument/2006/relationships/worksheet" Target="worksheets/sheet16.xml"/><Relationship Id="rId22" Type="http://schemas.openxmlformats.org/officeDocument/2006/relationships/worksheet" Target="worksheets/sheet18.xml"/><Relationship Id="rId21" Type="http://schemas.openxmlformats.org/officeDocument/2006/relationships/worksheet" Target="worksheets/sheet17.xml"/><Relationship Id="rId24" Type="http://schemas.openxmlformats.org/officeDocument/2006/relationships/worksheet" Target="worksheets/sheet20.xml"/><Relationship Id="rId23" Type="http://schemas.openxmlformats.org/officeDocument/2006/relationships/worksheet" Target="worksheets/sheet19.xml"/><Relationship Id="rId26" Type="http://schemas.openxmlformats.org/officeDocument/2006/relationships/worksheet" Target="worksheets/sheet22.xml"/><Relationship Id="rId25" Type="http://schemas.openxmlformats.org/officeDocument/2006/relationships/worksheet" Target="worksheets/sheet21.xml"/><Relationship Id="rId28" Type="http://schemas.openxmlformats.org/officeDocument/2006/relationships/worksheet" Target="worksheets/sheet24.xml"/><Relationship Id="rId27" Type="http://schemas.openxmlformats.org/officeDocument/2006/relationships/worksheet" Target="worksheets/sheet23.xml"/><Relationship Id="rId29" Type="http://schemas.openxmlformats.org/officeDocument/2006/relationships/worksheet" Target="worksheets/sheet25.xml"/><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19" Type="http://schemas.openxmlformats.org/officeDocument/2006/relationships/worksheet" Target="worksheets/sheet15.xml"/><Relationship Id="rId18" Type="http://schemas.openxmlformats.org/officeDocument/2006/relationships/worksheet" Target="worksheets/sheet14.xml"/></Relationships>
</file>

<file path=xl/documenttasks/documenttask1.xml><?xml version="1.0" encoding="utf-8"?>
<Tasks xmlns="http://schemas.microsoft.com/office/tasks/2019/documenttasks"/>
</file>

<file path=xl/documenttasks/documenttask2.xml><?xml version="1.0" encoding="utf-8"?>
<Tasks xmlns="http://schemas.microsoft.com/office/tasks/2019/documenttasks"/>
</file>

<file path=xl/documenttasks/documenttask3.xml><?xml version="1.0" encoding="utf-8"?>
<Tasks xmlns="http://schemas.microsoft.com/office/tasks/2019/documenttasks"/>
</file>

<file path=xl/documenttasks/documenttask4.xml><?xml version="1.0" encoding="utf-8"?>
<Tasks xmlns="http://schemas.microsoft.com/office/tasks/2019/documenttasks"/>
</file>

<file path=xl/documenttasks/documenttask5.xml><?xml version="1.0" encoding="utf-8"?>
<Tasks xmlns="http://schemas.microsoft.com/office/tasks/2019/documenttasks"/>
</file>

<file path=xl/documenttasks/documenttask6.xml><?xml version="1.0" encoding="utf-8"?>
<Tasks xmlns="http://schemas.microsoft.com/office/tasks/2019/documenttasks"/>
</file>

<file path=xl/drawings/_rels/drawing35.xml.rels><?xml version="1.0" encoding="UTF-8" standalone="yes"?><Relationships xmlns="http://schemas.openxmlformats.org/package/2006/relationships"><Relationship Id="rId1" Type="http://schemas.openxmlformats.org/officeDocument/2006/relationships/image" Target="../media/image4.jpg"/><Relationship Id="rId2" Type="http://schemas.openxmlformats.org/officeDocument/2006/relationships/image" Target="../media/image3.jpg"/><Relationship Id="rId3" Type="http://schemas.openxmlformats.org/officeDocument/2006/relationships/image" Target="../media/image2.jpg"/><Relationship Id="rId4" Type="http://schemas.openxmlformats.org/officeDocument/2006/relationships/image" Target="../media/image6.jpg"/><Relationship Id="rId5" Type="http://schemas.openxmlformats.org/officeDocument/2006/relationships/image" Target="../media/image5.jp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152400</xdr:colOff>
      <xdr:row>3</xdr:row>
      <xdr:rowOff>152400</xdr:rowOff>
    </xdr:from>
    <xdr:ext cx="2124075" cy="2714625"/>
    <xdr:pic>
      <xdr:nvPicPr>
        <xdr:cNvPr id="0" name="image4.jp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152400</xdr:colOff>
      <xdr:row>19</xdr:row>
      <xdr:rowOff>152400</xdr:rowOff>
    </xdr:from>
    <xdr:ext cx="3562350" cy="2371725"/>
    <xdr:pic>
      <xdr:nvPicPr>
        <xdr:cNvPr id="0" name="image3.jp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0</xdr:colOff>
      <xdr:row>32</xdr:row>
      <xdr:rowOff>180975</xdr:rowOff>
    </xdr:from>
    <xdr:ext cx="3067050" cy="2562225"/>
    <xdr:pic>
      <xdr:nvPicPr>
        <xdr:cNvPr id="0" name="image2.jpg" title="Image"/>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48</xdr:row>
      <xdr:rowOff>95250</xdr:rowOff>
    </xdr:from>
    <xdr:ext cx="3381375" cy="2800350"/>
    <xdr:pic>
      <xdr:nvPicPr>
        <xdr:cNvPr id="0" name="image6.jpg" title="Image"/>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65</xdr:row>
      <xdr:rowOff>47625</xdr:rowOff>
    </xdr:from>
    <xdr:ext cx="2962275" cy="2476500"/>
    <xdr:pic>
      <xdr:nvPicPr>
        <xdr:cNvPr id="0" name="image5.jpg" title="Image"/>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20</xdr:col>
      <xdr:colOff>352425</xdr:colOff>
      <xdr:row>17</xdr:row>
      <xdr:rowOff>800100</xdr:rowOff>
    </xdr:from>
    <xdr:ext cx="4105275" cy="15049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x18tc:person displayName="Keith Miller" id="{5e04bd7f-dc82-4e61-bc56-56bf451904e3}" providerId="google-sheets"/>
  <x18tc:person displayName="harish@ohiowebtech.com" id="{5e348daa-7ab8-41ee-a340-aa0252a947ca}" providerId="google-sheets"/>
  <x18tc:person displayName="David Ropp" id="{8436e449-e59e-4e11-8456-8534e5242908}"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1" dT="2024-02-22T21:17:10.00" personId="{8436e449-e59e-4e11-8456-8534e5242908}" id="{cc322832-fed1-4c33-b579-fc0a4ea58e56}" done="0">
    <x18tc:text xml:space="preserve">Sometimes one item may be a part of 2 or more collections. How should we handle this?</x18tc:text>
  </x18tc:threadedComment>
  <x18tc:threadedComment ref="A1" dT="2024-02-22T21:34:48.00" personId="{8436e449-e59e-4e11-8456-8534e5242908}" id="{0660f9a6-5f96-40db-830f-7c5a148ec5ff}" parentId="{cc322832-fed1-4c33-b579-fc0a4ea58e56}">
    <x18tc:text xml:space="preserve">We have now added the Related Collections tab (Name may change) Which shows the item # and all the collections it belongs to.</x18tc:text>
  </x18tc:threadedComment>
  <x18tc:threadedComment ref="A1" dT="2024-02-20T08:22:28.00" personId="{5e348daa-7ab8-41ee-a340-aa0252a947ca}" id="{83809265-57e8-4807-8c7e-de674a4f53bc}" done="1">
    <x18tc:text xml:space="preserve">Why both are same values?</x18tc:text>
  </x18tc:threadedComment>
  <x18tc:threadedComment ref="A1" dT="2024-03-28T17:41:02.00" personId="{8436e449-e59e-4e11-8456-8534e5242908}" id="{e2ed3cdb-a78d-4914-9fb4-e36e64360b8b}" done="0">
    <x18tc:text xml:space="preserve">Berlin Gardens has added assembly videos for some of their items. I thought it would be nice to include. Wasn't sure how or where we should put it.</x18tc:text>
  </x18tc:threadedComment>
  <x18tc:threadedComment ref="A1" dT="2024-03-08T12:56:42.00" personId="{5e348daa-7ab8-41ee-a340-aa0252a947ca}" id="{508edd2b-f23c-4105-8bac-321b640670ea}" done="1">
    <x18tc:text xml:space="preserve">Why this is added Twice?</x18tc:text>
  </x18tc:threadedComment>
  <x18tc:threadedComment ref="A1" dT="2024-02-02T17:51:49.00" personId="{5e04bd7f-dc82-4e61-bc56-56bf451904e3}" id="{6f79e0aa-532a-4182-84ec-cf3f447b0a11}" done="1">
    <x18tc:text xml:space="preserve">Does the picture name need to go on the global attribute file?</x18tc:text>
  </x18tc:threadedComment>
  <x18tc:threadedComment ref="C12" dT="2024-02-22T21:11:16.00" personId="{8436e449-e59e-4e11-8456-8534e5242908}" id="{200ffef6-5b69-4ea7-b334-06ce87698d5a}" done="1">
    <x18tc:text xml:space="preserve">Not sure how we should lay this out</x18tc:text>
  </x18tc:threadedComment>
  <x18tc:threadedComment ref="A1" dT="2024-02-13T07:25:27.00" personId="{5e348daa-7ab8-41ee-a340-aa0252a947ca}" id="{86818e43-172b-434b-abfa-643af01bb573}" done="1">
    <x18tc:text xml:space="preserve">We need to add the WEIGHT</x18tc:text>
  </x18tc:threadedComment>
  <x18tc:threadedComment ref="A1" dT="2024-03-07T19:58:40.00" personId="{8436e449-e59e-4e11-8456-8534e5242908}" id="{473b4d77-66c8-4fad-bffc-2f7f69f552d0}" done="1">
    <x18tc:text xml:space="preserve">I removed the temporary hardware from the top of the sheet and have now added the actual list of pulls and knobs. Right now they have column D to distinguish Pull or Knob, but we need other ways to sort them so the customer doesn't have to scroll through 2,000 hardware choices each time. Any thoughts on how to do that?</x18tc:text>
  </x18tc:threadedComment>
  <x18tc:threadedComment ref="A1" dT="2024-03-08T07:52:43.00" personId="{5e348daa-7ab8-41ee-a340-aa0252a947ca}" id="{1bdc0801-0812-4fd2-94c6-5f2c16dd92d3}" parentId="{473b4d77-66c8-4fad-bffc-2f7f69f552d0}">
    <x18tc:text xml:space="preserve">We will find a way for this. Why did you add H1# here?</x18tc:text>
  </x18tc:threadedComment>
  <x18tc:threadedComment ref="A1" dT="2024-03-08T15:19:54.00" personId="{8436e449-e59e-4e11-8456-8534e5242908}" id="{0e2e1bbe-2af8-41ef-94b6-1b322494c69b}" parentId="{473b4d77-66c8-4fad-bffc-2f7f69f552d0}">
    <x18tc:text xml:space="preserve">I forgot to take it off. I have corrected it.</x18tc:text>
  </x18tc:threadedComment>
  <x18tc:threadedComment ref="A1" dT="2024-03-12T18:31:46.00" personId="{8436e449-e59e-4e11-8456-8534e5242908}" id="{67776c2a-3451-48e1-99aa-4087f9088b52}" done="0">
    <x18tc:text xml:space="preserve">Fix Global Attribute Names</x18tc:text>
  </x18tc:threadedComment>
  <x18tc:threadedComment ref="A1" dT="2024-02-02T17:45:26.00" personId="{5e04bd7f-dc82-4e61-bc56-56bf451904e3}" id="{7c01e590-c59c-415f-8cc6-d6c5ba739241}" done="0">
    <x18tc:text xml:space="preserve">Is this column necessary? I am thinking we don't need it because we will use the Modified item # for the picture name.</x18tc:text>
  </x18tc:threadedComment>
  <x18tc:threadedComment ref="A1" dT="2024-07-01T14:52:31.00" personId="{5e348daa-7ab8-41ee-a340-aa0252a947ca}" id="{528879cf-3930-448e-9459-d2c2b6a89aaf}" done="0">
    <x18tc:text xml:space="preserve">This is unique</x18tc:text>
  </x18tc:threadedComment>
  <x18tc:threadedComment ref="A1" dT="2024-02-27T08:12:11.00" personId="{5e348daa-7ab8-41ee-a340-aa0252a947ca}" id="{8a06f838-9dbe-4d1c-83e0-3c54da1aed54}" done="1">
    <x18tc:text xml:space="preserve">We have two Hardwares here. Both are having same H1 values!</x18tc:text>
  </x18tc:threadedComment>
  <x18tc:threadedComment ref="A1" dT="2024-02-27T15:07:02.00" personId="{8436e449-e59e-4e11-8456-8534e5242908}" id="{2acc1b85-87ef-4098-a9fc-ae65031fdd2e}" parentId="{8a06f838-9dbe-4d1c-83e0-3c54da1aed54}">
    <x18tc:text xml:space="preserve">Yes. We need them both. Customers can choose two different hardware options. That's why there are two hardware dropdowns.
We have addressed this by having the second hardware use the first one as a parent.</x18tc:text>
  </x18tc:threadedComment>
  <x18tc:threadedComment ref="A1" dT="2024-02-27T15:50:52.00" personId="{5e348daa-7ab8-41ee-a340-aa0252a947ca}" id="{036cc8a8-d4a4-4b15-a8a1-b517d98b5d25}" parentId="{8a06f838-9dbe-4d1c-83e0-3c54da1aed54}">
    <x18tc:text xml:space="preserve">But both are referred to H1 in the Global Attributes. Has the same value for H1</x18tc:text>
  </x18tc:threadedComment>
  <x18tc:threadedComment ref="A1" dT="2024-02-27T16:03:56.00" personId="{8436e449-e59e-4e11-8456-8534e5242908}" id="{858ea812-04b3-4ae0-bcb3-5f9051627a21}" parentId="{8a06f838-9dbe-4d1c-83e0-3c54da1aed54}">
    <x18tc:text xml:space="preserve">I didn't know if that would be an issue. If it needs to be H1 and H2 that is fine. It's the same list of hardware twice.</x18tc:text>
  </x18tc:threadedComment>
  <x18tc:threadedComment ref="A1" dT="2024-02-27T16:13:39.00" personId="{5e348daa-7ab8-41ee-a340-aa0252a947ca}" id="{6dcacc1a-c870-4442-9cd7-aa80516ac00c}" parentId="{8a06f838-9dbe-4d1c-83e0-3c54da1aed54}">
    <x18tc:text xml:space="preserve">Shall we have a google meet now?</x18tc:text>
  </x18tc:threadedComment>
  <x18tc:threadedComment ref="A1" dT="2024-02-27T16:23:46.00" personId="{8436e449-e59e-4e11-8456-8534e5242908}" id="{a5df4c23-cc6f-437d-8757-3b5c9fbbb7ba}" parentId="{8a06f838-9dbe-4d1c-83e0-3c54da1aed54}">
    <x18tc:text xml:space="preserve">Keith isn't here right now and I don't have the set up for it. I can see if it would be convenient later when he gets here.</x18tc:text>
  </x18tc:threadedComment>
  <x18tc:threadedComment ref="A1" dT="2024-02-27T16:27:40.00" personId="{5e348daa-7ab8-41ee-a340-aa0252a947ca}" id="{5709d342-ea3c-489c-a8ac-bed3ebaeae26}" parentId="{8a06f838-9dbe-4d1c-83e0-3c54da1aed54}">
    <x18tc:text xml:space="preserve">I need some clarification to send to my guys in order to complete few parts of the module. 
I am not feeling  well today.  So I will email my queries by tomorrow.</x18tc:text>
  </x18tc:threadedComment>
  <x18tc:threadedComment ref="A1" dT="2024-02-27T16:49:44.00" personId="{8436e449-e59e-4e11-8456-8534e5242908}" id="{a736b8ea-0fd9-4ca1-9a9f-77134fd9a816}" parentId="{8a06f838-9dbe-4d1c-83e0-3c54da1aed54}">
    <x18tc:text xml:space="preserve">Keith is here now if you still want to meet. But if you're not up to it, tomorrow should be fine as well.</x18tc:text>
  </x18tc:threadedComment>
  <x18tc:threadedComment ref="A1" dT="2024-02-20T17:43:23.00" personId="{5e348daa-7ab8-41ee-a340-aa0252a947ca}" id="{8a7d09b7-741d-4924-8187-915aa317e91a}" done="0">
    <x18tc:text xml:space="preserve">Hidden Item Number</x18tc:text>
  </x18tc:threadedComment>
</x18tc:ThreadedComments>
</file>

<file path=xl/threadedComments/threadedComment2.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O104" dT="2024-02-20T09:03:34.00" personId="{5e348daa-7ab8-41ee-a340-aa0252a947ca}" id="{212bcbd5-da9d-4bf8-ab6c-4fa0e5ad88ec}" done="1">
    <x18tc:text xml:space="preserve">Why both are same values?</x18tc:text>
  </x18tc:threadedComment>
</x18tc:ThreadedComments>
</file>

<file path=xl/threadedComments/threadedComment3.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7" dT="2024-08-02T21:49:50.00" personId="{5e04bd7f-dc82-4e61-bc56-56bf451904e3}" id="{d2171828-849f-4fe7-b698-6c570fae40fe}" done="1">
    <x18tc:text xml:space="preserve">Do we really need the parent column (column e)? Can we just have our data once?</x18tc:text>
  </x18tc:threadedComment>
  <x18tc:threadedComment ref="H66" dT="2024-02-28T23:06:26.00" personId="{8436e449-e59e-4e11-8456-8534e5242908}" id="{faf881e4-a276-404b-b518-dc6be8d148c0}" done="1">
    <x18tc:text xml:space="preserve">Items with an "" has a special note that goes along with it. Same for "*" Wasn't sure how to add that in.</x18tc:text>
  </x18tc:threadedComment>
  <x18tc:threadedComment ref="F1" dT="2024-02-27T05:02:10.00" personId="{5e348daa-7ab8-41ee-a340-aa0252a947ca}" id="{19801dae-1edc-4751-bad1-41be587852d2}" done="1">
    <x18tc:text xml:space="preserve">Lets Keep this one</x18tc:text>
  </x18tc:threadedComment>
  <x18tc:threadedComment ref="F1" dT="2024-03-07T15:16:54.00" personId="{8436e449-e59e-4e11-8456-8534e5242908}" id="{d281b2da-d89b-4091-af06-8097d5b6d664}" parentId="{19801dae-1edc-4751-bad1-41be587852d2}">
    <x18tc:text xml:space="preserve">Sounds Good</x18tc:text>
  </x18tc:threadedComment>
  <x18tc:threadedComment ref="B1397" dT="2024-03-08T12:57:26.00" personId="{5e348daa-7ab8-41ee-a340-aa0252a947ca}" id="{28f4a15c-2072-4c00-ace8-77752241ac29}" done="1">
    <x18tc:text xml:space="preserve">Why this is added twice?</x18tc:text>
  </x18tc:threadedComment>
  <x18tc:threadedComment ref="B1397" dT="2024-03-08T15:21:06.00" personId="{8436e449-e59e-4e11-8456-8534e5242908}" id="{0d406b78-02ac-42bb-8eb4-b109fde12c35}" parentId="{28f4a15c-2072-4c00-ace8-77752241ac29}">
    <x18tc:text xml:space="preserve">Apparently they had the image in .jpg and.png and I missed that it was duplicated. I removed the second instance.</x18tc:text>
  </x18tc:threadedComment>
  <x18tc:threadedComment ref="B1397" dT="2024-03-08T15:41:59.00" personId="{5e348daa-7ab8-41ee-a340-aa0252a947ca}" id="{ef126c8f-4494-4e4c-afd1-bb8a045ff104}" parentId="{28f4a15c-2072-4c00-ace8-77752241ac29}">
    <x18tc:text xml:space="preserve">I have send the meet link. Matt and I are in the meet. Can you join?</x18tc:text>
  </x18tc:threadedComment>
  <x18tc:threadedComment ref="B1397" dT="2024-03-08T15:58:53.00" personId="{8436e449-e59e-4e11-8456-8534e5242908}" id="{7c26b436-8577-4b6f-b762-987245c29999}" parentId="{28f4a15c-2072-4c00-ace8-77752241ac29}">
    <x18tc:text xml:space="preserve">I had messaged you both that Keith was running late and we needed to push it to 11:30. Matt said that was ok. I hope that works for you too</x18tc:text>
  </x18tc:threadedComment>
  <x18tc:threadedComment ref="B441" dT="2024-11-12T23:05:54.00" personId="{5e04bd7f-dc82-4e61-bc56-56bf451904e3}" id="{09299dd3-3ca6-42b8-a935-687d7391a5c6}" done="1">
    <x18tc:text xml:space="preserve">This # should be I586-2-ORB (that's an I on the front). The tag in the photo also needs to be corrected.</x18tc:text>
  </x18tc:threadedComment>
  <x18tc:threadedComment ref="B441" dT="2024-11-13T14:39:05.00" personId="{8436e449-e59e-4e11-8456-8534e5242908}" id="{e431b575-edb3-40f8-b2be-a9a3facf4960}" parentId="{09299dd3-3ca6-42b8-a935-687d7391a5c6}">
    <x18tc:text xml:space="preserve">Done</x18tc:text>
  </x18tc:threadedComment>
  <x18tc:threadedComment ref="G1" dT="2024-03-07T05:47:18.00" personId="{5e348daa-7ab8-41ee-a340-aa0252a947ca}" id="{0c368bef-27b1-4ff3-9f03-020c68859d53}" done="1">
    <x18tc:text xml:space="preserve">Shall we add like this here?</x18tc:text>
  </x18tc:threadedComment>
  <x18tc:threadedComment ref="G1" dT="2024-03-07T15:16:44.00" personId="{8436e449-e59e-4e11-8456-8534e5242908}" id="{0e36a2a4-da15-4d8e-abf0-65c978eec28d}" parentId="{0c368bef-27b1-4ff3-9f03-020c68859d53}">
    <x18tc:text xml:space="preserve">I'm fine with this.</x18tc:text>
  </x18tc:threadedComment>
  <x18tc:threadedComment ref="B513" dT="2024-03-07T08:46:13.00" personId="{5e348daa-7ab8-41ee-a340-aa0252a947ca}" id="{c5aebb26-6588-4d2c-86d0-4cf55715e2c2}" done="1">
    <x18tc:text xml:space="preserve">Why the photo name is here?</x18tc:text>
  </x18tc:threadedComment>
  <x18tc:threadedComment ref="B513" dT="2024-03-07T15:17:18.00" personId="{8436e449-e59e-4e11-8456-8534e5242908}" id="{2d9c81f7-df49-407a-91c9-f1aa09777d5e}" parentId="{c5aebb26-6588-4d2c-86d0-4cf55715e2c2}">
    <x18tc:text xml:space="preserve">Just a mistake</x18tc:text>
  </x18tc:threadedComment>
</x18tc:ThreadedComments>
</file>

<file path=xl/threadedComments/threadedComment4.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2" dT="2024-02-02T17:44:07.00" personId="{5e04bd7f-dc82-4e61-bc56-56bf451904e3}" id="{d3261b1d-d5cf-4960-8b09-da2523bff3ac}" done="1">
    <x18tc:text xml:space="preserve">Is this okay if its not unique? or should we add the vendor # here?</x18tc:text>
  </x18tc:threadedComment>
  <x18tc:threadedComment ref="A2" dT="2024-02-02T17:52:46.00" personId="{5e04bd7f-dc82-4e61-bc56-56bf451904e3}" id="{267c2dd2-4336-4754-89d2-4089849b59bf}" parentId="{d3261b1d-d5cf-4960-8b09-da2523bff3ac}">
    <x18tc:text xml:space="preserve">Do we want an item line in here or should we have it in another tab.</x18tc:text>
  </x18tc:threadedComment>
  <x18tc:threadedComment ref="K34" dT="2024-03-12T20:26:47.00" personId="{5e04bd7f-dc82-4e61-bc56-56bf451904e3}" id="{ac4bb6dc-3bf6-4d85-9316-b02b14124820}" done="1">
    <x18tc:text xml:space="preserve">We don't want to charge for the default hardware. We only want to charge for a change. We are not sure how to handle this.</x18tc:text>
  </x18tc:threadedComment>
  <x18tc:threadedComment ref="A345" dT="2024-08-13T20:45:09.00" personId="{8436e449-e59e-4e11-8456-8534e5242908}" id="{efc8cbc8-b45d-401c-90a9-b62c7f41ebdc}" done="1">
    <x18tc:text xml:space="preserve">Harish, I wasn't sure how to handle this item. It didn't seem to fit in the 2-in-1 template. It needs a combination of the Universal Fabric groups and then the Standard or Natural colors in order to get to the right price. I am open for suggestions as I've tried to make it work a number of ways.</x18tc:text>
  </x18tc:threadedComment>
  <x18tc:threadedComment ref="I8" dT="2024-04-20T11:09:46.00" personId="{5e348daa-7ab8-41ee-a340-aa0252a947ca}" id="{9f7c21f7-b634-42f5-adfd-e83ab9490f9e}" done="1">
    <x18tc:text xml:space="preserve">Can you please let me know why you have add this?</x18tc:text>
  </x18tc:threadedComment>
  <x18tc:threadedComment ref="I8" dT="2024-04-20T14:04:48.00" personId="{8436e449-e59e-4e11-8456-8534e5242908}" id="{702bf19c-6c44-445d-9cb9-b30006fb0da6}" parentId="{9f7c21f7-b634-42f5-adfd-e83ab9490f9e}">
    <x18tc:text xml:space="preserve">I'm not sure who or why this was added. It was most likely a mistake.</x18tc:text>
  </x18tc:threadedComment>
  <x18tc:threadedComment ref="I8" dT="2024-04-20T14:05:07.00" personId="{8436e449-e59e-4e11-8456-8534e5242908}" id="{b7b213a1-fa99-4941-85f4-e95025f701d3}" parentId="{9f7c21f7-b634-42f5-adfd-e83ab9490f9e}">
    <x18tc:text xml:space="preserve">I have deleted it.
1 total reaction
harish@ohiowebtech.com reacted with 👍 at 2024-04-21 5:11 AM UTC</x18tc:text>
  </x18tc:threadedComment>
  <x18tc:threadedComment ref="I12" dT="2024-03-06T09:42:43.00" personId="{5e348daa-7ab8-41ee-a340-aa0252a947ca}" id="{22f00ff8-87f7-4345-aa32-a57d8407e8b0}" done="1">
    <x18tc:text xml:space="preserve">We need to match this with the Global Attributes</x18tc:text>
  </x18tc:threadedComment>
  <x18tc:threadedComment ref="I12" dT="2024-03-06T14:33:19.00" personId="{8436e449-e59e-4e11-8456-8534e5242908}" id="{a41a7958-ba58-4d81-bd2f-b959cb752af3}" parentId="{22f00ff8-87f7-4345-aa32-a57d8407e8b0}">
    <x18tc:text xml:space="preserve">When I tweak my data extraction, this will be correct when output. I can manually address this small dataset in the meantime.
1 total reaction
harish@ohiowebtech.com reacted with 👍 at 2024-03-06 2:49 PM UTC</x18tc:text>
  </x18tc:threadedComment>
  <x18tc:threadedComment ref="K337" dT="2024-02-02T17:50:18.00" personId="{5e04bd7f-dc82-4e61-bc56-56bf451904e3}" id="{45d3fc8f-9ecf-46c6-8750-54c955286cc9}" done="0">
    <x18tc:text xml:space="preserve">If two values are chosen, take the highest value. If there are conflicting values, take the higher one.</x18tc:text>
  </x18tc:threadedComment>
  <x18tc:threadedComment ref="A340" dT="2024-08-08T20:01:15.00" personId="{8436e449-e59e-4e11-8456-8534e5242908}" id="{b4bd6ae6-0131-4268-8b6c-21c81e56f951}" done="0">
    <x18tc:text xml:space="preserve">Here is the item Keith requested I add where it has 1 dropdown. It still has two options for the dropdown as it can be Standard or Natural. But there is no top or bottom. It doesn't come two toned or anything.</x18tc:text>
  </x18tc:threadedComment>
  <x18tc:threadedComment ref="I76" dT="2024-04-20T14:06:46.00" personId="{8436e449-e59e-4e11-8456-8534e5242908}" id="{926bb923-e08d-4100-9ad4-c1aa19e17e84}" done="0">
    <x18tc:text xml:space="preserve">Rustic QSWO is one of the Global Attributes</x18tc:text>
  </x18tc:threadedComment>
</x18tc:ThreadedComments>
</file>

<file path=xl/threadedComments/threadedComment5.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B1" dT="2024-02-02T18:09:25.00" personId="{5e04bd7f-dc82-4e61-bc56-56bf451904e3}" id="{4e9a36dc-6339-4914-820c-83342e2021f0}" done="0">
    <x18tc:text xml:space="preserve">We are envisioning that Harish uploads only columns a &amp; b. The other columns we can use so that we can understand and things quickly.</x18tc:text>
  </x18tc:threadedComment>
</x18tc:ThreadedComments>
</file>

<file path=xl/threadedComments/threadedComment6.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E33" dT="2024-02-02T18:23:19.00" personId="{5e04bd7f-dc82-4e61-bc56-56bf451904e3}" id="{3ad25ac9-4679-4d83-b4b1-bf4f180ca8b2}" done="0">
    <x18tc:text xml:space="preserve">What shall we do about this? Should they just stay in the description?
We are thinking this should be on the item master itself on the items on which we need to take care.</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1.xml"/><Relationship Id="rId5"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hyperlink" Target="https://docs.google.com/spreadsheets/d/1AkBpVmP_rlHx-ANCEcK2B72cC5o7O_XYsNJ5-QJcYxA/edit?gid=567006336" TargetMode="External"/><Relationship Id="rId2"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hyperlink" Target="https://www.youtube.com/watch?v=NSG43hgr0Vc&amp;list=PL9gVi6gwX8y0elhNu1E1qrSiI9HFj8AMA&amp;index=7" TargetMode="External"/><Relationship Id="rId2"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comments" Target="../comments4.xml"/><Relationship Id="rId2" Type="http://schemas.microsoft.com/office/2017/10/relationships/threadedComment" Target="../threadedComments/threadedComment4.xml"/><Relationship Id="rId3" Type="http://schemas.microsoft.com/office/2019/04/relationships/documenttask" Target="../documenttasks/documenttask4.xml"/><Relationship Id="rId4" Type="http://schemas.openxmlformats.org/officeDocument/2006/relationships/drawing" Target="../drawings/drawing14.xml"/><Relationship Id="rId5" Type="http://schemas.openxmlformats.org/officeDocument/2006/relationships/vmlDrawing" Target="../drawings/vmlDrawing4.v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microsoft.com/office/2017/10/relationships/threadedComment" Target="../threadedComments/threadedComment2.xml"/><Relationship Id="rId3" Type="http://schemas.microsoft.com/office/2019/04/relationships/documenttask" Target="../documenttasks/documenttask2.xml"/><Relationship Id="rId4" Type="http://schemas.openxmlformats.org/officeDocument/2006/relationships/drawing" Target="../drawings/drawing2.xml"/><Relationship Id="rId5"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90" Type="http://schemas.openxmlformats.org/officeDocument/2006/relationships/hyperlink" Target="https://simplemaps.com/us-zips/43430/" TargetMode="External"/><Relationship Id="rId194" Type="http://schemas.openxmlformats.org/officeDocument/2006/relationships/hyperlink" Target="https://simplemaps.com/us-zips/43434/" TargetMode="External"/><Relationship Id="rId193" Type="http://schemas.openxmlformats.org/officeDocument/2006/relationships/hyperlink" Target="https://simplemaps.com/us-zips/43433/" TargetMode="External"/><Relationship Id="rId192" Type="http://schemas.openxmlformats.org/officeDocument/2006/relationships/hyperlink" Target="https://simplemaps.com/us-zips/43432/" TargetMode="External"/><Relationship Id="rId191" Type="http://schemas.openxmlformats.org/officeDocument/2006/relationships/hyperlink" Target="https://simplemaps.com/us-zips/43431/" TargetMode="External"/><Relationship Id="rId187" Type="http://schemas.openxmlformats.org/officeDocument/2006/relationships/hyperlink" Target="https://simplemaps.com/us-zips/43414/" TargetMode="External"/><Relationship Id="rId186" Type="http://schemas.openxmlformats.org/officeDocument/2006/relationships/hyperlink" Target="https://simplemaps.com/us-zips/43413/" TargetMode="External"/><Relationship Id="rId185" Type="http://schemas.openxmlformats.org/officeDocument/2006/relationships/hyperlink" Target="https://simplemaps.com/us-zips/43412/" TargetMode="External"/><Relationship Id="rId184" Type="http://schemas.openxmlformats.org/officeDocument/2006/relationships/hyperlink" Target="https://simplemaps.com/us-zips/43410/" TargetMode="External"/><Relationship Id="rId189" Type="http://schemas.openxmlformats.org/officeDocument/2006/relationships/hyperlink" Target="https://simplemaps.com/us-zips/43420/" TargetMode="External"/><Relationship Id="rId188" Type="http://schemas.openxmlformats.org/officeDocument/2006/relationships/hyperlink" Target="https://simplemaps.com/us-zips/43416/" TargetMode="External"/><Relationship Id="rId183" Type="http://schemas.openxmlformats.org/officeDocument/2006/relationships/hyperlink" Target="https://simplemaps.com/us-zips/43408/" TargetMode="External"/><Relationship Id="rId182" Type="http://schemas.openxmlformats.org/officeDocument/2006/relationships/hyperlink" Target="https://simplemaps.com/us-zips/43407/" TargetMode="External"/><Relationship Id="rId181" Type="http://schemas.openxmlformats.org/officeDocument/2006/relationships/hyperlink" Target="https://simplemaps.com/us-zips/43406/" TargetMode="External"/><Relationship Id="rId180" Type="http://schemas.openxmlformats.org/officeDocument/2006/relationships/hyperlink" Target="https://simplemaps.com/us-zips/43403/" TargetMode="External"/><Relationship Id="rId176" Type="http://schemas.openxmlformats.org/officeDocument/2006/relationships/hyperlink" Target="https://simplemaps.com/us-zips/43358/" TargetMode="External"/><Relationship Id="rId175" Type="http://schemas.openxmlformats.org/officeDocument/2006/relationships/hyperlink" Target="https://simplemaps.com/us-zips/43357/" TargetMode="External"/><Relationship Id="rId174" Type="http://schemas.openxmlformats.org/officeDocument/2006/relationships/hyperlink" Target="https://simplemaps.com/us-zips/43356/" TargetMode="External"/><Relationship Id="rId173" Type="http://schemas.openxmlformats.org/officeDocument/2006/relationships/hyperlink" Target="https://simplemaps.com/us-zips/43351/" TargetMode="External"/><Relationship Id="rId179" Type="http://schemas.openxmlformats.org/officeDocument/2006/relationships/hyperlink" Target="https://simplemaps.com/us-zips/43402/" TargetMode="External"/><Relationship Id="rId178" Type="http://schemas.openxmlformats.org/officeDocument/2006/relationships/hyperlink" Target="https://simplemaps.com/us-zips/43360/" TargetMode="External"/><Relationship Id="rId177" Type="http://schemas.openxmlformats.org/officeDocument/2006/relationships/hyperlink" Target="https://simplemaps.com/us-zips/43359/" TargetMode="External"/><Relationship Id="rId198" Type="http://schemas.openxmlformats.org/officeDocument/2006/relationships/hyperlink" Target="https://simplemaps.com/us-zips/43438/" TargetMode="External"/><Relationship Id="rId197" Type="http://schemas.openxmlformats.org/officeDocument/2006/relationships/hyperlink" Target="https://simplemaps.com/us-zips/43437/" TargetMode="External"/><Relationship Id="rId196" Type="http://schemas.openxmlformats.org/officeDocument/2006/relationships/hyperlink" Target="https://simplemaps.com/us-zips/43436/" TargetMode="External"/><Relationship Id="rId195" Type="http://schemas.openxmlformats.org/officeDocument/2006/relationships/hyperlink" Target="https://simplemaps.com/us-zips/43435/" TargetMode="External"/><Relationship Id="rId199" Type="http://schemas.openxmlformats.org/officeDocument/2006/relationships/hyperlink" Target="https://simplemaps.com/us-zips/43439/" TargetMode="External"/><Relationship Id="rId150" Type="http://schemas.openxmlformats.org/officeDocument/2006/relationships/hyperlink" Target="https://simplemaps.com/us-zips/43322/" TargetMode="External"/><Relationship Id="rId392" Type="http://schemas.openxmlformats.org/officeDocument/2006/relationships/hyperlink" Target="https://simplemaps.com/us-zips/43942/" TargetMode="External"/><Relationship Id="rId391" Type="http://schemas.openxmlformats.org/officeDocument/2006/relationships/hyperlink" Target="https://simplemaps.com/us-zips/43940/" TargetMode="External"/><Relationship Id="rId390" Type="http://schemas.openxmlformats.org/officeDocument/2006/relationships/hyperlink" Target="https://simplemaps.com/us-zips/43939/" TargetMode="External"/><Relationship Id="rId1" Type="http://schemas.openxmlformats.org/officeDocument/2006/relationships/hyperlink" Target="https://simplemaps.com/us-zips/43001/" TargetMode="External"/><Relationship Id="rId2" Type="http://schemas.openxmlformats.org/officeDocument/2006/relationships/hyperlink" Target="https://simplemaps.com/us-zips/43002/" TargetMode="External"/><Relationship Id="rId3" Type="http://schemas.openxmlformats.org/officeDocument/2006/relationships/hyperlink" Target="https://simplemaps.com/us-zips/43003/" TargetMode="External"/><Relationship Id="rId149" Type="http://schemas.openxmlformats.org/officeDocument/2006/relationships/hyperlink" Target="https://simplemaps.com/us-zips/43321/" TargetMode="External"/><Relationship Id="rId4" Type="http://schemas.openxmlformats.org/officeDocument/2006/relationships/hyperlink" Target="https://simplemaps.com/us-zips/43004/" TargetMode="External"/><Relationship Id="rId148" Type="http://schemas.openxmlformats.org/officeDocument/2006/relationships/hyperlink" Target="https://simplemaps.com/us-zips/43320/" TargetMode="External"/><Relationship Id="rId1090" Type="http://schemas.openxmlformats.org/officeDocument/2006/relationships/hyperlink" Target="https://simplemaps.com/us-zips/45681/" TargetMode="External"/><Relationship Id="rId1091" Type="http://schemas.openxmlformats.org/officeDocument/2006/relationships/hyperlink" Target="https://simplemaps.com/us-zips/45682/" TargetMode="External"/><Relationship Id="rId1092" Type="http://schemas.openxmlformats.org/officeDocument/2006/relationships/hyperlink" Target="https://simplemaps.com/us-zips/45684/" TargetMode="External"/><Relationship Id="rId1093" Type="http://schemas.openxmlformats.org/officeDocument/2006/relationships/hyperlink" Target="https://simplemaps.com/us-zips/45685/" TargetMode="External"/><Relationship Id="rId1094" Type="http://schemas.openxmlformats.org/officeDocument/2006/relationships/hyperlink" Target="https://simplemaps.com/us-zips/45686/" TargetMode="External"/><Relationship Id="rId9" Type="http://schemas.openxmlformats.org/officeDocument/2006/relationships/hyperlink" Target="https://simplemaps.com/us-zips/43009/" TargetMode="External"/><Relationship Id="rId143" Type="http://schemas.openxmlformats.org/officeDocument/2006/relationships/hyperlink" Target="https://simplemaps.com/us-zips/43315/" TargetMode="External"/><Relationship Id="rId385" Type="http://schemas.openxmlformats.org/officeDocument/2006/relationships/hyperlink" Target="https://simplemaps.com/us-zips/43932/" TargetMode="External"/><Relationship Id="rId1095" Type="http://schemas.openxmlformats.org/officeDocument/2006/relationships/hyperlink" Target="https://simplemaps.com/us-zips/45688/" TargetMode="External"/><Relationship Id="rId142" Type="http://schemas.openxmlformats.org/officeDocument/2006/relationships/hyperlink" Target="https://simplemaps.com/us-zips/43314/" TargetMode="External"/><Relationship Id="rId384" Type="http://schemas.openxmlformats.org/officeDocument/2006/relationships/hyperlink" Target="https://simplemaps.com/us-zips/43931/" TargetMode="External"/><Relationship Id="rId1096" Type="http://schemas.openxmlformats.org/officeDocument/2006/relationships/hyperlink" Target="https://simplemaps.com/us-zips/45690/" TargetMode="External"/><Relationship Id="rId141" Type="http://schemas.openxmlformats.org/officeDocument/2006/relationships/hyperlink" Target="https://simplemaps.com/us-zips/43311/" TargetMode="External"/><Relationship Id="rId383" Type="http://schemas.openxmlformats.org/officeDocument/2006/relationships/hyperlink" Target="https://simplemaps.com/us-zips/43930/" TargetMode="External"/><Relationship Id="rId1097" Type="http://schemas.openxmlformats.org/officeDocument/2006/relationships/hyperlink" Target="https://simplemaps.com/us-zips/45692/" TargetMode="External"/><Relationship Id="rId140" Type="http://schemas.openxmlformats.org/officeDocument/2006/relationships/hyperlink" Target="https://simplemaps.com/us-zips/43310/" TargetMode="External"/><Relationship Id="rId382" Type="http://schemas.openxmlformats.org/officeDocument/2006/relationships/hyperlink" Target="https://simplemaps.com/us-zips/43928/" TargetMode="External"/><Relationship Id="rId1098" Type="http://schemas.openxmlformats.org/officeDocument/2006/relationships/hyperlink" Target="https://simplemaps.com/us-zips/45693/" TargetMode="External"/><Relationship Id="rId5" Type="http://schemas.openxmlformats.org/officeDocument/2006/relationships/hyperlink" Target="https://simplemaps.com/us-zips/43005/" TargetMode="External"/><Relationship Id="rId147" Type="http://schemas.openxmlformats.org/officeDocument/2006/relationships/hyperlink" Target="https://simplemaps.com/us-zips/43319/" TargetMode="External"/><Relationship Id="rId389" Type="http://schemas.openxmlformats.org/officeDocument/2006/relationships/hyperlink" Target="https://simplemaps.com/us-zips/43938/" TargetMode="External"/><Relationship Id="rId1099" Type="http://schemas.openxmlformats.org/officeDocument/2006/relationships/hyperlink" Target="https://simplemaps.com/us-zips/45694/" TargetMode="External"/><Relationship Id="rId6" Type="http://schemas.openxmlformats.org/officeDocument/2006/relationships/hyperlink" Target="https://simplemaps.com/us-zips/43006/" TargetMode="External"/><Relationship Id="rId146" Type="http://schemas.openxmlformats.org/officeDocument/2006/relationships/hyperlink" Target="https://simplemaps.com/us-zips/43318/" TargetMode="External"/><Relationship Id="rId388" Type="http://schemas.openxmlformats.org/officeDocument/2006/relationships/hyperlink" Target="https://simplemaps.com/us-zips/43935/" TargetMode="External"/><Relationship Id="rId7" Type="http://schemas.openxmlformats.org/officeDocument/2006/relationships/hyperlink" Target="https://simplemaps.com/us-zips/43007/" TargetMode="External"/><Relationship Id="rId145" Type="http://schemas.openxmlformats.org/officeDocument/2006/relationships/hyperlink" Target="https://simplemaps.com/us-zips/43317/" TargetMode="External"/><Relationship Id="rId387" Type="http://schemas.openxmlformats.org/officeDocument/2006/relationships/hyperlink" Target="https://simplemaps.com/us-zips/43934/" TargetMode="External"/><Relationship Id="rId8" Type="http://schemas.openxmlformats.org/officeDocument/2006/relationships/hyperlink" Target="https://simplemaps.com/us-zips/43008/" TargetMode="External"/><Relationship Id="rId144" Type="http://schemas.openxmlformats.org/officeDocument/2006/relationships/hyperlink" Target="https://simplemaps.com/us-zips/43316/" TargetMode="External"/><Relationship Id="rId386" Type="http://schemas.openxmlformats.org/officeDocument/2006/relationships/hyperlink" Target="https://simplemaps.com/us-zips/43933/" TargetMode="External"/><Relationship Id="rId381" Type="http://schemas.openxmlformats.org/officeDocument/2006/relationships/hyperlink" Target="https://simplemaps.com/us-zips/43926/" TargetMode="External"/><Relationship Id="rId380" Type="http://schemas.openxmlformats.org/officeDocument/2006/relationships/hyperlink" Target="https://simplemaps.com/us-zips/43925/" TargetMode="External"/><Relationship Id="rId139" Type="http://schemas.openxmlformats.org/officeDocument/2006/relationships/hyperlink" Target="https://simplemaps.com/us-zips/43302/" TargetMode="External"/><Relationship Id="rId138" Type="http://schemas.openxmlformats.org/officeDocument/2006/relationships/hyperlink" Target="https://simplemaps.com/us-zips/43240/" TargetMode="External"/><Relationship Id="rId137" Type="http://schemas.openxmlformats.org/officeDocument/2006/relationships/hyperlink" Target="https://simplemaps.com/us-zips/43235/" TargetMode="External"/><Relationship Id="rId379" Type="http://schemas.openxmlformats.org/officeDocument/2006/relationships/hyperlink" Target="https://simplemaps.com/us-zips/43920/" TargetMode="External"/><Relationship Id="rId1080" Type="http://schemas.openxmlformats.org/officeDocument/2006/relationships/hyperlink" Target="https://simplemaps.com/us-zips/45663/" TargetMode="External"/><Relationship Id="rId1081" Type="http://schemas.openxmlformats.org/officeDocument/2006/relationships/hyperlink" Target="https://simplemaps.com/us-zips/45669/" TargetMode="External"/><Relationship Id="rId1082" Type="http://schemas.openxmlformats.org/officeDocument/2006/relationships/hyperlink" Target="https://simplemaps.com/us-zips/45671/" TargetMode="External"/><Relationship Id="rId1083" Type="http://schemas.openxmlformats.org/officeDocument/2006/relationships/hyperlink" Target="https://simplemaps.com/us-zips/45672/" TargetMode="External"/><Relationship Id="rId132" Type="http://schemas.openxmlformats.org/officeDocument/2006/relationships/hyperlink" Target="https://simplemaps.com/us-zips/43228/" TargetMode="External"/><Relationship Id="rId374" Type="http://schemas.openxmlformats.org/officeDocument/2006/relationships/hyperlink" Target="https://simplemaps.com/us-zips/43912/" TargetMode="External"/><Relationship Id="rId1084" Type="http://schemas.openxmlformats.org/officeDocument/2006/relationships/hyperlink" Target="https://simplemaps.com/us-zips/45673/" TargetMode="External"/><Relationship Id="rId131" Type="http://schemas.openxmlformats.org/officeDocument/2006/relationships/hyperlink" Target="https://simplemaps.com/us-zips/43227/" TargetMode="External"/><Relationship Id="rId373" Type="http://schemas.openxmlformats.org/officeDocument/2006/relationships/hyperlink" Target="https://simplemaps.com/us-zips/43910/" TargetMode="External"/><Relationship Id="rId1085" Type="http://schemas.openxmlformats.org/officeDocument/2006/relationships/hyperlink" Target="https://simplemaps.com/us-zips/45674/" TargetMode="External"/><Relationship Id="rId130" Type="http://schemas.openxmlformats.org/officeDocument/2006/relationships/hyperlink" Target="https://simplemaps.com/us-zips/43224/" TargetMode="External"/><Relationship Id="rId372" Type="http://schemas.openxmlformats.org/officeDocument/2006/relationships/hyperlink" Target="https://simplemaps.com/us-zips/43909/" TargetMode="External"/><Relationship Id="rId1086" Type="http://schemas.openxmlformats.org/officeDocument/2006/relationships/hyperlink" Target="https://simplemaps.com/us-zips/45677/" TargetMode="External"/><Relationship Id="rId371" Type="http://schemas.openxmlformats.org/officeDocument/2006/relationships/hyperlink" Target="https://simplemaps.com/us-zips/43908/" TargetMode="External"/><Relationship Id="rId1087" Type="http://schemas.openxmlformats.org/officeDocument/2006/relationships/hyperlink" Target="https://simplemaps.com/us-zips/45678/" TargetMode="External"/><Relationship Id="rId136" Type="http://schemas.openxmlformats.org/officeDocument/2006/relationships/hyperlink" Target="https://simplemaps.com/us-zips/43232/" TargetMode="External"/><Relationship Id="rId378" Type="http://schemas.openxmlformats.org/officeDocument/2006/relationships/hyperlink" Target="https://simplemaps.com/us-zips/43917/" TargetMode="External"/><Relationship Id="rId1088" Type="http://schemas.openxmlformats.org/officeDocument/2006/relationships/hyperlink" Target="https://simplemaps.com/us-zips/45679/" TargetMode="External"/><Relationship Id="rId135" Type="http://schemas.openxmlformats.org/officeDocument/2006/relationships/hyperlink" Target="https://simplemaps.com/us-zips/43231/" TargetMode="External"/><Relationship Id="rId377" Type="http://schemas.openxmlformats.org/officeDocument/2006/relationships/hyperlink" Target="https://simplemaps.com/us-zips/43915/" TargetMode="External"/><Relationship Id="rId1089" Type="http://schemas.openxmlformats.org/officeDocument/2006/relationships/hyperlink" Target="https://simplemaps.com/us-zips/45680/" TargetMode="External"/><Relationship Id="rId134" Type="http://schemas.openxmlformats.org/officeDocument/2006/relationships/hyperlink" Target="https://simplemaps.com/us-zips/43230/" TargetMode="External"/><Relationship Id="rId376" Type="http://schemas.openxmlformats.org/officeDocument/2006/relationships/hyperlink" Target="https://simplemaps.com/us-zips/43914/" TargetMode="External"/><Relationship Id="rId133" Type="http://schemas.openxmlformats.org/officeDocument/2006/relationships/hyperlink" Target="https://simplemaps.com/us-zips/43229/" TargetMode="External"/><Relationship Id="rId375" Type="http://schemas.openxmlformats.org/officeDocument/2006/relationships/hyperlink" Target="https://simplemaps.com/us-zips/43913/" TargetMode="External"/><Relationship Id="rId172" Type="http://schemas.openxmlformats.org/officeDocument/2006/relationships/hyperlink" Target="https://simplemaps.com/us-zips/43350/" TargetMode="External"/><Relationship Id="rId171" Type="http://schemas.openxmlformats.org/officeDocument/2006/relationships/hyperlink" Target="https://simplemaps.com/us-zips/43348/" TargetMode="External"/><Relationship Id="rId170" Type="http://schemas.openxmlformats.org/officeDocument/2006/relationships/hyperlink" Target="https://simplemaps.com/us-zips/43347/" TargetMode="External"/><Relationship Id="rId165" Type="http://schemas.openxmlformats.org/officeDocument/2006/relationships/hyperlink" Target="https://simplemaps.com/us-zips/43342/" TargetMode="External"/><Relationship Id="rId164" Type="http://schemas.openxmlformats.org/officeDocument/2006/relationships/hyperlink" Target="https://simplemaps.com/us-zips/43341/" TargetMode="External"/><Relationship Id="rId163" Type="http://schemas.openxmlformats.org/officeDocument/2006/relationships/hyperlink" Target="https://simplemaps.com/us-zips/43340/" TargetMode="External"/><Relationship Id="rId162" Type="http://schemas.openxmlformats.org/officeDocument/2006/relationships/hyperlink" Target="https://simplemaps.com/us-zips/43338/" TargetMode="External"/><Relationship Id="rId169" Type="http://schemas.openxmlformats.org/officeDocument/2006/relationships/hyperlink" Target="https://simplemaps.com/us-zips/43346/" TargetMode="External"/><Relationship Id="rId168" Type="http://schemas.openxmlformats.org/officeDocument/2006/relationships/hyperlink" Target="https://simplemaps.com/us-zips/43345/" TargetMode="External"/><Relationship Id="rId167" Type="http://schemas.openxmlformats.org/officeDocument/2006/relationships/hyperlink" Target="https://simplemaps.com/us-zips/43344/" TargetMode="External"/><Relationship Id="rId166" Type="http://schemas.openxmlformats.org/officeDocument/2006/relationships/hyperlink" Target="https://simplemaps.com/us-zips/43343/" TargetMode="External"/><Relationship Id="rId161" Type="http://schemas.openxmlformats.org/officeDocument/2006/relationships/hyperlink" Target="https://simplemaps.com/us-zips/43337/" TargetMode="External"/><Relationship Id="rId160" Type="http://schemas.openxmlformats.org/officeDocument/2006/relationships/hyperlink" Target="https://simplemaps.com/us-zips/43336/" TargetMode="External"/><Relationship Id="rId159" Type="http://schemas.openxmlformats.org/officeDocument/2006/relationships/hyperlink" Target="https://simplemaps.com/us-zips/43334/" TargetMode="External"/><Relationship Id="rId154" Type="http://schemas.openxmlformats.org/officeDocument/2006/relationships/hyperlink" Target="https://simplemaps.com/us-zips/43326/" TargetMode="External"/><Relationship Id="rId396" Type="http://schemas.openxmlformats.org/officeDocument/2006/relationships/hyperlink" Target="https://simplemaps.com/us-zips/43946/" TargetMode="External"/><Relationship Id="rId153" Type="http://schemas.openxmlformats.org/officeDocument/2006/relationships/hyperlink" Target="https://simplemaps.com/us-zips/43325/" TargetMode="External"/><Relationship Id="rId395" Type="http://schemas.openxmlformats.org/officeDocument/2006/relationships/hyperlink" Target="https://simplemaps.com/us-zips/43945/" TargetMode="External"/><Relationship Id="rId152" Type="http://schemas.openxmlformats.org/officeDocument/2006/relationships/hyperlink" Target="https://simplemaps.com/us-zips/43324/" TargetMode="External"/><Relationship Id="rId394" Type="http://schemas.openxmlformats.org/officeDocument/2006/relationships/hyperlink" Target="https://simplemaps.com/us-zips/43944/" TargetMode="External"/><Relationship Id="rId151" Type="http://schemas.openxmlformats.org/officeDocument/2006/relationships/hyperlink" Target="https://simplemaps.com/us-zips/43323/" TargetMode="External"/><Relationship Id="rId393" Type="http://schemas.openxmlformats.org/officeDocument/2006/relationships/hyperlink" Target="https://simplemaps.com/us-zips/43943/" TargetMode="External"/><Relationship Id="rId158" Type="http://schemas.openxmlformats.org/officeDocument/2006/relationships/hyperlink" Target="https://simplemaps.com/us-zips/43333/" TargetMode="External"/><Relationship Id="rId157" Type="http://schemas.openxmlformats.org/officeDocument/2006/relationships/hyperlink" Target="https://simplemaps.com/us-zips/43332/" TargetMode="External"/><Relationship Id="rId399" Type="http://schemas.openxmlformats.org/officeDocument/2006/relationships/hyperlink" Target="https://simplemaps.com/us-zips/43950/" TargetMode="External"/><Relationship Id="rId156" Type="http://schemas.openxmlformats.org/officeDocument/2006/relationships/hyperlink" Target="https://simplemaps.com/us-zips/43331/" TargetMode="External"/><Relationship Id="rId398" Type="http://schemas.openxmlformats.org/officeDocument/2006/relationships/hyperlink" Target="https://simplemaps.com/us-zips/43948/" TargetMode="External"/><Relationship Id="rId155" Type="http://schemas.openxmlformats.org/officeDocument/2006/relationships/hyperlink" Target="https://simplemaps.com/us-zips/43330/" TargetMode="External"/><Relationship Id="rId397" Type="http://schemas.openxmlformats.org/officeDocument/2006/relationships/hyperlink" Target="https://simplemaps.com/us-zips/43947/" TargetMode="External"/><Relationship Id="rId808" Type="http://schemas.openxmlformats.org/officeDocument/2006/relationships/hyperlink" Target="https://simplemaps.com/us-zips/45015/" TargetMode="External"/><Relationship Id="rId807" Type="http://schemas.openxmlformats.org/officeDocument/2006/relationships/hyperlink" Target="https://simplemaps.com/us-zips/45014/" TargetMode="External"/><Relationship Id="rId806" Type="http://schemas.openxmlformats.org/officeDocument/2006/relationships/hyperlink" Target="https://simplemaps.com/us-zips/45013/" TargetMode="External"/><Relationship Id="rId805" Type="http://schemas.openxmlformats.org/officeDocument/2006/relationships/hyperlink" Target="https://simplemaps.com/us-zips/45011/" TargetMode="External"/><Relationship Id="rId809" Type="http://schemas.openxmlformats.org/officeDocument/2006/relationships/hyperlink" Target="https://simplemaps.com/us-zips/45030/" TargetMode="External"/><Relationship Id="rId800" Type="http://schemas.openxmlformats.org/officeDocument/2006/relationships/hyperlink" Target="https://simplemaps.com/us-zips/44907/" TargetMode="External"/><Relationship Id="rId804" Type="http://schemas.openxmlformats.org/officeDocument/2006/relationships/hyperlink" Target="https://simplemaps.com/us-zips/45005/" TargetMode="External"/><Relationship Id="rId803" Type="http://schemas.openxmlformats.org/officeDocument/2006/relationships/hyperlink" Target="https://simplemaps.com/us-zips/45003/" TargetMode="External"/><Relationship Id="rId802" Type="http://schemas.openxmlformats.org/officeDocument/2006/relationships/hyperlink" Target="https://simplemaps.com/us-zips/45002/" TargetMode="External"/><Relationship Id="rId801" Type="http://schemas.openxmlformats.org/officeDocument/2006/relationships/hyperlink" Target="https://simplemaps.com/us-zips/45001/" TargetMode="External"/><Relationship Id="rId40" Type="http://schemas.openxmlformats.org/officeDocument/2006/relationships/hyperlink" Target="https://simplemaps.com/us-zips/43054/" TargetMode="External"/><Relationship Id="rId42" Type="http://schemas.openxmlformats.org/officeDocument/2006/relationships/hyperlink" Target="https://simplemaps.com/us-zips/43056/" TargetMode="External"/><Relationship Id="rId41" Type="http://schemas.openxmlformats.org/officeDocument/2006/relationships/hyperlink" Target="https://simplemaps.com/us-zips/43055/" TargetMode="External"/><Relationship Id="rId44" Type="http://schemas.openxmlformats.org/officeDocument/2006/relationships/hyperlink" Target="https://simplemaps.com/us-zips/43061/" TargetMode="External"/><Relationship Id="rId43" Type="http://schemas.openxmlformats.org/officeDocument/2006/relationships/hyperlink" Target="https://simplemaps.com/us-zips/43060/" TargetMode="External"/><Relationship Id="rId46" Type="http://schemas.openxmlformats.org/officeDocument/2006/relationships/hyperlink" Target="https://simplemaps.com/us-zips/43064/" TargetMode="External"/><Relationship Id="rId45" Type="http://schemas.openxmlformats.org/officeDocument/2006/relationships/hyperlink" Target="https://simplemaps.com/us-zips/43062/" TargetMode="External"/><Relationship Id="rId509" Type="http://schemas.openxmlformats.org/officeDocument/2006/relationships/hyperlink" Target="https://simplemaps.com/us-zips/44133/" TargetMode="External"/><Relationship Id="rId508" Type="http://schemas.openxmlformats.org/officeDocument/2006/relationships/hyperlink" Target="https://simplemaps.com/us-zips/44132/" TargetMode="External"/><Relationship Id="rId503" Type="http://schemas.openxmlformats.org/officeDocument/2006/relationships/hyperlink" Target="https://simplemaps.com/us-zips/44127/" TargetMode="External"/><Relationship Id="rId745" Type="http://schemas.openxmlformats.org/officeDocument/2006/relationships/hyperlink" Target="https://simplemaps.com/us-zips/44814/" TargetMode="External"/><Relationship Id="rId987" Type="http://schemas.openxmlformats.org/officeDocument/2006/relationships/hyperlink" Target="https://simplemaps.com/us-zips/45368/" TargetMode="External"/><Relationship Id="rId502" Type="http://schemas.openxmlformats.org/officeDocument/2006/relationships/hyperlink" Target="https://simplemaps.com/us-zips/44126/" TargetMode="External"/><Relationship Id="rId744" Type="http://schemas.openxmlformats.org/officeDocument/2006/relationships/hyperlink" Target="https://simplemaps.com/us-zips/44813/" TargetMode="External"/><Relationship Id="rId986" Type="http://schemas.openxmlformats.org/officeDocument/2006/relationships/hyperlink" Target="https://simplemaps.com/us-zips/45365/" TargetMode="External"/><Relationship Id="rId501" Type="http://schemas.openxmlformats.org/officeDocument/2006/relationships/hyperlink" Target="https://simplemaps.com/us-zips/44125/" TargetMode="External"/><Relationship Id="rId743" Type="http://schemas.openxmlformats.org/officeDocument/2006/relationships/hyperlink" Target="https://simplemaps.com/us-zips/44811/" TargetMode="External"/><Relationship Id="rId985" Type="http://schemas.openxmlformats.org/officeDocument/2006/relationships/hyperlink" Target="https://simplemaps.com/us-zips/45363/" TargetMode="External"/><Relationship Id="rId500" Type="http://schemas.openxmlformats.org/officeDocument/2006/relationships/hyperlink" Target="https://simplemaps.com/us-zips/44124/" TargetMode="External"/><Relationship Id="rId742" Type="http://schemas.openxmlformats.org/officeDocument/2006/relationships/hyperlink" Target="https://simplemaps.com/us-zips/44809/" TargetMode="External"/><Relationship Id="rId984" Type="http://schemas.openxmlformats.org/officeDocument/2006/relationships/hyperlink" Target="https://simplemaps.com/us-zips/45362/" TargetMode="External"/><Relationship Id="rId507" Type="http://schemas.openxmlformats.org/officeDocument/2006/relationships/hyperlink" Target="https://simplemaps.com/us-zips/44131/" TargetMode="External"/><Relationship Id="rId749" Type="http://schemas.openxmlformats.org/officeDocument/2006/relationships/hyperlink" Target="https://simplemaps.com/us-zips/44820/" TargetMode="External"/><Relationship Id="rId506" Type="http://schemas.openxmlformats.org/officeDocument/2006/relationships/hyperlink" Target="https://simplemaps.com/us-zips/44130/" TargetMode="External"/><Relationship Id="rId748" Type="http://schemas.openxmlformats.org/officeDocument/2006/relationships/hyperlink" Target="https://simplemaps.com/us-zips/44818/" TargetMode="External"/><Relationship Id="rId505" Type="http://schemas.openxmlformats.org/officeDocument/2006/relationships/hyperlink" Target="https://simplemaps.com/us-zips/44129/" TargetMode="External"/><Relationship Id="rId747" Type="http://schemas.openxmlformats.org/officeDocument/2006/relationships/hyperlink" Target="https://simplemaps.com/us-zips/44817/" TargetMode="External"/><Relationship Id="rId989" Type="http://schemas.openxmlformats.org/officeDocument/2006/relationships/hyperlink" Target="https://simplemaps.com/us-zips/45370/" TargetMode="External"/><Relationship Id="rId504" Type="http://schemas.openxmlformats.org/officeDocument/2006/relationships/hyperlink" Target="https://simplemaps.com/us-zips/44128/" TargetMode="External"/><Relationship Id="rId746" Type="http://schemas.openxmlformats.org/officeDocument/2006/relationships/hyperlink" Target="https://simplemaps.com/us-zips/44815/" TargetMode="External"/><Relationship Id="rId988" Type="http://schemas.openxmlformats.org/officeDocument/2006/relationships/hyperlink" Target="https://simplemaps.com/us-zips/45369/" TargetMode="External"/><Relationship Id="rId48" Type="http://schemas.openxmlformats.org/officeDocument/2006/relationships/hyperlink" Target="https://simplemaps.com/us-zips/43066/" TargetMode="External"/><Relationship Id="rId47" Type="http://schemas.openxmlformats.org/officeDocument/2006/relationships/hyperlink" Target="https://simplemaps.com/us-zips/43065/" TargetMode="External"/><Relationship Id="rId49" Type="http://schemas.openxmlformats.org/officeDocument/2006/relationships/hyperlink" Target="https://simplemaps.com/us-zips/43067/" TargetMode="External"/><Relationship Id="rId741" Type="http://schemas.openxmlformats.org/officeDocument/2006/relationships/hyperlink" Target="https://simplemaps.com/us-zips/44807/" TargetMode="External"/><Relationship Id="rId983" Type="http://schemas.openxmlformats.org/officeDocument/2006/relationships/hyperlink" Target="https://simplemaps.com/us-zips/45361/" TargetMode="External"/><Relationship Id="rId740" Type="http://schemas.openxmlformats.org/officeDocument/2006/relationships/hyperlink" Target="https://simplemaps.com/us-zips/44805/" TargetMode="External"/><Relationship Id="rId982" Type="http://schemas.openxmlformats.org/officeDocument/2006/relationships/hyperlink" Target="https://simplemaps.com/us-zips/45360/" TargetMode="External"/><Relationship Id="rId981" Type="http://schemas.openxmlformats.org/officeDocument/2006/relationships/hyperlink" Target="https://simplemaps.com/us-zips/45359/" TargetMode="External"/><Relationship Id="rId980" Type="http://schemas.openxmlformats.org/officeDocument/2006/relationships/hyperlink" Target="https://simplemaps.com/us-zips/45358/" TargetMode="External"/><Relationship Id="rId31" Type="http://schemas.openxmlformats.org/officeDocument/2006/relationships/hyperlink" Target="https://simplemaps.com/us-zips/43035/" TargetMode="External"/><Relationship Id="rId30" Type="http://schemas.openxmlformats.org/officeDocument/2006/relationships/hyperlink" Target="https://simplemaps.com/us-zips/43033/" TargetMode="External"/><Relationship Id="rId33" Type="http://schemas.openxmlformats.org/officeDocument/2006/relationships/hyperlink" Target="https://simplemaps.com/us-zips/43037/" TargetMode="External"/><Relationship Id="rId32" Type="http://schemas.openxmlformats.org/officeDocument/2006/relationships/hyperlink" Target="https://simplemaps.com/us-zips/43036/" TargetMode="External"/><Relationship Id="rId35" Type="http://schemas.openxmlformats.org/officeDocument/2006/relationships/hyperlink" Target="https://simplemaps.com/us-zips/43044/" TargetMode="External"/><Relationship Id="rId34" Type="http://schemas.openxmlformats.org/officeDocument/2006/relationships/hyperlink" Target="https://simplemaps.com/us-zips/43040/" TargetMode="External"/><Relationship Id="rId739" Type="http://schemas.openxmlformats.org/officeDocument/2006/relationships/hyperlink" Target="https://simplemaps.com/us-zips/44804/" TargetMode="External"/><Relationship Id="rId734" Type="http://schemas.openxmlformats.org/officeDocument/2006/relationships/hyperlink" Target="https://simplemaps.com/us-zips/44718/" TargetMode="External"/><Relationship Id="rId976" Type="http://schemas.openxmlformats.org/officeDocument/2006/relationships/hyperlink" Target="https://simplemaps.com/us-zips/45352/" TargetMode="External"/><Relationship Id="rId733" Type="http://schemas.openxmlformats.org/officeDocument/2006/relationships/hyperlink" Target="https://simplemaps.com/us-zips/44714/" TargetMode="External"/><Relationship Id="rId975" Type="http://schemas.openxmlformats.org/officeDocument/2006/relationships/hyperlink" Target="https://simplemaps.com/us-zips/45351/" TargetMode="External"/><Relationship Id="rId732" Type="http://schemas.openxmlformats.org/officeDocument/2006/relationships/hyperlink" Target="https://simplemaps.com/us-zips/44710/" TargetMode="External"/><Relationship Id="rId974" Type="http://schemas.openxmlformats.org/officeDocument/2006/relationships/hyperlink" Target="https://simplemaps.com/us-zips/45350/" TargetMode="External"/><Relationship Id="rId731" Type="http://schemas.openxmlformats.org/officeDocument/2006/relationships/hyperlink" Target="https://simplemaps.com/us-zips/44709/" TargetMode="External"/><Relationship Id="rId973" Type="http://schemas.openxmlformats.org/officeDocument/2006/relationships/hyperlink" Target="https://simplemaps.com/us-zips/45349/" TargetMode="External"/><Relationship Id="rId738" Type="http://schemas.openxmlformats.org/officeDocument/2006/relationships/hyperlink" Target="https://simplemaps.com/us-zips/44802/" TargetMode="External"/><Relationship Id="rId737" Type="http://schemas.openxmlformats.org/officeDocument/2006/relationships/hyperlink" Target="https://simplemaps.com/us-zips/44730/" TargetMode="External"/><Relationship Id="rId979" Type="http://schemas.openxmlformats.org/officeDocument/2006/relationships/hyperlink" Target="https://simplemaps.com/us-zips/45356/" TargetMode="External"/><Relationship Id="rId736" Type="http://schemas.openxmlformats.org/officeDocument/2006/relationships/hyperlink" Target="https://simplemaps.com/us-zips/44721/" TargetMode="External"/><Relationship Id="rId978" Type="http://schemas.openxmlformats.org/officeDocument/2006/relationships/hyperlink" Target="https://simplemaps.com/us-zips/45354/" TargetMode="External"/><Relationship Id="rId735" Type="http://schemas.openxmlformats.org/officeDocument/2006/relationships/hyperlink" Target="https://simplemaps.com/us-zips/44720/" TargetMode="External"/><Relationship Id="rId977" Type="http://schemas.openxmlformats.org/officeDocument/2006/relationships/hyperlink" Target="https://simplemaps.com/us-zips/45353/" TargetMode="External"/><Relationship Id="rId37" Type="http://schemas.openxmlformats.org/officeDocument/2006/relationships/hyperlink" Target="https://simplemaps.com/us-zips/43046/" TargetMode="External"/><Relationship Id="rId36" Type="http://schemas.openxmlformats.org/officeDocument/2006/relationships/hyperlink" Target="https://simplemaps.com/us-zips/43045/" TargetMode="External"/><Relationship Id="rId39" Type="http://schemas.openxmlformats.org/officeDocument/2006/relationships/hyperlink" Target="https://simplemaps.com/us-zips/43050/" TargetMode="External"/><Relationship Id="rId38" Type="http://schemas.openxmlformats.org/officeDocument/2006/relationships/hyperlink" Target="https://simplemaps.com/us-zips/43047/" TargetMode="External"/><Relationship Id="rId730" Type="http://schemas.openxmlformats.org/officeDocument/2006/relationships/hyperlink" Target="https://simplemaps.com/us-zips/44708/" TargetMode="External"/><Relationship Id="rId972" Type="http://schemas.openxmlformats.org/officeDocument/2006/relationships/hyperlink" Target="https://simplemaps.com/us-zips/45348/" TargetMode="External"/><Relationship Id="rId971" Type="http://schemas.openxmlformats.org/officeDocument/2006/relationships/hyperlink" Target="https://simplemaps.com/us-zips/45347/" TargetMode="External"/><Relationship Id="rId970" Type="http://schemas.openxmlformats.org/officeDocument/2006/relationships/hyperlink" Target="https://simplemaps.com/us-zips/45346/" TargetMode="External"/><Relationship Id="rId1114" Type="http://schemas.openxmlformats.org/officeDocument/2006/relationships/hyperlink" Target="https://simplemaps.com/us-zips/45723/" TargetMode="External"/><Relationship Id="rId1115" Type="http://schemas.openxmlformats.org/officeDocument/2006/relationships/hyperlink" Target="https://simplemaps.com/us-zips/45724/" TargetMode="External"/><Relationship Id="rId20" Type="http://schemas.openxmlformats.org/officeDocument/2006/relationships/hyperlink" Target="https://simplemaps.com/us-zips/43022/" TargetMode="External"/><Relationship Id="rId1116" Type="http://schemas.openxmlformats.org/officeDocument/2006/relationships/hyperlink" Target="https://simplemaps.com/us-zips/45727/" TargetMode="External"/><Relationship Id="rId1117" Type="http://schemas.openxmlformats.org/officeDocument/2006/relationships/hyperlink" Target="https://simplemaps.com/us-zips/45729/" TargetMode="External"/><Relationship Id="rId22" Type="http://schemas.openxmlformats.org/officeDocument/2006/relationships/hyperlink" Target="https://simplemaps.com/us-zips/43025/" TargetMode="External"/><Relationship Id="rId1118" Type="http://schemas.openxmlformats.org/officeDocument/2006/relationships/hyperlink" Target="https://simplemaps.com/us-zips/45732/" TargetMode="External"/><Relationship Id="rId21" Type="http://schemas.openxmlformats.org/officeDocument/2006/relationships/hyperlink" Target="https://simplemaps.com/us-zips/43023/" TargetMode="External"/><Relationship Id="rId1119" Type="http://schemas.openxmlformats.org/officeDocument/2006/relationships/hyperlink" Target="https://simplemaps.com/us-zips/45734/" TargetMode="External"/><Relationship Id="rId24" Type="http://schemas.openxmlformats.org/officeDocument/2006/relationships/hyperlink" Target="https://simplemaps.com/us-zips/43027/" TargetMode="External"/><Relationship Id="rId23" Type="http://schemas.openxmlformats.org/officeDocument/2006/relationships/hyperlink" Target="https://simplemaps.com/us-zips/43026/" TargetMode="External"/><Relationship Id="rId525" Type="http://schemas.openxmlformats.org/officeDocument/2006/relationships/hyperlink" Target="https://simplemaps.com/us-zips/44201/" TargetMode="External"/><Relationship Id="rId767" Type="http://schemas.openxmlformats.org/officeDocument/2006/relationships/hyperlink" Target="https://simplemaps.com/us-zips/44846/" TargetMode="External"/><Relationship Id="rId524" Type="http://schemas.openxmlformats.org/officeDocument/2006/relationships/hyperlink" Target="https://simplemaps.com/us-zips/44149/" TargetMode="External"/><Relationship Id="rId766" Type="http://schemas.openxmlformats.org/officeDocument/2006/relationships/hyperlink" Target="https://simplemaps.com/us-zips/44844/" TargetMode="External"/><Relationship Id="rId523" Type="http://schemas.openxmlformats.org/officeDocument/2006/relationships/hyperlink" Target="https://simplemaps.com/us-zips/44147/" TargetMode="External"/><Relationship Id="rId765" Type="http://schemas.openxmlformats.org/officeDocument/2006/relationships/hyperlink" Target="https://simplemaps.com/us-zips/44843/" TargetMode="External"/><Relationship Id="rId522" Type="http://schemas.openxmlformats.org/officeDocument/2006/relationships/hyperlink" Target="https://simplemaps.com/us-zips/44146/" TargetMode="External"/><Relationship Id="rId764" Type="http://schemas.openxmlformats.org/officeDocument/2006/relationships/hyperlink" Target="https://simplemaps.com/us-zips/44842/" TargetMode="External"/><Relationship Id="rId529" Type="http://schemas.openxmlformats.org/officeDocument/2006/relationships/hyperlink" Target="https://simplemaps.com/us-zips/44214/" TargetMode="External"/><Relationship Id="rId528" Type="http://schemas.openxmlformats.org/officeDocument/2006/relationships/hyperlink" Target="https://simplemaps.com/us-zips/44212/" TargetMode="External"/><Relationship Id="rId527" Type="http://schemas.openxmlformats.org/officeDocument/2006/relationships/hyperlink" Target="https://simplemaps.com/us-zips/44203/" TargetMode="External"/><Relationship Id="rId769" Type="http://schemas.openxmlformats.org/officeDocument/2006/relationships/hyperlink" Target="https://simplemaps.com/us-zips/44849/" TargetMode="External"/><Relationship Id="rId526" Type="http://schemas.openxmlformats.org/officeDocument/2006/relationships/hyperlink" Target="https://simplemaps.com/us-zips/44202/" TargetMode="External"/><Relationship Id="rId768" Type="http://schemas.openxmlformats.org/officeDocument/2006/relationships/hyperlink" Target="https://simplemaps.com/us-zips/44847/" TargetMode="External"/><Relationship Id="rId26" Type="http://schemas.openxmlformats.org/officeDocument/2006/relationships/hyperlink" Target="https://simplemaps.com/us-zips/43029/" TargetMode="External"/><Relationship Id="rId25" Type="http://schemas.openxmlformats.org/officeDocument/2006/relationships/hyperlink" Target="https://simplemaps.com/us-zips/43028/" TargetMode="External"/><Relationship Id="rId28" Type="http://schemas.openxmlformats.org/officeDocument/2006/relationships/hyperlink" Target="https://simplemaps.com/us-zips/43031/" TargetMode="External"/><Relationship Id="rId27" Type="http://schemas.openxmlformats.org/officeDocument/2006/relationships/hyperlink" Target="https://simplemaps.com/us-zips/43030/" TargetMode="External"/><Relationship Id="rId521" Type="http://schemas.openxmlformats.org/officeDocument/2006/relationships/hyperlink" Target="https://simplemaps.com/us-zips/44145/" TargetMode="External"/><Relationship Id="rId763" Type="http://schemas.openxmlformats.org/officeDocument/2006/relationships/hyperlink" Target="https://simplemaps.com/us-zips/44841/" TargetMode="External"/><Relationship Id="rId1110" Type="http://schemas.openxmlformats.org/officeDocument/2006/relationships/hyperlink" Target="https://simplemaps.com/us-zips/45716/" TargetMode="External"/><Relationship Id="rId29" Type="http://schemas.openxmlformats.org/officeDocument/2006/relationships/hyperlink" Target="https://simplemaps.com/us-zips/43032/" TargetMode="External"/><Relationship Id="rId520" Type="http://schemas.openxmlformats.org/officeDocument/2006/relationships/hyperlink" Target="https://simplemaps.com/us-zips/44144/" TargetMode="External"/><Relationship Id="rId762" Type="http://schemas.openxmlformats.org/officeDocument/2006/relationships/hyperlink" Target="https://simplemaps.com/us-zips/44840/" TargetMode="External"/><Relationship Id="rId1111" Type="http://schemas.openxmlformats.org/officeDocument/2006/relationships/hyperlink" Target="https://simplemaps.com/us-zips/45719/" TargetMode="External"/><Relationship Id="rId761" Type="http://schemas.openxmlformats.org/officeDocument/2006/relationships/hyperlink" Target="https://simplemaps.com/us-zips/44839/" TargetMode="External"/><Relationship Id="rId1112" Type="http://schemas.openxmlformats.org/officeDocument/2006/relationships/hyperlink" Target="https://simplemaps.com/us-zips/45720/" TargetMode="External"/><Relationship Id="rId760" Type="http://schemas.openxmlformats.org/officeDocument/2006/relationships/hyperlink" Target="https://simplemaps.com/us-zips/44838/" TargetMode="External"/><Relationship Id="rId1113" Type="http://schemas.openxmlformats.org/officeDocument/2006/relationships/hyperlink" Target="https://simplemaps.com/us-zips/45721/" TargetMode="External"/><Relationship Id="rId1103" Type="http://schemas.openxmlformats.org/officeDocument/2006/relationships/hyperlink" Target="https://simplemaps.com/us-zips/45698/" TargetMode="External"/><Relationship Id="rId1104" Type="http://schemas.openxmlformats.org/officeDocument/2006/relationships/hyperlink" Target="https://simplemaps.com/us-zips/45699/" TargetMode="External"/><Relationship Id="rId1105" Type="http://schemas.openxmlformats.org/officeDocument/2006/relationships/hyperlink" Target="https://simplemaps.com/us-zips/45701/" TargetMode="External"/><Relationship Id="rId1106" Type="http://schemas.openxmlformats.org/officeDocument/2006/relationships/hyperlink" Target="https://simplemaps.com/us-zips/45710/" TargetMode="External"/><Relationship Id="rId11" Type="http://schemas.openxmlformats.org/officeDocument/2006/relationships/hyperlink" Target="https://simplemaps.com/us-zips/43011/" TargetMode="External"/><Relationship Id="rId1107" Type="http://schemas.openxmlformats.org/officeDocument/2006/relationships/hyperlink" Target="https://simplemaps.com/us-zips/45711/" TargetMode="External"/><Relationship Id="rId10" Type="http://schemas.openxmlformats.org/officeDocument/2006/relationships/hyperlink" Target="https://simplemaps.com/us-zips/43010/" TargetMode="External"/><Relationship Id="rId1108" Type="http://schemas.openxmlformats.org/officeDocument/2006/relationships/hyperlink" Target="https://simplemaps.com/us-zips/45714/" TargetMode="External"/><Relationship Id="rId13" Type="http://schemas.openxmlformats.org/officeDocument/2006/relationships/hyperlink" Target="https://simplemaps.com/us-zips/43014/" TargetMode="External"/><Relationship Id="rId1109" Type="http://schemas.openxmlformats.org/officeDocument/2006/relationships/hyperlink" Target="https://simplemaps.com/us-zips/45715/" TargetMode="External"/><Relationship Id="rId12" Type="http://schemas.openxmlformats.org/officeDocument/2006/relationships/hyperlink" Target="https://simplemaps.com/us-zips/43013/" TargetMode="External"/><Relationship Id="rId519" Type="http://schemas.openxmlformats.org/officeDocument/2006/relationships/hyperlink" Target="https://simplemaps.com/us-zips/44143/" TargetMode="External"/><Relationship Id="rId514" Type="http://schemas.openxmlformats.org/officeDocument/2006/relationships/hyperlink" Target="https://simplemaps.com/us-zips/44138/" TargetMode="External"/><Relationship Id="rId756" Type="http://schemas.openxmlformats.org/officeDocument/2006/relationships/hyperlink" Target="https://simplemaps.com/us-zips/44830/" TargetMode="External"/><Relationship Id="rId998" Type="http://schemas.openxmlformats.org/officeDocument/2006/relationships/hyperlink" Target="https://simplemaps.com/us-zips/45383/" TargetMode="External"/><Relationship Id="rId513" Type="http://schemas.openxmlformats.org/officeDocument/2006/relationships/hyperlink" Target="https://simplemaps.com/us-zips/44137/" TargetMode="External"/><Relationship Id="rId755" Type="http://schemas.openxmlformats.org/officeDocument/2006/relationships/hyperlink" Target="https://simplemaps.com/us-zips/44828/" TargetMode="External"/><Relationship Id="rId997" Type="http://schemas.openxmlformats.org/officeDocument/2006/relationships/hyperlink" Target="https://simplemaps.com/us-zips/45382/" TargetMode="External"/><Relationship Id="rId512" Type="http://schemas.openxmlformats.org/officeDocument/2006/relationships/hyperlink" Target="https://simplemaps.com/us-zips/44136/" TargetMode="External"/><Relationship Id="rId754" Type="http://schemas.openxmlformats.org/officeDocument/2006/relationships/hyperlink" Target="https://simplemaps.com/us-zips/44827/" TargetMode="External"/><Relationship Id="rId996" Type="http://schemas.openxmlformats.org/officeDocument/2006/relationships/hyperlink" Target="https://simplemaps.com/us-zips/45381/" TargetMode="External"/><Relationship Id="rId511" Type="http://schemas.openxmlformats.org/officeDocument/2006/relationships/hyperlink" Target="https://simplemaps.com/us-zips/44135/" TargetMode="External"/><Relationship Id="rId753" Type="http://schemas.openxmlformats.org/officeDocument/2006/relationships/hyperlink" Target="https://simplemaps.com/us-zips/44826/" TargetMode="External"/><Relationship Id="rId995" Type="http://schemas.openxmlformats.org/officeDocument/2006/relationships/hyperlink" Target="https://simplemaps.com/us-zips/45380/" TargetMode="External"/><Relationship Id="rId518" Type="http://schemas.openxmlformats.org/officeDocument/2006/relationships/hyperlink" Target="https://simplemaps.com/us-zips/44142/" TargetMode="External"/><Relationship Id="rId517" Type="http://schemas.openxmlformats.org/officeDocument/2006/relationships/hyperlink" Target="https://simplemaps.com/us-zips/44141/" TargetMode="External"/><Relationship Id="rId759" Type="http://schemas.openxmlformats.org/officeDocument/2006/relationships/hyperlink" Target="https://simplemaps.com/us-zips/44837/" TargetMode="External"/><Relationship Id="rId516" Type="http://schemas.openxmlformats.org/officeDocument/2006/relationships/hyperlink" Target="https://simplemaps.com/us-zips/44140/" TargetMode="External"/><Relationship Id="rId758" Type="http://schemas.openxmlformats.org/officeDocument/2006/relationships/hyperlink" Target="https://simplemaps.com/us-zips/44836/" TargetMode="External"/><Relationship Id="rId515" Type="http://schemas.openxmlformats.org/officeDocument/2006/relationships/hyperlink" Target="https://simplemaps.com/us-zips/44139/" TargetMode="External"/><Relationship Id="rId757" Type="http://schemas.openxmlformats.org/officeDocument/2006/relationships/hyperlink" Target="https://simplemaps.com/us-zips/44833/" TargetMode="External"/><Relationship Id="rId999" Type="http://schemas.openxmlformats.org/officeDocument/2006/relationships/hyperlink" Target="https://simplemaps.com/us-zips/45384/" TargetMode="External"/><Relationship Id="rId15" Type="http://schemas.openxmlformats.org/officeDocument/2006/relationships/hyperlink" Target="https://simplemaps.com/us-zips/43016/" TargetMode="External"/><Relationship Id="rId990" Type="http://schemas.openxmlformats.org/officeDocument/2006/relationships/hyperlink" Target="https://simplemaps.com/us-zips/45371/" TargetMode="External"/><Relationship Id="rId14" Type="http://schemas.openxmlformats.org/officeDocument/2006/relationships/hyperlink" Target="https://simplemaps.com/us-zips/43015/" TargetMode="External"/><Relationship Id="rId17" Type="http://schemas.openxmlformats.org/officeDocument/2006/relationships/hyperlink" Target="https://simplemaps.com/us-zips/43018/" TargetMode="External"/><Relationship Id="rId16" Type="http://schemas.openxmlformats.org/officeDocument/2006/relationships/hyperlink" Target="https://simplemaps.com/us-zips/43017/" TargetMode="External"/><Relationship Id="rId19" Type="http://schemas.openxmlformats.org/officeDocument/2006/relationships/hyperlink" Target="https://simplemaps.com/us-zips/43021/" TargetMode="External"/><Relationship Id="rId510" Type="http://schemas.openxmlformats.org/officeDocument/2006/relationships/hyperlink" Target="https://simplemaps.com/us-zips/44134/" TargetMode="External"/><Relationship Id="rId752" Type="http://schemas.openxmlformats.org/officeDocument/2006/relationships/hyperlink" Target="https://simplemaps.com/us-zips/44825/" TargetMode="External"/><Relationship Id="rId994" Type="http://schemas.openxmlformats.org/officeDocument/2006/relationships/hyperlink" Target="https://simplemaps.com/us-zips/45378/" TargetMode="External"/><Relationship Id="rId18" Type="http://schemas.openxmlformats.org/officeDocument/2006/relationships/hyperlink" Target="https://simplemaps.com/us-zips/43019/" TargetMode="External"/><Relationship Id="rId751" Type="http://schemas.openxmlformats.org/officeDocument/2006/relationships/hyperlink" Target="https://simplemaps.com/us-zips/44824/" TargetMode="External"/><Relationship Id="rId993" Type="http://schemas.openxmlformats.org/officeDocument/2006/relationships/hyperlink" Target="https://simplemaps.com/us-zips/45377/" TargetMode="External"/><Relationship Id="rId1100" Type="http://schemas.openxmlformats.org/officeDocument/2006/relationships/hyperlink" Target="https://simplemaps.com/us-zips/45695/" TargetMode="External"/><Relationship Id="rId750" Type="http://schemas.openxmlformats.org/officeDocument/2006/relationships/hyperlink" Target="https://simplemaps.com/us-zips/44822/" TargetMode="External"/><Relationship Id="rId992" Type="http://schemas.openxmlformats.org/officeDocument/2006/relationships/hyperlink" Target="https://simplemaps.com/us-zips/45373/" TargetMode="External"/><Relationship Id="rId1101" Type="http://schemas.openxmlformats.org/officeDocument/2006/relationships/hyperlink" Target="https://simplemaps.com/us-zips/45696/" TargetMode="External"/><Relationship Id="rId991" Type="http://schemas.openxmlformats.org/officeDocument/2006/relationships/hyperlink" Target="https://simplemaps.com/us-zips/45372/" TargetMode="External"/><Relationship Id="rId1102" Type="http://schemas.openxmlformats.org/officeDocument/2006/relationships/hyperlink" Target="https://simplemaps.com/us-zips/45697/" TargetMode="External"/><Relationship Id="rId84" Type="http://schemas.openxmlformats.org/officeDocument/2006/relationships/hyperlink" Target="https://simplemaps.com/us-zips/43135/" TargetMode="External"/><Relationship Id="rId83" Type="http://schemas.openxmlformats.org/officeDocument/2006/relationships/hyperlink" Target="https://simplemaps.com/us-zips/43130/" TargetMode="External"/><Relationship Id="rId86" Type="http://schemas.openxmlformats.org/officeDocument/2006/relationships/hyperlink" Target="https://simplemaps.com/us-zips/43137/" TargetMode="External"/><Relationship Id="rId85" Type="http://schemas.openxmlformats.org/officeDocument/2006/relationships/hyperlink" Target="https://simplemaps.com/us-zips/43136/" TargetMode="External"/><Relationship Id="rId88" Type="http://schemas.openxmlformats.org/officeDocument/2006/relationships/hyperlink" Target="https://simplemaps.com/us-zips/43140/" TargetMode="External"/><Relationship Id="rId87" Type="http://schemas.openxmlformats.org/officeDocument/2006/relationships/hyperlink" Target="https://simplemaps.com/us-zips/43138/" TargetMode="External"/><Relationship Id="rId89" Type="http://schemas.openxmlformats.org/officeDocument/2006/relationships/hyperlink" Target="https://simplemaps.com/us-zips/43142/" TargetMode="External"/><Relationship Id="rId709" Type="http://schemas.openxmlformats.org/officeDocument/2006/relationships/hyperlink" Target="https://simplemaps.com/us-zips/44678/" TargetMode="External"/><Relationship Id="rId708" Type="http://schemas.openxmlformats.org/officeDocument/2006/relationships/hyperlink" Target="https://simplemaps.com/us-zips/44677/" TargetMode="External"/><Relationship Id="rId707" Type="http://schemas.openxmlformats.org/officeDocument/2006/relationships/hyperlink" Target="https://simplemaps.com/us-zips/44676/" TargetMode="External"/><Relationship Id="rId949" Type="http://schemas.openxmlformats.org/officeDocument/2006/relationships/hyperlink" Target="https://simplemaps.com/us-zips/45323/" TargetMode="External"/><Relationship Id="rId706" Type="http://schemas.openxmlformats.org/officeDocument/2006/relationships/hyperlink" Target="https://simplemaps.com/us-zips/44675/" TargetMode="External"/><Relationship Id="rId948" Type="http://schemas.openxmlformats.org/officeDocument/2006/relationships/hyperlink" Target="https://simplemaps.com/us-zips/45322/" TargetMode="External"/><Relationship Id="rId80" Type="http://schemas.openxmlformats.org/officeDocument/2006/relationships/hyperlink" Target="https://simplemaps.com/us-zips/43126/" TargetMode="External"/><Relationship Id="rId82" Type="http://schemas.openxmlformats.org/officeDocument/2006/relationships/hyperlink" Target="https://simplemaps.com/us-zips/43128/" TargetMode="External"/><Relationship Id="rId81" Type="http://schemas.openxmlformats.org/officeDocument/2006/relationships/hyperlink" Target="https://simplemaps.com/us-zips/43127/" TargetMode="External"/><Relationship Id="rId701" Type="http://schemas.openxmlformats.org/officeDocument/2006/relationships/hyperlink" Target="https://simplemaps.com/us-zips/44667/" TargetMode="External"/><Relationship Id="rId943" Type="http://schemas.openxmlformats.org/officeDocument/2006/relationships/hyperlink" Target="https://simplemaps.com/us-zips/45317/" TargetMode="External"/><Relationship Id="rId700" Type="http://schemas.openxmlformats.org/officeDocument/2006/relationships/hyperlink" Target="https://simplemaps.com/us-zips/44666/" TargetMode="External"/><Relationship Id="rId942" Type="http://schemas.openxmlformats.org/officeDocument/2006/relationships/hyperlink" Target="https://simplemaps.com/us-zips/45316/" TargetMode="External"/><Relationship Id="rId941" Type="http://schemas.openxmlformats.org/officeDocument/2006/relationships/hyperlink" Target="https://simplemaps.com/us-zips/45315/" TargetMode="External"/><Relationship Id="rId940" Type="http://schemas.openxmlformats.org/officeDocument/2006/relationships/hyperlink" Target="https://simplemaps.com/us-zips/45314/" TargetMode="External"/><Relationship Id="rId705" Type="http://schemas.openxmlformats.org/officeDocument/2006/relationships/hyperlink" Target="https://simplemaps.com/us-zips/44672/" TargetMode="External"/><Relationship Id="rId947" Type="http://schemas.openxmlformats.org/officeDocument/2006/relationships/hyperlink" Target="https://simplemaps.com/us-zips/45321/" TargetMode="External"/><Relationship Id="rId704" Type="http://schemas.openxmlformats.org/officeDocument/2006/relationships/hyperlink" Target="https://simplemaps.com/us-zips/44671/" TargetMode="External"/><Relationship Id="rId946" Type="http://schemas.openxmlformats.org/officeDocument/2006/relationships/hyperlink" Target="https://simplemaps.com/us-zips/45320/" TargetMode="External"/><Relationship Id="rId703" Type="http://schemas.openxmlformats.org/officeDocument/2006/relationships/hyperlink" Target="https://simplemaps.com/us-zips/44670/" TargetMode="External"/><Relationship Id="rId945" Type="http://schemas.openxmlformats.org/officeDocument/2006/relationships/hyperlink" Target="https://simplemaps.com/us-zips/45319/" TargetMode="External"/><Relationship Id="rId702" Type="http://schemas.openxmlformats.org/officeDocument/2006/relationships/hyperlink" Target="https://simplemaps.com/us-zips/44669/" TargetMode="External"/><Relationship Id="rId944" Type="http://schemas.openxmlformats.org/officeDocument/2006/relationships/hyperlink" Target="https://simplemaps.com/us-zips/45318/" TargetMode="External"/><Relationship Id="rId73" Type="http://schemas.openxmlformats.org/officeDocument/2006/relationships/hyperlink" Target="https://simplemaps.com/us-zips/43113/" TargetMode="External"/><Relationship Id="rId72" Type="http://schemas.openxmlformats.org/officeDocument/2006/relationships/hyperlink" Target="https://simplemaps.com/us-zips/43112/" TargetMode="External"/><Relationship Id="rId75" Type="http://schemas.openxmlformats.org/officeDocument/2006/relationships/hyperlink" Target="https://simplemaps.com/us-zips/43116/" TargetMode="External"/><Relationship Id="rId74" Type="http://schemas.openxmlformats.org/officeDocument/2006/relationships/hyperlink" Target="https://simplemaps.com/us-zips/43115/" TargetMode="External"/><Relationship Id="rId77" Type="http://schemas.openxmlformats.org/officeDocument/2006/relationships/hyperlink" Target="https://simplemaps.com/us-zips/43119/" TargetMode="External"/><Relationship Id="rId76" Type="http://schemas.openxmlformats.org/officeDocument/2006/relationships/hyperlink" Target="https://simplemaps.com/us-zips/43117/" TargetMode="External"/><Relationship Id="rId79" Type="http://schemas.openxmlformats.org/officeDocument/2006/relationships/hyperlink" Target="https://simplemaps.com/us-zips/43125/" TargetMode="External"/><Relationship Id="rId78" Type="http://schemas.openxmlformats.org/officeDocument/2006/relationships/hyperlink" Target="https://simplemaps.com/us-zips/43123/" TargetMode="External"/><Relationship Id="rId939" Type="http://schemas.openxmlformats.org/officeDocument/2006/relationships/hyperlink" Target="https://simplemaps.com/us-zips/45312/" TargetMode="External"/><Relationship Id="rId938" Type="http://schemas.openxmlformats.org/officeDocument/2006/relationships/hyperlink" Target="https://simplemaps.com/us-zips/45311/" TargetMode="External"/><Relationship Id="rId937" Type="http://schemas.openxmlformats.org/officeDocument/2006/relationships/hyperlink" Target="https://simplemaps.com/us-zips/45310/" TargetMode="External"/><Relationship Id="rId71" Type="http://schemas.openxmlformats.org/officeDocument/2006/relationships/hyperlink" Target="https://simplemaps.com/us-zips/43111/" TargetMode="External"/><Relationship Id="rId70" Type="http://schemas.openxmlformats.org/officeDocument/2006/relationships/hyperlink" Target="https://simplemaps.com/us-zips/43110/" TargetMode="External"/><Relationship Id="rId932" Type="http://schemas.openxmlformats.org/officeDocument/2006/relationships/hyperlink" Target="https://simplemaps.com/us-zips/45305/" TargetMode="External"/><Relationship Id="rId931" Type="http://schemas.openxmlformats.org/officeDocument/2006/relationships/hyperlink" Target="https://simplemaps.com/us-zips/45304/" TargetMode="External"/><Relationship Id="rId930" Type="http://schemas.openxmlformats.org/officeDocument/2006/relationships/hyperlink" Target="https://simplemaps.com/us-zips/45303/" TargetMode="External"/><Relationship Id="rId936" Type="http://schemas.openxmlformats.org/officeDocument/2006/relationships/hyperlink" Target="https://simplemaps.com/us-zips/45309/" TargetMode="External"/><Relationship Id="rId935" Type="http://schemas.openxmlformats.org/officeDocument/2006/relationships/hyperlink" Target="https://simplemaps.com/us-zips/45308/" TargetMode="External"/><Relationship Id="rId934" Type="http://schemas.openxmlformats.org/officeDocument/2006/relationships/hyperlink" Target="https://simplemaps.com/us-zips/45307/" TargetMode="External"/><Relationship Id="rId933" Type="http://schemas.openxmlformats.org/officeDocument/2006/relationships/hyperlink" Target="https://simplemaps.com/us-zips/45306/" TargetMode="External"/><Relationship Id="rId62" Type="http://schemas.openxmlformats.org/officeDocument/2006/relationships/hyperlink" Target="https://simplemaps.com/us-zips/43085/" TargetMode="External"/><Relationship Id="rId61" Type="http://schemas.openxmlformats.org/officeDocument/2006/relationships/hyperlink" Target="https://simplemaps.com/us-zips/43084/" TargetMode="External"/><Relationship Id="rId64" Type="http://schemas.openxmlformats.org/officeDocument/2006/relationships/hyperlink" Target="https://simplemaps.com/us-zips/43102/" TargetMode="External"/><Relationship Id="rId63" Type="http://schemas.openxmlformats.org/officeDocument/2006/relationships/hyperlink" Target="https://simplemaps.com/us-zips/43101/" TargetMode="External"/><Relationship Id="rId66" Type="http://schemas.openxmlformats.org/officeDocument/2006/relationships/hyperlink" Target="https://simplemaps.com/us-zips/43105/" TargetMode="External"/><Relationship Id="rId65" Type="http://schemas.openxmlformats.org/officeDocument/2006/relationships/hyperlink" Target="https://simplemaps.com/us-zips/43103/" TargetMode="External"/><Relationship Id="rId68" Type="http://schemas.openxmlformats.org/officeDocument/2006/relationships/hyperlink" Target="https://simplemaps.com/us-zips/43107/" TargetMode="External"/><Relationship Id="rId67" Type="http://schemas.openxmlformats.org/officeDocument/2006/relationships/hyperlink" Target="https://simplemaps.com/us-zips/43106/" TargetMode="External"/><Relationship Id="rId729" Type="http://schemas.openxmlformats.org/officeDocument/2006/relationships/hyperlink" Target="https://simplemaps.com/us-zips/44707/" TargetMode="External"/><Relationship Id="rId728" Type="http://schemas.openxmlformats.org/officeDocument/2006/relationships/hyperlink" Target="https://simplemaps.com/us-zips/44706/" TargetMode="External"/><Relationship Id="rId60" Type="http://schemas.openxmlformats.org/officeDocument/2006/relationships/hyperlink" Target="https://simplemaps.com/us-zips/43082/" TargetMode="External"/><Relationship Id="rId723" Type="http://schemas.openxmlformats.org/officeDocument/2006/relationships/hyperlink" Target="https://simplemaps.com/us-zips/44699/" TargetMode="External"/><Relationship Id="rId965" Type="http://schemas.openxmlformats.org/officeDocument/2006/relationships/hyperlink" Target="https://simplemaps.com/us-zips/45340/" TargetMode="External"/><Relationship Id="rId722" Type="http://schemas.openxmlformats.org/officeDocument/2006/relationships/hyperlink" Target="https://simplemaps.com/us-zips/44697/" TargetMode="External"/><Relationship Id="rId964" Type="http://schemas.openxmlformats.org/officeDocument/2006/relationships/hyperlink" Target="https://simplemaps.com/us-zips/45339/" TargetMode="External"/><Relationship Id="rId721" Type="http://schemas.openxmlformats.org/officeDocument/2006/relationships/hyperlink" Target="https://simplemaps.com/us-zips/44695/" TargetMode="External"/><Relationship Id="rId963" Type="http://schemas.openxmlformats.org/officeDocument/2006/relationships/hyperlink" Target="https://simplemaps.com/us-zips/45338/" TargetMode="External"/><Relationship Id="rId720" Type="http://schemas.openxmlformats.org/officeDocument/2006/relationships/hyperlink" Target="https://simplemaps.com/us-zips/44693/" TargetMode="External"/><Relationship Id="rId962" Type="http://schemas.openxmlformats.org/officeDocument/2006/relationships/hyperlink" Target="https://simplemaps.com/us-zips/45337/" TargetMode="External"/><Relationship Id="rId727" Type="http://schemas.openxmlformats.org/officeDocument/2006/relationships/hyperlink" Target="https://simplemaps.com/us-zips/44705/" TargetMode="External"/><Relationship Id="rId969" Type="http://schemas.openxmlformats.org/officeDocument/2006/relationships/hyperlink" Target="https://simplemaps.com/us-zips/45345/" TargetMode="External"/><Relationship Id="rId726" Type="http://schemas.openxmlformats.org/officeDocument/2006/relationships/hyperlink" Target="https://simplemaps.com/us-zips/44704/" TargetMode="External"/><Relationship Id="rId968" Type="http://schemas.openxmlformats.org/officeDocument/2006/relationships/hyperlink" Target="https://simplemaps.com/us-zips/45344/" TargetMode="External"/><Relationship Id="rId725" Type="http://schemas.openxmlformats.org/officeDocument/2006/relationships/hyperlink" Target="https://simplemaps.com/us-zips/44703/" TargetMode="External"/><Relationship Id="rId967" Type="http://schemas.openxmlformats.org/officeDocument/2006/relationships/hyperlink" Target="https://simplemaps.com/us-zips/45342/" TargetMode="External"/><Relationship Id="rId724" Type="http://schemas.openxmlformats.org/officeDocument/2006/relationships/hyperlink" Target="https://simplemaps.com/us-zips/44702/" TargetMode="External"/><Relationship Id="rId966" Type="http://schemas.openxmlformats.org/officeDocument/2006/relationships/hyperlink" Target="https://simplemaps.com/us-zips/45341/" TargetMode="External"/><Relationship Id="rId69" Type="http://schemas.openxmlformats.org/officeDocument/2006/relationships/hyperlink" Target="https://simplemaps.com/us-zips/43109/" TargetMode="External"/><Relationship Id="rId961" Type="http://schemas.openxmlformats.org/officeDocument/2006/relationships/hyperlink" Target="https://simplemaps.com/us-zips/45336/" TargetMode="External"/><Relationship Id="rId960" Type="http://schemas.openxmlformats.org/officeDocument/2006/relationships/hyperlink" Target="https://simplemaps.com/us-zips/45335/" TargetMode="External"/><Relationship Id="rId51" Type="http://schemas.openxmlformats.org/officeDocument/2006/relationships/hyperlink" Target="https://simplemaps.com/us-zips/43070/" TargetMode="External"/><Relationship Id="rId50" Type="http://schemas.openxmlformats.org/officeDocument/2006/relationships/hyperlink" Target="https://simplemaps.com/us-zips/43068/" TargetMode="External"/><Relationship Id="rId53" Type="http://schemas.openxmlformats.org/officeDocument/2006/relationships/hyperlink" Target="https://simplemaps.com/us-zips/43072/" TargetMode="External"/><Relationship Id="rId52" Type="http://schemas.openxmlformats.org/officeDocument/2006/relationships/hyperlink" Target="https://simplemaps.com/us-zips/43071/" TargetMode="External"/><Relationship Id="rId55" Type="http://schemas.openxmlformats.org/officeDocument/2006/relationships/hyperlink" Target="https://simplemaps.com/us-zips/43076/" TargetMode="External"/><Relationship Id="rId54" Type="http://schemas.openxmlformats.org/officeDocument/2006/relationships/hyperlink" Target="https://simplemaps.com/us-zips/43074/" TargetMode="External"/><Relationship Id="rId57" Type="http://schemas.openxmlformats.org/officeDocument/2006/relationships/hyperlink" Target="https://simplemaps.com/us-zips/43078/" TargetMode="External"/><Relationship Id="rId56" Type="http://schemas.openxmlformats.org/officeDocument/2006/relationships/hyperlink" Target="https://simplemaps.com/us-zips/43077/" TargetMode="External"/><Relationship Id="rId719" Type="http://schemas.openxmlformats.org/officeDocument/2006/relationships/hyperlink" Target="https://simplemaps.com/us-zips/44691/" TargetMode="External"/><Relationship Id="rId718" Type="http://schemas.openxmlformats.org/officeDocument/2006/relationships/hyperlink" Target="https://simplemaps.com/us-zips/44690/" TargetMode="External"/><Relationship Id="rId717" Type="http://schemas.openxmlformats.org/officeDocument/2006/relationships/hyperlink" Target="https://simplemaps.com/us-zips/44689/" TargetMode="External"/><Relationship Id="rId959" Type="http://schemas.openxmlformats.org/officeDocument/2006/relationships/hyperlink" Target="https://simplemaps.com/us-zips/45334/" TargetMode="External"/><Relationship Id="rId712" Type="http://schemas.openxmlformats.org/officeDocument/2006/relationships/hyperlink" Target="https://simplemaps.com/us-zips/44682/" TargetMode="External"/><Relationship Id="rId954" Type="http://schemas.openxmlformats.org/officeDocument/2006/relationships/hyperlink" Target="https://simplemaps.com/us-zips/45328/" TargetMode="External"/><Relationship Id="rId711" Type="http://schemas.openxmlformats.org/officeDocument/2006/relationships/hyperlink" Target="https://simplemaps.com/us-zips/44681/" TargetMode="External"/><Relationship Id="rId953" Type="http://schemas.openxmlformats.org/officeDocument/2006/relationships/hyperlink" Target="https://simplemaps.com/us-zips/45327/" TargetMode="External"/><Relationship Id="rId710" Type="http://schemas.openxmlformats.org/officeDocument/2006/relationships/hyperlink" Target="https://simplemaps.com/us-zips/44680/" TargetMode="External"/><Relationship Id="rId952" Type="http://schemas.openxmlformats.org/officeDocument/2006/relationships/hyperlink" Target="https://simplemaps.com/us-zips/45326/" TargetMode="External"/><Relationship Id="rId951" Type="http://schemas.openxmlformats.org/officeDocument/2006/relationships/hyperlink" Target="https://simplemaps.com/us-zips/45325/" TargetMode="External"/><Relationship Id="rId716" Type="http://schemas.openxmlformats.org/officeDocument/2006/relationships/hyperlink" Target="https://simplemaps.com/us-zips/44688/" TargetMode="External"/><Relationship Id="rId958" Type="http://schemas.openxmlformats.org/officeDocument/2006/relationships/hyperlink" Target="https://simplemaps.com/us-zips/45333/" TargetMode="External"/><Relationship Id="rId715" Type="http://schemas.openxmlformats.org/officeDocument/2006/relationships/hyperlink" Target="https://simplemaps.com/us-zips/44687/" TargetMode="External"/><Relationship Id="rId957" Type="http://schemas.openxmlformats.org/officeDocument/2006/relationships/hyperlink" Target="https://simplemaps.com/us-zips/45332/" TargetMode="External"/><Relationship Id="rId714" Type="http://schemas.openxmlformats.org/officeDocument/2006/relationships/hyperlink" Target="https://simplemaps.com/us-zips/44685/" TargetMode="External"/><Relationship Id="rId956" Type="http://schemas.openxmlformats.org/officeDocument/2006/relationships/hyperlink" Target="https://simplemaps.com/us-zips/45331/" TargetMode="External"/><Relationship Id="rId713" Type="http://schemas.openxmlformats.org/officeDocument/2006/relationships/hyperlink" Target="https://simplemaps.com/us-zips/44683/" TargetMode="External"/><Relationship Id="rId955" Type="http://schemas.openxmlformats.org/officeDocument/2006/relationships/hyperlink" Target="https://simplemaps.com/us-zips/45330/" TargetMode="External"/><Relationship Id="rId59" Type="http://schemas.openxmlformats.org/officeDocument/2006/relationships/hyperlink" Target="https://simplemaps.com/us-zips/43081/" TargetMode="External"/><Relationship Id="rId58" Type="http://schemas.openxmlformats.org/officeDocument/2006/relationships/hyperlink" Target="https://simplemaps.com/us-zips/43080/" TargetMode="External"/><Relationship Id="rId950" Type="http://schemas.openxmlformats.org/officeDocument/2006/relationships/hyperlink" Target="https://simplemaps.com/us-zips/45324/" TargetMode="External"/><Relationship Id="rId590" Type="http://schemas.openxmlformats.org/officeDocument/2006/relationships/hyperlink" Target="https://simplemaps.com/us-zips/44404/" TargetMode="External"/><Relationship Id="rId107" Type="http://schemas.openxmlformats.org/officeDocument/2006/relationships/hyperlink" Target="https://simplemaps.com/us-zips/43162/" TargetMode="External"/><Relationship Id="rId349" Type="http://schemas.openxmlformats.org/officeDocument/2006/relationships/hyperlink" Target="https://simplemaps.com/us-zips/43804/" TargetMode="External"/><Relationship Id="rId106" Type="http://schemas.openxmlformats.org/officeDocument/2006/relationships/hyperlink" Target="https://simplemaps.com/us-zips/43160/" TargetMode="External"/><Relationship Id="rId348" Type="http://schemas.openxmlformats.org/officeDocument/2006/relationships/hyperlink" Target="https://simplemaps.com/us-zips/43802/" TargetMode="External"/><Relationship Id="rId105" Type="http://schemas.openxmlformats.org/officeDocument/2006/relationships/hyperlink" Target="https://simplemaps.com/us-zips/43158/" TargetMode="External"/><Relationship Id="rId347" Type="http://schemas.openxmlformats.org/officeDocument/2006/relationships/hyperlink" Target="https://simplemaps.com/us-zips/43793/" TargetMode="External"/><Relationship Id="rId589" Type="http://schemas.openxmlformats.org/officeDocument/2006/relationships/hyperlink" Target="https://simplemaps.com/us-zips/44403/" TargetMode="External"/><Relationship Id="rId104" Type="http://schemas.openxmlformats.org/officeDocument/2006/relationships/hyperlink" Target="https://simplemaps.com/us-zips/43157/" TargetMode="External"/><Relationship Id="rId346" Type="http://schemas.openxmlformats.org/officeDocument/2006/relationships/hyperlink" Target="https://simplemaps.com/us-zips/43791/" TargetMode="External"/><Relationship Id="rId588" Type="http://schemas.openxmlformats.org/officeDocument/2006/relationships/hyperlink" Target="https://simplemaps.com/us-zips/44402/" TargetMode="External"/><Relationship Id="rId109" Type="http://schemas.openxmlformats.org/officeDocument/2006/relationships/hyperlink" Target="https://simplemaps.com/us-zips/43201/" TargetMode="External"/><Relationship Id="rId1170" Type="http://schemas.openxmlformats.org/officeDocument/2006/relationships/hyperlink" Target="https://simplemaps.com/us-zips/45826/" TargetMode="External"/><Relationship Id="rId108" Type="http://schemas.openxmlformats.org/officeDocument/2006/relationships/hyperlink" Target="https://simplemaps.com/us-zips/43164/" TargetMode="External"/><Relationship Id="rId1171" Type="http://schemas.openxmlformats.org/officeDocument/2006/relationships/hyperlink" Target="https://simplemaps.com/us-zips/45827/" TargetMode="External"/><Relationship Id="rId341" Type="http://schemas.openxmlformats.org/officeDocument/2006/relationships/hyperlink" Target="https://simplemaps.com/us-zips/43782/" TargetMode="External"/><Relationship Id="rId583" Type="http://schemas.openxmlformats.org/officeDocument/2006/relationships/hyperlink" Target="https://simplemaps.com/us-zips/44320/" TargetMode="External"/><Relationship Id="rId1172" Type="http://schemas.openxmlformats.org/officeDocument/2006/relationships/hyperlink" Target="https://simplemaps.com/us-zips/45828/" TargetMode="External"/><Relationship Id="rId340" Type="http://schemas.openxmlformats.org/officeDocument/2006/relationships/hyperlink" Target="https://simplemaps.com/us-zips/43780/" TargetMode="External"/><Relationship Id="rId582" Type="http://schemas.openxmlformats.org/officeDocument/2006/relationships/hyperlink" Target="https://simplemaps.com/us-zips/44319/" TargetMode="External"/><Relationship Id="rId1173" Type="http://schemas.openxmlformats.org/officeDocument/2006/relationships/hyperlink" Target="https://simplemaps.com/us-zips/45830/" TargetMode="External"/><Relationship Id="rId581" Type="http://schemas.openxmlformats.org/officeDocument/2006/relationships/hyperlink" Target="https://simplemaps.com/us-zips/44314/" TargetMode="External"/><Relationship Id="rId1174" Type="http://schemas.openxmlformats.org/officeDocument/2006/relationships/hyperlink" Target="https://simplemaps.com/us-zips/45831/" TargetMode="External"/><Relationship Id="rId580" Type="http://schemas.openxmlformats.org/officeDocument/2006/relationships/hyperlink" Target="https://simplemaps.com/us-zips/44313/" TargetMode="External"/><Relationship Id="rId1175" Type="http://schemas.openxmlformats.org/officeDocument/2006/relationships/hyperlink" Target="https://simplemaps.com/us-zips/45832/" TargetMode="External"/><Relationship Id="rId103" Type="http://schemas.openxmlformats.org/officeDocument/2006/relationships/hyperlink" Target="https://simplemaps.com/us-zips/43156/" TargetMode="External"/><Relationship Id="rId345" Type="http://schemas.openxmlformats.org/officeDocument/2006/relationships/hyperlink" Target="https://simplemaps.com/us-zips/43788/" TargetMode="External"/><Relationship Id="rId587" Type="http://schemas.openxmlformats.org/officeDocument/2006/relationships/hyperlink" Target="https://simplemaps.com/us-zips/44401/" TargetMode="External"/><Relationship Id="rId1176" Type="http://schemas.openxmlformats.org/officeDocument/2006/relationships/hyperlink" Target="https://simplemaps.com/us-zips/45833/" TargetMode="External"/><Relationship Id="rId102" Type="http://schemas.openxmlformats.org/officeDocument/2006/relationships/hyperlink" Target="https://simplemaps.com/us-zips/43155/" TargetMode="External"/><Relationship Id="rId344" Type="http://schemas.openxmlformats.org/officeDocument/2006/relationships/hyperlink" Target="https://simplemaps.com/us-zips/43787/" TargetMode="External"/><Relationship Id="rId586" Type="http://schemas.openxmlformats.org/officeDocument/2006/relationships/hyperlink" Target="https://simplemaps.com/us-zips/44333/" TargetMode="External"/><Relationship Id="rId1177" Type="http://schemas.openxmlformats.org/officeDocument/2006/relationships/hyperlink" Target="https://simplemaps.com/us-zips/45835/" TargetMode="External"/><Relationship Id="rId101" Type="http://schemas.openxmlformats.org/officeDocument/2006/relationships/hyperlink" Target="https://simplemaps.com/us-zips/43154/" TargetMode="External"/><Relationship Id="rId343" Type="http://schemas.openxmlformats.org/officeDocument/2006/relationships/hyperlink" Target="https://simplemaps.com/us-zips/43786/" TargetMode="External"/><Relationship Id="rId585" Type="http://schemas.openxmlformats.org/officeDocument/2006/relationships/hyperlink" Target="https://simplemaps.com/us-zips/44325/" TargetMode="External"/><Relationship Id="rId1178" Type="http://schemas.openxmlformats.org/officeDocument/2006/relationships/hyperlink" Target="https://simplemaps.com/us-zips/45836/" TargetMode="External"/><Relationship Id="rId100" Type="http://schemas.openxmlformats.org/officeDocument/2006/relationships/hyperlink" Target="https://simplemaps.com/us-zips/43153/" TargetMode="External"/><Relationship Id="rId342" Type="http://schemas.openxmlformats.org/officeDocument/2006/relationships/hyperlink" Target="https://simplemaps.com/us-zips/43783/" TargetMode="External"/><Relationship Id="rId584" Type="http://schemas.openxmlformats.org/officeDocument/2006/relationships/hyperlink" Target="https://simplemaps.com/us-zips/44321/" TargetMode="External"/><Relationship Id="rId1179" Type="http://schemas.openxmlformats.org/officeDocument/2006/relationships/hyperlink" Target="https://simplemaps.com/us-zips/45838/" TargetMode="External"/><Relationship Id="rId1169" Type="http://schemas.openxmlformats.org/officeDocument/2006/relationships/hyperlink" Target="https://simplemaps.com/us-zips/45822/" TargetMode="External"/><Relationship Id="rId338" Type="http://schemas.openxmlformats.org/officeDocument/2006/relationships/hyperlink" Target="https://simplemaps.com/us-zips/43778/" TargetMode="External"/><Relationship Id="rId337" Type="http://schemas.openxmlformats.org/officeDocument/2006/relationships/hyperlink" Target="https://simplemaps.com/us-zips/43777/" TargetMode="External"/><Relationship Id="rId579" Type="http://schemas.openxmlformats.org/officeDocument/2006/relationships/hyperlink" Target="https://simplemaps.com/us-zips/44312/" TargetMode="External"/><Relationship Id="rId336" Type="http://schemas.openxmlformats.org/officeDocument/2006/relationships/hyperlink" Target="https://simplemaps.com/us-zips/43773/" TargetMode="External"/><Relationship Id="rId578" Type="http://schemas.openxmlformats.org/officeDocument/2006/relationships/hyperlink" Target="https://simplemaps.com/us-zips/44311/" TargetMode="External"/><Relationship Id="rId335" Type="http://schemas.openxmlformats.org/officeDocument/2006/relationships/hyperlink" Target="https://simplemaps.com/us-zips/43772/" TargetMode="External"/><Relationship Id="rId577" Type="http://schemas.openxmlformats.org/officeDocument/2006/relationships/hyperlink" Target="https://simplemaps.com/us-zips/44310/" TargetMode="External"/><Relationship Id="rId339" Type="http://schemas.openxmlformats.org/officeDocument/2006/relationships/hyperlink" Target="https://simplemaps.com/us-zips/43779/" TargetMode="External"/><Relationship Id="rId1160" Type="http://schemas.openxmlformats.org/officeDocument/2006/relationships/hyperlink" Target="https://simplemaps.com/us-zips/45812/" TargetMode="External"/><Relationship Id="rId330" Type="http://schemas.openxmlformats.org/officeDocument/2006/relationships/hyperlink" Target="https://simplemaps.com/us-zips/43764/" TargetMode="External"/><Relationship Id="rId572" Type="http://schemas.openxmlformats.org/officeDocument/2006/relationships/hyperlink" Target="https://simplemaps.com/us-zips/44304/" TargetMode="External"/><Relationship Id="rId1161" Type="http://schemas.openxmlformats.org/officeDocument/2006/relationships/hyperlink" Target="https://simplemaps.com/us-zips/45813/" TargetMode="External"/><Relationship Id="rId571" Type="http://schemas.openxmlformats.org/officeDocument/2006/relationships/hyperlink" Target="https://simplemaps.com/us-zips/44303/" TargetMode="External"/><Relationship Id="rId1162" Type="http://schemas.openxmlformats.org/officeDocument/2006/relationships/hyperlink" Target="https://simplemaps.com/us-zips/45814/" TargetMode="External"/><Relationship Id="rId570" Type="http://schemas.openxmlformats.org/officeDocument/2006/relationships/hyperlink" Target="https://simplemaps.com/us-zips/44302/" TargetMode="External"/><Relationship Id="rId1163" Type="http://schemas.openxmlformats.org/officeDocument/2006/relationships/hyperlink" Target="https://simplemaps.com/us-zips/45815/" TargetMode="External"/><Relationship Id="rId1164" Type="http://schemas.openxmlformats.org/officeDocument/2006/relationships/hyperlink" Target="https://simplemaps.com/us-zips/45816/" TargetMode="External"/><Relationship Id="rId334" Type="http://schemas.openxmlformats.org/officeDocument/2006/relationships/hyperlink" Target="https://simplemaps.com/us-zips/43771/" TargetMode="External"/><Relationship Id="rId576" Type="http://schemas.openxmlformats.org/officeDocument/2006/relationships/hyperlink" Target="https://simplemaps.com/us-zips/44308/" TargetMode="External"/><Relationship Id="rId1165" Type="http://schemas.openxmlformats.org/officeDocument/2006/relationships/hyperlink" Target="https://simplemaps.com/us-zips/45817/" TargetMode="External"/><Relationship Id="rId333" Type="http://schemas.openxmlformats.org/officeDocument/2006/relationships/hyperlink" Target="https://simplemaps.com/us-zips/43768/" TargetMode="External"/><Relationship Id="rId575" Type="http://schemas.openxmlformats.org/officeDocument/2006/relationships/hyperlink" Target="https://simplemaps.com/us-zips/44307/" TargetMode="External"/><Relationship Id="rId1166" Type="http://schemas.openxmlformats.org/officeDocument/2006/relationships/hyperlink" Target="https://simplemaps.com/us-zips/45819/" TargetMode="External"/><Relationship Id="rId332" Type="http://schemas.openxmlformats.org/officeDocument/2006/relationships/hyperlink" Target="https://simplemaps.com/us-zips/43767/" TargetMode="External"/><Relationship Id="rId574" Type="http://schemas.openxmlformats.org/officeDocument/2006/relationships/hyperlink" Target="https://simplemaps.com/us-zips/44306/" TargetMode="External"/><Relationship Id="rId1167" Type="http://schemas.openxmlformats.org/officeDocument/2006/relationships/hyperlink" Target="https://simplemaps.com/us-zips/45820/" TargetMode="External"/><Relationship Id="rId331" Type="http://schemas.openxmlformats.org/officeDocument/2006/relationships/hyperlink" Target="https://simplemaps.com/us-zips/43766/" TargetMode="External"/><Relationship Id="rId573" Type="http://schemas.openxmlformats.org/officeDocument/2006/relationships/hyperlink" Target="https://simplemaps.com/us-zips/44305/" TargetMode="External"/><Relationship Id="rId1168" Type="http://schemas.openxmlformats.org/officeDocument/2006/relationships/hyperlink" Target="https://simplemaps.com/us-zips/45821/" TargetMode="External"/><Relationship Id="rId370" Type="http://schemas.openxmlformats.org/officeDocument/2006/relationships/hyperlink" Target="https://simplemaps.com/us-zips/43907/" TargetMode="External"/><Relationship Id="rId129" Type="http://schemas.openxmlformats.org/officeDocument/2006/relationships/hyperlink" Target="https://simplemaps.com/us-zips/43223/" TargetMode="External"/><Relationship Id="rId128" Type="http://schemas.openxmlformats.org/officeDocument/2006/relationships/hyperlink" Target="https://simplemaps.com/us-zips/43222/" TargetMode="External"/><Relationship Id="rId127" Type="http://schemas.openxmlformats.org/officeDocument/2006/relationships/hyperlink" Target="https://simplemaps.com/us-zips/43221/" TargetMode="External"/><Relationship Id="rId369" Type="http://schemas.openxmlformats.org/officeDocument/2006/relationships/hyperlink" Target="https://simplemaps.com/us-zips/43906/" TargetMode="External"/><Relationship Id="rId126" Type="http://schemas.openxmlformats.org/officeDocument/2006/relationships/hyperlink" Target="https://simplemaps.com/us-zips/43220/" TargetMode="External"/><Relationship Id="rId368" Type="http://schemas.openxmlformats.org/officeDocument/2006/relationships/hyperlink" Target="https://simplemaps.com/us-zips/43905/" TargetMode="External"/><Relationship Id="rId1190" Type="http://schemas.openxmlformats.org/officeDocument/2006/relationships/hyperlink" Target="https://simplemaps.com/us-zips/45853/" TargetMode="External"/><Relationship Id="rId1191" Type="http://schemas.openxmlformats.org/officeDocument/2006/relationships/hyperlink" Target="https://simplemaps.com/us-zips/45854/" TargetMode="External"/><Relationship Id="rId1192" Type="http://schemas.openxmlformats.org/officeDocument/2006/relationships/hyperlink" Target="https://simplemaps.com/us-zips/45855/" TargetMode="External"/><Relationship Id="rId1193" Type="http://schemas.openxmlformats.org/officeDocument/2006/relationships/hyperlink" Target="https://simplemaps.com/us-zips/45856/" TargetMode="External"/><Relationship Id="rId121" Type="http://schemas.openxmlformats.org/officeDocument/2006/relationships/hyperlink" Target="https://simplemaps.com/us-zips/43214/" TargetMode="External"/><Relationship Id="rId363" Type="http://schemas.openxmlformats.org/officeDocument/2006/relationships/hyperlink" Target="https://simplemaps.com/us-zips/43844/" TargetMode="External"/><Relationship Id="rId1194" Type="http://schemas.openxmlformats.org/officeDocument/2006/relationships/hyperlink" Target="https://simplemaps.com/us-zips/45858/" TargetMode="External"/><Relationship Id="rId120" Type="http://schemas.openxmlformats.org/officeDocument/2006/relationships/hyperlink" Target="https://simplemaps.com/us-zips/43213/" TargetMode="External"/><Relationship Id="rId362" Type="http://schemas.openxmlformats.org/officeDocument/2006/relationships/hyperlink" Target="https://simplemaps.com/us-zips/43843/" TargetMode="External"/><Relationship Id="rId1195" Type="http://schemas.openxmlformats.org/officeDocument/2006/relationships/hyperlink" Target="https://simplemaps.com/us-zips/45859/" TargetMode="External"/><Relationship Id="rId361" Type="http://schemas.openxmlformats.org/officeDocument/2006/relationships/hyperlink" Target="https://simplemaps.com/us-zips/43842/" TargetMode="External"/><Relationship Id="rId1196" Type="http://schemas.openxmlformats.org/officeDocument/2006/relationships/hyperlink" Target="https://simplemaps.com/us-zips/45860/" TargetMode="External"/><Relationship Id="rId360" Type="http://schemas.openxmlformats.org/officeDocument/2006/relationships/hyperlink" Target="https://simplemaps.com/us-zips/43840/" TargetMode="External"/><Relationship Id="rId1197" Type="http://schemas.openxmlformats.org/officeDocument/2006/relationships/hyperlink" Target="https://simplemaps.com/us-zips/45861/" TargetMode="External"/><Relationship Id="rId125" Type="http://schemas.openxmlformats.org/officeDocument/2006/relationships/hyperlink" Target="https://simplemaps.com/us-zips/43219/" TargetMode="External"/><Relationship Id="rId367" Type="http://schemas.openxmlformats.org/officeDocument/2006/relationships/hyperlink" Target="https://simplemaps.com/us-zips/43903/" TargetMode="External"/><Relationship Id="rId1198" Type="http://schemas.openxmlformats.org/officeDocument/2006/relationships/hyperlink" Target="https://simplemaps.com/us-zips/45862/" TargetMode="External"/><Relationship Id="rId124" Type="http://schemas.openxmlformats.org/officeDocument/2006/relationships/hyperlink" Target="https://simplemaps.com/us-zips/43218/" TargetMode="External"/><Relationship Id="rId366" Type="http://schemas.openxmlformats.org/officeDocument/2006/relationships/hyperlink" Target="https://simplemaps.com/us-zips/43902/" TargetMode="External"/><Relationship Id="rId1199" Type="http://schemas.openxmlformats.org/officeDocument/2006/relationships/hyperlink" Target="https://simplemaps.com/us-zips/45863/" TargetMode="External"/><Relationship Id="rId123" Type="http://schemas.openxmlformats.org/officeDocument/2006/relationships/hyperlink" Target="https://simplemaps.com/us-zips/43217/" TargetMode="External"/><Relationship Id="rId365" Type="http://schemas.openxmlformats.org/officeDocument/2006/relationships/hyperlink" Target="https://simplemaps.com/us-zips/43901/" TargetMode="External"/><Relationship Id="rId122" Type="http://schemas.openxmlformats.org/officeDocument/2006/relationships/hyperlink" Target="https://simplemaps.com/us-zips/43215/" TargetMode="External"/><Relationship Id="rId364" Type="http://schemas.openxmlformats.org/officeDocument/2006/relationships/hyperlink" Target="https://simplemaps.com/us-zips/43845/" TargetMode="External"/><Relationship Id="rId95" Type="http://schemas.openxmlformats.org/officeDocument/2006/relationships/hyperlink" Target="https://simplemaps.com/us-zips/43148/" TargetMode="External"/><Relationship Id="rId94" Type="http://schemas.openxmlformats.org/officeDocument/2006/relationships/hyperlink" Target="https://simplemaps.com/us-zips/43147/" TargetMode="External"/><Relationship Id="rId97" Type="http://schemas.openxmlformats.org/officeDocument/2006/relationships/hyperlink" Target="https://simplemaps.com/us-zips/43150/" TargetMode="External"/><Relationship Id="rId96" Type="http://schemas.openxmlformats.org/officeDocument/2006/relationships/hyperlink" Target="https://simplemaps.com/us-zips/43149/" TargetMode="External"/><Relationship Id="rId99" Type="http://schemas.openxmlformats.org/officeDocument/2006/relationships/hyperlink" Target="https://simplemaps.com/us-zips/43152/" TargetMode="External"/><Relationship Id="rId98" Type="http://schemas.openxmlformats.org/officeDocument/2006/relationships/hyperlink" Target="https://simplemaps.com/us-zips/43151/" TargetMode="External"/><Relationship Id="rId91" Type="http://schemas.openxmlformats.org/officeDocument/2006/relationships/hyperlink" Target="https://simplemaps.com/us-zips/43144/" TargetMode="External"/><Relationship Id="rId90" Type="http://schemas.openxmlformats.org/officeDocument/2006/relationships/hyperlink" Target="https://simplemaps.com/us-zips/43143/" TargetMode="External"/><Relationship Id="rId93" Type="http://schemas.openxmlformats.org/officeDocument/2006/relationships/hyperlink" Target="https://simplemaps.com/us-zips/43146/" TargetMode="External"/><Relationship Id="rId92" Type="http://schemas.openxmlformats.org/officeDocument/2006/relationships/hyperlink" Target="https://simplemaps.com/us-zips/43145/" TargetMode="External"/><Relationship Id="rId118" Type="http://schemas.openxmlformats.org/officeDocument/2006/relationships/hyperlink" Target="https://simplemaps.com/us-zips/43211/" TargetMode="External"/><Relationship Id="rId117" Type="http://schemas.openxmlformats.org/officeDocument/2006/relationships/hyperlink" Target="https://simplemaps.com/us-zips/43210/" TargetMode="External"/><Relationship Id="rId359" Type="http://schemas.openxmlformats.org/officeDocument/2006/relationships/hyperlink" Target="https://simplemaps.com/us-zips/43837/" TargetMode="External"/><Relationship Id="rId116" Type="http://schemas.openxmlformats.org/officeDocument/2006/relationships/hyperlink" Target="https://simplemaps.com/us-zips/43209/" TargetMode="External"/><Relationship Id="rId358" Type="http://schemas.openxmlformats.org/officeDocument/2006/relationships/hyperlink" Target="https://simplemaps.com/us-zips/43836/" TargetMode="External"/><Relationship Id="rId115" Type="http://schemas.openxmlformats.org/officeDocument/2006/relationships/hyperlink" Target="https://simplemaps.com/us-zips/43207/" TargetMode="External"/><Relationship Id="rId357" Type="http://schemas.openxmlformats.org/officeDocument/2006/relationships/hyperlink" Target="https://simplemaps.com/us-zips/43832/" TargetMode="External"/><Relationship Id="rId599" Type="http://schemas.openxmlformats.org/officeDocument/2006/relationships/hyperlink" Target="https://simplemaps.com/us-zips/44417/" TargetMode="External"/><Relationship Id="rId1180" Type="http://schemas.openxmlformats.org/officeDocument/2006/relationships/hyperlink" Target="https://simplemaps.com/us-zips/45840/" TargetMode="External"/><Relationship Id="rId1181" Type="http://schemas.openxmlformats.org/officeDocument/2006/relationships/hyperlink" Target="https://simplemaps.com/us-zips/45841/" TargetMode="External"/><Relationship Id="rId119" Type="http://schemas.openxmlformats.org/officeDocument/2006/relationships/hyperlink" Target="https://simplemaps.com/us-zips/43212/" TargetMode="External"/><Relationship Id="rId1182" Type="http://schemas.openxmlformats.org/officeDocument/2006/relationships/hyperlink" Target="https://simplemaps.com/us-zips/45843/" TargetMode="External"/><Relationship Id="rId110" Type="http://schemas.openxmlformats.org/officeDocument/2006/relationships/hyperlink" Target="https://simplemaps.com/us-zips/43202/" TargetMode="External"/><Relationship Id="rId352" Type="http://schemas.openxmlformats.org/officeDocument/2006/relationships/hyperlink" Target="https://simplemaps.com/us-zips/43812/" TargetMode="External"/><Relationship Id="rId594" Type="http://schemas.openxmlformats.org/officeDocument/2006/relationships/hyperlink" Target="https://simplemaps.com/us-zips/44410/" TargetMode="External"/><Relationship Id="rId1183" Type="http://schemas.openxmlformats.org/officeDocument/2006/relationships/hyperlink" Target="https://simplemaps.com/us-zips/45844/" TargetMode="External"/><Relationship Id="rId351" Type="http://schemas.openxmlformats.org/officeDocument/2006/relationships/hyperlink" Target="https://simplemaps.com/us-zips/43811/" TargetMode="External"/><Relationship Id="rId593" Type="http://schemas.openxmlformats.org/officeDocument/2006/relationships/hyperlink" Target="https://simplemaps.com/us-zips/44408/" TargetMode="External"/><Relationship Id="rId1184" Type="http://schemas.openxmlformats.org/officeDocument/2006/relationships/hyperlink" Target="https://simplemaps.com/us-zips/45845/" TargetMode="External"/><Relationship Id="rId350" Type="http://schemas.openxmlformats.org/officeDocument/2006/relationships/hyperlink" Target="https://simplemaps.com/us-zips/43805/" TargetMode="External"/><Relationship Id="rId592" Type="http://schemas.openxmlformats.org/officeDocument/2006/relationships/hyperlink" Target="https://simplemaps.com/us-zips/44406/" TargetMode="External"/><Relationship Id="rId1185" Type="http://schemas.openxmlformats.org/officeDocument/2006/relationships/hyperlink" Target="https://simplemaps.com/us-zips/45846/" TargetMode="External"/><Relationship Id="rId591" Type="http://schemas.openxmlformats.org/officeDocument/2006/relationships/hyperlink" Target="https://simplemaps.com/us-zips/44405/" TargetMode="External"/><Relationship Id="rId1186" Type="http://schemas.openxmlformats.org/officeDocument/2006/relationships/hyperlink" Target="https://simplemaps.com/us-zips/45848/" TargetMode="External"/><Relationship Id="rId114" Type="http://schemas.openxmlformats.org/officeDocument/2006/relationships/hyperlink" Target="https://simplemaps.com/us-zips/43206/" TargetMode="External"/><Relationship Id="rId356" Type="http://schemas.openxmlformats.org/officeDocument/2006/relationships/hyperlink" Target="https://simplemaps.com/us-zips/43830/" TargetMode="External"/><Relationship Id="rId598" Type="http://schemas.openxmlformats.org/officeDocument/2006/relationships/hyperlink" Target="https://simplemaps.com/us-zips/44415/" TargetMode="External"/><Relationship Id="rId1187" Type="http://schemas.openxmlformats.org/officeDocument/2006/relationships/hyperlink" Target="https://simplemaps.com/us-zips/45849/" TargetMode="External"/><Relationship Id="rId113" Type="http://schemas.openxmlformats.org/officeDocument/2006/relationships/hyperlink" Target="https://simplemaps.com/us-zips/43205/" TargetMode="External"/><Relationship Id="rId355" Type="http://schemas.openxmlformats.org/officeDocument/2006/relationships/hyperlink" Target="https://simplemaps.com/us-zips/43824/" TargetMode="External"/><Relationship Id="rId597" Type="http://schemas.openxmlformats.org/officeDocument/2006/relationships/hyperlink" Target="https://simplemaps.com/us-zips/44413/" TargetMode="External"/><Relationship Id="rId1188" Type="http://schemas.openxmlformats.org/officeDocument/2006/relationships/hyperlink" Target="https://simplemaps.com/us-zips/45850/" TargetMode="External"/><Relationship Id="rId112" Type="http://schemas.openxmlformats.org/officeDocument/2006/relationships/hyperlink" Target="https://simplemaps.com/us-zips/43204/" TargetMode="External"/><Relationship Id="rId354" Type="http://schemas.openxmlformats.org/officeDocument/2006/relationships/hyperlink" Target="https://simplemaps.com/us-zips/43822/" TargetMode="External"/><Relationship Id="rId596" Type="http://schemas.openxmlformats.org/officeDocument/2006/relationships/hyperlink" Target="https://simplemaps.com/us-zips/44412/" TargetMode="External"/><Relationship Id="rId1189" Type="http://schemas.openxmlformats.org/officeDocument/2006/relationships/hyperlink" Target="https://simplemaps.com/us-zips/45851/" TargetMode="External"/><Relationship Id="rId111" Type="http://schemas.openxmlformats.org/officeDocument/2006/relationships/hyperlink" Target="https://simplemaps.com/us-zips/43203/" TargetMode="External"/><Relationship Id="rId353" Type="http://schemas.openxmlformats.org/officeDocument/2006/relationships/hyperlink" Target="https://simplemaps.com/us-zips/43821/" TargetMode="External"/><Relationship Id="rId595" Type="http://schemas.openxmlformats.org/officeDocument/2006/relationships/hyperlink" Target="https://simplemaps.com/us-zips/44411/" TargetMode="External"/><Relationship Id="rId1136" Type="http://schemas.openxmlformats.org/officeDocument/2006/relationships/hyperlink" Target="https://simplemaps.com/us-zips/45769/" TargetMode="External"/><Relationship Id="rId1137" Type="http://schemas.openxmlformats.org/officeDocument/2006/relationships/hyperlink" Target="https://simplemaps.com/us-zips/45770/" TargetMode="External"/><Relationship Id="rId1138" Type="http://schemas.openxmlformats.org/officeDocument/2006/relationships/hyperlink" Target="https://simplemaps.com/us-zips/45771/" TargetMode="External"/><Relationship Id="rId1139" Type="http://schemas.openxmlformats.org/officeDocument/2006/relationships/hyperlink" Target="https://simplemaps.com/us-zips/45772/" TargetMode="External"/><Relationship Id="rId305" Type="http://schemas.openxmlformats.org/officeDocument/2006/relationships/hyperlink" Target="https://simplemaps.com/us-zips/43727/" TargetMode="External"/><Relationship Id="rId547" Type="http://schemas.openxmlformats.org/officeDocument/2006/relationships/hyperlink" Target="https://simplemaps.com/us-zips/44251/" TargetMode="External"/><Relationship Id="rId789" Type="http://schemas.openxmlformats.org/officeDocument/2006/relationships/hyperlink" Target="https://simplemaps.com/us-zips/44882/" TargetMode="External"/><Relationship Id="rId304" Type="http://schemas.openxmlformats.org/officeDocument/2006/relationships/hyperlink" Target="https://simplemaps.com/us-zips/43725/" TargetMode="External"/><Relationship Id="rId546" Type="http://schemas.openxmlformats.org/officeDocument/2006/relationships/hyperlink" Target="https://simplemaps.com/us-zips/44250/" TargetMode="External"/><Relationship Id="rId788" Type="http://schemas.openxmlformats.org/officeDocument/2006/relationships/hyperlink" Target="https://simplemaps.com/us-zips/44881/" TargetMode="External"/><Relationship Id="rId303" Type="http://schemas.openxmlformats.org/officeDocument/2006/relationships/hyperlink" Target="https://simplemaps.com/us-zips/43724/" TargetMode="External"/><Relationship Id="rId545" Type="http://schemas.openxmlformats.org/officeDocument/2006/relationships/hyperlink" Target="https://simplemaps.com/us-zips/44243/" TargetMode="External"/><Relationship Id="rId787" Type="http://schemas.openxmlformats.org/officeDocument/2006/relationships/hyperlink" Target="https://simplemaps.com/us-zips/44880/" TargetMode="External"/><Relationship Id="rId302" Type="http://schemas.openxmlformats.org/officeDocument/2006/relationships/hyperlink" Target="https://simplemaps.com/us-zips/43723/" TargetMode="External"/><Relationship Id="rId544" Type="http://schemas.openxmlformats.org/officeDocument/2006/relationships/hyperlink" Target="https://simplemaps.com/us-zips/44241/" TargetMode="External"/><Relationship Id="rId786" Type="http://schemas.openxmlformats.org/officeDocument/2006/relationships/hyperlink" Target="https://simplemaps.com/us-zips/44878/" TargetMode="External"/><Relationship Id="rId309" Type="http://schemas.openxmlformats.org/officeDocument/2006/relationships/hyperlink" Target="https://simplemaps.com/us-zips/43732/" TargetMode="External"/><Relationship Id="rId308" Type="http://schemas.openxmlformats.org/officeDocument/2006/relationships/hyperlink" Target="https://simplemaps.com/us-zips/43731/" TargetMode="External"/><Relationship Id="rId307" Type="http://schemas.openxmlformats.org/officeDocument/2006/relationships/hyperlink" Target="https://simplemaps.com/us-zips/43730/" TargetMode="External"/><Relationship Id="rId549" Type="http://schemas.openxmlformats.org/officeDocument/2006/relationships/hyperlink" Target="https://simplemaps.com/us-zips/44254/" TargetMode="External"/><Relationship Id="rId306" Type="http://schemas.openxmlformats.org/officeDocument/2006/relationships/hyperlink" Target="https://simplemaps.com/us-zips/43728/" TargetMode="External"/><Relationship Id="rId548" Type="http://schemas.openxmlformats.org/officeDocument/2006/relationships/hyperlink" Target="https://simplemaps.com/us-zips/44253/" TargetMode="External"/><Relationship Id="rId781" Type="http://schemas.openxmlformats.org/officeDocument/2006/relationships/hyperlink" Target="https://simplemaps.com/us-zips/44866/" TargetMode="External"/><Relationship Id="rId780" Type="http://schemas.openxmlformats.org/officeDocument/2006/relationships/hyperlink" Target="https://simplemaps.com/us-zips/44865/" TargetMode="External"/><Relationship Id="rId1130" Type="http://schemas.openxmlformats.org/officeDocument/2006/relationships/hyperlink" Target="https://simplemaps.com/us-zips/45760/" TargetMode="External"/><Relationship Id="rId1131" Type="http://schemas.openxmlformats.org/officeDocument/2006/relationships/hyperlink" Target="https://simplemaps.com/us-zips/45761/" TargetMode="External"/><Relationship Id="rId301" Type="http://schemas.openxmlformats.org/officeDocument/2006/relationships/hyperlink" Target="https://simplemaps.com/us-zips/43722/" TargetMode="External"/><Relationship Id="rId543" Type="http://schemas.openxmlformats.org/officeDocument/2006/relationships/hyperlink" Target="https://simplemaps.com/us-zips/44240/" TargetMode="External"/><Relationship Id="rId785" Type="http://schemas.openxmlformats.org/officeDocument/2006/relationships/hyperlink" Target="https://simplemaps.com/us-zips/44875/" TargetMode="External"/><Relationship Id="rId1132" Type="http://schemas.openxmlformats.org/officeDocument/2006/relationships/hyperlink" Target="https://simplemaps.com/us-zips/45764/" TargetMode="External"/><Relationship Id="rId300" Type="http://schemas.openxmlformats.org/officeDocument/2006/relationships/hyperlink" Target="https://simplemaps.com/us-zips/43721/" TargetMode="External"/><Relationship Id="rId542" Type="http://schemas.openxmlformats.org/officeDocument/2006/relationships/hyperlink" Target="https://simplemaps.com/us-zips/44236/" TargetMode="External"/><Relationship Id="rId784" Type="http://schemas.openxmlformats.org/officeDocument/2006/relationships/hyperlink" Target="https://simplemaps.com/us-zips/44874/" TargetMode="External"/><Relationship Id="rId1133" Type="http://schemas.openxmlformats.org/officeDocument/2006/relationships/hyperlink" Target="https://simplemaps.com/us-zips/45766/" TargetMode="External"/><Relationship Id="rId541" Type="http://schemas.openxmlformats.org/officeDocument/2006/relationships/hyperlink" Target="https://simplemaps.com/us-zips/44235/" TargetMode="External"/><Relationship Id="rId783" Type="http://schemas.openxmlformats.org/officeDocument/2006/relationships/hyperlink" Target="https://simplemaps.com/us-zips/44870/" TargetMode="External"/><Relationship Id="rId1134" Type="http://schemas.openxmlformats.org/officeDocument/2006/relationships/hyperlink" Target="https://simplemaps.com/us-zips/45767/" TargetMode="External"/><Relationship Id="rId540" Type="http://schemas.openxmlformats.org/officeDocument/2006/relationships/hyperlink" Target="https://simplemaps.com/us-zips/44234/" TargetMode="External"/><Relationship Id="rId782" Type="http://schemas.openxmlformats.org/officeDocument/2006/relationships/hyperlink" Target="https://simplemaps.com/us-zips/44867/" TargetMode="External"/><Relationship Id="rId1135" Type="http://schemas.openxmlformats.org/officeDocument/2006/relationships/hyperlink" Target="https://simplemaps.com/us-zips/45768/" TargetMode="External"/><Relationship Id="rId1125" Type="http://schemas.openxmlformats.org/officeDocument/2006/relationships/hyperlink" Target="https://simplemaps.com/us-zips/45743/" TargetMode="External"/><Relationship Id="rId1126" Type="http://schemas.openxmlformats.org/officeDocument/2006/relationships/hyperlink" Target="https://simplemaps.com/us-zips/45744/" TargetMode="External"/><Relationship Id="rId1127" Type="http://schemas.openxmlformats.org/officeDocument/2006/relationships/hyperlink" Target="https://simplemaps.com/us-zips/45745/" TargetMode="External"/><Relationship Id="rId1128" Type="http://schemas.openxmlformats.org/officeDocument/2006/relationships/hyperlink" Target="https://simplemaps.com/us-zips/45746/" TargetMode="External"/><Relationship Id="rId1129" Type="http://schemas.openxmlformats.org/officeDocument/2006/relationships/hyperlink" Target="https://simplemaps.com/us-zips/45750/" TargetMode="External"/><Relationship Id="rId536" Type="http://schemas.openxmlformats.org/officeDocument/2006/relationships/hyperlink" Target="https://simplemaps.com/us-zips/44230/" TargetMode="External"/><Relationship Id="rId778" Type="http://schemas.openxmlformats.org/officeDocument/2006/relationships/hyperlink" Target="https://simplemaps.com/us-zips/44861/" TargetMode="External"/><Relationship Id="rId535" Type="http://schemas.openxmlformats.org/officeDocument/2006/relationships/hyperlink" Target="https://simplemaps.com/us-zips/44224/" TargetMode="External"/><Relationship Id="rId777" Type="http://schemas.openxmlformats.org/officeDocument/2006/relationships/hyperlink" Target="https://simplemaps.com/us-zips/44859/" TargetMode="External"/><Relationship Id="rId534" Type="http://schemas.openxmlformats.org/officeDocument/2006/relationships/hyperlink" Target="https://simplemaps.com/us-zips/44223/" TargetMode="External"/><Relationship Id="rId776" Type="http://schemas.openxmlformats.org/officeDocument/2006/relationships/hyperlink" Target="https://simplemaps.com/us-zips/44857/" TargetMode="External"/><Relationship Id="rId533" Type="http://schemas.openxmlformats.org/officeDocument/2006/relationships/hyperlink" Target="https://simplemaps.com/us-zips/44221/" TargetMode="External"/><Relationship Id="rId775" Type="http://schemas.openxmlformats.org/officeDocument/2006/relationships/hyperlink" Target="https://simplemaps.com/us-zips/44856/" TargetMode="External"/><Relationship Id="rId539" Type="http://schemas.openxmlformats.org/officeDocument/2006/relationships/hyperlink" Target="https://simplemaps.com/us-zips/44233/" TargetMode="External"/><Relationship Id="rId538" Type="http://schemas.openxmlformats.org/officeDocument/2006/relationships/hyperlink" Target="https://simplemaps.com/us-zips/44232/" TargetMode="External"/><Relationship Id="rId537" Type="http://schemas.openxmlformats.org/officeDocument/2006/relationships/hyperlink" Target="https://simplemaps.com/us-zips/44231/" TargetMode="External"/><Relationship Id="rId779" Type="http://schemas.openxmlformats.org/officeDocument/2006/relationships/hyperlink" Target="https://simplemaps.com/us-zips/44864/" TargetMode="External"/><Relationship Id="rId770" Type="http://schemas.openxmlformats.org/officeDocument/2006/relationships/hyperlink" Target="https://simplemaps.com/us-zips/44850/" TargetMode="External"/><Relationship Id="rId1120" Type="http://schemas.openxmlformats.org/officeDocument/2006/relationships/hyperlink" Target="https://simplemaps.com/us-zips/45735/" TargetMode="External"/><Relationship Id="rId532" Type="http://schemas.openxmlformats.org/officeDocument/2006/relationships/hyperlink" Target="https://simplemaps.com/us-zips/44217/" TargetMode="External"/><Relationship Id="rId774" Type="http://schemas.openxmlformats.org/officeDocument/2006/relationships/hyperlink" Target="https://simplemaps.com/us-zips/44855/" TargetMode="External"/><Relationship Id="rId1121" Type="http://schemas.openxmlformats.org/officeDocument/2006/relationships/hyperlink" Target="https://simplemaps.com/us-zips/45739/" TargetMode="External"/><Relationship Id="rId531" Type="http://schemas.openxmlformats.org/officeDocument/2006/relationships/hyperlink" Target="https://simplemaps.com/us-zips/44216/" TargetMode="External"/><Relationship Id="rId773" Type="http://schemas.openxmlformats.org/officeDocument/2006/relationships/hyperlink" Target="https://simplemaps.com/us-zips/44854/" TargetMode="External"/><Relationship Id="rId1122" Type="http://schemas.openxmlformats.org/officeDocument/2006/relationships/hyperlink" Target="https://simplemaps.com/us-zips/45740/" TargetMode="External"/><Relationship Id="rId530" Type="http://schemas.openxmlformats.org/officeDocument/2006/relationships/hyperlink" Target="https://simplemaps.com/us-zips/44215/" TargetMode="External"/><Relationship Id="rId772" Type="http://schemas.openxmlformats.org/officeDocument/2006/relationships/hyperlink" Target="https://simplemaps.com/us-zips/44853/" TargetMode="External"/><Relationship Id="rId1123" Type="http://schemas.openxmlformats.org/officeDocument/2006/relationships/hyperlink" Target="https://simplemaps.com/us-zips/45741/" TargetMode="External"/><Relationship Id="rId771" Type="http://schemas.openxmlformats.org/officeDocument/2006/relationships/hyperlink" Target="https://simplemaps.com/us-zips/44851/" TargetMode="External"/><Relationship Id="rId1124" Type="http://schemas.openxmlformats.org/officeDocument/2006/relationships/hyperlink" Target="https://simplemaps.com/us-zips/45742/" TargetMode="External"/><Relationship Id="rId1158" Type="http://schemas.openxmlformats.org/officeDocument/2006/relationships/hyperlink" Target="https://simplemaps.com/us-zips/45809/" TargetMode="External"/><Relationship Id="rId1159" Type="http://schemas.openxmlformats.org/officeDocument/2006/relationships/hyperlink" Target="https://simplemaps.com/us-zips/45810/" TargetMode="External"/><Relationship Id="rId327" Type="http://schemas.openxmlformats.org/officeDocument/2006/relationships/hyperlink" Target="https://simplemaps.com/us-zips/43760/" TargetMode="External"/><Relationship Id="rId569" Type="http://schemas.openxmlformats.org/officeDocument/2006/relationships/hyperlink" Target="https://simplemaps.com/us-zips/44301/" TargetMode="External"/><Relationship Id="rId326" Type="http://schemas.openxmlformats.org/officeDocument/2006/relationships/hyperlink" Target="https://simplemaps.com/us-zips/43759/" TargetMode="External"/><Relationship Id="rId568" Type="http://schemas.openxmlformats.org/officeDocument/2006/relationships/hyperlink" Target="https://simplemaps.com/us-zips/44288/" TargetMode="External"/><Relationship Id="rId325" Type="http://schemas.openxmlformats.org/officeDocument/2006/relationships/hyperlink" Target="https://simplemaps.com/us-zips/43758/" TargetMode="External"/><Relationship Id="rId567" Type="http://schemas.openxmlformats.org/officeDocument/2006/relationships/hyperlink" Target="https://simplemaps.com/us-zips/44287/" TargetMode="External"/><Relationship Id="rId324" Type="http://schemas.openxmlformats.org/officeDocument/2006/relationships/hyperlink" Target="https://simplemaps.com/us-zips/43756/" TargetMode="External"/><Relationship Id="rId566" Type="http://schemas.openxmlformats.org/officeDocument/2006/relationships/hyperlink" Target="https://simplemaps.com/us-zips/44286/" TargetMode="External"/><Relationship Id="rId329" Type="http://schemas.openxmlformats.org/officeDocument/2006/relationships/hyperlink" Target="https://simplemaps.com/us-zips/43762/" TargetMode="External"/><Relationship Id="rId328" Type="http://schemas.openxmlformats.org/officeDocument/2006/relationships/hyperlink" Target="https://simplemaps.com/us-zips/43761/" TargetMode="External"/><Relationship Id="rId561" Type="http://schemas.openxmlformats.org/officeDocument/2006/relationships/hyperlink" Target="https://simplemaps.com/us-zips/44276/" TargetMode="External"/><Relationship Id="rId1150" Type="http://schemas.openxmlformats.org/officeDocument/2006/relationships/hyperlink" Target="https://simplemaps.com/us-zips/45788/" TargetMode="External"/><Relationship Id="rId560" Type="http://schemas.openxmlformats.org/officeDocument/2006/relationships/hyperlink" Target="https://simplemaps.com/us-zips/44275/" TargetMode="External"/><Relationship Id="rId1151" Type="http://schemas.openxmlformats.org/officeDocument/2006/relationships/hyperlink" Target="https://simplemaps.com/us-zips/45789/" TargetMode="External"/><Relationship Id="rId1152" Type="http://schemas.openxmlformats.org/officeDocument/2006/relationships/hyperlink" Target="https://simplemaps.com/us-zips/45801/" TargetMode="External"/><Relationship Id="rId1153" Type="http://schemas.openxmlformats.org/officeDocument/2006/relationships/hyperlink" Target="https://simplemaps.com/us-zips/45804/" TargetMode="External"/><Relationship Id="rId323" Type="http://schemas.openxmlformats.org/officeDocument/2006/relationships/hyperlink" Target="https://simplemaps.com/us-zips/43755/" TargetMode="External"/><Relationship Id="rId565" Type="http://schemas.openxmlformats.org/officeDocument/2006/relationships/hyperlink" Target="https://simplemaps.com/us-zips/44285/" TargetMode="External"/><Relationship Id="rId1154" Type="http://schemas.openxmlformats.org/officeDocument/2006/relationships/hyperlink" Target="https://simplemaps.com/us-zips/45805/" TargetMode="External"/><Relationship Id="rId322" Type="http://schemas.openxmlformats.org/officeDocument/2006/relationships/hyperlink" Target="https://simplemaps.com/us-zips/43754/" TargetMode="External"/><Relationship Id="rId564" Type="http://schemas.openxmlformats.org/officeDocument/2006/relationships/hyperlink" Target="https://simplemaps.com/us-zips/44281/" TargetMode="External"/><Relationship Id="rId1155" Type="http://schemas.openxmlformats.org/officeDocument/2006/relationships/hyperlink" Target="https://simplemaps.com/us-zips/45806/" TargetMode="External"/><Relationship Id="rId321" Type="http://schemas.openxmlformats.org/officeDocument/2006/relationships/hyperlink" Target="https://simplemaps.com/us-zips/43750/" TargetMode="External"/><Relationship Id="rId563" Type="http://schemas.openxmlformats.org/officeDocument/2006/relationships/hyperlink" Target="https://simplemaps.com/us-zips/44280/" TargetMode="External"/><Relationship Id="rId1156" Type="http://schemas.openxmlformats.org/officeDocument/2006/relationships/hyperlink" Target="https://simplemaps.com/us-zips/45807/" TargetMode="External"/><Relationship Id="rId320" Type="http://schemas.openxmlformats.org/officeDocument/2006/relationships/hyperlink" Target="https://simplemaps.com/us-zips/43749/" TargetMode="External"/><Relationship Id="rId562" Type="http://schemas.openxmlformats.org/officeDocument/2006/relationships/hyperlink" Target="https://simplemaps.com/us-zips/44278/" TargetMode="External"/><Relationship Id="rId1157" Type="http://schemas.openxmlformats.org/officeDocument/2006/relationships/hyperlink" Target="https://simplemaps.com/us-zips/45808/" TargetMode="External"/><Relationship Id="rId1147" Type="http://schemas.openxmlformats.org/officeDocument/2006/relationships/hyperlink" Target="https://simplemaps.com/us-zips/45783/" TargetMode="External"/><Relationship Id="rId1148" Type="http://schemas.openxmlformats.org/officeDocument/2006/relationships/hyperlink" Target="https://simplemaps.com/us-zips/45784/" TargetMode="External"/><Relationship Id="rId1149" Type="http://schemas.openxmlformats.org/officeDocument/2006/relationships/hyperlink" Target="https://simplemaps.com/us-zips/45786/" TargetMode="External"/><Relationship Id="rId316" Type="http://schemas.openxmlformats.org/officeDocument/2006/relationships/hyperlink" Target="https://simplemaps.com/us-zips/43740/" TargetMode="External"/><Relationship Id="rId558" Type="http://schemas.openxmlformats.org/officeDocument/2006/relationships/hyperlink" Target="https://simplemaps.com/us-zips/44273/" TargetMode="External"/><Relationship Id="rId315" Type="http://schemas.openxmlformats.org/officeDocument/2006/relationships/hyperlink" Target="https://simplemaps.com/us-zips/43739/" TargetMode="External"/><Relationship Id="rId557" Type="http://schemas.openxmlformats.org/officeDocument/2006/relationships/hyperlink" Target="https://simplemaps.com/us-zips/44272/" TargetMode="External"/><Relationship Id="rId799" Type="http://schemas.openxmlformats.org/officeDocument/2006/relationships/hyperlink" Target="https://simplemaps.com/us-zips/44906/" TargetMode="External"/><Relationship Id="rId314" Type="http://schemas.openxmlformats.org/officeDocument/2006/relationships/hyperlink" Target="https://simplemaps.com/us-zips/43738/" TargetMode="External"/><Relationship Id="rId556" Type="http://schemas.openxmlformats.org/officeDocument/2006/relationships/hyperlink" Target="https://simplemaps.com/us-zips/44270/" TargetMode="External"/><Relationship Id="rId798" Type="http://schemas.openxmlformats.org/officeDocument/2006/relationships/hyperlink" Target="https://simplemaps.com/us-zips/44905/" TargetMode="External"/><Relationship Id="rId313" Type="http://schemas.openxmlformats.org/officeDocument/2006/relationships/hyperlink" Target="https://simplemaps.com/us-zips/43736/" TargetMode="External"/><Relationship Id="rId555" Type="http://schemas.openxmlformats.org/officeDocument/2006/relationships/hyperlink" Target="https://simplemaps.com/us-zips/44266/" TargetMode="External"/><Relationship Id="rId797" Type="http://schemas.openxmlformats.org/officeDocument/2006/relationships/hyperlink" Target="https://simplemaps.com/us-zips/44904/" TargetMode="External"/><Relationship Id="rId319" Type="http://schemas.openxmlformats.org/officeDocument/2006/relationships/hyperlink" Target="https://simplemaps.com/us-zips/43748/" TargetMode="External"/><Relationship Id="rId318" Type="http://schemas.openxmlformats.org/officeDocument/2006/relationships/hyperlink" Target="https://simplemaps.com/us-zips/43747/" TargetMode="External"/><Relationship Id="rId317" Type="http://schemas.openxmlformats.org/officeDocument/2006/relationships/hyperlink" Target="https://simplemaps.com/us-zips/43746/" TargetMode="External"/><Relationship Id="rId559" Type="http://schemas.openxmlformats.org/officeDocument/2006/relationships/hyperlink" Target="https://simplemaps.com/us-zips/44274/" TargetMode="External"/><Relationship Id="rId550" Type="http://schemas.openxmlformats.org/officeDocument/2006/relationships/hyperlink" Target="https://simplemaps.com/us-zips/44255/" TargetMode="External"/><Relationship Id="rId792" Type="http://schemas.openxmlformats.org/officeDocument/2006/relationships/hyperlink" Target="https://simplemaps.com/us-zips/44889/" TargetMode="External"/><Relationship Id="rId791" Type="http://schemas.openxmlformats.org/officeDocument/2006/relationships/hyperlink" Target="https://simplemaps.com/us-zips/44887/" TargetMode="External"/><Relationship Id="rId1140" Type="http://schemas.openxmlformats.org/officeDocument/2006/relationships/hyperlink" Target="https://simplemaps.com/us-zips/45773/" TargetMode="External"/><Relationship Id="rId790" Type="http://schemas.openxmlformats.org/officeDocument/2006/relationships/hyperlink" Target="https://simplemaps.com/us-zips/44883/" TargetMode="External"/><Relationship Id="rId1141" Type="http://schemas.openxmlformats.org/officeDocument/2006/relationships/hyperlink" Target="https://simplemaps.com/us-zips/45775/" TargetMode="External"/><Relationship Id="rId1142" Type="http://schemas.openxmlformats.org/officeDocument/2006/relationships/hyperlink" Target="https://simplemaps.com/us-zips/45776/" TargetMode="External"/><Relationship Id="rId312" Type="http://schemas.openxmlformats.org/officeDocument/2006/relationships/hyperlink" Target="https://simplemaps.com/us-zips/43735/" TargetMode="External"/><Relationship Id="rId554" Type="http://schemas.openxmlformats.org/officeDocument/2006/relationships/hyperlink" Target="https://simplemaps.com/us-zips/44264/" TargetMode="External"/><Relationship Id="rId796" Type="http://schemas.openxmlformats.org/officeDocument/2006/relationships/hyperlink" Target="https://simplemaps.com/us-zips/44903/" TargetMode="External"/><Relationship Id="rId1143" Type="http://schemas.openxmlformats.org/officeDocument/2006/relationships/hyperlink" Target="https://simplemaps.com/us-zips/45778/" TargetMode="External"/><Relationship Id="rId311" Type="http://schemas.openxmlformats.org/officeDocument/2006/relationships/hyperlink" Target="https://simplemaps.com/us-zips/43734/" TargetMode="External"/><Relationship Id="rId553" Type="http://schemas.openxmlformats.org/officeDocument/2006/relationships/hyperlink" Target="https://simplemaps.com/us-zips/44262/" TargetMode="External"/><Relationship Id="rId795" Type="http://schemas.openxmlformats.org/officeDocument/2006/relationships/hyperlink" Target="https://simplemaps.com/us-zips/44902/" TargetMode="External"/><Relationship Id="rId1144" Type="http://schemas.openxmlformats.org/officeDocument/2006/relationships/hyperlink" Target="https://simplemaps.com/us-zips/45779/" TargetMode="External"/><Relationship Id="rId310" Type="http://schemas.openxmlformats.org/officeDocument/2006/relationships/hyperlink" Target="https://simplemaps.com/us-zips/43733/" TargetMode="External"/><Relationship Id="rId552" Type="http://schemas.openxmlformats.org/officeDocument/2006/relationships/hyperlink" Target="https://simplemaps.com/us-zips/44260/" TargetMode="External"/><Relationship Id="rId794" Type="http://schemas.openxmlformats.org/officeDocument/2006/relationships/hyperlink" Target="https://simplemaps.com/us-zips/44901/" TargetMode="External"/><Relationship Id="rId1145" Type="http://schemas.openxmlformats.org/officeDocument/2006/relationships/hyperlink" Target="https://simplemaps.com/us-zips/45780/" TargetMode="External"/><Relationship Id="rId551" Type="http://schemas.openxmlformats.org/officeDocument/2006/relationships/hyperlink" Target="https://simplemaps.com/us-zips/44256/" TargetMode="External"/><Relationship Id="rId793" Type="http://schemas.openxmlformats.org/officeDocument/2006/relationships/hyperlink" Target="https://simplemaps.com/us-zips/44890/" TargetMode="External"/><Relationship Id="rId1146" Type="http://schemas.openxmlformats.org/officeDocument/2006/relationships/hyperlink" Target="https://simplemaps.com/us-zips/45782/" TargetMode="External"/><Relationship Id="rId297" Type="http://schemas.openxmlformats.org/officeDocument/2006/relationships/hyperlink" Target="https://simplemaps.com/us-zips/43718/" TargetMode="External"/><Relationship Id="rId296" Type="http://schemas.openxmlformats.org/officeDocument/2006/relationships/hyperlink" Target="https://simplemaps.com/us-zips/43717/" TargetMode="External"/><Relationship Id="rId295" Type="http://schemas.openxmlformats.org/officeDocument/2006/relationships/hyperlink" Target="https://simplemaps.com/us-zips/43716/" TargetMode="External"/><Relationship Id="rId294" Type="http://schemas.openxmlformats.org/officeDocument/2006/relationships/hyperlink" Target="https://simplemaps.com/us-zips/43713/" TargetMode="External"/><Relationship Id="rId299" Type="http://schemas.openxmlformats.org/officeDocument/2006/relationships/hyperlink" Target="https://simplemaps.com/us-zips/43720/" TargetMode="External"/><Relationship Id="rId298" Type="http://schemas.openxmlformats.org/officeDocument/2006/relationships/hyperlink" Target="https://simplemaps.com/us-zips/43719/" TargetMode="External"/><Relationship Id="rId271" Type="http://schemas.openxmlformats.org/officeDocument/2006/relationships/hyperlink" Target="https://simplemaps.com/us-zips/43567/" TargetMode="External"/><Relationship Id="rId270" Type="http://schemas.openxmlformats.org/officeDocument/2006/relationships/hyperlink" Target="https://simplemaps.com/us-zips/43566/" TargetMode="External"/><Relationship Id="rId269" Type="http://schemas.openxmlformats.org/officeDocument/2006/relationships/hyperlink" Target="https://simplemaps.com/us-zips/43565/" TargetMode="External"/><Relationship Id="rId264" Type="http://schemas.openxmlformats.org/officeDocument/2006/relationships/hyperlink" Target="https://simplemaps.com/us-zips/43555/" TargetMode="External"/><Relationship Id="rId263" Type="http://schemas.openxmlformats.org/officeDocument/2006/relationships/hyperlink" Target="https://simplemaps.com/us-zips/43554/" TargetMode="External"/><Relationship Id="rId262" Type="http://schemas.openxmlformats.org/officeDocument/2006/relationships/hyperlink" Target="https://simplemaps.com/us-zips/43553/" TargetMode="External"/><Relationship Id="rId261" Type="http://schemas.openxmlformats.org/officeDocument/2006/relationships/hyperlink" Target="https://simplemaps.com/us-zips/43551/" TargetMode="External"/><Relationship Id="rId268" Type="http://schemas.openxmlformats.org/officeDocument/2006/relationships/hyperlink" Target="https://simplemaps.com/us-zips/43560/" TargetMode="External"/><Relationship Id="rId267" Type="http://schemas.openxmlformats.org/officeDocument/2006/relationships/hyperlink" Target="https://simplemaps.com/us-zips/43558/" TargetMode="External"/><Relationship Id="rId266" Type="http://schemas.openxmlformats.org/officeDocument/2006/relationships/hyperlink" Target="https://simplemaps.com/us-zips/43557/" TargetMode="External"/><Relationship Id="rId265" Type="http://schemas.openxmlformats.org/officeDocument/2006/relationships/hyperlink" Target="https://simplemaps.com/us-zips/43556/" TargetMode="External"/><Relationship Id="rId260" Type="http://schemas.openxmlformats.org/officeDocument/2006/relationships/hyperlink" Target="https://simplemaps.com/us-zips/43549/" TargetMode="External"/><Relationship Id="rId259" Type="http://schemas.openxmlformats.org/officeDocument/2006/relationships/hyperlink" Target="https://simplemaps.com/us-zips/43548/" TargetMode="External"/><Relationship Id="rId258" Type="http://schemas.openxmlformats.org/officeDocument/2006/relationships/hyperlink" Target="https://simplemaps.com/us-zips/43547/" TargetMode="External"/><Relationship Id="rId253" Type="http://schemas.openxmlformats.org/officeDocument/2006/relationships/hyperlink" Target="https://simplemaps.com/us-zips/43540/" TargetMode="External"/><Relationship Id="rId495" Type="http://schemas.openxmlformats.org/officeDocument/2006/relationships/hyperlink" Target="https://simplemaps.com/us-zips/44119/" TargetMode="External"/><Relationship Id="rId252" Type="http://schemas.openxmlformats.org/officeDocument/2006/relationships/hyperlink" Target="https://simplemaps.com/us-zips/43537/" TargetMode="External"/><Relationship Id="rId494" Type="http://schemas.openxmlformats.org/officeDocument/2006/relationships/hyperlink" Target="https://simplemaps.com/us-zips/44118/" TargetMode="External"/><Relationship Id="rId251" Type="http://schemas.openxmlformats.org/officeDocument/2006/relationships/hyperlink" Target="https://simplemaps.com/us-zips/43536/" TargetMode="External"/><Relationship Id="rId493" Type="http://schemas.openxmlformats.org/officeDocument/2006/relationships/hyperlink" Target="https://simplemaps.com/us-zips/44117/" TargetMode="External"/><Relationship Id="rId250" Type="http://schemas.openxmlformats.org/officeDocument/2006/relationships/hyperlink" Target="https://simplemaps.com/us-zips/43535/" TargetMode="External"/><Relationship Id="rId492" Type="http://schemas.openxmlformats.org/officeDocument/2006/relationships/hyperlink" Target="https://simplemaps.com/us-zips/44116/" TargetMode="External"/><Relationship Id="rId257" Type="http://schemas.openxmlformats.org/officeDocument/2006/relationships/hyperlink" Target="https://simplemaps.com/us-zips/43545/" TargetMode="External"/><Relationship Id="rId499" Type="http://schemas.openxmlformats.org/officeDocument/2006/relationships/hyperlink" Target="https://simplemaps.com/us-zips/44123/" TargetMode="External"/><Relationship Id="rId256" Type="http://schemas.openxmlformats.org/officeDocument/2006/relationships/hyperlink" Target="https://simplemaps.com/us-zips/43543/" TargetMode="External"/><Relationship Id="rId498" Type="http://schemas.openxmlformats.org/officeDocument/2006/relationships/hyperlink" Target="https://simplemaps.com/us-zips/44122/" TargetMode="External"/><Relationship Id="rId255" Type="http://schemas.openxmlformats.org/officeDocument/2006/relationships/hyperlink" Target="https://simplemaps.com/us-zips/43542/" TargetMode="External"/><Relationship Id="rId497" Type="http://schemas.openxmlformats.org/officeDocument/2006/relationships/hyperlink" Target="https://simplemaps.com/us-zips/44121/" TargetMode="External"/><Relationship Id="rId254" Type="http://schemas.openxmlformats.org/officeDocument/2006/relationships/hyperlink" Target="https://simplemaps.com/us-zips/43541/" TargetMode="External"/><Relationship Id="rId496" Type="http://schemas.openxmlformats.org/officeDocument/2006/relationships/hyperlink" Target="https://simplemaps.com/us-zips/44120/" TargetMode="External"/><Relationship Id="rId293" Type="http://schemas.openxmlformats.org/officeDocument/2006/relationships/hyperlink" Target="https://simplemaps.com/us-zips/43711/" TargetMode="External"/><Relationship Id="rId292" Type="http://schemas.openxmlformats.org/officeDocument/2006/relationships/hyperlink" Target="https://simplemaps.com/us-zips/43701/" TargetMode="External"/><Relationship Id="rId291" Type="http://schemas.openxmlformats.org/officeDocument/2006/relationships/hyperlink" Target="https://simplemaps.com/us-zips/43623/" TargetMode="External"/><Relationship Id="rId290" Type="http://schemas.openxmlformats.org/officeDocument/2006/relationships/hyperlink" Target="https://simplemaps.com/us-zips/43620/" TargetMode="External"/><Relationship Id="rId286" Type="http://schemas.openxmlformats.org/officeDocument/2006/relationships/hyperlink" Target="https://simplemaps.com/us-zips/43615/" TargetMode="External"/><Relationship Id="rId285" Type="http://schemas.openxmlformats.org/officeDocument/2006/relationships/hyperlink" Target="https://simplemaps.com/us-zips/43614/" TargetMode="External"/><Relationship Id="rId284" Type="http://schemas.openxmlformats.org/officeDocument/2006/relationships/hyperlink" Target="https://simplemaps.com/us-zips/43613/" TargetMode="External"/><Relationship Id="rId283" Type="http://schemas.openxmlformats.org/officeDocument/2006/relationships/hyperlink" Target="https://simplemaps.com/us-zips/43612/" TargetMode="External"/><Relationship Id="rId289" Type="http://schemas.openxmlformats.org/officeDocument/2006/relationships/hyperlink" Target="https://simplemaps.com/us-zips/43619/" TargetMode="External"/><Relationship Id="rId288" Type="http://schemas.openxmlformats.org/officeDocument/2006/relationships/hyperlink" Target="https://simplemaps.com/us-zips/43617/" TargetMode="External"/><Relationship Id="rId287" Type="http://schemas.openxmlformats.org/officeDocument/2006/relationships/hyperlink" Target="https://simplemaps.com/us-zips/43616/" TargetMode="External"/><Relationship Id="rId282" Type="http://schemas.openxmlformats.org/officeDocument/2006/relationships/hyperlink" Target="https://simplemaps.com/us-zips/43611/" TargetMode="External"/><Relationship Id="rId281" Type="http://schemas.openxmlformats.org/officeDocument/2006/relationships/hyperlink" Target="https://simplemaps.com/us-zips/43610/" TargetMode="External"/><Relationship Id="rId280" Type="http://schemas.openxmlformats.org/officeDocument/2006/relationships/hyperlink" Target="https://simplemaps.com/us-zips/43609/" TargetMode="External"/><Relationship Id="rId275" Type="http://schemas.openxmlformats.org/officeDocument/2006/relationships/hyperlink" Target="https://simplemaps.com/us-zips/43604/" TargetMode="External"/><Relationship Id="rId274" Type="http://schemas.openxmlformats.org/officeDocument/2006/relationships/hyperlink" Target="https://simplemaps.com/us-zips/43571/" TargetMode="External"/><Relationship Id="rId273" Type="http://schemas.openxmlformats.org/officeDocument/2006/relationships/hyperlink" Target="https://simplemaps.com/us-zips/43570/" TargetMode="External"/><Relationship Id="rId272" Type="http://schemas.openxmlformats.org/officeDocument/2006/relationships/hyperlink" Target="https://simplemaps.com/us-zips/43569/" TargetMode="External"/><Relationship Id="rId279" Type="http://schemas.openxmlformats.org/officeDocument/2006/relationships/hyperlink" Target="https://simplemaps.com/us-zips/43608/" TargetMode="External"/><Relationship Id="rId278" Type="http://schemas.openxmlformats.org/officeDocument/2006/relationships/hyperlink" Target="https://simplemaps.com/us-zips/43607/" TargetMode="External"/><Relationship Id="rId277" Type="http://schemas.openxmlformats.org/officeDocument/2006/relationships/hyperlink" Target="https://simplemaps.com/us-zips/43606/" TargetMode="External"/><Relationship Id="rId276" Type="http://schemas.openxmlformats.org/officeDocument/2006/relationships/hyperlink" Target="https://simplemaps.com/us-zips/43605/" TargetMode="External"/><Relationship Id="rId907" Type="http://schemas.openxmlformats.org/officeDocument/2006/relationships/hyperlink" Target="https://simplemaps.com/us-zips/45231/" TargetMode="External"/><Relationship Id="rId906" Type="http://schemas.openxmlformats.org/officeDocument/2006/relationships/hyperlink" Target="https://simplemaps.com/us-zips/45230/" TargetMode="External"/><Relationship Id="rId905" Type="http://schemas.openxmlformats.org/officeDocument/2006/relationships/hyperlink" Target="https://simplemaps.com/us-zips/45229/" TargetMode="External"/><Relationship Id="rId904" Type="http://schemas.openxmlformats.org/officeDocument/2006/relationships/hyperlink" Target="https://simplemaps.com/us-zips/45227/" TargetMode="External"/><Relationship Id="rId909" Type="http://schemas.openxmlformats.org/officeDocument/2006/relationships/hyperlink" Target="https://simplemaps.com/us-zips/45233/" TargetMode="External"/><Relationship Id="rId908" Type="http://schemas.openxmlformats.org/officeDocument/2006/relationships/hyperlink" Target="https://simplemaps.com/us-zips/45232/" TargetMode="External"/><Relationship Id="rId903" Type="http://schemas.openxmlformats.org/officeDocument/2006/relationships/hyperlink" Target="https://simplemaps.com/us-zips/45226/" TargetMode="External"/><Relationship Id="rId902" Type="http://schemas.openxmlformats.org/officeDocument/2006/relationships/hyperlink" Target="https://simplemaps.com/us-zips/45225/" TargetMode="External"/><Relationship Id="rId901" Type="http://schemas.openxmlformats.org/officeDocument/2006/relationships/hyperlink" Target="https://simplemaps.com/us-zips/45224/" TargetMode="External"/><Relationship Id="rId900" Type="http://schemas.openxmlformats.org/officeDocument/2006/relationships/hyperlink" Target="https://simplemaps.com/us-zips/45223/" TargetMode="External"/><Relationship Id="rId929" Type="http://schemas.openxmlformats.org/officeDocument/2006/relationships/hyperlink" Target="https://simplemaps.com/us-zips/45302/" TargetMode="External"/><Relationship Id="rId928" Type="http://schemas.openxmlformats.org/officeDocument/2006/relationships/hyperlink" Target="https://simplemaps.com/us-zips/45301/" TargetMode="External"/><Relationship Id="rId927" Type="http://schemas.openxmlformats.org/officeDocument/2006/relationships/hyperlink" Target="https://simplemaps.com/us-zips/45267/" TargetMode="External"/><Relationship Id="rId926" Type="http://schemas.openxmlformats.org/officeDocument/2006/relationships/hyperlink" Target="https://simplemaps.com/us-zips/45255/" TargetMode="External"/><Relationship Id="rId921" Type="http://schemas.openxmlformats.org/officeDocument/2006/relationships/hyperlink" Target="https://simplemaps.com/us-zips/45247/" TargetMode="External"/><Relationship Id="rId920" Type="http://schemas.openxmlformats.org/officeDocument/2006/relationships/hyperlink" Target="https://simplemaps.com/us-zips/45246/" TargetMode="External"/><Relationship Id="rId925" Type="http://schemas.openxmlformats.org/officeDocument/2006/relationships/hyperlink" Target="https://simplemaps.com/us-zips/45252/" TargetMode="External"/><Relationship Id="rId924" Type="http://schemas.openxmlformats.org/officeDocument/2006/relationships/hyperlink" Target="https://simplemaps.com/us-zips/45251/" TargetMode="External"/><Relationship Id="rId923" Type="http://schemas.openxmlformats.org/officeDocument/2006/relationships/hyperlink" Target="https://simplemaps.com/us-zips/45249/" TargetMode="External"/><Relationship Id="rId922" Type="http://schemas.openxmlformats.org/officeDocument/2006/relationships/hyperlink" Target="https://simplemaps.com/us-zips/45248/" TargetMode="External"/><Relationship Id="rId918" Type="http://schemas.openxmlformats.org/officeDocument/2006/relationships/hyperlink" Target="https://simplemaps.com/us-zips/45244/" TargetMode="External"/><Relationship Id="rId917" Type="http://schemas.openxmlformats.org/officeDocument/2006/relationships/hyperlink" Target="https://simplemaps.com/us-zips/45243/" TargetMode="External"/><Relationship Id="rId916" Type="http://schemas.openxmlformats.org/officeDocument/2006/relationships/hyperlink" Target="https://simplemaps.com/us-zips/45242/" TargetMode="External"/><Relationship Id="rId915" Type="http://schemas.openxmlformats.org/officeDocument/2006/relationships/hyperlink" Target="https://simplemaps.com/us-zips/45241/" TargetMode="External"/><Relationship Id="rId919" Type="http://schemas.openxmlformats.org/officeDocument/2006/relationships/hyperlink" Target="https://simplemaps.com/us-zips/45245/" TargetMode="External"/><Relationship Id="rId910" Type="http://schemas.openxmlformats.org/officeDocument/2006/relationships/hyperlink" Target="https://simplemaps.com/us-zips/45236/" TargetMode="External"/><Relationship Id="rId914" Type="http://schemas.openxmlformats.org/officeDocument/2006/relationships/hyperlink" Target="https://simplemaps.com/us-zips/45240/" TargetMode="External"/><Relationship Id="rId913" Type="http://schemas.openxmlformats.org/officeDocument/2006/relationships/hyperlink" Target="https://simplemaps.com/us-zips/45239/" TargetMode="External"/><Relationship Id="rId912" Type="http://schemas.openxmlformats.org/officeDocument/2006/relationships/hyperlink" Target="https://simplemaps.com/us-zips/45238/" TargetMode="External"/><Relationship Id="rId911" Type="http://schemas.openxmlformats.org/officeDocument/2006/relationships/hyperlink" Target="https://simplemaps.com/us-zips/45237/" TargetMode="External"/><Relationship Id="rId1213" Type="http://schemas.openxmlformats.org/officeDocument/2006/relationships/hyperlink" Target="https://simplemaps.com/us-zips/45877/" TargetMode="External"/><Relationship Id="rId1214" Type="http://schemas.openxmlformats.org/officeDocument/2006/relationships/hyperlink" Target="https://simplemaps.com/us-zips/45879/" TargetMode="External"/><Relationship Id="rId1215" Type="http://schemas.openxmlformats.org/officeDocument/2006/relationships/hyperlink" Target="https://simplemaps.com/us-zips/45880/" TargetMode="External"/><Relationship Id="rId1216" Type="http://schemas.openxmlformats.org/officeDocument/2006/relationships/hyperlink" Target="https://simplemaps.com/us-zips/45881/" TargetMode="External"/><Relationship Id="rId1217" Type="http://schemas.openxmlformats.org/officeDocument/2006/relationships/hyperlink" Target="https://simplemaps.com/us-zips/45882/" TargetMode="External"/><Relationship Id="rId1218" Type="http://schemas.openxmlformats.org/officeDocument/2006/relationships/hyperlink" Target="https://simplemaps.com/us-zips/45883/" TargetMode="External"/><Relationship Id="rId1219" Type="http://schemas.openxmlformats.org/officeDocument/2006/relationships/hyperlink" Target="https://simplemaps.com/us-zips/45884/" TargetMode="External"/><Relationship Id="rId629" Type="http://schemas.openxmlformats.org/officeDocument/2006/relationships/hyperlink" Target="https://simplemaps.com/us-zips/44470/" TargetMode="External"/><Relationship Id="rId624" Type="http://schemas.openxmlformats.org/officeDocument/2006/relationships/hyperlink" Target="https://simplemaps.com/us-zips/44451/" TargetMode="External"/><Relationship Id="rId866" Type="http://schemas.openxmlformats.org/officeDocument/2006/relationships/hyperlink" Target="https://simplemaps.com/us-zips/45156/" TargetMode="External"/><Relationship Id="rId623" Type="http://schemas.openxmlformats.org/officeDocument/2006/relationships/hyperlink" Target="https://simplemaps.com/us-zips/44450/" TargetMode="External"/><Relationship Id="rId865" Type="http://schemas.openxmlformats.org/officeDocument/2006/relationships/hyperlink" Target="https://simplemaps.com/us-zips/45155/" TargetMode="External"/><Relationship Id="rId622" Type="http://schemas.openxmlformats.org/officeDocument/2006/relationships/hyperlink" Target="https://simplemaps.com/us-zips/44449/" TargetMode="External"/><Relationship Id="rId864" Type="http://schemas.openxmlformats.org/officeDocument/2006/relationships/hyperlink" Target="https://simplemaps.com/us-zips/45154/" TargetMode="External"/><Relationship Id="rId621" Type="http://schemas.openxmlformats.org/officeDocument/2006/relationships/hyperlink" Target="https://simplemaps.com/us-zips/44446/" TargetMode="External"/><Relationship Id="rId863" Type="http://schemas.openxmlformats.org/officeDocument/2006/relationships/hyperlink" Target="https://simplemaps.com/us-zips/45153/" TargetMode="External"/><Relationship Id="rId628" Type="http://schemas.openxmlformats.org/officeDocument/2006/relationships/hyperlink" Target="https://simplemaps.com/us-zips/44460/" TargetMode="External"/><Relationship Id="rId627" Type="http://schemas.openxmlformats.org/officeDocument/2006/relationships/hyperlink" Target="https://simplemaps.com/us-zips/44455/" TargetMode="External"/><Relationship Id="rId869" Type="http://schemas.openxmlformats.org/officeDocument/2006/relationships/hyperlink" Target="https://simplemaps.com/us-zips/45159/" TargetMode="External"/><Relationship Id="rId626" Type="http://schemas.openxmlformats.org/officeDocument/2006/relationships/hyperlink" Target="https://simplemaps.com/us-zips/44454/" TargetMode="External"/><Relationship Id="rId868" Type="http://schemas.openxmlformats.org/officeDocument/2006/relationships/hyperlink" Target="https://simplemaps.com/us-zips/45158/" TargetMode="External"/><Relationship Id="rId625" Type="http://schemas.openxmlformats.org/officeDocument/2006/relationships/hyperlink" Target="https://simplemaps.com/us-zips/44452/" TargetMode="External"/><Relationship Id="rId867" Type="http://schemas.openxmlformats.org/officeDocument/2006/relationships/hyperlink" Target="https://simplemaps.com/us-zips/45157/" TargetMode="External"/><Relationship Id="rId620" Type="http://schemas.openxmlformats.org/officeDocument/2006/relationships/hyperlink" Target="https://simplemaps.com/us-zips/44445/" TargetMode="External"/><Relationship Id="rId862" Type="http://schemas.openxmlformats.org/officeDocument/2006/relationships/hyperlink" Target="https://simplemaps.com/us-zips/45152/" TargetMode="External"/><Relationship Id="rId861" Type="http://schemas.openxmlformats.org/officeDocument/2006/relationships/hyperlink" Target="https://simplemaps.com/us-zips/45150/" TargetMode="External"/><Relationship Id="rId1210" Type="http://schemas.openxmlformats.org/officeDocument/2006/relationships/hyperlink" Target="https://simplemaps.com/us-zips/45874/" TargetMode="External"/><Relationship Id="rId860" Type="http://schemas.openxmlformats.org/officeDocument/2006/relationships/hyperlink" Target="https://simplemaps.com/us-zips/45148/" TargetMode="External"/><Relationship Id="rId1211" Type="http://schemas.openxmlformats.org/officeDocument/2006/relationships/hyperlink" Target="https://simplemaps.com/us-zips/45875/" TargetMode="External"/><Relationship Id="rId1212" Type="http://schemas.openxmlformats.org/officeDocument/2006/relationships/hyperlink" Target="https://simplemaps.com/us-zips/45876/" TargetMode="External"/><Relationship Id="rId1202" Type="http://schemas.openxmlformats.org/officeDocument/2006/relationships/hyperlink" Target="https://simplemaps.com/us-zips/45866/" TargetMode="External"/><Relationship Id="rId1203" Type="http://schemas.openxmlformats.org/officeDocument/2006/relationships/hyperlink" Target="https://simplemaps.com/us-zips/45867/" TargetMode="External"/><Relationship Id="rId1204" Type="http://schemas.openxmlformats.org/officeDocument/2006/relationships/hyperlink" Target="https://simplemaps.com/us-zips/45868/" TargetMode="External"/><Relationship Id="rId1205" Type="http://schemas.openxmlformats.org/officeDocument/2006/relationships/hyperlink" Target="https://simplemaps.com/us-zips/45869/" TargetMode="External"/><Relationship Id="rId1206" Type="http://schemas.openxmlformats.org/officeDocument/2006/relationships/hyperlink" Target="https://simplemaps.com/us-zips/45870/" TargetMode="External"/><Relationship Id="rId1207" Type="http://schemas.openxmlformats.org/officeDocument/2006/relationships/hyperlink" Target="https://simplemaps.com/us-zips/45871/" TargetMode="External"/><Relationship Id="rId1208" Type="http://schemas.openxmlformats.org/officeDocument/2006/relationships/hyperlink" Target="https://simplemaps.com/us-zips/45872/" TargetMode="External"/><Relationship Id="rId1209" Type="http://schemas.openxmlformats.org/officeDocument/2006/relationships/hyperlink" Target="https://simplemaps.com/us-zips/45873/" TargetMode="External"/><Relationship Id="rId619" Type="http://schemas.openxmlformats.org/officeDocument/2006/relationships/hyperlink" Target="https://simplemaps.com/us-zips/44444/" TargetMode="External"/><Relationship Id="rId618" Type="http://schemas.openxmlformats.org/officeDocument/2006/relationships/hyperlink" Target="https://simplemaps.com/us-zips/44443/" TargetMode="External"/><Relationship Id="rId613" Type="http://schemas.openxmlformats.org/officeDocument/2006/relationships/hyperlink" Target="https://simplemaps.com/us-zips/44438/" TargetMode="External"/><Relationship Id="rId855" Type="http://schemas.openxmlformats.org/officeDocument/2006/relationships/hyperlink" Target="https://simplemaps.com/us-zips/45140/" TargetMode="External"/><Relationship Id="rId612" Type="http://schemas.openxmlformats.org/officeDocument/2006/relationships/hyperlink" Target="https://simplemaps.com/us-zips/44437/" TargetMode="External"/><Relationship Id="rId854" Type="http://schemas.openxmlformats.org/officeDocument/2006/relationships/hyperlink" Target="https://simplemaps.com/us-zips/45135/" TargetMode="External"/><Relationship Id="rId611" Type="http://schemas.openxmlformats.org/officeDocument/2006/relationships/hyperlink" Target="https://simplemaps.com/us-zips/44436/" TargetMode="External"/><Relationship Id="rId853" Type="http://schemas.openxmlformats.org/officeDocument/2006/relationships/hyperlink" Target="https://simplemaps.com/us-zips/45133/" TargetMode="External"/><Relationship Id="rId610" Type="http://schemas.openxmlformats.org/officeDocument/2006/relationships/hyperlink" Target="https://simplemaps.com/us-zips/44432/" TargetMode="External"/><Relationship Id="rId852" Type="http://schemas.openxmlformats.org/officeDocument/2006/relationships/hyperlink" Target="https://simplemaps.com/us-zips/45132/" TargetMode="External"/><Relationship Id="rId617" Type="http://schemas.openxmlformats.org/officeDocument/2006/relationships/hyperlink" Target="https://simplemaps.com/us-zips/44442/" TargetMode="External"/><Relationship Id="rId859" Type="http://schemas.openxmlformats.org/officeDocument/2006/relationships/hyperlink" Target="https://simplemaps.com/us-zips/45147/" TargetMode="External"/><Relationship Id="rId616" Type="http://schemas.openxmlformats.org/officeDocument/2006/relationships/hyperlink" Target="https://simplemaps.com/us-zips/44441/" TargetMode="External"/><Relationship Id="rId858" Type="http://schemas.openxmlformats.org/officeDocument/2006/relationships/hyperlink" Target="https://simplemaps.com/us-zips/45146/" TargetMode="External"/><Relationship Id="rId615" Type="http://schemas.openxmlformats.org/officeDocument/2006/relationships/hyperlink" Target="https://simplemaps.com/us-zips/44440/" TargetMode="External"/><Relationship Id="rId857" Type="http://schemas.openxmlformats.org/officeDocument/2006/relationships/hyperlink" Target="https://simplemaps.com/us-zips/45144/" TargetMode="External"/><Relationship Id="rId614" Type="http://schemas.openxmlformats.org/officeDocument/2006/relationships/hyperlink" Target="https://simplemaps.com/us-zips/44439/" TargetMode="External"/><Relationship Id="rId856" Type="http://schemas.openxmlformats.org/officeDocument/2006/relationships/hyperlink" Target="https://simplemaps.com/us-zips/45142/" TargetMode="External"/><Relationship Id="rId851" Type="http://schemas.openxmlformats.org/officeDocument/2006/relationships/hyperlink" Target="https://simplemaps.com/us-zips/45131/" TargetMode="External"/><Relationship Id="rId850" Type="http://schemas.openxmlformats.org/officeDocument/2006/relationships/hyperlink" Target="https://simplemaps.com/us-zips/45130/" TargetMode="External"/><Relationship Id="rId1200" Type="http://schemas.openxmlformats.org/officeDocument/2006/relationships/hyperlink" Target="https://simplemaps.com/us-zips/45864/" TargetMode="External"/><Relationship Id="rId1201" Type="http://schemas.openxmlformats.org/officeDocument/2006/relationships/hyperlink" Target="https://simplemaps.com/us-zips/45865/" TargetMode="External"/><Relationship Id="rId409" Type="http://schemas.openxmlformats.org/officeDocument/2006/relationships/hyperlink" Target="https://simplemaps.com/us-zips/43971/" TargetMode="External"/><Relationship Id="rId404" Type="http://schemas.openxmlformats.org/officeDocument/2006/relationships/hyperlink" Target="https://simplemaps.com/us-zips/43962/" TargetMode="External"/><Relationship Id="rId646" Type="http://schemas.openxmlformats.org/officeDocument/2006/relationships/hyperlink" Target="https://simplemaps.com/us-zips/44510/" TargetMode="External"/><Relationship Id="rId888" Type="http://schemas.openxmlformats.org/officeDocument/2006/relationships/hyperlink" Target="https://simplemaps.com/us-zips/45208/" TargetMode="External"/><Relationship Id="rId403" Type="http://schemas.openxmlformats.org/officeDocument/2006/relationships/hyperlink" Target="https://simplemaps.com/us-zips/43961/" TargetMode="External"/><Relationship Id="rId645" Type="http://schemas.openxmlformats.org/officeDocument/2006/relationships/hyperlink" Target="https://simplemaps.com/us-zips/44509/" TargetMode="External"/><Relationship Id="rId887" Type="http://schemas.openxmlformats.org/officeDocument/2006/relationships/hyperlink" Target="https://simplemaps.com/us-zips/45207/" TargetMode="External"/><Relationship Id="rId402" Type="http://schemas.openxmlformats.org/officeDocument/2006/relationships/hyperlink" Target="https://simplemaps.com/us-zips/43953/" TargetMode="External"/><Relationship Id="rId644" Type="http://schemas.openxmlformats.org/officeDocument/2006/relationships/hyperlink" Target="https://simplemaps.com/us-zips/44507/" TargetMode="External"/><Relationship Id="rId886" Type="http://schemas.openxmlformats.org/officeDocument/2006/relationships/hyperlink" Target="https://simplemaps.com/us-zips/45206/" TargetMode="External"/><Relationship Id="rId401" Type="http://schemas.openxmlformats.org/officeDocument/2006/relationships/hyperlink" Target="https://simplemaps.com/us-zips/43952/" TargetMode="External"/><Relationship Id="rId643" Type="http://schemas.openxmlformats.org/officeDocument/2006/relationships/hyperlink" Target="https://simplemaps.com/us-zips/44506/" TargetMode="External"/><Relationship Id="rId885" Type="http://schemas.openxmlformats.org/officeDocument/2006/relationships/hyperlink" Target="https://simplemaps.com/us-zips/45205/" TargetMode="External"/><Relationship Id="rId408" Type="http://schemas.openxmlformats.org/officeDocument/2006/relationships/hyperlink" Target="https://simplemaps.com/us-zips/43968/" TargetMode="External"/><Relationship Id="rId407" Type="http://schemas.openxmlformats.org/officeDocument/2006/relationships/hyperlink" Target="https://simplemaps.com/us-zips/43967/" TargetMode="External"/><Relationship Id="rId649" Type="http://schemas.openxmlformats.org/officeDocument/2006/relationships/hyperlink" Target="https://simplemaps.com/us-zips/44514/" TargetMode="External"/><Relationship Id="rId406" Type="http://schemas.openxmlformats.org/officeDocument/2006/relationships/hyperlink" Target="https://simplemaps.com/us-zips/43964/" TargetMode="External"/><Relationship Id="rId648" Type="http://schemas.openxmlformats.org/officeDocument/2006/relationships/hyperlink" Target="https://simplemaps.com/us-zips/44512/" TargetMode="External"/><Relationship Id="rId405" Type="http://schemas.openxmlformats.org/officeDocument/2006/relationships/hyperlink" Target="https://simplemaps.com/us-zips/43963/" TargetMode="External"/><Relationship Id="rId647" Type="http://schemas.openxmlformats.org/officeDocument/2006/relationships/hyperlink" Target="https://simplemaps.com/us-zips/44511/" TargetMode="External"/><Relationship Id="rId889" Type="http://schemas.openxmlformats.org/officeDocument/2006/relationships/hyperlink" Target="https://simplemaps.com/us-zips/45209/" TargetMode="External"/><Relationship Id="rId880" Type="http://schemas.openxmlformats.org/officeDocument/2006/relationships/hyperlink" Target="https://simplemaps.com/us-zips/45176/" TargetMode="External"/><Relationship Id="rId1230" Type="http://schemas.openxmlformats.org/officeDocument/2006/relationships/hyperlink" Target="https://simplemaps.com/us-zips/45896/" TargetMode="External"/><Relationship Id="rId400" Type="http://schemas.openxmlformats.org/officeDocument/2006/relationships/hyperlink" Target="https://simplemaps.com/us-zips/43951/" TargetMode="External"/><Relationship Id="rId642" Type="http://schemas.openxmlformats.org/officeDocument/2006/relationships/hyperlink" Target="https://simplemaps.com/us-zips/44505/" TargetMode="External"/><Relationship Id="rId884" Type="http://schemas.openxmlformats.org/officeDocument/2006/relationships/hyperlink" Target="https://simplemaps.com/us-zips/45204/" TargetMode="External"/><Relationship Id="rId1231" Type="http://schemas.openxmlformats.org/officeDocument/2006/relationships/hyperlink" Target="https://simplemaps.com/us-zips/45897/" TargetMode="External"/><Relationship Id="rId641" Type="http://schemas.openxmlformats.org/officeDocument/2006/relationships/hyperlink" Target="https://simplemaps.com/us-zips/44504/" TargetMode="External"/><Relationship Id="rId883" Type="http://schemas.openxmlformats.org/officeDocument/2006/relationships/hyperlink" Target="https://simplemaps.com/us-zips/45203/" TargetMode="External"/><Relationship Id="rId1232" Type="http://schemas.openxmlformats.org/officeDocument/2006/relationships/hyperlink" Target="https://simplemaps.com/us-zips/45898/" TargetMode="External"/><Relationship Id="rId640" Type="http://schemas.openxmlformats.org/officeDocument/2006/relationships/hyperlink" Target="https://simplemaps.com/us-zips/44503/" TargetMode="External"/><Relationship Id="rId882" Type="http://schemas.openxmlformats.org/officeDocument/2006/relationships/hyperlink" Target="https://simplemaps.com/us-zips/45202/" TargetMode="External"/><Relationship Id="rId1233" Type="http://schemas.openxmlformats.org/officeDocument/2006/relationships/hyperlink" Target="https://simplemaps.com/us-zips/45899/" TargetMode="External"/><Relationship Id="rId881" Type="http://schemas.openxmlformats.org/officeDocument/2006/relationships/hyperlink" Target="https://simplemaps.com/us-zips/45177/" TargetMode="External"/><Relationship Id="rId1234" Type="http://schemas.openxmlformats.org/officeDocument/2006/relationships/drawing" Target="../drawings/drawing21.xml"/><Relationship Id="rId1224" Type="http://schemas.openxmlformats.org/officeDocument/2006/relationships/hyperlink" Target="https://simplemaps.com/us-zips/45889/" TargetMode="External"/><Relationship Id="rId1225" Type="http://schemas.openxmlformats.org/officeDocument/2006/relationships/hyperlink" Target="https://simplemaps.com/us-zips/45890/" TargetMode="External"/><Relationship Id="rId1226" Type="http://schemas.openxmlformats.org/officeDocument/2006/relationships/hyperlink" Target="https://simplemaps.com/us-zips/45891/" TargetMode="External"/><Relationship Id="rId1227" Type="http://schemas.openxmlformats.org/officeDocument/2006/relationships/hyperlink" Target="https://simplemaps.com/us-zips/45893/" TargetMode="External"/><Relationship Id="rId1228" Type="http://schemas.openxmlformats.org/officeDocument/2006/relationships/hyperlink" Target="https://simplemaps.com/us-zips/45894/" TargetMode="External"/><Relationship Id="rId1229" Type="http://schemas.openxmlformats.org/officeDocument/2006/relationships/hyperlink" Target="https://simplemaps.com/us-zips/45895/" TargetMode="External"/><Relationship Id="rId635" Type="http://schemas.openxmlformats.org/officeDocument/2006/relationships/hyperlink" Target="https://simplemaps.com/us-zips/44485/" TargetMode="External"/><Relationship Id="rId877" Type="http://schemas.openxmlformats.org/officeDocument/2006/relationships/hyperlink" Target="https://simplemaps.com/us-zips/45171/" TargetMode="External"/><Relationship Id="rId634" Type="http://schemas.openxmlformats.org/officeDocument/2006/relationships/hyperlink" Target="https://simplemaps.com/us-zips/44484/" TargetMode="External"/><Relationship Id="rId876" Type="http://schemas.openxmlformats.org/officeDocument/2006/relationships/hyperlink" Target="https://simplemaps.com/us-zips/45169/" TargetMode="External"/><Relationship Id="rId633" Type="http://schemas.openxmlformats.org/officeDocument/2006/relationships/hyperlink" Target="https://simplemaps.com/us-zips/44483/" TargetMode="External"/><Relationship Id="rId875" Type="http://schemas.openxmlformats.org/officeDocument/2006/relationships/hyperlink" Target="https://simplemaps.com/us-zips/45168/" TargetMode="External"/><Relationship Id="rId632" Type="http://schemas.openxmlformats.org/officeDocument/2006/relationships/hyperlink" Target="https://simplemaps.com/us-zips/44481/" TargetMode="External"/><Relationship Id="rId874" Type="http://schemas.openxmlformats.org/officeDocument/2006/relationships/hyperlink" Target="https://simplemaps.com/us-zips/45167/" TargetMode="External"/><Relationship Id="rId639" Type="http://schemas.openxmlformats.org/officeDocument/2006/relationships/hyperlink" Target="https://simplemaps.com/us-zips/44502/" TargetMode="External"/><Relationship Id="rId638" Type="http://schemas.openxmlformats.org/officeDocument/2006/relationships/hyperlink" Target="https://simplemaps.com/us-zips/44493/" TargetMode="External"/><Relationship Id="rId637" Type="http://schemas.openxmlformats.org/officeDocument/2006/relationships/hyperlink" Target="https://simplemaps.com/us-zips/44491/" TargetMode="External"/><Relationship Id="rId879" Type="http://schemas.openxmlformats.org/officeDocument/2006/relationships/hyperlink" Target="https://simplemaps.com/us-zips/45174/" TargetMode="External"/><Relationship Id="rId636" Type="http://schemas.openxmlformats.org/officeDocument/2006/relationships/hyperlink" Target="https://simplemaps.com/us-zips/44490/" TargetMode="External"/><Relationship Id="rId878" Type="http://schemas.openxmlformats.org/officeDocument/2006/relationships/hyperlink" Target="https://simplemaps.com/us-zips/45172/" TargetMode="External"/><Relationship Id="rId631" Type="http://schemas.openxmlformats.org/officeDocument/2006/relationships/hyperlink" Target="https://simplemaps.com/us-zips/44473/" TargetMode="External"/><Relationship Id="rId873" Type="http://schemas.openxmlformats.org/officeDocument/2006/relationships/hyperlink" Target="https://simplemaps.com/us-zips/45166/" TargetMode="External"/><Relationship Id="rId1220" Type="http://schemas.openxmlformats.org/officeDocument/2006/relationships/hyperlink" Target="https://simplemaps.com/us-zips/45885/" TargetMode="External"/><Relationship Id="rId630" Type="http://schemas.openxmlformats.org/officeDocument/2006/relationships/hyperlink" Target="https://simplemaps.com/us-zips/44471/" TargetMode="External"/><Relationship Id="rId872" Type="http://schemas.openxmlformats.org/officeDocument/2006/relationships/hyperlink" Target="https://simplemaps.com/us-zips/45164/" TargetMode="External"/><Relationship Id="rId1221" Type="http://schemas.openxmlformats.org/officeDocument/2006/relationships/hyperlink" Target="https://simplemaps.com/us-zips/45886/" TargetMode="External"/><Relationship Id="rId871" Type="http://schemas.openxmlformats.org/officeDocument/2006/relationships/hyperlink" Target="https://simplemaps.com/us-zips/45162/" TargetMode="External"/><Relationship Id="rId1222" Type="http://schemas.openxmlformats.org/officeDocument/2006/relationships/hyperlink" Target="https://simplemaps.com/us-zips/45887/" TargetMode="External"/><Relationship Id="rId870" Type="http://schemas.openxmlformats.org/officeDocument/2006/relationships/hyperlink" Target="https://simplemaps.com/us-zips/45160/" TargetMode="External"/><Relationship Id="rId1223" Type="http://schemas.openxmlformats.org/officeDocument/2006/relationships/hyperlink" Target="https://simplemaps.com/us-zips/45888/" TargetMode="External"/><Relationship Id="rId829" Type="http://schemas.openxmlformats.org/officeDocument/2006/relationships/hyperlink" Target="https://simplemaps.com/us-zips/45066/" TargetMode="External"/><Relationship Id="rId828" Type="http://schemas.openxmlformats.org/officeDocument/2006/relationships/hyperlink" Target="https://simplemaps.com/us-zips/45065/" TargetMode="External"/><Relationship Id="rId827" Type="http://schemas.openxmlformats.org/officeDocument/2006/relationships/hyperlink" Target="https://simplemaps.com/us-zips/45064/" TargetMode="External"/><Relationship Id="rId822" Type="http://schemas.openxmlformats.org/officeDocument/2006/relationships/hyperlink" Target="https://simplemaps.com/us-zips/45053/" TargetMode="External"/><Relationship Id="rId821" Type="http://schemas.openxmlformats.org/officeDocument/2006/relationships/hyperlink" Target="https://simplemaps.com/us-zips/45052/" TargetMode="External"/><Relationship Id="rId820" Type="http://schemas.openxmlformats.org/officeDocument/2006/relationships/hyperlink" Target="https://simplemaps.com/us-zips/45051/" TargetMode="External"/><Relationship Id="rId826" Type="http://schemas.openxmlformats.org/officeDocument/2006/relationships/hyperlink" Target="https://simplemaps.com/us-zips/45062/" TargetMode="External"/><Relationship Id="rId825" Type="http://schemas.openxmlformats.org/officeDocument/2006/relationships/hyperlink" Target="https://simplemaps.com/us-zips/45056/" TargetMode="External"/><Relationship Id="rId824" Type="http://schemas.openxmlformats.org/officeDocument/2006/relationships/hyperlink" Target="https://simplemaps.com/us-zips/45055/" TargetMode="External"/><Relationship Id="rId823" Type="http://schemas.openxmlformats.org/officeDocument/2006/relationships/hyperlink" Target="https://simplemaps.com/us-zips/45054/" TargetMode="External"/><Relationship Id="rId819" Type="http://schemas.openxmlformats.org/officeDocument/2006/relationships/hyperlink" Target="https://simplemaps.com/us-zips/45050/" TargetMode="External"/><Relationship Id="rId818" Type="http://schemas.openxmlformats.org/officeDocument/2006/relationships/hyperlink" Target="https://simplemaps.com/us-zips/45044/" TargetMode="External"/><Relationship Id="rId817" Type="http://schemas.openxmlformats.org/officeDocument/2006/relationships/hyperlink" Target="https://simplemaps.com/us-zips/45042/" TargetMode="External"/><Relationship Id="rId816" Type="http://schemas.openxmlformats.org/officeDocument/2006/relationships/hyperlink" Target="https://simplemaps.com/us-zips/45041/" TargetMode="External"/><Relationship Id="rId811" Type="http://schemas.openxmlformats.org/officeDocument/2006/relationships/hyperlink" Target="https://simplemaps.com/us-zips/45033/" TargetMode="External"/><Relationship Id="rId810" Type="http://schemas.openxmlformats.org/officeDocument/2006/relationships/hyperlink" Target="https://simplemaps.com/us-zips/45032/" TargetMode="External"/><Relationship Id="rId815" Type="http://schemas.openxmlformats.org/officeDocument/2006/relationships/hyperlink" Target="https://simplemaps.com/us-zips/45040/" TargetMode="External"/><Relationship Id="rId814" Type="http://schemas.openxmlformats.org/officeDocument/2006/relationships/hyperlink" Target="https://simplemaps.com/us-zips/45039/" TargetMode="External"/><Relationship Id="rId813" Type="http://schemas.openxmlformats.org/officeDocument/2006/relationships/hyperlink" Target="https://simplemaps.com/us-zips/45036/" TargetMode="External"/><Relationship Id="rId812" Type="http://schemas.openxmlformats.org/officeDocument/2006/relationships/hyperlink" Target="https://simplemaps.com/us-zips/45034/" TargetMode="External"/><Relationship Id="rId609" Type="http://schemas.openxmlformats.org/officeDocument/2006/relationships/hyperlink" Target="https://simplemaps.com/us-zips/44431/" TargetMode="External"/><Relationship Id="rId608" Type="http://schemas.openxmlformats.org/officeDocument/2006/relationships/hyperlink" Target="https://simplemaps.com/us-zips/44430/" TargetMode="External"/><Relationship Id="rId607" Type="http://schemas.openxmlformats.org/officeDocument/2006/relationships/hyperlink" Target="https://simplemaps.com/us-zips/44429/" TargetMode="External"/><Relationship Id="rId849" Type="http://schemas.openxmlformats.org/officeDocument/2006/relationships/hyperlink" Target="https://simplemaps.com/us-zips/45123/" TargetMode="External"/><Relationship Id="rId602" Type="http://schemas.openxmlformats.org/officeDocument/2006/relationships/hyperlink" Target="https://simplemaps.com/us-zips/44423/" TargetMode="External"/><Relationship Id="rId844" Type="http://schemas.openxmlformats.org/officeDocument/2006/relationships/hyperlink" Target="https://simplemaps.com/us-zips/45118/" TargetMode="External"/><Relationship Id="rId601" Type="http://schemas.openxmlformats.org/officeDocument/2006/relationships/hyperlink" Target="https://simplemaps.com/us-zips/44420/" TargetMode="External"/><Relationship Id="rId843" Type="http://schemas.openxmlformats.org/officeDocument/2006/relationships/hyperlink" Target="https://simplemaps.com/us-zips/45115/" TargetMode="External"/><Relationship Id="rId600" Type="http://schemas.openxmlformats.org/officeDocument/2006/relationships/hyperlink" Target="https://simplemaps.com/us-zips/44418/" TargetMode="External"/><Relationship Id="rId842" Type="http://schemas.openxmlformats.org/officeDocument/2006/relationships/hyperlink" Target="https://simplemaps.com/us-zips/45113/" TargetMode="External"/><Relationship Id="rId841" Type="http://schemas.openxmlformats.org/officeDocument/2006/relationships/hyperlink" Target="https://simplemaps.com/us-zips/45112/" TargetMode="External"/><Relationship Id="rId606" Type="http://schemas.openxmlformats.org/officeDocument/2006/relationships/hyperlink" Target="https://simplemaps.com/us-zips/44428/" TargetMode="External"/><Relationship Id="rId848" Type="http://schemas.openxmlformats.org/officeDocument/2006/relationships/hyperlink" Target="https://simplemaps.com/us-zips/45122/" TargetMode="External"/><Relationship Id="rId605" Type="http://schemas.openxmlformats.org/officeDocument/2006/relationships/hyperlink" Target="https://simplemaps.com/us-zips/44427/" TargetMode="External"/><Relationship Id="rId847" Type="http://schemas.openxmlformats.org/officeDocument/2006/relationships/hyperlink" Target="https://simplemaps.com/us-zips/45121/" TargetMode="External"/><Relationship Id="rId604" Type="http://schemas.openxmlformats.org/officeDocument/2006/relationships/hyperlink" Target="https://simplemaps.com/us-zips/44425/" TargetMode="External"/><Relationship Id="rId846" Type="http://schemas.openxmlformats.org/officeDocument/2006/relationships/hyperlink" Target="https://simplemaps.com/us-zips/45120/" TargetMode="External"/><Relationship Id="rId603" Type="http://schemas.openxmlformats.org/officeDocument/2006/relationships/hyperlink" Target="https://simplemaps.com/us-zips/44424/" TargetMode="External"/><Relationship Id="rId845" Type="http://schemas.openxmlformats.org/officeDocument/2006/relationships/hyperlink" Target="https://simplemaps.com/us-zips/45119/" TargetMode="External"/><Relationship Id="rId840" Type="http://schemas.openxmlformats.org/officeDocument/2006/relationships/hyperlink" Target="https://simplemaps.com/us-zips/45111/" TargetMode="External"/><Relationship Id="rId839" Type="http://schemas.openxmlformats.org/officeDocument/2006/relationships/hyperlink" Target="https://simplemaps.com/us-zips/45107/" TargetMode="External"/><Relationship Id="rId838" Type="http://schemas.openxmlformats.org/officeDocument/2006/relationships/hyperlink" Target="https://simplemaps.com/us-zips/45106/" TargetMode="External"/><Relationship Id="rId833" Type="http://schemas.openxmlformats.org/officeDocument/2006/relationships/hyperlink" Target="https://simplemaps.com/us-zips/45070/" TargetMode="External"/><Relationship Id="rId832" Type="http://schemas.openxmlformats.org/officeDocument/2006/relationships/hyperlink" Target="https://simplemaps.com/us-zips/45069/" TargetMode="External"/><Relationship Id="rId831" Type="http://schemas.openxmlformats.org/officeDocument/2006/relationships/hyperlink" Target="https://simplemaps.com/us-zips/45068/" TargetMode="External"/><Relationship Id="rId830" Type="http://schemas.openxmlformats.org/officeDocument/2006/relationships/hyperlink" Target="https://simplemaps.com/us-zips/45067/" TargetMode="External"/><Relationship Id="rId837" Type="http://schemas.openxmlformats.org/officeDocument/2006/relationships/hyperlink" Target="https://simplemaps.com/us-zips/45105/" TargetMode="External"/><Relationship Id="rId836" Type="http://schemas.openxmlformats.org/officeDocument/2006/relationships/hyperlink" Target="https://simplemaps.com/us-zips/45103/" TargetMode="External"/><Relationship Id="rId835" Type="http://schemas.openxmlformats.org/officeDocument/2006/relationships/hyperlink" Target="https://simplemaps.com/us-zips/45102/" TargetMode="External"/><Relationship Id="rId834" Type="http://schemas.openxmlformats.org/officeDocument/2006/relationships/hyperlink" Target="https://simplemaps.com/us-zips/45101/" TargetMode="External"/><Relationship Id="rId1059" Type="http://schemas.openxmlformats.org/officeDocument/2006/relationships/hyperlink" Target="https://simplemaps.com/us-zips/45636/" TargetMode="External"/><Relationship Id="rId228" Type="http://schemas.openxmlformats.org/officeDocument/2006/relationships/hyperlink" Target="https://simplemaps.com/us-zips/43511/" TargetMode="External"/><Relationship Id="rId227" Type="http://schemas.openxmlformats.org/officeDocument/2006/relationships/hyperlink" Target="https://simplemaps.com/us-zips/43510/" TargetMode="External"/><Relationship Id="rId469" Type="http://schemas.openxmlformats.org/officeDocument/2006/relationships/hyperlink" Target="https://simplemaps.com/us-zips/44087/" TargetMode="External"/><Relationship Id="rId226" Type="http://schemas.openxmlformats.org/officeDocument/2006/relationships/hyperlink" Target="https://simplemaps.com/us-zips/43506/" TargetMode="External"/><Relationship Id="rId468" Type="http://schemas.openxmlformats.org/officeDocument/2006/relationships/hyperlink" Target="https://simplemaps.com/us-zips/44086/" TargetMode="External"/><Relationship Id="rId225" Type="http://schemas.openxmlformats.org/officeDocument/2006/relationships/hyperlink" Target="https://simplemaps.com/us-zips/43505/" TargetMode="External"/><Relationship Id="rId467" Type="http://schemas.openxmlformats.org/officeDocument/2006/relationships/hyperlink" Target="https://simplemaps.com/us-zips/44085/" TargetMode="External"/><Relationship Id="rId229" Type="http://schemas.openxmlformats.org/officeDocument/2006/relationships/hyperlink" Target="https://simplemaps.com/us-zips/43512/" TargetMode="External"/><Relationship Id="rId1050" Type="http://schemas.openxmlformats.org/officeDocument/2006/relationships/hyperlink" Target="https://simplemaps.com/us-zips/45621/" TargetMode="External"/><Relationship Id="rId220" Type="http://schemas.openxmlformats.org/officeDocument/2006/relationships/hyperlink" Target="https://simplemaps.com/us-zips/43468/" TargetMode="External"/><Relationship Id="rId462" Type="http://schemas.openxmlformats.org/officeDocument/2006/relationships/hyperlink" Target="https://simplemaps.com/us-zips/44077/" TargetMode="External"/><Relationship Id="rId1051" Type="http://schemas.openxmlformats.org/officeDocument/2006/relationships/hyperlink" Target="https://simplemaps.com/us-zips/45622/" TargetMode="External"/><Relationship Id="rId461" Type="http://schemas.openxmlformats.org/officeDocument/2006/relationships/hyperlink" Target="https://simplemaps.com/us-zips/44076/" TargetMode="External"/><Relationship Id="rId1052" Type="http://schemas.openxmlformats.org/officeDocument/2006/relationships/hyperlink" Target="https://simplemaps.com/us-zips/45623/" TargetMode="External"/><Relationship Id="rId460" Type="http://schemas.openxmlformats.org/officeDocument/2006/relationships/hyperlink" Target="https://simplemaps.com/us-zips/44074/" TargetMode="External"/><Relationship Id="rId1053" Type="http://schemas.openxmlformats.org/officeDocument/2006/relationships/hyperlink" Target="https://simplemaps.com/us-zips/45624/" TargetMode="External"/><Relationship Id="rId1054" Type="http://schemas.openxmlformats.org/officeDocument/2006/relationships/hyperlink" Target="https://simplemaps.com/us-zips/45628/" TargetMode="External"/><Relationship Id="rId224" Type="http://schemas.openxmlformats.org/officeDocument/2006/relationships/hyperlink" Target="https://simplemaps.com/us-zips/43504/" TargetMode="External"/><Relationship Id="rId466" Type="http://schemas.openxmlformats.org/officeDocument/2006/relationships/hyperlink" Target="https://simplemaps.com/us-zips/44084/" TargetMode="External"/><Relationship Id="rId1055" Type="http://schemas.openxmlformats.org/officeDocument/2006/relationships/hyperlink" Target="https://simplemaps.com/us-zips/45629/" TargetMode="External"/><Relationship Id="rId223" Type="http://schemas.openxmlformats.org/officeDocument/2006/relationships/hyperlink" Target="https://simplemaps.com/us-zips/43502/" TargetMode="External"/><Relationship Id="rId465" Type="http://schemas.openxmlformats.org/officeDocument/2006/relationships/hyperlink" Target="https://simplemaps.com/us-zips/44082/" TargetMode="External"/><Relationship Id="rId1056" Type="http://schemas.openxmlformats.org/officeDocument/2006/relationships/hyperlink" Target="https://simplemaps.com/us-zips/45630/" TargetMode="External"/><Relationship Id="rId222" Type="http://schemas.openxmlformats.org/officeDocument/2006/relationships/hyperlink" Target="https://simplemaps.com/us-zips/43501/" TargetMode="External"/><Relationship Id="rId464" Type="http://schemas.openxmlformats.org/officeDocument/2006/relationships/hyperlink" Target="https://simplemaps.com/us-zips/44081/" TargetMode="External"/><Relationship Id="rId1057" Type="http://schemas.openxmlformats.org/officeDocument/2006/relationships/hyperlink" Target="https://simplemaps.com/us-zips/45631/" TargetMode="External"/><Relationship Id="rId221" Type="http://schemas.openxmlformats.org/officeDocument/2006/relationships/hyperlink" Target="https://simplemaps.com/us-zips/43469/" TargetMode="External"/><Relationship Id="rId463" Type="http://schemas.openxmlformats.org/officeDocument/2006/relationships/hyperlink" Target="https://simplemaps.com/us-zips/44080/" TargetMode="External"/><Relationship Id="rId1058" Type="http://schemas.openxmlformats.org/officeDocument/2006/relationships/hyperlink" Target="https://simplemaps.com/us-zips/45634/" TargetMode="External"/><Relationship Id="rId1048" Type="http://schemas.openxmlformats.org/officeDocument/2006/relationships/hyperlink" Target="https://simplemaps.com/us-zips/45619/" TargetMode="External"/><Relationship Id="rId1049" Type="http://schemas.openxmlformats.org/officeDocument/2006/relationships/hyperlink" Target="https://simplemaps.com/us-zips/45620/" TargetMode="External"/><Relationship Id="rId217" Type="http://schemas.openxmlformats.org/officeDocument/2006/relationships/hyperlink" Target="https://simplemaps.com/us-zips/43465/" TargetMode="External"/><Relationship Id="rId459" Type="http://schemas.openxmlformats.org/officeDocument/2006/relationships/hyperlink" Target="https://simplemaps.com/us-zips/44072/" TargetMode="External"/><Relationship Id="rId216" Type="http://schemas.openxmlformats.org/officeDocument/2006/relationships/hyperlink" Target="https://simplemaps.com/us-zips/43464/" TargetMode="External"/><Relationship Id="rId458" Type="http://schemas.openxmlformats.org/officeDocument/2006/relationships/hyperlink" Target="https://simplemaps.com/us-zips/44070/" TargetMode="External"/><Relationship Id="rId215" Type="http://schemas.openxmlformats.org/officeDocument/2006/relationships/hyperlink" Target="https://simplemaps.com/us-zips/43463/" TargetMode="External"/><Relationship Id="rId457" Type="http://schemas.openxmlformats.org/officeDocument/2006/relationships/hyperlink" Target="https://simplemaps.com/us-zips/44068/" TargetMode="External"/><Relationship Id="rId699" Type="http://schemas.openxmlformats.org/officeDocument/2006/relationships/hyperlink" Target="https://simplemaps.com/us-zips/44665/" TargetMode="External"/><Relationship Id="rId214" Type="http://schemas.openxmlformats.org/officeDocument/2006/relationships/hyperlink" Target="https://simplemaps.com/us-zips/43462/" TargetMode="External"/><Relationship Id="rId456" Type="http://schemas.openxmlformats.org/officeDocument/2006/relationships/hyperlink" Target="https://simplemaps.com/us-zips/44067/" TargetMode="External"/><Relationship Id="rId698" Type="http://schemas.openxmlformats.org/officeDocument/2006/relationships/hyperlink" Target="https://simplemaps.com/us-zips/44663/" TargetMode="External"/><Relationship Id="rId219" Type="http://schemas.openxmlformats.org/officeDocument/2006/relationships/hyperlink" Target="https://simplemaps.com/us-zips/43467/" TargetMode="External"/><Relationship Id="rId218" Type="http://schemas.openxmlformats.org/officeDocument/2006/relationships/hyperlink" Target="https://simplemaps.com/us-zips/43466/" TargetMode="External"/><Relationship Id="rId451" Type="http://schemas.openxmlformats.org/officeDocument/2006/relationships/hyperlink" Target="https://simplemaps.com/us-zips/44057/" TargetMode="External"/><Relationship Id="rId693" Type="http://schemas.openxmlformats.org/officeDocument/2006/relationships/hyperlink" Target="https://simplemaps.com/us-zips/44657/" TargetMode="External"/><Relationship Id="rId1040" Type="http://schemas.openxmlformats.org/officeDocument/2006/relationships/hyperlink" Target="https://simplemaps.com/us-zips/45506/" TargetMode="External"/><Relationship Id="rId450" Type="http://schemas.openxmlformats.org/officeDocument/2006/relationships/hyperlink" Target="https://simplemaps.com/us-zips/44056/" TargetMode="External"/><Relationship Id="rId692" Type="http://schemas.openxmlformats.org/officeDocument/2006/relationships/hyperlink" Target="https://simplemaps.com/us-zips/44656/" TargetMode="External"/><Relationship Id="rId1041" Type="http://schemas.openxmlformats.org/officeDocument/2006/relationships/hyperlink" Target="https://simplemaps.com/us-zips/45601/" TargetMode="External"/><Relationship Id="rId691" Type="http://schemas.openxmlformats.org/officeDocument/2006/relationships/hyperlink" Target="https://simplemaps.com/us-zips/44654/" TargetMode="External"/><Relationship Id="rId1042" Type="http://schemas.openxmlformats.org/officeDocument/2006/relationships/hyperlink" Target="https://simplemaps.com/us-zips/45612/" TargetMode="External"/><Relationship Id="rId690" Type="http://schemas.openxmlformats.org/officeDocument/2006/relationships/hyperlink" Target="https://simplemaps.com/us-zips/44653/" TargetMode="External"/><Relationship Id="rId1043" Type="http://schemas.openxmlformats.org/officeDocument/2006/relationships/hyperlink" Target="https://simplemaps.com/us-zips/45613/" TargetMode="External"/><Relationship Id="rId213" Type="http://schemas.openxmlformats.org/officeDocument/2006/relationships/hyperlink" Target="https://simplemaps.com/us-zips/43460/" TargetMode="External"/><Relationship Id="rId455" Type="http://schemas.openxmlformats.org/officeDocument/2006/relationships/hyperlink" Target="https://simplemaps.com/us-zips/44065/" TargetMode="External"/><Relationship Id="rId697" Type="http://schemas.openxmlformats.org/officeDocument/2006/relationships/hyperlink" Target="https://simplemaps.com/us-zips/44662/" TargetMode="External"/><Relationship Id="rId1044" Type="http://schemas.openxmlformats.org/officeDocument/2006/relationships/hyperlink" Target="https://simplemaps.com/us-zips/45614/" TargetMode="External"/><Relationship Id="rId212" Type="http://schemas.openxmlformats.org/officeDocument/2006/relationships/hyperlink" Target="https://simplemaps.com/us-zips/43458/" TargetMode="External"/><Relationship Id="rId454" Type="http://schemas.openxmlformats.org/officeDocument/2006/relationships/hyperlink" Target="https://simplemaps.com/us-zips/44064/" TargetMode="External"/><Relationship Id="rId696" Type="http://schemas.openxmlformats.org/officeDocument/2006/relationships/hyperlink" Target="https://simplemaps.com/us-zips/44661/" TargetMode="External"/><Relationship Id="rId1045" Type="http://schemas.openxmlformats.org/officeDocument/2006/relationships/hyperlink" Target="https://simplemaps.com/us-zips/45616/" TargetMode="External"/><Relationship Id="rId211" Type="http://schemas.openxmlformats.org/officeDocument/2006/relationships/hyperlink" Target="https://simplemaps.com/us-zips/43457/" TargetMode="External"/><Relationship Id="rId453" Type="http://schemas.openxmlformats.org/officeDocument/2006/relationships/hyperlink" Target="https://simplemaps.com/us-zips/44062/" TargetMode="External"/><Relationship Id="rId695" Type="http://schemas.openxmlformats.org/officeDocument/2006/relationships/hyperlink" Target="https://simplemaps.com/us-zips/44660/" TargetMode="External"/><Relationship Id="rId1046" Type="http://schemas.openxmlformats.org/officeDocument/2006/relationships/hyperlink" Target="https://simplemaps.com/us-zips/45617/" TargetMode="External"/><Relationship Id="rId210" Type="http://schemas.openxmlformats.org/officeDocument/2006/relationships/hyperlink" Target="https://simplemaps.com/us-zips/43456/" TargetMode="External"/><Relationship Id="rId452" Type="http://schemas.openxmlformats.org/officeDocument/2006/relationships/hyperlink" Target="https://simplemaps.com/us-zips/44060/" TargetMode="External"/><Relationship Id="rId694" Type="http://schemas.openxmlformats.org/officeDocument/2006/relationships/hyperlink" Target="https://simplemaps.com/us-zips/44659/" TargetMode="External"/><Relationship Id="rId1047" Type="http://schemas.openxmlformats.org/officeDocument/2006/relationships/hyperlink" Target="https://simplemaps.com/us-zips/45618/" TargetMode="External"/><Relationship Id="rId491" Type="http://schemas.openxmlformats.org/officeDocument/2006/relationships/hyperlink" Target="https://simplemaps.com/us-zips/44115/" TargetMode="External"/><Relationship Id="rId490" Type="http://schemas.openxmlformats.org/officeDocument/2006/relationships/hyperlink" Target="https://simplemaps.com/us-zips/44114/" TargetMode="External"/><Relationship Id="rId249" Type="http://schemas.openxmlformats.org/officeDocument/2006/relationships/hyperlink" Target="https://simplemaps.com/us-zips/43534/" TargetMode="External"/><Relationship Id="rId248" Type="http://schemas.openxmlformats.org/officeDocument/2006/relationships/hyperlink" Target="https://simplemaps.com/us-zips/43533/" TargetMode="External"/><Relationship Id="rId247" Type="http://schemas.openxmlformats.org/officeDocument/2006/relationships/hyperlink" Target="https://simplemaps.com/us-zips/43532/" TargetMode="External"/><Relationship Id="rId489" Type="http://schemas.openxmlformats.org/officeDocument/2006/relationships/hyperlink" Target="https://simplemaps.com/us-zips/44113/" TargetMode="External"/><Relationship Id="rId1070" Type="http://schemas.openxmlformats.org/officeDocument/2006/relationships/hyperlink" Target="https://simplemaps.com/us-zips/45652/" TargetMode="External"/><Relationship Id="rId1071" Type="http://schemas.openxmlformats.org/officeDocument/2006/relationships/hyperlink" Target="https://simplemaps.com/us-zips/45653/" TargetMode="External"/><Relationship Id="rId1072" Type="http://schemas.openxmlformats.org/officeDocument/2006/relationships/hyperlink" Target="https://simplemaps.com/us-zips/45654/" TargetMode="External"/><Relationship Id="rId242" Type="http://schemas.openxmlformats.org/officeDocument/2006/relationships/hyperlink" Target="https://simplemaps.com/us-zips/43527/" TargetMode="External"/><Relationship Id="rId484" Type="http://schemas.openxmlformats.org/officeDocument/2006/relationships/hyperlink" Target="https://simplemaps.com/us-zips/44108/" TargetMode="External"/><Relationship Id="rId1073" Type="http://schemas.openxmlformats.org/officeDocument/2006/relationships/hyperlink" Target="https://simplemaps.com/us-zips/45656/" TargetMode="External"/><Relationship Id="rId241" Type="http://schemas.openxmlformats.org/officeDocument/2006/relationships/hyperlink" Target="https://simplemaps.com/us-zips/43526/" TargetMode="External"/><Relationship Id="rId483" Type="http://schemas.openxmlformats.org/officeDocument/2006/relationships/hyperlink" Target="https://simplemaps.com/us-zips/44107/" TargetMode="External"/><Relationship Id="rId1074" Type="http://schemas.openxmlformats.org/officeDocument/2006/relationships/hyperlink" Target="https://simplemaps.com/us-zips/45657/" TargetMode="External"/><Relationship Id="rId240" Type="http://schemas.openxmlformats.org/officeDocument/2006/relationships/hyperlink" Target="https://simplemaps.com/us-zips/43525/" TargetMode="External"/><Relationship Id="rId482" Type="http://schemas.openxmlformats.org/officeDocument/2006/relationships/hyperlink" Target="https://simplemaps.com/us-zips/44106/" TargetMode="External"/><Relationship Id="rId1075" Type="http://schemas.openxmlformats.org/officeDocument/2006/relationships/hyperlink" Target="https://simplemaps.com/us-zips/45658/" TargetMode="External"/><Relationship Id="rId481" Type="http://schemas.openxmlformats.org/officeDocument/2006/relationships/hyperlink" Target="https://simplemaps.com/us-zips/44105/" TargetMode="External"/><Relationship Id="rId1076" Type="http://schemas.openxmlformats.org/officeDocument/2006/relationships/hyperlink" Target="https://simplemaps.com/us-zips/45659/" TargetMode="External"/><Relationship Id="rId246" Type="http://schemas.openxmlformats.org/officeDocument/2006/relationships/hyperlink" Target="https://simplemaps.com/us-zips/43531/" TargetMode="External"/><Relationship Id="rId488" Type="http://schemas.openxmlformats.org/officeDocument/2006/relationships/hyperlink" Target="https://simplemaps.com/us-zips/44112/" TargetMode="External"/><Relationship Id="rId1077" Type="http://schemas.openxmlformats.org/officeDocument/2006/relationships/hyperlink" Target="https://simplemaps.com/us-zips/45660/" TargetMode="External"/><Relationship Id="rId245" Type="http://schemas.openxmlformats.org/officeDocument/2006/relationships/hyperlink" Target="https://simplemaps.com/us-zips/43530/" TargetMode="External"/><Relationship Id="rId487" Type="http://schemas.openxmlformats.org/officeDocument/2006/relationships/hyperlink" Target="https://simplemaps.com/us-zips/44111/" TargetMode="External"/><Relationship Id="rId1078" Type="http://schemas.openxmlformats.org/officeDocument/2006/relationships/hyperlink" Target="https://simplemaps.com/us-zips/45661/" TargetMode="External"/><Relationship Id="rId244" Type="http://schemas.openxmlformats.org/officeDocument/2006/relationships/hyperlink" Target="https://simplemaps.com/us-zips/43529/" TargetMode="External"/><Relationship Id="rId486" Type="http://schemas.openxmlformats.org/officeDocument/2006/relationships/hyperlink" Target="https://simplemaps.com/us-zips/44110/" TargetMode="External"/><Relationship Id="rId1079" Type="http://schemas.openxmlformats.org/officeDocument/2006/relationships/hyperlink" Target="https://simplemaps.com/us-zips/45662/" TargetMode="External"/><Relationship Id="rId243" Type="http://schemas.openxmlformats.org/officeDocument/2006/relationships/hyperlink" Target="https://simplemaps.com/us-zips/43528/" TargetMode="External"/><Relationship Id="rId485" Type="http://schemas.openxmlformats.org/officeDocument/2006/relationships/hyperlink" Target="https://simplemaps.com/us-zips/44109/" TargetMode="External"/><Relationship Id="rId480" Type="http://schemas.openxmlformats.org/officeDocument/2006/relationships/hyperlink" Target="https://simplemaps.com/us-zips/44104/" TargetMode="External"/><Relationship Id="rId239" Type="http://schemas.openxmlformats.org/officeDocument/2006/relationships/hyperlink" Target="https://simplemaps.com/us-zips/43524/" TargetMode="External"/><Relationship Id="rId238" Type="http://schemas.openxmlformats.org/officeDocument/2006/relationships/hyperlink" Target="https://simplemaps.com/us-zips/43523/" TargetMode="External"/><Relationship Id="rId237" Type="http://schemas.openxmlformats.org/officeDocument/2006/relationships/hyperlink" Target="https://simplemaps.com/us-zips/43522/" TargetMode="External"/><Relationship Id="rId479" Type="http://schemas.openxmlformats.org/officeDocument/2006/relationships/hyperlink" Target="https://simplemaps.com/us-zips/44103/" TargetMode="External"/><Relationship Id="rId236" Type="http://schemas.openxmlformats.org/officeDocument/2006/relationships/hyperlink" Target="https://simplemaps.com/us-zips/43521/" TargetMode="External"/><Relationship Id="rId478" Type="http://schemas.openxmlformats.org/officeDocument/2006/relationships/hyperlink" Target="https://simplemaps.com/us-zips/44102/" TargetMode="External"/><Relationship Id="rId1060" Type="http://schemas.openxmlformats.org/officeDocument/2006/relationships/hyperlink" Target="https://simplemaps.com/us-zips/45638/" TargetMode="External"/><Relationship Id="rId1061" Type="http://schemas.openxmlformats.org/officeDocument/2006/relationships/hyperlink" Target="https://simplemaps.com/us-zips/45640/" TargetMode="External"/><Relationship Id="rId231" Type="http://schemas.openxmlformats.org/officeDocument/2006/relationships/hyperlink" Target="https://simplemaps.com/us-zips/43516/" TargetMode="External"/><Relationship Id="rId473" Type="http://schemas.openxmlformats.org/officeDocument/2006/relationships/hyperlink" Target="https://simplemaps.com/us-zips/44093/" TargetMode="External"/><Relationship Id="rId1062" Type="http://schemas.openxmlformats.org/officeDocument/2006/relationships/hyperlink" Target="https://simplemaps.com/us-zips/45642/" TargetMode="External"/><Relationship Id="rId230" Type="http://schemas.openxmlformats.org/officeDocument/2006/relationships/hyperlink" Target="https://simplemaps.com/us-zips/43515/" TargetMode="External"/><Relationship Id="rId472" Type="http://schemas.openxmlformats.org/officeDocument/2006/relationships/hyperlink" Target="https://simplemaps.com/us-zips/44092/" TargetMode="External"/><Relationship Id="rId1063" Type="http://schemas.openxmlformats.org/officeDocument/2006/relationships/hyperlink" Target="https://simplemaps.com/us-zips/45644/" TargetMode="External"/><Relationship Id="rId471" Type="http://schemas.openxmlformats.org/officeDocument/2006/relationships/hyperlink" Target="https://simplemaps.com/us-zips/44090/" TargetMode="External"/><Relationship Id="rId1064" Type="http://schemas.openxmlformats.org/officeDocument/2006/relationships/hyperlink" Target="https://simplemaps.com/us-zips/45645/" TargetMode="External"/><Relationship Id="rId470" Type="http://schemas.openxmlformats.org/officeDocument/2006/relationships/hyperlink" Target="https://simplemaps.com/us-zips/44089/" TargetMode="External"/><Relationship Id="rId1065" Type="http://schemas.openxmlformats.org/officeDocument/2006/relationships/hyperlink" Target="https://simplemaps.com/us-zips/45646/" TargetMode="External"/><Relationship Id="rId235" Type="http://schemas.openxmlformats.org/officeDocument/2006/relationships/hyperlink" Target="https://simplemaps.com/us-zips/43520/" TargetMode="External"/><Relationship Id="rId477" Type="http://schemas.openxmlformats.org/officeDocument/2006/relationships/hyperlink" Target="https://simplemaps.com/us-zips/44101/" TargetMode="External"/><Relationship Id="rId1066" Type="http://schemas.openxmlformats.org/officeDocument/2006/relationships/hyperlink" Target="https://simplemaps.com/us-zips/45647/" TargetMode="External"/><Relationship Id="rId234" Type="http://schemas.openxmlformats.org/officeDocument/2006/relationships/hyperlink" Target="https://simplemaps.com/us-zips/43519/" TargetMode="External"/><Relationship Id="rId476" Type="http://schemas.openxmlformats.org/officeDocument/2006/relationships/hyperlink" Target="https://simplemaps.com/us-zips/44099/" TargetMode="External"/><Relationship Id="rId1067" Type="http://schemas.openxmlformats.org/officeDocument/2006/relationships/hyperlink" Target="https://simplemaps.com/us-zips/45648/" TargetMode="External"/><Relationship Id="rId233" Type="http://schemas.openxmlformats.org/officeDocument/2006/relationships/hyperlink" Target="https://simplemaps.com/us-zips/43518/" TargetMode="External"/><Relationship Id="rId475" Type="http://schemas.openxmlformats.org/officeDocument/2006/relationships/hyperlink" Target="https://simplemaps.com/us-zips/44095/" TargetMode="External"/><Relationship Id="rId1068" Type="http://schemas.openxmlformats.org/officeDocument/2006/relationships/hyperlink" Target="https://simplemaps.com/us-zips/45650/" TargetMode="External"/><Relationship Id="rId232" Type="http://schemas.openxmlformats.org/officeDocument/2006/relationships/hyperlink" Target="https://simplemaps.com/us-zips/43517/" TargetMode="External"/><Relationship Id="rId474" Type="http://schemas.openxmlformats.org/officeDocument/2006/relationships/hyperlink" Target="https://simplemaps.com/us-zips/44094/" TargetMode="External"/><Relationship Id="rId1069" Type="http://schemas.openxmlformats.org/officeDocument/2006/relationships/hyperlink" Target="https://simplemaps.com/us-zips/45651/" TargetMode="External"/><Relationship Id="rId1015" Type="http://schemas.openxmlformats.org/officeDocument/2006/relationships/hyperlink" Target="https://simplemaps.com/us-zips/45417/" TargetMode="External"/><Relationship Id="rId1016" Type="http://schemas.openxmlformats.org/officeDocument/2006/relationships/hyperlink" Target="https://simplemaps.com/us-zips/45419/" TargetMode="External"/><Relationship Id="rId1017" Type="http://schemas.openxmlformats.org/officeDocument/2006/relationships/hyperlink" Target="https://simplemaps.com/us-zips/45420/" TargetMode="External"/><Relationship Id="rId1018" Type="http://schemas.openxmlformats.org/officeDocument/2006/relationships/hyperlink" Target="https://simplemaps.com/us-zips/45423/" TargetMode="External"/><Relationship Id="rId1019" Type="http://schemas.openxmlformats.org/officeDocument/2006/relationships/hyperlink" Target="https://simplemaps.com/us-zips/45424/" TargetMode="External"/><Relationship Id="rId426" Type="http://schemas.openxmlformats.org/officeDocument/2006/relationships/hyperlink" Target="https://simplemaps.com/us-zips/44017/" TargetMode="External"/><Relationship Id="rId668" Type="http://schemas.openxmlformats.org/officeDocument/2006/relationships/hyperlink" Target="https://simplemaps.com/us-zips/44624/" TargetMode="External"/><Relationship Id="rId425" Type="http://schemas.openxmlformats.org/officeDocument/2006/relationships/hyperlink" Target="https://simplemaps.com/us-zips/44012/" TargetMode="External"/><Relationship Id="rId667" Type="http://schemas.openxmlformats.org/officeDocument/2006/relationships/hyperlink" Target="https://simplemaps.com/us-zips/44622/" TargetMode="External"/><Relationship Id="rId424" Type="http://schemas.openxmlformats.org/officeDocument/2006/relationships/hyperlink" Target="https://simplemaps.com/us-zips/44011/" TargetMode="External"/><Relationship Id="rId666" Type="http://schemas.openxmlformats.org/officeDocument/2006/relationships/hyperlink" Target="https://simplemaps.com/us-zips/44621/" TargetMode="External"/><Relationship Id="rId423" Type="http://schemas.openxmlformats.org/officeDocument/2006/relationships/hyperlink" Target="https://simplemaps.com/us-zips/44010/" TargetMode="External"/><Relationship Id="rId665" Type="http://schemas.openxmlformats.org/officeDocument/2006/relationships/hyperlink" Target="https://simplemaps.com/us-zips/44620/" TargetMode="External"/><Relationship Id="rId429" Type="http://schemas.openxmlformats.org/officeDocument/2006/relationships/hyperlink" Target="https://simplemaps.com/us-zips/44023/" TargetMode="External"/><Relationship Id="rId428" Type="http://schemas.openxmlformats.org/officeDocument/2006/relationships/hyperlink" Target="https://simplemaps.com/us-zips/44022/" TargetMode="External"/><Relationship Id="rId427" Type="http://schemas.openxmlformats.org/officeDocument/2006/relationships/hyperlink" Target="https://simplemaps.com/us-zips/44021/" TargetMode="External"/><Relationship Id="rId669" Type="http://schemas.openxmlformats.org/officeDocument/2006/relationships/hyperlink" Target="https://simplemaps.com/us-zips/44625/" TargetMode="External"/><Relationship Id="rId660" Type="http://schemas.openxmlformats.org/officeDocument/2006/relationships/hyperlink" Target="https://simplemaps.com/us-zips/44613/" TargetMode="External"/><Relationship Id="rId1010" Type="http://schemas.openxmlformats.org/officeDocument/2006/relationships/hyperlink" Target="https://simplemaps.com/us-zips/45409/" TargetMode="External"/><Relationship Id="rId422" Type="http://schemas.openxmlformats.org/officeDocument/2006/relationships/hyperlink" Target="https://simplemaps.com/us-zips/44004/" TargetMode="External"/><Relationship Id="rId664" Type="http://schemas.openxmlformats.org/officeDocument/2006/relationships/hyperlink" Target="https://simplemaps.com/us-zips/44619/" TargetMode="External"/><Relationship Id="rId1011" Type="http://schemas.openxmlformats.org/officeDocument/2006/relationships/hyperlink" Target="https://simplemaps.com/us-zips/45410/" TargetMode="External"/><Relationship Id="rId421" Type="http://schemas.openxmlformats.org/officeDocument/2006/relationships/hyperlink" Target="https://simplemaps.com/us-zips/44003/" TargetMode="External"/><Relationship Id="rId663" Type="http://schemas.openxmlformats.org/officeDocument/2006/relationships/hyperlink" Target="https://simplemaps.com/us-zips/44618/" TargetMode="External"/><Relationship Id="rId1012" Type="http://schemas.openxmlformats.org/officeDocument/2006/relationships/hyperlink" Target="https://simplemaps.com/us-zips/45414/" TargetMode="External"/><Relationship Id="rId420" Type="http://schemas.openxmlformats.org/officeDocument/2006/relationships/hyperlink" Target="https://simplemaps.com/us-zips/44001/" TargetMode="External"/><Relationship Id="rId662" Type="http://schemas.openxmlformats.org/officeDocument/2006/relationships/hyperlink" Target="https://simplemaps.com/us-zips/44615/" TargetMode="External"/><Relationship Id="rId1013" Type="http://schemas.openxmlformats.org/officeDocument/2006/relationships/hyperlink" Target="https://simplemaps.com/us-zips/45415/" TargetMode="External"/><Relationship Id="rId661" Type="http://schemas.openxmlformats.org/officeDocument/2006/relationships/hyperlink" Target="https://simplemaps.com/us-zips/44614/" TargetMode="External"/><Relationship Id="rId1014" Type="http://schemas.openxmlformats.org/officeDocument/2006/relationships/hyperlink" Target="https://simplemaps.com/us-zips/45416/" TargetMode="External"/><Relationship Id="rId1004" Type="http://schemas.openxmlformats.org/officeDocument/2006/relationships/hyperlink" Target="https://simplemaps.com/us-zips/45390/" TargetMode="External"/><Relationship Id="rId1005" Type="http://schemas.openxmlformats.org/officeDocument/2006/relationships/hyperlink" Target="https://simplemaps.com/us-zips/45402/" TargetMode="External"/><Relationship Id="rId1006" Type="http://schemas.openxmlformats.org/officeDocument/2006/relationships/hyperlink" Target="https://simplemaps.com/us-zips/45403/" TargetMode="External"/><Relationship Id="rId1007" Type="http://schemas.openxmlformats.org/officeDocument/2006/relationships/hyperlink" Target="https://simplemaps.com/us-zips/45404/" TargetMode="External"/><Relationship Id="rId1008" Type="http://schemas.openxmlformats.org/officeDocument/2006/relationships/hyperlink" Target="https://simplemaps.com/us-zips/45405/" TargetMode="External"/><Relationship Id="rId1009" Type="http://schemas.openxmlformats.org/officeDocument/2006/relationships/hyperlink" Target="https://simplemaps.com/us-zips/45406/" TargetMode="External"/><Relationship Id="rId415" Type="http://schemas.openxmlformats.org/officeDocument/2006/relationships/hyperlink" Target="https://simplemaps.com/us-zips/43981/" TargetMode="External"/><Relationship Id="rId657" Type="http://schemas.openxmlformats.org/officeDocument/2006/relationships/hyperlink" Target="https://simplemaps.com/us-zips/44610/" TargetMode="External"/><Relationship Id="rId899" Type="http://schemas.openxmlformats.org/officeDocument/2006/relationships/hyperlink" Target="https://simplemaps.com/us-zips/45220/" TargetMode="External"/><Relationship Id="rId414" Type="http://schemas.openxmlformats.org/officeDocument/2006/relationships/hyperlink" Target="https://simplemaps.com/us-zips/43977/" TargetMode="External"/><Relationship Id="rId656" Type="http://schemas.openxmlformats.org/officeDocument/2006/relationships/hyperlink" Target="https://simplemaps.com/us-zips/44609/" TargetMode="External"/><Relationship Id="rId898" Type="http://schemas.openxmlformats.org/officeDocument/2006/relationships/hyperlink" Target="https://simplemaps.com/us-zips/45219/" TargetMode="External"/><Relationship Id="rId413" Type="http://schemas.openxmlformats.org/officeDocument/2006/relationships/hyperlink" Target="https://simplemaps.com/us-zips/43976/" TargetMode="External"/><Relationship Id="rId655" Type="http://schemas.openxmlformats.org/officeDocument/2006/relationships/hyperlink" Target="https://simplemaps.com/us-zips/44608/" TargetMode="External"/><Relationship Id="rId897" Type="http://schemas.openxmlformats.org/officeDocument/2006/relationships/hyperlink" Target="https://simplemaps.com/us-zips/45218/" TargetMode="External"/><Relationship Id="rId412" Type="http://schemas.openxmlformats.org/officeDocument/2006/relationships/hyperlink" Target="https://simplemaps.com/us-zips/43974/" TargetMode="External"/><Relationship Id="rId654" Type="http://schemas.openxmlformats.org/officeDocument/2006/relationships/hyperlink" Target="https://simplemaps.com/us-zips/44607/" TargetMode="External"/><Relationship Id="rId896" Type="http://schemas.openxmlformats.org/officeDocument/2006/relationships/hyperlink" Target="https://simplemaps.com/us-zips/45217/" TargetMode="External"/><Relationship Id="rId419" Type="http://schemas.openxmlformats.org/officeDocument/2006/relationships/hyperlink" Target="https://simplemaps.com/us-zips/43988/" TargetMode="External"/><Relationship Id="rId418" Type="http://schemas.openxmlformats.org/officeDocument/2006/relationships/hyperlink" Target="https://simplemaps.com/us-zips/43986/" TargetMode="External"/><Relationship Id="rId417" Type="http://schemas.openxmlformats.org/officeDocument/2006/relationships/hyperlink" Target="https://simplemaps.com/us-zips/43985/" TargetMode="External"/><Relationship Id="rId659" Type="http://schemas.openxmlformats.org/officeDocument/2006/relationships/hyperlink" Target="https://simplemaps.com/us-zips/44612/" TargetMode="External"/><Relationship Id="rId416" Type="http://schemas.openxmlformats.org/officeDocument/2006/relationships/hyperlink" Target="https://simplemaps.com/us-zips/43983/" TargetMode="External"/><Relationship Id="rId658" Type="http://schemas.openxmlformats.org/officeDocument/2006/relationships/hyperlink" Target="https://simplemaps.com/us-zips/44611/" TargetMode="External"/><Relationship Id="rId891" Type="http://schemas.openxmlformats.org/officeDocument/2006/relationships/hyperlink" Target="https://simplemaps.com/us-zips/45212/" TargetMode="External"/><Relationship Id="rId890" Type="http://schemas.openxmlformats.org/officeDocument/2006/relationships/hyperlink" Target="https://simplemaps.com/us-zips/45211/" TargetMode="External"/><Relationship Id="rId411" Type="http://schemas.openxmlformats.org/officeDocument/2006/relationships/hyperlink" Target="https://simplemaps.com/us-zips/43973/" TargetMode="External"/><Relationship Id="rId653" Type="http://schemas.openxmlformats.org/officeDocument/2006/relationships/hyperlink" Target="https://simplemaps.com/us-zips/44606/" TargetMode="External"/><Relationship Id="rId895" Type="http://schemas.openxmlformats.org/officeDocument/2006/relationships/hyperlink" Target="https://simplemaps.com/us-zips/45216/" TargetMode="External"/><Relationship Id="rId1000" Type="http://schemas.openxmlformats.org/officeDocument/2006/relationships/hyperlink" Target="https://simplemaps.com/us-zips/45385/" TargetMode="External"/><Relationship Id="rId410" Type="http://schemas.openxmlformats.org/officeDocument/2006/relationships/hyperlink" Target="https://simplemaps.com/us-zips/43972/" TargetMode="External"/><Relationship Id="rId652" Type="http://schemas.openxmlformats.org/officeDocument/2006/relationships/hyperlink" Target="https://simplemaps.com/us-zips/44601/" TargetMode="External"/><Relationship Id="rId894" Type="http://schemas.openxmlformats.org/officeDocument/2006/relationships/hyperlink" Target="https://simplemaps.com/us-zips/45215/" TargetMode="External"/><Relationship Id="rId1001" Type="http://schemas.openxmlformats.org/officeDocument/2006/relationships/hyperlink" Target="https://simplemaps.com/us-zips/45387/" TargetMode="External"/><Relationship Id="rId651" Type="http://schemas.openxmlformats.org/officeDocument/2006/relationships/hyperlink" Target="https://simplemaps.com/us-zips/44555/" TargetMode="External"/><Relationship Id="rId893" Type="http://schemas.openxmlformats.org/officeDocument/2006/relationships/hyperlink" Target="https://simplemaps.com/us-zips/45214/" TargetMode="External"/><Relationship Id="rId1002" Type="http://schemas.openxmlformats.org/officeDocument/2006/relationships/hyperlink" Target="https://simplemaps.com/us-zips/45388/" TargetMode="External"/><Relationship Id="rId650" Type="http://schemas.openxmlformats.org/officeDocument/2006/relationships/hyperlink" Target="https://simplemaps.com/us-zips/44515/" TargetMode="External"/><Relationship Id="rId892" Type="http://schemas.openxmlformats.org/officeDocument/2006/relationships/hyperlink" Target="https://simplemaps.com/us-zips/45213/" TargetMode="External"/><Relationship Id="rId1003" Type="http://schemas.openxmlformats.org/officeDocument/2006/relationships/hyperlink" Target="https://simplemaps.com/us-zips/45389/" TargetMode="External"/><Relationship Id="rId1037" Type="http://schemas.openxmlformats.org/officeDocument/2006/relationships/hyperlink" Target="https://simplemaps.com/us-zips/45503/" TargetMode="External"/><Relationship Id="rId1038" Type="http://schemas.openxmlformats.org/officeDocument/2006/relationships/hyperlink" Target="https://simplemaps.com/us-zips/45504/" TargetMode="External"/><Relationship Id="rId1039" Type="http://schemas.openxmlformats.org/officeDocument/2006/relationships/hyperlink" Target="https://simplemaps.com/us-zips/45505/" TargetMode="External"/><Relationship Id="rId206" Type="http://schemas.openxmlformats.org/officeDocument/2006/relationships/hyperlink" Target="https://simplemaps.com/us-zips/43449/" TargetMode="External"/><Relationship Id="rId448" Type="http://schemas.openxmlformats.org/officeDocument/2006/relationships/hyperlink" Target="https://simplemaps.com/us-zips/44054/" TargetMode="External"/><Relationship Id="rId205" Type="http://schemas.openxmlformats.org/officeDocument/2006/relationships/hyperlink" Target="https://simplemaps.com/us-zips/43447/" TargetMode="External"/><Relationship Id="rId447" Type="http://schemas.openxmlformats.org/officeDocument/2006/relationships/hyperlink" Target="https://simplemaps.com/us-zips/44053/" TargetMode="External"/><Relationship Id="rId689" Type="http://schemas.openxmlformats.org/officeDocument/2006/relationships/hyperlink" Target="https://simplemaps.com/us-zips/44652/" TargetMode="External"/><Relationship Id="rId204" Type="http://schemas.openxmlformats.org/officeDocument/2006/relationships/hyperlink" Target="https://simplemaps.com/us-zips/43446/" TargetMode="External"/><Relationship Id="rId446" Type="http://schemas.openxmlformats.org/officeDocument/2006/relationships/hyperlink" Target="https://simplemaps.com/us-zips/44052/" TargetMode="External"/><Relationship Id="rId688" Type="http://schemas.openxmlformats.org/officeDocument/2006/relationships/hyperlink" Target="https://simplemaps.com/us-zips/44651/" TargetMode="External"/><Relationship Id="rId203" Type="http://schemas.openxmlformats.org/officeDocument/2006/relationships/hyperlink" Target="https://simplemaps.com/us-zips/43445/" TargetMode="External"/><Relationship Id="rId445" Type="http://schemas.openxmlformats.org/officeDocument/2006/relationships/hyperlink" Target="https://simplemaps.com/us-zips/44050/" TargetMode="External"/><Relationship Id="rId687" Type="http://schemas.openxmlformats.org/officeDocument/2006/relationships/hyperlink" Target="https://simplemaps.com/us-zips/44647/" TargetMode="External"/><Relationship Id="rId209" Type="http://schemas.openxmlformats.org/officeDocument/2006/relationships/hyperlink" Target="https://simplemaps.com/us-zips/43452/" TargetMode="External"/><Relationship Id="rId208" Type="http://schemas.openxmlformats.org/officeDocument/2006/relationships/hyperlink" Target="https://simplemaps.com/us-zips/43451/" TargetMode="External"/><Relationship Id="rId207" Type="http://schemas.openxmlformats.org/officeDocument/2006/relationships/hyperlink" Target="https://simplemaps.com/us-zips/43450/" TargetMode="External"/><Relationship Id="rId449" Type="http://schemas.openxmlformats.org/officeDocument/2006/relationships/hyperlink" Target="https://simplemaps.com/us-zips/44055/" TargetMode="External"/><Relationship Id="rId440" Type="http://schemas.openxmlformats.org/officeDocument/2006/relationships/hyperlink" Target="https://simplemaps.com/us-zips/44045/" TargetMode="External"/><Relationship Id="rId682" Type="http://schemas.openxmlformats.org/officeDocument/2006/relationships/hyperlink" Target="https://simplemaps.com/us-zips/44641/" TargetMode="External"/><Relationship Id="rId681" Type="http://schemas.openxmlformats.org/officeDocument/2006/relationships/hyperlink" Target="https://simplemaps.com/us-zips/44640/" TargetMode="External"/><Relationship Id="rId1030" Type="http://schemas.openxmlformats.org/officeDocument/2006/relationships/hyperlink" Target="https://simplemaps.com/us-zips/45440/" TargetMode="External"/><Relationship Id="rId680" Type="http://schemas.openxmlformats.org/officeDocument/2006/relationships/hyperlink" Target="https://simplemaps.com/us-zips/44639/" TargetMode="External"/><Relationship Id="rId1031" Type="http://schemas.openxmlformats.org/officeDocument/2006/relationships/hyperlink" Target="https://simplemaps.com/us-zips/45449/" TargetMode="External"/><Relationship Id="rId1032" Type="http://schemas.openxmlformats.org/officeDocument/2006/relationships/hyperlink" Target="https://simplemaps.com/us-zips/45458/" TargetMode="External"/><Relationship Id="rId202" Type="http://schemas.openxmlformats.org/officeDocument/2006/relationships/hyperlink" Target="https://simplemaps.com/us-zips/43443/" TargetMode="External"/><Relationship Id="rId444" Type="http://schemas.openxmlformats.org/officeDocument/2006/relationships/hyperlink" Target="https://simplemaps.com/us-zips/44049/" TargetMode="External"/><Relationship Id="rId686" Type="http://schemas.openxmlformats.org/officeDocument/2006/relationships/hyperlink" Target="https://simplemaps.com/us-zips/44646/" TargetMode="External"/><Relationship Id="rId1033" Type="http://schemas.openxmlformats.org/officeDocument/2006/relationships/hyperlink" Target="https://simplemaps.com/us-zips/45459/" TargetMode="External"/><Relationship Id="rId201" Type="http://schemas.openxmlformats.org/officeDocument/2006/relationships/hyperlink" Target="https://simplemaps.com/us-zips/43442/" TargetMode="External"/><Relationship Id="rId443" Type="http://schemas.openxmlformats.org/officeDocument/2006/relationships/hyperlink" Target="https://simplemaps.com/us-zips/44048/" TargetMode="External"/><Relationship Id="rId685" Type="http://schemas.openxmlformats.org/officeDocument/2006/relationships/hyperlink" Target="https://simplemaps.com/us-zips/44645/" TargetMode="External"/><Relationship Id="rId1034" Type="http://schemas.openxmlformats.org/officeDocument/2006/relationships/hyperlink" Target="https://simplemaps.com/us-zips/45469/" TargetMode="External"/><Relationship Id="rId200" Type="http://schemas.openxmlformats.org/officeDocument/2006/relationships/hyperlink" Target="https://simplemaps.com/us-zips/43440/" TargetMode="External"/><Relationship Id="rId442" Type="http://schemas.openxmlformats.org/officeDocument/2006/relationships/hyperlink" Target="https://simplemaps.com/us-zips/44047/" TargetMode="External"/><Relationship Id="rId684" Type="http://schemas.openxmlformats.org/officeDocument/2006/relationships/hyperlink" Target="https://simplemaps.com/us-zips/44644/" TargetMode="External"/><Relationship Id="rId1035" Type="http://schemas.openxmlformats.org/officeDocument/2006/relationships/hyperlink" Target="https://simplemaps.com/us-zips/45501/" TargetMode="External"/><Relationship Id="rId441" Type="http://schemas.openxmlformats.org/officeDocument/2006/relationships/hyperlink" Target="https://simplemaps.com/us-zips/44046/" TargetMode="External"/><Relationship Id="rId683" Type="http://schemas.openxmlformats.org/officeDocument/2006/relationships/hyperlink" Target="https://simplemaps.com/us-zips/44643/" TargetMode="External"/><Relationship Id="rId1036" Type="http://schemas.openxmlformats.org/officeDocument/2006/relationships/hyperlink" Target="https://simplemaps.com/us-zips/45502/" TargetMode="External"/><Relationship Id="rId1026" Type="http://schemas.openxmlformats.org/officeDocument/2006/relationships/hyperlink" Target="https://simplemaps.com/us-zips/45433/" TargetMode="External"/><Relationship Id="rId1027" Type="http://schemas.openxmlformats.org/officeDocument/2006/relationships/hyperlink" Target="https://simplemaps.com/us-zips/45434/" TargetMode="External"/><Relationship Id="rId1028" Type="http://schemas.openxmlformats.org/officeDocument/2006/relationships/hyperlink" Target="https://simplemaps.com/us-zips/45435/" TargetMode="External"/><Relationship Id="rId1029" Type="http://schemas.openxmlformats.org/officeDocument/2006/relationships/hyperlink" Target="https://simplemaps.com/us-zips/45439/" TargetMode="External"/><Relationship Id="rId437" Type="http://schemas.openxmlformats.org/officeDocument/2006/relationships/hyperlink" Target="https://simplemaps.com/us-zips/44040/" TargetMode="External"/><Relationship Id="rId679" Type="http://schemas.openxmlformats.org/officeDocument/2006/relationships/hyperlink" Target="https://simplemaps.com/us-zips/44638/" TargetMode="External"/><Relationship Id="rId436" Type="http://schemas.openxmlformats.org/officeDocument/2006/relationships/hyperlink" Target="https://simplemaps.com/us-zips/44039/" TargetMode="External"/><Relationship Id="rId678" Type="http://schemas.openxmlformats.org/officeDocument/2006/relationships/hyperlink" Target="https://simplemaps.com/us-zips/44637/" TargetMode="External"/><Relationship Id="rId435" Type="http://schemas.openxmlformats.org/officeDocument/2006/relationships/hyperlink" Target="https://simplemaps.com/us-zips/44035/" TargetMode="External"/><Relationship Id="rId677" Type="http://schemas.openxmlformats.org/officeDocument/2006/relationships/hyperlink" Target="https://simplemaps.com/us-zips/44634/" TargetMode="External"/><Relationship Id="rId434" Type="http://schemas.openxmlformats.org/officeDocument/2006/relationships/hyperlink" Target="https://simplemaps.com/us-zips/44032/" TargetMode="External"/><Relationship Id="rId676" Type="http://schemas.openxmlformats.org/officeDocument/2006/relationships/hyperlink" Target="https://simplemaps.com/us-zips/44633/" TargetMode="External"/><Relationship Id="rId439" Type="http://schemas.openxmlformats.org/officeDocument/2006/relationships/hyperlink" Target="https://simplemaps.com/us-zips/44044/" TargetMode="External"/><Relationship Id="rId438" Type="http://schemas.openxmlformats.org/officeDocument/2006/relationships/hyperlink" Target="https://simplemaps.com/us-zips/44041/" TargetMode="External"/><Relationship Id="rId671" Type="http://schemas.openxmlformats.org/officeDocument/2006/relationships/hyperlink" Target="https://simplemaps.com/us-zips/44627/" TargetMode="External"/><Relationship Id="rId670" Type="http://schemas.openxmlformats.org/officeDocument/2006/relationships/hyperlink" Target="https://simplemaps.com/us-zips/44626/" TargetMode="External"/><Relationship Id="rId1020" Type="http://schemas.openxmlformats.org/officeDocument/2006/relationships/hyperlink" Target="https://simplemaps.com/us-zips/45426/" TargetMode="External"/><Relationship Id="rId1021" Type="http://schemas.openxmlformats.org/officeDocument/2006/relationships/hyperlink" Target="https://simplemaps.com/us-zips/45428/" TargetMode="External"/><Relationship Id="rId433" Type="http://schemas.openxmlformats.org/officeDocument/2006/relationships/hyperlink" Target="https://simplemaps.com/us-zips/44030/" TargetMode="External"/><Relationship Id="rId675" Type="http://schemas.openxmlformats.org/officeDocument/2006/relationships/hyperlink" Target="https://simplemaps.com/us-zips/44632/" TargetMode="External"/><Relationship Id="rId1022" Type="http://schemas.openxmlformats.org/officeDocument/2006/relationships/hyperlink" Target="https://simplemaps.com/us-zips/45429/" TargetMode="External"/><Relationship Id="rId432" Type="http://schemas.openxmlformats.org/officeDocument/2006/relationships/hyperlink" Target="https://simplemaps.com/us-zips/44028/" TargetMode="External"/><Relationship Id="rId674" Type="http://schemas.openxmlformats.org/officeDocument/2006/relationships/hyperlink" Target="https://simplemaps.com/us-zips/44630/" TargetMode="External"/><Relationship Id="rId1023" Type="http://schemas.openxmlformats.org/officeDocument/2006/relationships/hyperlink" Target="https://simplemaps.com/us-zips/45430/" TargetMode="External"/><Relationship Id="rId431" Type="http://schemas.openxmlformats.org/officeDocument/2006/relationships/hyperlink" Target="https://simplemaps.com/us-zips/44026/" TargetMode="External"/><Relationship Id="rId673" Type="http://schemas.openxmlformats.org/officeDocument/2006/relationships/hyperlink" Target="https://simplemaps.com/us-zips/44629/" TargetMode="External"/><Relationship Id="rId1024" Type="http://schemas.openxmlformats.org/officeDocument/2006/relationships/hyperlink" Target="https://simplemaps.com/us-zips/45431/" TargetMode="External"/><Relationship Id="rId430" Type="http://schemas.openxmlformats.org/officeDocument/2006/relationships/hyperlink" Target="https://simplemaps.com/us-zips/44024/" TargetMode="External"/><Relationship Id="rId672" Type="http://schemas.openxmlformats.org/officeDocument/2006/relationships/hyperlink" Target="https://simplemaps.com/us-zips/44628/" TargetMode="External"/><Relationship Id="rId1025" Type="http://schemas.openxmlformats.org/officeDocument/2006/relationships/hyperlink" Target="https://simplemaps.com/us-zips/45432/"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www.google.com/search?q=can+you+buy+prepaid+return+labels+usps&amp;oq=can+you+buy+prepaid+return+labels+usps&amp;gs_lcrp=EgZjaHJvbWUyBggAEEUYOTIHCAEQIRigATIHCAIQIRigATIHCAMQIRigATIHCAQQIRigATIHCAUQIRigATIHCAYQIRifBTIHCAcQIRifBTIHCAgQIRifBTIHCAkQIRifBdIBCDk2MjZqMGo3qAIAsAIA&amp;sourceid=chrome&amp;ie=UTF-8" TargetMode="External"/><Relationship Id="rId2" Type="http://schemas.openxmlformats.org/officeDocument/2006/relationships/hyperlink" Target="https://www.dutchcrafters.com/Sample-Kits/cat/780" TargetMode="External"/><Relationship Id="rId3" Type="http://schemas.openxmlformats.org/officeDocument/2006/relationships/hyperlink" Target="https://www.dutchcrafters.com/content/contact-us/" TargetMode="External"/><Relationship Id="rId4" Type="http://schemas.openxmlformats.org/officeDocument/2006/relationships/hyperlink" Target="https://qualitywoods.com/products/stain-samples-fee-credited-when-samples-returned?variant=29754437075026" TargetMode="External"/><Relationship Id="rId5" Type="http://schemas.openxmlformats.org/officeDocument/2006/relationships/hyperlink" Target="https://www.buckeyeamishfurniture.com/sample.php" TargetMode="External"/><Relationship Id="rId6"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hyperlink" Target="http://dutchcrafters.com/" TargetMode="External"/><Relationship Id="rId2" Type="http://schemas.openxmlformats.org/officeDocument/2006/relationships/hyperlink" Target="https://qualitywoods.com/" TargetMode="External"/><Relationship Id="rId3" Type="http://schemas.openxmlformats.org/officeDocument/2006/relationships/hyperlink" Target="https://amishoriginals.com/" TargetMode="External"/><Relationship Id="rId4" Type="http://schemas.openxmlformats.org/officeDocument/2006/relationships/hyperlink" Target="https://www.buckeyeamishfurniture.com/" TargetMode="External"/><Relationship Id="rId5" Type="http://schemas.openxmlformats.org/officeDocument/2006/relationships/hyperlink" Target="https://amishcountryfurnishings.com/" TargetMode="External"/><Relationship Id="rId6" Type="http://schemas.openxmlformats.org/officeDocument/2006/relationships/hyperlink" Target="http://rh.com/" TargetMode="External"/><Relationship Id="rId7"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comments" Target="../comments5.xml"/><Relationship Id="rId2" Type="http://schemas.microsoft.com/office/2017/10/relationships/threadedComment" Target="../threadedComments/threadedComment5.xml"/><Relationship Id="rId3" Type="http://schemas.microsoft.com/office/2019/04/relationships/documenttask" Target="../documenttasks/documenttask5.xml"/><Relationship Id="rId4" Type="http://schemas.openxmlformats.org/officeDocument/2006/relationships/drawing" Target="../drawings/drawing31.xml"/><Relationship Id="rId5" Type="http://schemas.openxmlformats.org/officeDocument/2006/relationships/vmlDrawing" Target="../drawings/vmlDrawing5.vml"/></Relationships>
</file>

<file path=xl/worksheets/_rels/sheet32.xml.rels><?xml version="1.0" encoding="UTF-8" standalone="yes"?><Relationships xmlns="http://schemas.openxmlformats.org/package/2006/relationships"><Relationship Id="rId1" Type="http://schemas.openxmlformats.org/officeDocument/2006/relationships/hyperlink" Target="https://viztechfurniture.com/all-vendors/ohio-certified-stains/" TargetMode="External"/><Relationship Id="rId2"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comments" Target="../comments6.xml"/><Relationship Id="rId2" Type="http://schemas.microsoft.com/office/2017/10/relationships/threadedComment" Target="../threadedComments/threadedComment6.xml"/><Relationship Id="rId3" Type="http://schemas.microsoft.com/office/2019/04/relationships/documenttask" Target="../documenttasks/documenttask6.xml"/><Relationship Id="rId4" Type="http://schemas.openxmlformats.org/officeDocument/2006/relationships/drawing" Target="../drawings/drawing33.xml"/><Relationship Id="rId5" Type="http://schemas.openxmlformats.org/officeDocument/2006/relationships/vmlDrawing" Target="../drawings/vmlDrawing6.v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xml.rels><?xml version="1.0" encoding="UTF-8" standalone="yes"?><Relationships xmlns="http://schemas.openxmlformats.org/package/2006/relationships"><Relationship Id="rId1" Type="http://schemas.openxmlformats.org/officeDocument/2006/relationships/comments" Target="../comments3.xml"/><Relationship Id="rId2" Type="http://schemas.microsoft.com/office/2017/10/relationships/threadedComment" Target="../threadedComments/threadedComment3.xml"/><Relationship Id="rId3" Type="http://schemas.microsoft.com/office/2019/04/relationships/documenttask" Target="../documenttasks/documenttask3.xml"/><Relationship Id="rId4" Type="http://schemas.openxmlformats.org/officeDocument/2006/relationships/drawing" Target="../drawings/drawing4.xml"/><Relationship Id="rId5"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40" Type="http://schemas.openxmlformats.org/officeDocument/2006/relationships/hyperlink" Target="https://millwest.com/ohio/amish-furniture-west-carrollton/" TargetMode="External"/><Relationship Id="rId190" Type="http://schemas.openxmlformats.org/officeDocument/2006/relationships/drawing" Target="../drawings/drawing7.xml"/><Relationship Id="rId42" Type="http://schemas.openxmlformats.org/officeDocument/2006/relationships/hyperlink" Target="https://millwest.com/ohio/worthington/" TargetMode="External"/><Relationship Id="rId41" Type="http://schemas.openxmlformats.org/officeDocument/2006/relationships/hyperlink" Target="https://millwest.com/ohio/amish-furniture-store-near-west-jefferson/" TargetMode="External"/><Relationship Id="rId44" Type="http://schemas.openxmlformats.org/officeDocument/2006/relationships/hyperlink" Target="https://millwest.com/ohio/amish-furniture-bowling-green-ohio/"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amish-furniture-cincinnati/" TargetMode="External"/><Relationship Id="rId107" Type="http://schemas.openxmlformats.org/officeDocument/2006/relationships/hyperlink" Target="https://millwest.com/north-carolina/" TargetMode="External"/><Relationship Id="rId106" Type="http://schemas.openxmlformats.org/officeDocument/2006/relationships/hyperlink" Target="https://millwest.com/minnesota/" TargetMode="External"/><Relationship Id="rId105" Type="http://schemas.openxmlformats.org/officeDocument/2006/relationships/hyperlink" Target="https://millwest.com/nebraska/" TargetMode="External"/><Relationship Id="rId104" Type="http://schemas.openxmlformats.org/officeDocument/2006/relationships/hyperlink" Target="https://millwest.com/delaware/" TargetMode="External"/><Relationship Id="rId109" Type="http://schemas.openxmlformats.org/officeDocument/2006/relationships/hyperlink" Target="https://millwest.com/wisconsin/" TargetMode="External"/><Relationship Id="rId108" Type="http://schemas.openxmlformats.org/officeDocument/2006/relationships/hyperlink" Target="https://millwest.com/maine/" TargetMode="External"/><Relationship Id="rId48" Type="http://schemas.openxmlformats.org/officeDocument/2006/relationships/hyperlink" Target="https://millwest.com/ohio/dublin/outdoor-furniture/" TargetMode="External"/><Relationship Id="rId187" Type="http://schemas.openxmlformats.org/officeDocument/2006/relationships/hyperlink" Target="https://millwest.com/oregon/outdoor-furniture/" TargetMode="External"/><Relationship Id="rId47" Type="http://schemas.openxmlformats.org/officeDocument/2006/relationships/hyperlink" Target="https://millwest.com/ohio/dayton/outdoor-furniture/" TargetMode="External"/><Relationship Id="rId186" Type="http://schemas.openxmlformats.org/officeDocument/2006/relationships/hyperlink" Target="https://millwest.com/washington-dc/outdoor-furniture/" TargetMode="External"/><Relationship Id="rId185" Type="http://schemas.openxmlformats.org/officeDocument/2006/relationships/hyperlink" Target="https://millwest.com/washington/outdoor-furniture/" TargetMode="External"/><Relationship Id="rId49" Type="http://schemas.openxmlformats.org/officeDocument/2006/relationships/hyperlink" Target="https://millwest.com/ohio/toledo/outdoor-furniture/" TargetMode="External"/><Relationship Id="rId184" Type="http://schemas.openxmlformats.org/officeDocument/2006/relationships/hyperlink" Target="https://millwest.com/arizona/outdoor-furniture/" TargetMode="External"/><Relationship Id="rId103" Type="http://schemas.openxmlformats.org/officeDocument/2006/relationships/hyperlink" Target="https://millwest.com/iowa/" TargetMode="External"/><Relationship Id="rId102" Type="http://schemas.openxmlformats.org/officeDocument/2006/relationships/hyperlink" Target="https://millwest.com/illinois/" TargetMode="External"/><Relationship Id="rId101" Type="http://schemas.openxmlformats.org/officeDocument/2006/relationships/hyperlink" Target="https://millwest.com/kansas/" TargetMode="External"/><Relationship Id="rId189" Type="http://schemas.openxmlformats.org/officeDocument/2006/relationships/hyperlink" Target="https://millwest.com/california/outdoor-furniture/" TargetMode="External"/><Relationship Id="rId100" Type="http://schemas.openxmlformats.org/officeDocument/2006/relationships/hyperlink" Target="https://millwest.com/missouri/" TargetMode="External"/><Relationship Id="rId188" Type="http://schemas.openxmlformats.org/officeDocument/2006/relationships/hyperlink" Target="https://millwest.com/nevada/outdoor-furniture/" TargetMode="External"/><Relationship Id="rId31" Type="http://schemas.openxmlformats.org/officeDocument/2006/relationships/hyperlink" Target="https://millwest.com/ohio/amish-furniture-springfield/" TargetMode="External"/><Relationship Id="rId30" Type="http://schemas.openxmlformats.org/officeDocument/2006/relationships/hyperlink" Target="https://millwest.com/ohio/amish-furniture-sidney/" TargetMode="External"/><Relationship Id="rId33" Type="http://schemas.openxmlformats.org/officeDocument/2006/relationships/hyperlink" Target="https://millwest.com/ohio/sylvania/" TargetMode="External"/><Relationship Id="rId183" Type="http://schemas.openxmlformats.org/officeDocument/2006/relationships/hyperlink" Target="https://millwest.com/utah/outdoor-furniture/" TargetMode="External"/><Relationship Id="rId32" Type="http://schemas.openxmlformats.org/officeDocument/2006/relationships/hyperlink" Target="https://millwest.com/ohio/amish-furniture-tipp-city/" TargetMode="External"/><Relationship Id="rId182" Type="http://schemas.openxmlformats.org/officeDocument/2006/relationships/hyperlink" Target="https://millwest.com/idaho/outdoor-furniture/" TargetMode="External"/><Relationship Id="rId35" Type="http://schemas.openxmlformats.org/officeDocument/2006/relationships/hyperlink" Target="https://millwest.com/ohio/amish-furniture-troy/" TargetMode="External"/><Relationship Id="rId181" Type="http://schemas.openxmlformats.org/officeDocument/2006/relationships/hyperlink" Target="https://millwest.com/new-mexico/outdoor-furniture/" TargetMode="External"/><Relationship Id="rId34" Type="http://schemas.openxmlformats.org/officeDocument/2006/relationships/hyperlink" Target="https://millwest.com/ohio/amish-furniture-trotwood/" TargetMode="External"/><Relationship Id="rId180" Type="http://schemas.openxmlformats.org/officeDocument/2006/relationships/hyperlink" Target="https://millwest.com/colorado/outdoor-furniture/" TargetMode="External"/><Relationship Id="rId37" Type="http://schemas.openxmlformats.org/officeDocument/2006/relationships/hyperlink" Target="https://millwest.com/ohio/amish-furniture-urbana/" TargetMode="External"/><Relationship Id="rId176" Type="http://schemas.openxmlformats.org/officeDocument/2006/relationships/hyperlink" Target="https://millwest.com/oklahoma/outdoor-furniture/" TargetMode="External"/><Relationship Id="rId36" Type="http://schemas.openxmlformats.org/officeDocument/2006/relationships/hyperlink" Target="https://millwest.com/ohio/upper-arlington/" TargetMode="External"/><Relationship Id="rId175" Type="http://schemas.openxmlformats.org/officeDocument/2006/relationships/hyperlink" Target="https://millwest.com/kansas/outdoor-furniture/" TargetMode="External"/><Relationship Id="rId39" Type="http://schemas.openxmlformats.org/officeDocument/2006/relationships/hyperlink" Target="https://millwest.com/ohio/westerville/" TargetMode="External"/><Relationship Id="rId174" Type="http://schemas.openxmlformats.org/officeDocument/2006/relationships/hyperlink" Target="https://millwest.com/south-dakota/outdoor-furniture/" TargetMode="External"/><Relationship Id="rId38" Type="http://schemas.openxmlformats.org/officeDocument/2006/relationships/hyperlink" Target="https://millwest.com/ohio/amish-furniture-store-near-washington-court-house/" TargetMode="External"/><Relationship Id="rId173" Type="http://schemas.openxmlformats.org/officeDocument/2006/relationships/hyperlink" Target="https://millwest.com/north-dakota/outdoor-furniture/" TargetMode="External"/><Relationship Id="rId179" Type="http://schemas.openxmlformats.org/officeDocument/2006/relationships/hyperlink" Target="https://millwest.com/wyoming/outdoor-furniture/" TargetMode="External"/><Relationship Id="rId178" Type="http://schemas.openxmlformats.org/officeDocument/2006/relationships/hyperlink" Target="https://millwest.com/montana/outdoor-furniture/" TargetMode="External"/><Relationship Id="rId177" Type="http://schemas.openxmlformats.org/officeDocument/2006/relationships/hyperlink" Target="https://millwest.com/texas/outdoor-furnitur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amish-furniture-miamisburg/" TargetMode="External"/><Relationship Id="rId129" Type="http://schemas.openxmlformats.org/officeDocument/2006/relationships/hyperlink" Target="https://millwest.com/new-mexico/" TargetMode="External"/><Relationship Id="rId128" Type="http://schemas.openxmlformats.org/officeDocument/2006/relationships/hyperlink" Target="https://millwest.com/wyoming/" TargetMode="External"/><Relationship Id="rId127" Type="http://schemas.openxmlformats.org/officeDocument/2006/relationships/hyperlink" Target="https://millwest.com/montana/" TargetMode="External"/><Relationship Id="rId126" Type="http://schemas.openxmlformats.org/officeDocument/2006/relationships/hyperlink" Target="https://millwest.com/colorado/"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alabama/"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florida/"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oklahoma/"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louisiana/" TargetMode="External"/><Relationship Id="rId123" Type="http://schemas.openxmlformats.org/officeDocument/2006/relationships/hyperlink" Target="https://millwest.com/arkansas/" TargetMode="External"/><Relationship Id="rId122" Type="http://schemas.openxmlformats.org/officeDocument/2006/relationships/hyperlink" Target="https://millwest.com/mississippi/" TargetMode="External"/><Relationship Id="rId95" Type="http://schemas.openxmlformats.org/officeDocument/2006/relationships/hyperlink" Target="https://millwest.com/kentucky/" TargetMode="External"/><Relationship Id="rId94" Type="http://schemas.openxmlformats.org/officeDocument/2006/relationships/hyperlink" Target="https://millwest.com/pennsylvania/" TargetMode="External"/><Relationship Id="rId97" Type="http://schemas.openxmlformats.org/officeDocument/2006/relationships/hyperlink" Target="https://millwest.com/new-york/" TargetMode="External"/><Relationship Id="rId96" Type="http://schemas.openxmlformats.org/officeDocument/2006/relationships/hyperlink" Target="https://millwest.com/west-virgini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virgini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maryland/" TargetMode="External"/><Relationship Id="rId13" Type="http://schemas.openxmlformats.org/officeDocument/2006/relationships/hyperlink" Target="https://millwest.com/ohio/amish-furniture-store-near-grove-city/" TargetMode="External"/><Relationship Id="rId12" Type="http://schemas.openxmlformats.org/officeDocument/2006/relationships/hyperlink" Target="https://millwest.com/ohio/amish-furniture-galloway/" TargetMode="External"/><Relationship Id="rId91" Type="http://schemas.openxmlformats.org/officeDocument/2006/relationships/hyperlink" Target="https://millwest.com/ohio/plain-city/outdoor-furniture/" TargetMode="External"/><Relationship Id="rId90" Type="http://schemas.openxmlformats.org/officeDocument/2006/relationships/hyperlink" Target="https://millwest.com/ohio/urbana/outdoor-furniture/" TargetMode="External"/><Relationship Id="rId93" Type="http://schemas.openxmlformats.org/officeDocument/2006/relationships/hyperlink" Target="https://millwest.com/new-jersey/" TargetMode="External"/><Relationship Id="rId92" Type="http://schemas.openxmlformats.org/officeDocument/2006/relationships/hyperlink" Target="https://millwest.com/indiana/" TargetMode="External"/><Relationship Id="rId118" Type="http://schemas.openxmlformats.org/officeDocument/2006/relationships/hyperlink" Target="https://millwest.com/south-carolina/" TargetMode="External"/><Relationship Id="rId117" Type="http://schemas.openxmlformats.org/officeDocument/2006/relationships/hyperlink" Target="https://millwest.com/south-dakota/" TargetMode="External"/><Relationship Id="rId116" Type="http://schemas.openxmlformats.org/officeDocument/2006/relationships/hyperlink" Target="https://millwest.com/north-dakota/" TargetMode="External"/><Relationship Id="rId115" Type="http://schemas.openxmlformats.org/officeDocument/2006/relationships/hyperlink" Target="https://millwest.com/tennessee/" TargetMode="External"/><Relationship Id="rId119" Type="http://schemas.openxmlformats.org/officeDocument/2006/relationships/hyperlink" Target="https://millwest.com/georgia/" TargetMode="External"/><Relationship Id="rId15" Type="http://schemas.openxmlformats.org/officeDocument/2006/relationships/hyperlink" Target="https://millwest.com/ohio/amish-furniture-store-near-hilliard/" TargetMode="External"/><Relationship Id="rId110" Type="http://schemas.openxmlformats.org/officeDocument/2006/relationships/hyperlink" Target="https://millwest.com/massachusetts/"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amish-furniture-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connecticut/" TargetMode="External"/><Relationship Id="rId18" Type="http://schemas.openxmlformats.org/officeDocument/2006/relationships/hyperlink" Target="https://millwest.com/ohio/lima/" TargetMode="External"/><Relationship Id="rId113" Type="http://schemas.openxmlformats.org/officeDocument/2006/relationships/hyperlink" Target="https://millwest.com/new-hampshire/" TargetMode="External"/><Relationship Id="rId112" Type="http://schemas.openxmlformats.org/officeDocument/2006/relationships/hyperlink" Target="https://millwest.com/vermont/" TargetMode="External"/><Relationship Id="rId111" Type="http://schemas.openxmlformats.org/officeDocument/2006/relationships/hyperlink" Target="https://millwest.com/rhode-island/" TargetMode="External"/><Relationship Id="rId84" Type="http://schemas.openxmlformats.org/officeDocument/2006/relationships/hyperlink" Target="https://millwest.com/ohio/west-jefferson/outdoor-furniture/" TargetMode="External"/><Relationship Id="rId83" Type="http://schemas.openxmlformats.org/officeDocument/2006/relationships/hyperlink" Target="https://millwest.com/ohio/sandusky/outdoor-furniture/" TargetMode="External"/><Relationship Id="rId86" Type="http://schemas.openxmlformats.org/officeDocument/2006/relationships/hyperlink" Target="https://millwest.com/ohio/powell/outdoor-furniture/" TargetMode="External"/><Relationship Id="rId85" Type="http://schemas.openxmlformats.org/officeDocument/2006/relationships/hyperlink" Target="https://millwest.com/ohio/galloway/outdoor-furniture/" TargetMode="External"/><Relationship Id="rId88" Type="http://schemas.openxmlformats.org/officeDocument/2006/relationships/hyperlink" Target="https://millwest.com/ohio/worthington/outdoor-furniture/" TargetMode="External"/><Relationship Id="rId150" Type="http://schemas.openxmlformats.org/officeDocument/2006/relationships/hyperlink" Target="https://millwest.com/maryland/outdoor-furniture/" TargetMode="External"/><Relationship Id="rId87" Type="http://schemas.openxmlformats.org/officeDocument/2006/relationships/hyperlink" Target="https://millwest.com/ohio/london/outdoor-furniture/" TargetMode="External"/><Relationship Id="rId89" Type="http://schemas.openxmlformats.org/officeDocument/2006/relationships/hyperlink" Target="https://millwest.com/ohio/westerville/outdoor-furniture/" TargetMode="External"/><Relationship Id="rId80" Type="http://schemas.openxmlformats.org/officeDocument/2006/relationships/hyperlink" Target="https://millwest.com/ohio/delaware/outdoor-furniture/" TargetMode="External"/><Relationship Id="rId82" Type="http://schemas.openxmlformats.org/officeDocument/2006/relationships/hyperlink" Target="https://millwest.com/ohio/west-carrollton/outdoor-furniture/" TargetMode="External"/><Relationship Id="rId81" Type="http://schemas.openxmlformats.org/officeDocument/2006/relationships/hyperlink" Target="https://millwest.com/ohio/marion/outdoor-furniture/" TargetMode="External"/><Relationship Id="rId1" Type="http://schemas.openxmlformats.org/officeDocument/2006/relationships/hyperlink" Target="https://millwest.com/ohio/amish-furniture-beavercreek/" TargetMode="External"/><Relationship Id="rId2" Type="http://schemas.openxmlformats.org/officeDocument/2006/relationships/hyperlink" Target="https://millwest.com/ohio/amish-furniture-store-near-bellefontaine/" TargetMode="External"/><Relationship Id="rId3" Type="http://schemas.openxmlformats.org/officeDocument/2006/relationships/hyperlink" Target="https://millwest.com/ohio/amish-furniture-centerville/" TargetMode="External"/><Relationship Id="rId149" Type="http://schemas.openxmlformats.org/officeDocument/2006/relationships/hyperlink" Target="https://millwest.com/new-york/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virgini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michigan/outdoor-furniture/" TargetMode="External"/><Relationship Id="rId142" Type="http://schemas.openxmlformats.org/officeDocument/2006/relationships/hyperlink" Target="https://millwest.com/ohio/outdoor-furniture/" TargetMode="External"/><Relationship Id="rId141" Type="http://schemas.openxmlformats.org/officeDocument/2006/relationships/hyperlink" Target="https://millwest.com/indiana/outdoor-furniture/" TargetMode="External"/><Relationship Id="rId140" Type="http://schemas.openxmlformats.org/officeDocument/2006/relationships/hyperlink" Target="https://millwest.com/washington-dc/" TargetMode="External"/><Relationship Id="rId5" Type="http://schemas.openxmlformats.org/officeDocument/2006/relationships/hyperlink" Target="https://millwest.com/ohio/amish-furniture-columbus/" TargetMode="External"/><Relationship Id="rId147" Type="http://schemas.openxmlformats.org/officeDocument/2006/relationships/hyperlink" Target="https://millwest.com/west-virginia/outdoor-furniture/" TargetMode="External"/><Relationship Id="rId6" Type="http://schemas.openxmlformats.org/officeDocument/2006/relationships/hyperlink" Target="https://millwest.com/amish-furniture-dayton/" TargetMode="External"/><Relationship Id="rId146" Type="http://schemas.openxmlformats.org/officeDocument/2006/relationships/hyperlink" Target="https://millwest.com/kentucky/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pennsylvania/outdoor-furniture/" TargetMode="External"/><Relationship Id="rId8" Type="http://schemas.openxmlformats.org/officeDocument/2006/relationships/hyperlink" Target="https://millwest.com/ohio/amish-furniture-store-near-dublin/" TargetMode="External"/><Relationship Id="rId144" Type="http://schemas.openxmlformats.org/officeDocument/2006/relationships/hyperlink" Target="https://millwest.com/illinois/outdoor-furniture/" TargetMode="External"/><Relationship Id="rId73" Type="http://schemas.openxmlformats.org/officeDocument/2006/relationships/hyperlink" Target="https://millwest.com/ohio/sidney/outdoor-furniture/" TargetMode="External"/><Relationship Id="rId72" Type="http://schemas.openxmlformats.org/officeDocument/2006/relationships/hyperlink" Target="https://millwest.com/ohio/piqua/outdoor-furniture/" TargetMode="External"/><Relationship Id="rId75" Type="http://schemas.openxmlformats.org/officeDocument/2006/relationships/hyperlink" Target="https://millwest.com/ohio/tipp-city/outdoor-furniture/" TargetMode="External"/><Relationship Id="rId74" Type="http://schemas.openxmlformats.org/officeDocument/2006/relationships/hyperlink" Target="https://millwest.com/ohio/sylvania/outdoor-furniture/" TargetMode="External"/><Relationship Id="rId77" Type="http://schemas.openxmlformats.org/officeDocument/2006/relationships/hyperlink" Target="https://millwest.com/ohio/troy/outdoor-furniture/" TargetMode="External"/><Relationship Id="rId76" Type="http://schemas.openxmlformats.org/officeDocument/2006/relationships/hyperlink" Target="https://millwest.com/ohio/trotwood/outdoor-furniture/" TargetMode="External"/><Relationship Id="rId79" Type="http://schemas.openxmlformats.org/officeDocument/2006/relationships/hyperlink" Target="https://millwest.com/ohio/clearcreek/outdoor-furniture/" TargetMode="External"/><Relationship Id="rId78" Type="http://schemas.openxmlformats.org/officeDocument/2006/relationships/hyperlink" Target="https://millwest.com/ohio/washington-court-house/outdoor-furniture/" TargetMode="External"/><Relationship Id="rId71" Type="http://schemas.openxmlformats.org/officeDocument/2006/relationships/hyperlink" Target="https://millwest.com/ohio/perrysburg/outdoor-furniture/" TargetMode="External"/><Relationship Id="rId70" Type="http://schemas.openxmlformats.org/officeDocument/2006/relationships/hyperlink" Target="https://millwest.com/ohio/middletown/outdoor-furniture/" TargetMode="External"/><Relationship Id="rId139" Type="http://schemas.openxmlformats.org/officeDocument/2006/relationships/hyperlink" Target="https://millwest.com/michigan/" TargetMode="External"/><Relationship Id="rId138" Type="http://schemas.openxmlformats.org/officeDocument/2006/relationships/hyperlink" Target="https://millwest.com/ohio/" TargetMode="External"/><Relationship Id="rId137" Type="http://schemas.openxmlformats.org/officeDocument/2006/relationships/hyperlink" Target="https://millwest.com/california/" TargetMode="External"/><Relationship Id="rId132" Type="http://schemas.openxmlformats.org/officeDocument/2006/relationships/hyperlink" Target="https://millwest.com/utah/" TargetMode="External"/><Relationship Id="rId131" Type="http://schemas.openxmlformats.org/officeDocument/2006/relationships/hyperlink" Target="https://millwest.com/idaho/" TargetMode="External"/><Relationship Id="rId130" Type="http://schemas.openxmlformats.org/officeDocument/2006/relationships/hyperlink" Target="https://millwest.com/texas/" TargetMode="External"/><Relationship Id="rId136" Type="http://schemas.openxmlformats.org/officeDocument/2006/relationships/hyperlink" Target="https://millwest.com/nevada/" TargetMode="External"/><Relationship Id="rId135" Type="http://schemas.openxmlformats.org/officeDocument/2006/relationships/hyperlink" Target="https://millwest.com/oregon/" TargetMode="External"/><Relationship Id="rId134" Type="http://schemas.openxmlformats.org/officeDocument/2006/relationships/hyperlink" Target="https://millwest.com/washington/" TargetMode="External"/><Relationship Id="rId133" Type="http://schemas.openxmlformats.org/officeDocument/2006/relationships/hyperlink" Target="https://millwest.com/arizona/" TargetMode="External"/><Relationship Id="rId62" Type="http://schemas.openxmlformats.org/officeDocument/2006/relationships/hyperlink" Target="https://millwest.com/ohio/fairborn/outdoor-furniture/" TargetMode="External"/><Relationship Id="rId61" Type="http://schemas.openxmlformats.org/officeDocument/2006/relationships/hyperlink" Target="https://millwest.com/ohio/centerville/outdoor-furniture/" TargetMode="External"/><Relationship Id="rId64" Type="http://schemas.openxmlformats.org/officeDocument/2006/relationships/hyperlink" Target="https://millwest.com/ohio/findlay/outdoor-furniture/" TargetMode="External"/><Relationship Id="rId63" Type="http://schemas.openxmlformats.org/officeDocument/2006/relationships/hyperlink" Target="https://millwest.com/ohio/fairfield/outdoor-furniture/" TargetMode="External"/><Relationship Id="rId66" Type="http://schemas.openxmlformats.org/officeDocument/2006/relationships/hyperlink" Target="https://millwest.com/ohio/huber-heights/outdoor-furniture/" TargetMode="External"/><Relationship Id="rId172" Type="http://schemas.openxmlformats.org/officeDocument/2006/relationships/hyperlink" Target="https://millwest.com/louisiana/outdoor-furniture/" TargetMode="External"/><Relationship Id="rId65" Type="http://schemas.openxmlformats.org/officeDocument/2006/relationships/hyperlink" Target="https://millwest.com/ohio/hamilton/outdoor-furniture/" TargetMode="External"/><Relationship Id="rId171" Type="http://schemas.openxmlformats.org/officeDocument/2006/relationships/hyperlink" Target="https://millwest.com/arkansas/outdoor-furniture/" TargetMode="External"/><Relationship Id="rId68" Type="http://schemas.openxmlformats.org/officeDocument/2006/relationships/hyperlink" Target="https://millwest.com/ohio/mason/outdoor-furniture/" TargetMode="External"/><Relationship Id="rId170" Type="http://schemas.openxmlformats.org/officeDocument/2006/relationships/hyperlink" Target="https://millwest.com/missouri/outdoor-furniture/" TargetMode="External"/><Relationship Id="rId67" Type="http://schemas.openxmlformats.org/officeDocument/2006/relationships/hyperlink" Target="https://millwest.com/ohio/lima/outdoor-furniture/" TargetMode="External"/><Relationship Id="rId60" Type="http://schemas.openxmlformats.org/officeDocument/2006/relationships/hyperlink" Target="https://millwest.com/ohio/bowling-green/outdoor-furniture/" TargetMode="External"/><Relationship Id="rId165" Type="http://schemas.openxmlformats.org/officeDocument/2006/relationships/hyperlink" Target="https://millwest.com/mississippi/outdoor-furniture/" TargetMode="External"/><Relationship Id="rId69" Type="http://schemas.openxmlformats.org/officeDocument/2006/relationships/hyperlink" Target="https://millwest.com/ohio/miamisburg/outdoor-furniture/" TargetMode="External"/><Relationship Id="rId164" Type="http://schemas.openxmlformats.org/officeDocument/2006/relationships/hyperlink" Target="https://millwest.com/alabama/outdoor-furniture/" TargetMode="External"/><Relationship Id="rId163" Type="http://schemas.openxmlformats.org/officeDocument/2006/relationships/hyperlink" Target="https://millwest.com/florida/outdoor-furniture/" TargetMode="External"/><Relationship Id="rId162" Type="http://schemas.openxmlformats.org/officeDocument/2006/relationships/hyperlink" Target="https://millwest.com/georgia/outdoor-furniture/" TargetMode="External"/><Relationship Id="rId169" Type="http://schemas.openxmlformats.org/officeDocument/2006/relationships/hyperlink" Target="https://millwest.com/nebraska/outdoor-furniture/" TargetMode="External"/><Relationship Id="rId168" Type="http://schemas.openxmlformats.org/officeDocument/2006/relationships/hyperlink" Target="https://millwest.com/iowa/outdoor-furniture/" TargetMode="External"/><Relationship Id="rId167" Type="http://schemas.openxmlformats.org/officeDocument/2006/relationships/hyperlink" Target="https://millwest.com/minnesota/outdoor-furniture/" TargetMode="External"/><Relationship Id="rId166" Type="http://schemas.openxmlformats.org/officeDocument/2006/relationships/hyperlink" Target="https://millwest.com/wisconsin/outdoor-furniture/" TargetMode="External"/><Relationship Id="rId51" Type="http://schemas.openxmlformats.org/officeDocument/2006/relationships/hyperlink" Target="https://millwest.com/ohio/kettering/outdoor-furniture/" TargetMode="External"/><Relationship Id="rId50" Type="http://schemas.openxmlformats.org/officeDocument/2006/relationships/hyperlink" Target="https://millwest.com/amish-furniture-toledo/" TargetMode="External"/><Relationship Id="rId53" Type="http://schemas.openxmlformats.org/officeDocument/2006/relationships/hyperlink" Target="https://millwest.com/ohio/upper-arlington/outdoor-furniture/" TargetMode="External"/><Relationship Id="rId52" Type="http://schemas.openxmlformats.org/officeDocument/2006/relationships/hyperlink" Target="https://millwest.com/ohio/hilliard/outdoor-furniture/" TargetMode="External"/><Relationship Id="rId55" Type="http://schemas.openxmlformats.org/officeDocument/2006/relationships/hyperlink" Target="https://millwest.com/ohio/grove-city/outdoor-furniture/" TargetMode="External"/><Relationship Id="rId161" Type="http://schemas.openxmlformats.org/officeDocument/2006/relationships/hyperlink" Target="https://millwest.com/tennessee/outdoor-furniture/" TargetMode="External"/><Relationship Id="rId54" Type="http://schemas.openxmlformats.org/officeDocument/2006/relationships/hyperlink" Target="https://millwest.com/ohio/marysville/outdoor-furniture/" TargetMode="External"/><Relationship Id="rId160" Type="http://schemas.openxmlformats.org/officeDocument/2006/relationships/hyperlink" Target="https://millwest.com/south-carolina/outdoor-furniture/" TargetMode="External"/><Relationship Id="rId57" Type="http://schemas.openxmlformats.org/officeDocument/2006/relationships/hyperlink" Target="https://millwest.com/ohio/bellefontaine/outdoor-furniture/" TargetMode="External"/><Relationship Id="rId56" Type="http://schemas.openxmlformats.org/officeDocument/2006/relationships/hyperlink" Target="https://millwest.com/ohio/springfield/outdoor-furniture/" TargetMode="External"/><Relationship Id="rId159" Type="http://schemas.openxmlformats.org/officeDocument/2006/relationships/hyperlink" Target="https://millwest.com/north-carolina/outdoor-furniture/" TargetMode="External"/><Relationship Id="rId59" Type="http://schemas.openxmlformats.org/officeDocument/2006/relationships/hyperlink" Target="https://millwest.com/ohio/beavercreek/outdoor-furniture/" TargetMode="External"/><Relationship Id="rId154" Type="http://schemas.openxmlformats.org/officeDocument/2006/relationships/hyperlink" Target="https://millwest.com/vermont/outdoor-furniture/" TargetMode="External"/><Relationship Id="rId58" Type="http://schemas.openxmlformats.org/officeDocument/2006/relationships/hyperlink" Target="https://millwest.com/ohio/cincinnati/outdoor-furniture/" TargetMode="External"/><Relationship Id="rId153" Type="http://schemas.openxmlformats.org/officeDocument/2006/relationships/hyperlink" Target="https://millwest.com/rhode-island/outdoor-furniture/" TargetMode="External"/><Relationship Id="rId152" Type="http://schemas.openxmlformats.org/officeDocument/2006/relationships/hyperlink" Target="https://millwest.com/new-jersey/outdoor-furniture/" TargetMode="External"/><Relationship Id="rId151" Type="http://schemas.openxmlformats.org/officeDocument/2006/relationships/hyperlink" Target="https://millwest.com/delaware/outdoor-furniture/" TargetMode="External"/><Relationship Id="rId158" Type="http://schemas.openxmlformats.org/officeDocument/2006/relationships/hyperlink" Target="https://millwest.com/massachusetts/outdoor-furniture/" TargetMode="External"/><Relationship Id="rId157" Type="http://schemas.openxmlformats.org/officeDocument/2006/relationships/hyperlink" Target="https://millwest.com/new-hampshire/outdoor-furniture/" TargetMode="External"/><Relationship Id="rId156" Type="http://schemas.openxmlformats.org/officeDocument/2006/relationships/hyperlink" Target="https://millwest.com/maine/outdoor-furniture/" TargetMode="External"/><Relationship Id="rId155" Type="http://schemas.openxmlformats.org/officeDocument/2006/relationships/hyperlink" Target="https://millwest.com/connecticut/outdoor-furniture/"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75"/>
  <cols>
    <col customWidth="1" min="1" max="1" width="21.5"/>
    <col customWidth="1" min="2" max="2" width="14.0"/>
    <col customWidth="1" min="4" max="4" width="107.13"/>
    <col customWidth="1" min="5" max="5" width="41.38"/>
    <col customWidth="1" min="6" max="6" width="24.25"/>
    <col customWidth="1" min="7" max="7" width="19.25"/>
    <col customWidth="1" min="8" max="8" width="125.38"/>
    <col customWidth="1" min="9" max="9" width="32.63"/>
    <col customWidth="1" min="10" max="11" width="19.25"/>
    <col customWidth="1" min="12" max="12" width="119.63"/>
    <col customWidth="1" min="13" max="13" width="52.75"/>
    <col customWidth="1" min="15" max="15" width="40.25"/>
  </cols>
  <sheetData>
    <row r="1">
      <c r="A1" s="1" t="s">
        <v>0</v>
      </c>
      <c r="B1" s="2" t="s">
        <v>1</v>
      </c>
      <c r="C1" s="2" t="s">
        <v>2</v>
      </c>
      <c r="D1" s="3" t="s">
        <v>3</v>
      </c>
      <c r="E1" s="4" t="s">
        <v>4</v>
      </c>
      <c r="F1" s="5" t="s">
        <v>5</v>
      </c>
      <c r="G1" s="5" t="s">
        <v>6</v>
      </c>
      <c r="H1" s="6" t="s">
        <v>7</v>
      </c>
      <c r="I1" s="4" t="s">
        <v>8</v>
      </c>
      <c r="J1" s="7" t="str">
        <f> "Last Column " &amp; Checks!$D$3</f>
        <v>Last Column J</v>
      </c>
      <c r="K1" s="8"/>
      <c r="L1" s="4" t="s">
        <v>9</v>
      </c>
      <c r="X1" s="9" t="s">
        <v>10</v>
      </c>
      <c r="Y1" s="9" t="s">
        <v>11</v>
      </c>
      <c r="Z1" s="9" t="s">
        <v>12</v>
      </c>
    </row>
    <row r="2">
      <c r="A2" s="10" t="s">
        <v>13</v>
      </c>
      <c r="B2" s="11">
        <v>30.0</v>
      </c>
      <c r="C2" s="12" t="s">
        <v>14</v>
      </c>
      <c r="D2" s="8" t="s">
        <v>15</v>
      </c>
      <c r="E2" s="13" t="s">
        <v>16</v>
      </c>
      <c r="F2" s="13" t="s">
        <v>16</v>
      </c>
      <c r="G2" s="10" t="s">
        <v>17</v>
      </c>
      <c r="H2" s="14" t="s">
        <v>18</v>
      </c>
      <c r="I2" s="15" t="s">
        <v>19</v>
      </c>
      <c r="J2" s="10"/>
      <c r="K2" s="8"/>
      <c r="L2" s="10"/>
      <c r="O2" s="13" t="s">
        <v>20</v>
      </c>
      <c r="Q2" s="13" t="s">
        <v>21</v>
      </c>
      <c r="X2" s="16" t="s">
        <v>21</v>
      </c>
      <c r="Y2" s="17" t="s">
        <v>22</v>
      </c>
      <c r="Z2" s="13" t="s">
        <v>23</v>
      </c>
    </row>
    <row r="3">
      <c r="A3" s="15" t="s">
        <v>24</v>
      </c>
      <c r="B3" s="11" t="s">
        <v>21</v>
      </c>
      <c r="C3" s="12" t="str">
        <f t="shared" ref="C3:C9" si="1">VLOOKUP(B3,$X:$Z,3,)</f>
        <v>$</v>
      </c>
      <c r="D3" s="8" t="str">
        <f t="shared" ref="D3:D9" si="2">VLOOKUP(B3,$X:$Z,2,)</f>
        <v>Every $1,000 you buy gets you $100 off. For example, a $1,900 purchase qualifies for a $100 discount while a $2,100 purchase qualifies for $200 off. Doesn't include already discounted items.</v>
      </c>
      <c r="E3" s="13" t="s">
        <v>25</v>
      </c>
      <c r="F3" s="13" t="s">
        <v>25</v>
      </c>
      <c r="G3" s="13" t="s">
        <v>26</v>
      </c>
      <c r="H3" s="14" t="s">
        <v>27</v>
      </c>
      <c r="I3" s="10" t="s">
        <v>28</v>
      </c>
      <c r="J3" s="8"/>
      <c r="K3" s="8"/>
      <c r="L3" s="18" t="s">
        <v>29</v>
      </c>
      <c r="M3" s="13" t="s">
        <v>24</v>
      </c>
      <c r="N3" s="13">
        <v>1000.0</v>
      </c>
      <c r="O3" s="13">
        <v>200.0</v>
      </c>
      <c r="P3" s="13" t="s">
        <v>30</v>
      </c>
      <c r="X3" s="16">
        <v>20.0</v>
      </c>
      <c r="Y3" s="8" t="s">
        <v>31</v>
      </c>
      <c r="Z3" s="13" t="s">
        <v>14</v>
      </c>
      <c r="AA3" s="13" t="s">
        <v>32</v>
      </c>
      <c r="AB3" s="13" t="s">
        <v>33</v>
      </c>
    </row>
    <row r="4">
      <c r="A4" s="15" t="s">
        <v>34</v>
      </c>
      <c r="B4" s="11" t="s">
        <v>21</v>
      </c>
      <c r="C4" s="12" t="str">
        <f t="shared" si="1"/>
        <v>$</v>
      </c>
      <c r="D4" s="8" t="str">
        <f t="shared" si="2"/>
        <v>Every $1,000 you buy gets you $100 off. For example, a $1,900 purchase qualifies for a $100 discount while a $2,100 purchase qualifies for $200 off. Doesn't include already discounted items.</v>
      </c>
      <c r="E4" s="10" t="s">
        <v>35</v>
      </c>
      <c r="F4" s="10" t="s">
        <v>35</v>
      </c>
      <c r="G4" s="13" t="s">
        <v>36</v>
      </c>
      <c r="H4" s="14" t="s">
        <v>37</v>
      </c>
      <c r="I4" s="15" t="s">
        <v>38</v>
      </c>
      <c r="J4" s="8"/>
      <c r="K4" s="8"/>
      <c r="X4" s="13">
        <v>15.0</v>
      </c>
      <c r="Y4" s="8" t="s">
        <v>39</v>
      </c>
      <c r="Z4" s="13" t="s">
        <v>14</v>
      </c>
      <c r="AA4" s="8" t="s">
        <v>40</v>
      </c>
      <c r="AB4" s="8" t="s">
        <v>39</v>
      </c>
    </row>
    <row r="5">
      <c r="A5" s="15" t="s">
        <v>41</v>
      </c>
      <c r="B5" s="11" t="s">
        <v>21</v>
      </c>
      <c r="C5" s="12" t="str">
        <f t="shared" si="1"/>
        <v>$</v>
      </c>
      <c r="D5" s="8" t="str">
        <f t="shared" si="2"/>
        <v>Every $1,000 you buy gets you $100 off. For example, a $1,900 purchase qualifies for a $100 discount while a $2,100 purchase qualifies for $200 off. Doesn't include already discounted items.</v>
      </c>
      <c r="E5" s="10" t="s">
        <v>42</v>
      </c>
      <c r="F5" s="13" t="s">
        <v>42</v>
      </c>
      <c r="G5" s="13" t="s">
        <v>43</v>
      </c>
      <c r="H5" s="19" t="s">
        <v>44</v>
      </c>
      <c r="I5" s="15" t="s">
        <v>45</v>
      </c>
      <c r="J5" s="8"/>
      <c r="K5" s="8"/>
      <c r="L5" s="18" t="s">
        <v>46</v>
      </c>
      <c r="M5" s="13" t="s">
        <v>47</v>
      </c>
      <c r="N5" s="13">
        <v>1900.0</v>
      </c>
      <c r="P5" s="13" t="s">
        <v>21</v>
      </c>
      <c r="Q5" s="20">
        <f t="shared" ref="Q5:Q7" si="3">N5</f>
        <v>1900</v>
      </c>
      <c r="X5" s="16">
        <v>25.0</v>
      </c>
      <c r="Y5" s="8" t="s">
        <v>48</v>
      </c>
      <c r="Z5" s="13" t="s">
        <v>14</v>
      </c>
    </row>
    <row r="6">
      <c r="A6" s="15" t="s">
        <v>49</v>
      </c>
      <c r="B6" s="11">
        <v>25.0</v>
      </c>
      <c r="C6" s="12" t="str">
        <f t="shared" si="1"/>
        <v>%</v>
      </c>
      <c r="D6" s="8" t="str">
        <f t="shared" si="2"/>
        <v>25% off furniture this month! Doesn't include already discounted items.</v>
      </c>
      <c r="E6" s="13" t="s">
        <v>50</v>
      </c>
      <c r="F6" s="10" t="s">
        <v>50</v>
      </c>
      <c r="G6" s="13" t="s">
        <v>51</v>
      </c>
      <c r="H6" s="14" t="s">
        <v>52</v>
      </c>
      <c r="I6" s="15" t="s">
        <v>53</v>
      </c>
      <c r="J6" s="8"/>
      <c r="K6" s="8"/>
      <c r="L6" s="18" t="s">
        <v>54</v>
      </c>
      <c r="M6" s="13" t="s">
        <v>34</v>
      </c>
      <c r="N6" s="13">
        <v>100.0</v>
      </c>
      <c r="P6" s="13" t="s">
        <v>21</v>
      </c>
      <c r="Q6" s="20">
        <f t="shared" si="3"/>
        <v>100</v>
      </c>
      <c r="X6" s="16" t="s">
        <v>55</v>
      </c>
      <c r="Y6" s="17" t="s">
        <v>56</v>
      </c>
      <c r="Z6" s="13" t="s">
        <v>23</v>
      </c>
    </row>
    <row r="7">
      <c r="A7" s="15" t="s">
        <v>57</v>
      </c>
      <c r="B7" s="11" t="s">
        <v>21</v>
      </c>
      <c r="C7" s="12" t="str">
        <f t="shared" si="1"/>
        <v>$</v>
      </c>
      <c r="D7" s="8" t="str">
        <f t="shared" si="2"/>
        <v>Every $1,000 you buy gets you $100 off. For example, a $1,900 purchase qualifies for a $100 discount while a $2,100 purchase qualifies for $200 off. Doesn't include already discounted items.</v>
      </c>
      <c r="E7" s="10" t="s">
        <v>58</v>
      </c>
      <c r="F7" s="10" t="s">
        <v>58</v>
      </c>
      <c r="G7" s="13" t="s">
        <v>59</v>
      </c>
      <c r="H7" s="14" t="s">
        <v>60</v>
      </c>
      <c r="I7" s="15" t="s">
        <v>61</v>
      </c>
      <c r="J7" s="8"/>
      <c r="K7" s="8"/>
      <c r="L7" s="18" t="s">
        <v>62</v>
      </c>
      <c r="M7" s="13" t="s">
        <v>63</v>
      </c>
      <c r="N7" s="13">
        <v>2500.0</v>
      </c>
      <c r="P7" s="13" t="s">
        <v>21</v>
      </c>
      <c r="Q7" s="20">
        <f t="shared" si="3"/>
        <v>2500</v>
      </c>
    </row>
    <row r="8">
      <c r="A8" s="15" t="s">
        <v>63</v>
      </c>
      <c r="B8" s="11">
        <v>25.0</v>
      </c>
      <c r="C8" s="12" t="str">
        <f t="shared" si="1"/>
        <v>%</v>
      </c>
      <c r="D8" s="8" t="str">
        <f t="shared" si="2"/>
        <v>25% off furniture this month! Doesn't include already discounted items.</v>
      </c>
      <c r="E8" s="10" t="s">
        <v>64</v>
      </c>
      <c r="F8" s="10" t="s">
        <v>64</v>
      </c>
      <c r="G8" s="13" t="s">
        <v>65</v>
      </c>
      <c r="H8" s="14" t="s">
        <v>66</v>
      </c>
      <c r="I8" s="15" t="s">
        <v>67</v>
      </c>
      <c r="J8" s="8"/>
      <c r="K8" s="8"/>
    </row>
    <row r="9">
      <c r="A9" s="10" t="s">
        <v>68</v>
      </c>
      <c r="B9" s="11">
        <v>15.0</v>
      </c>
      <c r="C9" s="12" t="str">
        <f t="shared" si="1"/>
        <v>%</v>
      </c>
      <c r="D9" s="8" t="str">
        <f t="shared" si="2"/>
        <v>This month only: Take 15% off any outdoor furniture items! (Excludes already discounted items).</v>
      </c>
      <c r="E9" s="10" t="s">
        <v>69</v>
      </c>
      <c r="F9" s="10" t="s">
        <v>69</v>
      </c>
      <c r="G9" s="13" t="s">
        <v>70</v>
      </c>
      <c r="H9" s="19" t="s">
        <v>71</v>
      </c>
      <c r="I9" s="15" t="s">
        <v>72</v>
      </c>
      <c r="J9" s="8"/>
      <c r="K9" s="8"/>
      <c r="L9" s="21" t="s">
        <v>73</v>
      </c>
      <c r="Q9" s="20">
        <f>SUM(Q5:Q7)</f>
        <v>4500</v>
      </c>
      <c r="R9" s="13" t="s">
        <v>74</v>
      </c>
    </row>
    <row r="10">
      <c r="A10" s="10" t="s">
        <v>75</v>
      </c>
      <c r="B10" s="11">
        <v>5.0</v>
      </c>
      <c r="C10" s="12" t="s">
        <v>14</v>
      </c>
      <c r="D10" s="8" t="s">
        <v>76</v>
      </c>
      <c r="E10" s="10" t="s">
        <v>77</v>
      </c>
      <c r="F10" s="10" t="s">
        <v>77</v>
      </c>
      <c r="G10" s="13" t="s">
        <v>78</v>
      </c>
      <c r="H10" s="14" t="s">
        <v>79</v>
      </c>
      <c r="I10" s="10" t="s">
        <v>80</v>
      </c>
      <c r="J10" s="8"/>
      <c r="K10" s="8"/>
      <c r="L10" s="18"/>
      <c r="O10" s="13"/>
      <c r="Q10" s="13"/>
    </row>
    <row r="11" ht="28.5" customHeight="1">
      <c r="A11" s="22" t="s">
        <v>81</v>
      </c>
      <c r="B11" s="11" t="s">
        <v>82</v>
      </c>
      <c r="C11" s="12"/>
      <c r="D11" s="8" t="s">
        <v>83</v>
      </c>
      <c r="E11" s="10" t="s">
        <v>84</v>
      </c>
      <c r="F11" s="10" t="s">
        <v>84</v>
      </c>
      <c r="G11" s="23" t="s">
        <v>85</v>
      </c>
      <c r="H11" s="24" t="s">
        <v>86</v>
      </c>
      <c r="I11" s="22" t="s">
        <v>87</v>
      </c>
      <c r="J11" s="8"/>
      <c r="K11" s="8"/>
      <c r="L11" s="18"/>
      <c r="O11" s="13"/>
      <c r="Q11" s="13"/>
    </row>
    <row r="12">
      <c r="A12" s="10" t="s">
        <v>88</v>
      </c>
      <c r="B12" s="11" t="s">
        <v>21</v>
      </c>
      <c r="C12" s="12" t="str">
        <f t="shared" ref="C12:C15" si="4">VLOOKUP(B12,$X:$Z,3,)</f>
        <v>$</v>
      </c>
      <c r="D12" s="8" t="str">
        <f t="shared" ref="D12:D15" si="5">VLOOKUP(B12,$X:$Z,2,)</f>
        <v>Every $1,000 you buy gets you $100 off. For example, a $1,900 purchase qualifies for a $100 discount while a $2,100 purchase qualifies for $200 off. Doesn't include already discounted items.</v>
      </c>
      <c r="E12" s="10" t="s">
        <v>89</v>
      </c>
      <c r="F12" s="10" t="s">
        <v>89</v>
      </c>
      <c r="G12" s="13" t="s">
        <v>90</v>
      </c>
      <c r="H12" s="19" t="s">
        <v>91</v>
      </c>
      <c r="I12" s="15" t="s">
        <v>92</v>
      </c>
      <c r="J12" s="8"/>
      <c r="K12" s="8"/>
      <c r="L12" s="18" t="s">
        <v>93</v>
      </c>
      <c r="O12" s="13">
        <v>200.0</v>
      </c>
      <c r="Q12" s="13">
        <v>400.0</v>
      </c>
      <c r="R12" s="20">
        <f>O12+Q12</f>
        <v>600</v>
      </c>
    </row>
    <row r="13">
      <c r="A13" s="15" t="s">
        <v>94</v>
      </c>
      <c r="B13" s="11" t="s">
        <v>21</v>
      </c>
      <c r="C13" s="12" t="str">
        <f t="shared" si="4"/>
        <v>$</v>
      </c>
      <c r="D13" s="8" t="str">
        <f t="shared" si="5"/>
        <v>Every $1,000 you buy gets you $100 off. For example, a $1,900 purchase qualifies for a $100 discount while a $2,100 purchase qualifies for $200 off. Doesn't include already discounted items.</v>
      </c>
      <c r="E13" s="10" t="s">
        <v>95</v>
      </c>
      <c r="F13" s="25" t="s">
        <v>94</v>
      </c>
      <c r="H13" s="26"/>
      <c r="I13" s="15" t="s">
        <v>96</v>
      </c>
      <c r="J13" s="8"/>
      <c r="K13" s="8"/>
    </row>
    <row r="14">
      <c r="A14" s="13" t="s">
        <v>97</v>
      </c>
      <c r="B14" s="11" t="s">
        <v>21</v>
      </c>
      <c r="C14" s="12" t="str">
        <f t="shared" si="4"/>
        <v>$</v>
      </c>
      <c r="D14" s="8" t="str">
        <f t="shared" si="5"/>
        <v>Every $1,000 you buy gets you $100 off. For example, a $1,900 purchase qualifies for a $100 discount while a $2,100 purchase qualifies for $200 off. Doesn't include already discounted items.</v>
      </c>
      <c r="E14" s="13" t="s">
        <v>98</v>
      </c>
      <c r="F14" s="13" t="s">
        <v>97</v>
      </c>
      <c r="H14" s="26"/>
      <c r="I14" s="15" t="s">
        <v>99</v>
      </c>
      <c r="J14" s="27"/>
      <c r="K14" s="27"/>
      <c r="O14" s="13" t="s">
        <v>100</v>
      </c>
    </row>
    <row r="15">
      <c r="A15" s="13" t="s">
        <v>101</v>
      </c>
      <c r="B15" s="11" t="s">
        <v>21</v>
      </c>
      <c r="C15" s="12" t="str">
        <f t="shared" si="4"/>
        <v>$</v>
      </c>
      <c r="D15" s="8" t="str">
        <f t="shared" si="5"/>
        <v>Every $1,000 you buy gets you $100 off. For example, a $1,900 purchase qualifies for a $100 discount while a $2,100 purchase qualifies for $200 off. Doesn't include already discounted items.</v>
      </c>
      <c r="E15" s="10" t="s">
        <v>102</v>
      </c>
      <c r="F15" s="13" t="s">
        <v>101</v>
      </c>
      <c r="H15" s="26"/>
      <c r="I15" s="15" t="s">
        <v>103</v>
      </c>
      <c r="J15" s="27"/>
      <c r="K15" s="27"/>
      <c r="O15" s="13" t="s">
        <v>100</v>
      </c>
    </row>
    <row r="16">
      <c r="B16" s="28"/>
      <c r="C16" s="28"/>
      <c r="D16" s="27"/>
      <c r="E16" s="10"/>
      <c r="F16" s="10"/>
      <c r="H16" s="26"/>
      <c r="I16" s="10"/>
      <c r="J16" s="27"/>
      <c r="K16" s="15" t="s">
        <v>24</v>
      </c>
      <c r="M16" s="8" t="s">
        <v>104</v>
      </c>
      <c r="O16" s="8" t="s">
        <v>56</v>
      </c>
    </row>
    <row r="17">
      <c r="B17" s="28"/>
      <c r="C17" s="28"/>
      <c r="D17" s="27"/>
      <c r="E17" s="10"/>
      <c r="F17" s="10"/>
      <c r="H17" s="26"/>
      <c r="I17" s="10"/>
      <c r="J17" s="27"/>
      <c r="K17" s="15" t="s">
        <v>34</v>
      </c>
      <c r="M17" s="8" t="s">
        <v>22</v>
      </c>
      <c r="O17" s="8" t="s">
        <v>56</v>
      </c>
    </row>
    <row r="18">
      <c r="B18" s="28"/>
      <c r="C18" s="28"/>
      <c r="D18" s="27"/>
      <c r="E18" s="10"/>
      <c r="F18" s="10"/>
      <c r="H18" s="26"/>
      <c r="I18" s="10"/>
      <c r="J18" s="27"/>
      <c r="K18" s="15" t="s">
        <v>41</v>
      </c>
      <c r="M18" s="8" t="s">
        <v>105</v>
      </c>
      <c r="O18" s="8" t="s">
        <v>56</v>
      </c>
    </row>
    <row r="19">
      <c r="B19" s="28"/>
      <c r="C19" s="28"/>
      <c r="D19" s="27"/>
      <c r="E19" s="10"/>
      <c r="F19" s="10"/>
      <c r="H19" s="26"/>
      <c r="I19" s="10"/>
      <c r="J19" s="27"/>
      <c r="K19" s="15" t="s">
        <v>49</v>
      </c>
      <c r="M19" s="8" t="s">
        <v>22</v>
      </c>
      <c r="O19" s="8" t="s">
        <v>56</v>
      </c>
    </row>
    <row r="20">
      <c r="B20" s="28"/>
      <c r="C20" s="28"/>
      <c r="D20" s="27"/>
      <c r="E20" s="10"/>
      <c r="F20" s="10"/>
      <c r="H20" s="26"/>
      <c r="I20" s="10"/>
      <c r="J20" s="27"/>
      <c r="K20" s="15" t="s">
        <v>57</v>
      </c>
      <c r="M20" s="8" t="s">
        <v>22</v>
      </c>
      <c r="O20" s="8" t="s">
        <v>56</v>
      </c>
    </row>
    <row r="21">
      <c r="B21" s="28"/>
      <c r="C21" s="28"/>
      <c r="D21" s="27"/>
      <c r="E21" s="10"/>
      <c r="F21" s="10"/>
      <c r="H21" s="26"/>
      <c r="I21" s="10"/>
      <c r="J21" s="27"/>
      <c r="K21" s="15" t="s">
        <v>63</v>
      </c>
      <c r="M21" s="8" t="s">
        <v>106</v>
      </c>
      <c r="O21" s="8" t="s">
        <v>56</v>
      </c>
    </row>
    <row r="22">
      <c r="B22" s="28"/>
      <c r="C22" s="28"/>
      <c r="D22" s="27"/>
      <c r="E22" s="10"/>
      <c r="F22" s="10"/>
      <c r="H22" s="26"/>
      <c r="I22" s="10"/>
      <c r="J22" s="27"/>
      <c r="K22" s="10" t="s">
        <v>68</v>
      </c>
      <c r="M22" s="8" t="s">
        <v>107</v>
      </c>
      <c r="O22" s="8" t="s">
        <v>106</v>
      </c>
    </row>
    <row r="23">
      <c r="B23" s="28"/>
      <c r="C23" s="28"/>
      <c r="D23" s="27"/>
      <c r="E23" s="10"/>
      <c r="F23" s="10"/>
      <c r="H23" s="26"/>
      <c r="I23" s="10"/>
      <c r="J23" s="27"/>
      <c r="K23" s="10" t="s">
        <v>88</v>
      </c>
      <c r="M23" s="8" t="s">
        <v>22</v>
      </c>
      <c r="O23" s="8" t="s">
        <v>56</v>
      </c>
    </row>
    <row r="24">
      <c r="B24" s="28"/>
      <c r="C24" s="28"/>
      <c r="D24" s="27"/>
      <c r="E24" s="10"/>
      <c r="F24" s="10"/>
      <c r="H24" s="26"/>
      <c r="I24" s="10"/>
      <c r="J24" s="27"/>
      <c r="K24" s="15" t="s">
        <v>94</v>
      </c>
      <c r="M24" s="8" t="s">
        <v>22</v>
      </c>
      <c r="O24" s="8" t="s">
        <v>56</v>
      </c>
    </row>
    <row r="25">
      <c r="B25" s="28"/>
      <c r="C25" s="28"/>
      <c r="D25" s="27"/>
      <c r="E25" s="10"/>
      <c r="F25" s="10"/>
      <c r="I25" s="10"/>
      <c r="J25" s="27"/>
      <c r="K25" s="27"/>
    </row>
    <row r="26">
      <c r="B26" s="28"/>
      <c r="C26" s="28"/>
      <c r="D26" s="27"/>
      <c r="E26" s="10"/>
      <c r="F26" s="10"/>
      <c r="I26" s="10"/>
      <c r="J26" s="27"/>
      <c r="K26" s="27"/>
    </row>
    <row r="27">
      <c r="B27" s="28"/>
      <c r="C27" s="28"/>
      <c r="D27" s="27"/>
      <c r="E27" s="10"/>
      <c r="F27" s="10"/>
      <c r="I27" s="10"/>
      <c r="J27" s="27"/>
      <c r="K27" s="27"/>
    </row>
    <row r="28">
      <c r="B28" s="28"/>
      <c r="C28" s="28"/>
      <c r="D28" s="27"/>
      <c r="E28" s="10"/>
      <c r="F28" s="10"/>
      <c r="I28" s="10"/>
      <c r="J28" s="27"/>
      <c r="K28" s="27"/>
    </row>
    <row r="29">
      <c r="B29" s="28"/>
      <c r="C29" s="28"/>
      <c r="D29" s="27"/>
      <c r="E29" s="10"/>
      <c r="F29" s="10"/>
      <c r="I29" s="10"/>
      <c r="J29" s="27"/>
      <c r="K29" s="27"/>
    </row>
    <row r="30">
      <c r="B30" s="28"/>
      <c r="C30" s="28"/>
      <c r="D30" s="27"/>
      <c r="E30" s="10"/>
      <c r="F30" s="10"/>
      <c r="I30" s="10"/>
      <c r="J30" s="27"/>
      <c r="K30" s="27"/>
    </row>
    <row r="31">
      <c r="B31" s="28"/>
      <c r="C31" s="28"/>
      <c r="D31" s="27"/>
      <c r="E31" s="10"/>
      <c r="F31" s="10"/>
      <c r="I31" s="10"/>
      <c r="J31" s="27"/>
      <c r="K31" s="27"/>
    </row>
    <row r="32">
      <c r="B32" s="28"/>
      <c r="C32" s="28"/>
      <c r="D32" s="27"/>
      <c r="E32" s="10"/>
      <c r="F32" s="10"/>
      <c r="I32" s="10"/>
      <c r="J32" s="27"/>
      <c r="K32" s="27"/>
    </row>
    <row r="33">
      <c r="B33" s="28"/>
      <c r="C33" s="28"/>
      <c r="D33" s="27"/>
      <c r="E33" s="10"/>
      <c r="F33" s="10"/>
      <c r="I33" s="10"/>
      <c r="J33" s="27"/>
      <c r="K33" s="27"/>
    </row>
    <row r="34">
      <c r="B34" s="28"/>
      <c r="C34" s="28"/>
      <c r="D34" s="27"/>
      <c r="E34" s="10"/>
      <c r="F34" s="10"/>
      <c r="I34" s="10"/>
      <c r="J34" s="27"/>
      <c r="K34" s="27"/>
    </row>
    <row r="35">
      <c r="B35" s="28"/>
      <c r="C35" s="28"/>
      <c r="D35" s="27"/>
      <c r="E35" s="10"/>
      <c r="F35" s="10"/>
      <c r="I35" s="10"/>
      <c r="J35" s="27"/>
      <c r="K35" s="27"/>
    </row>
    <row r="36">
      <c r="B36" s="28"/>
      <c r="C36" s="28"/>
      <c r="D36" s="27"/>
      <c r="E36" s="10"/>
      <c r="F36" s="10"/>
      <c r="I36" s="10"/>
      <c r="J36" s="27"/>
      <c r="K36" s="27"/>
    </row>
    <row r="37">
      <c r="B37" s="28"/>
      <c r="C37" s="28"/>
      <c r="D37" s="27"/>
      <c r="E37" s="10"/>
      <c r="F37" s="10"/>
      <c r="I37" s="10"/>
      <c r="J37" s="27"/>
      <c r="K37" s="27"/>
    </row>
    <row r="38">
      <c r="B38" s="28"/>
      <c r="C38" s="28"/>
      <c r="D38" s="27"/>
      <c r="E38" s="10"/>
      <c r="F38" s="10"/>
      <c r="I38" s="10"/>
      <c r="J38" s="27"/>
      <c r="K38" s="27"/>
    </row>
    <row r="39">
      <c r="B39" s="28"/>
      <c r="C39" s="28"/>
      <c r="D39" s="27"/>
      <c r="E39" s="10"/>
      <c r="F39" s="10"/>
      <c r="I39" s="10"/>
      <c r="J39" s="27"/>
      <c r="K39" s="27"/>
    </row>
    <row r="40">
      <c r="B40" s="28"/>
      <c r="C40" s="28"/>
      <c r="D40" s="27"/>
      <c r="E40" s="10"/>
      <c r="F40" s="10"/>
      <c r="I40" s="10"/>
      <c r="J40" s="27"/>
      <c r="K40" s="27"/>
    </row>
    <row r="41">
      <c r="B41" s="28"/>
      <c r="C41" s="28"/>
      <c r="D41" s="27"/>
      <c r="E41" s="10"/>
      <c r="F41" s="10"/>
      <c r="I41" s="10"/>
      <c r="J41" s="27"/>
      <c r="K41" s="27"/>
    </row>
    <row r="42">
      <c r="B42" s="28"/>
      <c r="C42" s="28"/>
      <c r="D42" s="27"/>
      <c r="E42" s="10"/>
      <c r="F42" s="10"/>
      <c r="I42" s="10"/>
      <c r="J42" s="27"/>
      <c r="K42" s="27"/>
    </row>
    <row r="43">
      <c r="B43" s="28"/>
      <c r="C43" s="28"/>
      <c r="D43" s="27"/>
      <c r="E43" s="10"/>
      <c r="F43" s="10"/>
      <c r="I43" s="10"/>
      <c r="J43" s="27"/>
      <c r="K43" s="27"/>
    </row>
    <row r="44">
      <c r="B44" s="28"/>
      <c r="C44" s="28"/>
      <c r="D44" s="27"/>
      <c r="E44" s="10"/>
      <c r="F44" s="10"/>
      <c r="I44" s="10"/>
      <c r="J44" s="27"/>
      <c r="K44" s="27"/>
    </row>
    <row r="45">
      <c r="B45" s="28"/>
      <c r="C45" s="28"/>
      <c r="D45" s="27"/>
      <c r="E45" s="10"/>
      <c r="F45" s="10"/>
      <c r="I45" s="10"/>
      <c r="J45" s="27"/>
      <c r="K45" s="27"/>
    </row>
    <row r="46">
      <c r="B46" s="28"/>
      <c r="C46" s="28"/>
      <c r="D46" s="27"/>
      <c r="E46" s="10"/>
      <c r="F46" s="10"/>
      <c r="I46" s="10"/>
      <c r="J46" s="27"/>
      <c r="K46" s="27"/>
    </row>
    <row r="47">
      <c r="B47" s="28"/>
      <c r="C47" s="28"/>
      <c r="D47" s="27"/>
      <c r="E47" s="10"/>
      <c r="F47" s="10"/>
      <c r="I47" s="10"/>
      <c r="J47" s="27"/>
      <c r="K47" s="27"/>
    </row>
    <row r="48">
      <c r="B48" s="28"/>
      <c r="C48" s="28"/>
      <c r="D48" s="27"/>
      <c r="E48" s="10"/>
      <c r="F48" s="10"/>
      <c r="I48" s="10"/>
      <c r="J48" s="27"/>
      <c r="K48" s="27"/>
    </row>
    <row r="49">
      <c r="B49" s="28"/>
      <c r="C49" s="28"/>
      <c r="D49" s="27"/>
      <c r="E49" s="10"/>
      <c r="F49" s="10"/>
      <c r="I49" s="10"/>
      <c r="J49" s="27"/>
      <c r="K49" s="27"/>
    </row>
    <row r="50">
      <c r="B50" s="28"/>
      <c r="C50" s="28"/>
      <c r="D50" s="27"/>
      <c r="E50" s="10"/>
      <c r="F50" s="10"/>
      <c r="I50" s="10"/>
      <c r="J50" s="27"/>
      <c r="K50" s="27"/>
    </row>
    <row r="51">
      <c r="B51" s="28"/>
      <c r="C51" s="28"/>
      <c r="D51" s="27"/>
      <c r="E51" s="10"/>
      <c r="F51" s="10"/>
      <c r="I51" s="10"/>
      <c r="J51" s="27"/>
      <c r="K51" s="27"/>
    </row>
    <row r="52">
      <c r="B52" s="28"/>
      <c r="C52" s="28"/>
      <c r="D52" s="27"/>
      <c r="E52" s="10"/>
      <c r="F52" s="10"/>
      <c r="I52" s="10"/>
      <c r="J52" s="27"/>
      <c r="K52" s="27"/>
    </row>
    <row r="53">
      <c r="B53" s="28"/>
      <c r="C53" s="28"/>
      <c r="D53" s="27"/>
      <c r="E53" s="10"/>
      <c r="F53" s="10"/>
      <c r="I53" s="10"/>
      <c r="J53" s="27"/>
      <c r="K53" s="27"/>
    </row>
    <row r="54">
      <c r="B54" s="28"/>
      <c r="C54" s="28"/>
      <c r="D54" s="27"/>
      <c r="E54" s="10"/>
      <c r="F54" s="10"/>
      <c r="I54" s="10"/>
      <c r="J54" s="27"/>
      <c r="K54" s="27"/>
    </row>
    <row r="55">
      <c r="B55" s="28"/>
      <c r="C55" s="28"/>
      <c r="D55" s="27"/>
      <c r="E55" s="10"/>
      <c r="F55" s="10"/>
      <c r="I55" s="10"/>
      <c r="J55" s="27"/>
      <c r="K55" s="27"/>
    </row>
    <row r="56">
      <c r="B56" s="28"/>
      <c r="C56" s="28"/>
      <c r="D56" s="27"/>
      <c r="E56" s="10"/>
      <c r="F56" s="10"/>
      <c r="I56" s="10"/>
      <c r="J56" s="27"/>
      <c r="K56" s="27"/>
    </row>
    <row r="57">
      <c r="B57" s="28"/>
      <c r="C57" s="28"/>
      <c r="D57" s="27"/>
      <c r="E57" s="10"/>
      <c r="F57" s="10"/>
      <c r="I57" s="10"/>
      <c r="J57" s="27"/>
      <c r="K57" s="27"/>
    </row>
    <row r="58">
      <c r="B58" s="28"/>
      <c r="C58" s="28"/>
      <c r="D58" s="27"/>
      <c r="E58" s="10"/>
      <c r="F58" s="10"/>
      <c r="I58" s="10"/>
      <c r="J58" s="27"/>
      <c r="K58" s="27"/>
    </row>
    <row r="59">
      <c r="B59" s="28"/>
      <c r="C59" s="28"/>
      <c r="D59" s="27"/>
      <c r="E59" s="10"/>
      <c r="F59" s="10"/>
      <c r="I59" s="10"/>
      <c r="J59" s="27"/>
      <c r="K59" s="27"/>
    </row>
    <row r="60">
      <c r="B60" s="28"/>
      <c r="C60" s="28"/>
      <c r="D60" s="27"/>
      <c r="E60" s="10"/>
      <c r="F60" s="10"/>
      <c r="I60" s="10"/>
      <c r="J60" s="27"/>
      <c r="K60" s="27"/>
    </row>
    <row r="61">
      <c r="B61" s="28"/>
      <c r="C61" s="28"/>
      <c r="D61" s="27"/>
      <c r="E61" s="10"/>
      <c r="F61" s="10"/>
      <c r="I61" s="10"/>
      <c r="J61" s="27"/>
      <c r="K61" s="27"/>
    </row>
    <row r="62">
      <c r="B62" s="28"/>
      <c r="C62" s="28"/>
      <c r="D62" s="27"/>
      <c r="E62" s="10"/>
      <c r="F62" s="10"/>
      <c r="I62" s="10"/>
      <c r="J62" s="27"/>
      <c r="K62" s="27"/>
    </row>
    <row r="63">
      <c r="B63" s="28"/>
      <c r="C63" s="28"/>
      <c r="D63" s="27"/>
      <c r="E63" s="10"/>
      <c r="F63" s="10"/>
      <c r="I63" s="10"/>
      <c r="J63" s="27"/>
      <c r="K63" s="27"/>
    </row>
    <row r="64">
      <c r="B64" s="28"/>
      <c r="C64" s="28"/>
      <c r="D64" s="27"/>
      <c r="E64" s="10"/>
      <c r="F64" s="10"/>
      <c r="I64" s="10"/>
      <c r="J64" s="27"/>
      <c r="K64" s="27"/>
    </row>
    <row r="65">
      <c r="B65" s="28"/>
      <c r="C65" s="28"/>
      <c r="D65" s="27"/>
      <c r="E65" s="10"/>
      <c r="F65" s="10"/>
      <c r="I65" s="10"/>
      <c r="J65" s="27"/>
      <c r="K65" s="27"/>
    </row>
    <row r="66">
      <c r="B66" s="28"/>
      <c r="C66" s="28"/>
      <c r="D66" s="27"/>
      <c r="E66" s="10"/>
      <c r="F66" s="10"/>
      <c r="I66" s="10"/>
      <c r="J66" s="27"/>
      <c r="K66" s="27"/>
    </row>
    <row r="67">
      <c r="B67" s="28"/>
      <c r="C67" s="28"/>
      <c r="D67" s="27"/>
      <c r="E67" s="10"/>
      <c r="F67" s="10"/>
      <c r="I67" s="10"/>
      <c r="J67" s="27"/>
      <c r="K67" s="27"/>
    </row>
    <row r="68">
      <c r="B68" s="28"/>
      <c r="C68" s="28"/>
      <c r="D68" s="27"/>
      <c r="E68" s="10"/>
      <c r="F68" s="10"/>
      <c r="I68" s="10"/>
      <c r="J68" s="27"/>
      <c r="K68" s="27"/>
    </row>
    <row r="69">
      <c r="B69" s="28"/>
      <c r="C69" s="28"/>
      <c r="D69" s="27"/>
      <c r="E69" s="10"/>
      <c r="F69" s="10"/>
      <c r="G69" s="29"/>
      <c r="H69" s="29"/>
      <c r="I69" s="10"/>
      <c r="J69" s="27"/>
      <c r="K69" s="27"/>
      <c r="L69" s="29"/>
    </row>
    <row r="70">
      <c r="B70" s="28"/>
      <c r="C70" s="28"/>
      <c r="D70" s="27"/>
      <c r="E70" s="10"/>
      <c r="F70" s="10"/>
      <c r="I70" s="10"/>
      <c r="J70" s="27"/>
      <c r="K70" s="27"/>
    </row>
    <row r="71">
      <c r="B71" s="28"/>
      <c r="C71" s="28"/>
      <c r="D71" s="27"/>
      <c r="E71" s="10"/>
      <c r="F71" s="10"/>
      <c r="I71" s="10"/>
      <c r="J71" s="27"/>
      <c r="K71" s="27"/>
    </row>
    <row r="72">
      <c r="B72" s="28"/>
      <c r="C72" s="28"/>
      <c r="D72" s="27"/>
      <c r="E72" s="10"/>
      <c r="F72" s="10"/>
      <c r="I72" s="10"/>
      <c r="J72" s="27"/>
      <c r="K72" s="27"/>
    </row>
    <row r="73">
      <c r="B73" s="28"/>
      <c r="C73" s="28"/>
      <c r="D73" s="27"/>
      <c r="E73" s="10"/>
      <c r="F73" s="10"/>
      <c r="I73" s="10"/>
      <c r="J73" s="27"/>
      <c r="K73" s="27"/>
    </row>
    <row r="74">
      <c r="B74" s="28"/>
      <c r="C74" s="28"/>
      <c r="D74" s="27"/>
      <c r="E74" s="10"/>
      <c r="F74" s="10"/>
      <c r="G74" s="29"/>
      <c r="H74" s="29"/>
      <c r="I74" s="10"/>
      <c r="J74" s="27"/>
      <c r="K74" s="27"/>
      <c r="L74" s="29"/>
    </row>
    <row r="75">
      <c r="B75" s="28"/>
      <c r="C75" s="28"/>
      <c r="D75" s="27"/>
      <c r="E75" s="10"/>
      <c r="F75" s="10"/>
      <c r="I75" s="10"/>
      <c r="J75" s="27"/>
      <c r="K75" s="27"/>
    </row>
    <row r="76">
      <c r="B76" s="28"/>
      <c r="C76" s="28"/>
      <c r="D76" s="27"/>
      <c r="E76" s="10"/>
      <c r="F76" s="10"/>
      <c r="I76" s="10"/>
      <c r="J76" s="27"/>
      <c r="K76" s="27"/>
    </row>
    <row r="77">
      <c r="B77" s="28"/>
      <c r="C77" s="28"/>
      <c r="D77" s="27"/>
      <c r="E77" s="10"/>
      <c r="F77" s="10"/>
      <c r="I77" s="10"/>
      <c r="J77" s="27"/>
      <c r="K77" s="27"/>
    </row>
    <row r="78">
      <c r="B78" s="28"/>
      <c r="C78" s="28"/>
      <c r="D78" s="27"/>
      <c r="E78" s="10"/>
      <c r="F78" s="10"/>
      <c r="I78" s="10"/>
      <c r="J78" s="27"/>
      <c r="K78" s="27"/>
    </row>
    <row r="79">
      <c r="B79" s="28"/>
      <c r="C79" s="28"/>
      <c r="D79" s="27"/>
      <c r="E79" s="10"/>
      <c r="F79" s="10"/>
      <c r="I79" s="10"/>
      <c r="J79" s="27"/>
      <c r="K79" s="27"/>
    </row>
    <row r="80">
      <c r="B80" s="28"/>
      <c r="C80" s="28"/>
      <c r="D80" s="27"/>
      <c r="J80" s="27"/>
      <c r="K80" s="27"/>
    </row>
    <row r="81">
      <c r="B81" s="28"/>
      <c r="C81" s="28"/>
      <c r="D81" s="27"/>
      <c r="J81" s="27"/>
      <c r="K81" s="27"/>
    </row>
    <row r="82">
      <c r="B82" s="28"/>
      <c r="C82" s="28"/>
      <c r="D82" s="27"/>
      <c r="J82" s="27"/>
      <c r="K82" s="27"/>
    </row>
    <row r="83">
      <c r="B83" s="28"/>
      <c r="C83" s="28"/>
      <c r="D83" s="27"/>
      <c r="J83" s="27"/>
      <c r="K83" s="27"/>
    </row>
    <row r="84">
      <c r="B84" s="28"/>
      <c r="C84" s="28"/>
      <c r="D84" s="27"/>
      <c r="J84" s="27"/>
      <c r="K84" s="27"/>
    </row>
    <row r="85">
      <c r="B85" s="28"/>
      <c r="C85" s="28"/>
      <c r="D85" s="27"/>
      <c r="J85" s="27"/>
      <c r="K85" s="27"/>
    </row>
    <row r="86">
      <c r="B86" s="28"/>
      <c r="C86" s="28"/>
      <c r="D86" s="27"/>
      <c r="J86" s="27"/>
      <c r="K86" s="27"/>
    </row>
    <row r="87">
      <c r="B87" s="28"/>
      <c r="C87" s="28"/>
      <c r="D87" s="27"/>
      <c r="J87" s="27"/>
      <c r="K87" s="27"/>
    </row>
    <row r="88">
      <c r="B88" s="28"/>
      <c r="C88" s="28"/>
      <c r="D88" s="27"/>
      <c r="J88" s="27"/>
      <c r="K88" s="27"/>
    </row>
    <row r="89">
      <c r="B89" s="28"/>
      <c r="C89" s="28"/>
      <c r="D89" s="27"/>
      <c r="J89" s="27"/>
      <c r="K89" s="27"/>
    </row>
    <row r="90">
      <c r="B90" s="28"/>
      <c r="C90" s="28"/>
      <c r="D90" s="27"/>
      <c r="J90" s="27"/>
      <c r="K90" s="27"/>
    </row>
    <row r="91">
      <c r="B91" s="28"/>
      <c r="C91" s="28"/>
      <c r="D91" s="27"/>
      <c r="J91" s="27"/>
      <c r="K91" s="27"/>
    </row>
    <row r="92">
      <c r="B92" s="28"/>
      <c r="C92" s="28"/>
      <c r="D92" s="27"/>
      <c r="J92" s="27"/>
      <c r="K92" s="27"/>
    </row>
    <row r="93">
      <c r="B93" s="28"/>
      <c r="C93" s="28"/>
      <c r="D93" s="27"/>
      <c r="J93" s="27"/>
      <c r="K93" s="27"/>
    </row>
    <row r="94">
      <c r="B94" s="28"/>
      <c r="C94" s="28"/>
      <c r="D94" s="27"/>
      <c r="J94" s="27"/>
      <c r="K94" s="27"/>
    </row>
    <row r="95">
      <c r="B95" s="28"/>
      <c r="C95" s="28"/>
      <c r="D95" s="27"/>
      <c r="J95" s="27"/>
      <c r="K95" s="27"/>
    </row>
    <row r="96">
      <c r="B96" s="28"/>
      <c r="C96" s="28"/>
      <c r="D96" s="27"/>
      <c r="J96" s="27"/>
      <c r="K96" s="27"/>
    </row>
    <row r="97">
      <c r="B97" s="28"/>
      <c r="C97" s="28"/>
      <c r="D97" s="27"/>
      <c r="J97" s="27"/>
      <c r="K97" s="27"/>
    </row>
    <row r="98">
      <c r="B98" s="28"/>
      <c r="C98" s="28"/>
      <c r="D98" s="27"/>
      <c r="J98" s="27"/>
      <c r="K98" s="27"/>
    </row>
    <row r="99">
      <c r="B99" s="28"/>
      <c r="C99" s="28"/>
      <c r="D99" s="27"/>
      <c r="J99" s="27"/>
      <c r="K99" s="27"/>
    </row>
    <row r="100">
      <c r="B100" s="28"/>
      <c r="C100" s="28"/>
      <c r="D100" s="27"/>
      <c r="J100" s="27"/>
      <c r="K100" s="27"/>
    </row>
    <row r="101">
      <c r="B101" s="28"/>
      <c r="C101" s="28"/>
      <c r="D101" s="27"/>
      <c r="J101" s="27"/>
      <c r="K101" s="27"/>
    </row>
    <row r="102">
      <c r="B102" s="28"/>
      <c r="C102" s="28"/>
      <c r="D102" s="27"/>
      <c r="J102" s="27"/>
      <c r="K102" s="27"/>
    </row>
    <row r="103">
      <c r="B103" s="28"/>
      <c r="C103" s="28"/>
      <c r="D103" s="27"/>
      <c r="J103" s="27"/>
      <c r="K103" s="27"/>
    </row>
    <row r="104">
      <c r="B104" s="28"/>
      <c r="C104" s="28"/>
      <c r="D104" s="27"/>
      <c r="J104" s="27"/>
      <c r="K104" s="27"/>
    </row>
    <row r="105">
      <c r="B105" s="28"/>
      <c r="C105" s="28"/>
      <c r="D105" s="27"/>
      <c r="J105" s="27"/>
      <c r="K105" s="27"/>
    </row>
    <row r="106">
      <c r="B106" s="28"/>
      <c r="C106" s="28"/>
      <c r="D106" s="27"/>
      <c r="J106" s="27"/>
      <c r="K106" s="27"/>
    </row>
    <row r="107">
      <c r="B107" s="28"/>
      <c r="C107" s="28"/>
      <c r="D107" s="27"/>
      <c r="J107" s="27"/>
      <c r="K107" s="27"/>
    </row>
    <row r="108">
      <c r="B108" s="28"/>
      <c r="C108" s="28"/>
      <c r="D108" s="27"/>
      <c r="J108" s="27"/>
      <c r="K108" s="27"/>
    </row>
    <row r="109">
      <c r="B109" s="28"/>
      <c r="C109" s="28"/>
      <c r="D109" s="27"/>
      <c r="J109" s="27"/>
      <c r="K109" s="27"/>
    </row>
    <row r="110">
      <c r="B110" s="28"/>
      <c r="C110" s="28"/>
      <c r="D110" s="27"/>
      <c r="J110" s="27"/>
      <c r="K110" s="27"/>
    </row>
    <row r="111">
      <c r="B111" s="28"/>
      <c r="C111" s="28"/>
      <c r="D111" s="27"/>
      <c r="J111" s="27"/>
      <c r="K111" s="27"/>
    </row>
    <row r="112">
      <c r="B112" s="28"/>
      <c r="C112" s="28"/>
      <c r="D112" s="27"/>
      <c r="J112" s="27"/>
      <c r="K112" s="27"/>
    </row>
    <row r="113">
      <c r="B113" s="28"/>
      <c r="C113" s="28"/>
      <c r="D113" s="27"/>
      <c r="J113" s="27"/>
      <c r="K113" s="27"/>
    </row>
    <row r="114">
      <c r="B114" s="28"/>
      <c r="C114" s="28"/>
      <c r="D114" s="27"/>
      <c r="J114" s="27"/>
      <c r="K114" s="27"/>
    </row>
    <row r="115">
      <c r="B115" s="28"/>
      <c r="C115" s="28"/>
      <c r="D115" s="27"/>
      <c r="J115" s="27"/>
      <c r="K115" s="27"/>
    </row>
    <row r="116">
      <c r="B116" s="28"/>
      <c r="C116" s="28"/>
      <c r="D116" s="27"/>
      <c r="J116" s="27"/>
      <c r="K116" s="27"/>
    </row>
    <row r="117">
      <c r="B117" s="28"/>
      <c r="C117" s="28"/>
      <c r="D117" s="27"/>
      <c r="J117" s="27"/>
      <c r="K117" s="27"/>
    </row>
    <row r="118">
      <c r="B118" s="28"/>
      <c r="C118" s="28"/>
      <c r="D118" s="27"/>
      <c r="J118" s="27"/>
      <c r="K118" s="27"/>
    </row>
    <row r="119">
      <c r="B119" s="28"/>
      <c r="C119" s="28"/>
      <c r="D119" s="27"/>
      <c r="J119" s="27"/>
      <c r="K119" s="27"/>
    </row>
    <row r="120">
      <c r="B120" s="28"/>
      <c r="C120" s="28"/>
      <c r="D120" s="27"/>
      <c r="J120" s="27"/>
      <c r="K120" s="27"/>
    </row>
    <row r="121">
      <c r="B121" s="28"/>
      <c r="C121" s="28"/>
      <c r="D121" s="27"/>
      <c r="J121" s="27"/>
      <c r="K121" s="27"/>
    </row>
    <row r="122">
      <c r="B122" s="28"/>
      <c r="C122" s="28"/>
      <c r="D122" s="27"/>
      <c r="J122" s="27"/>
      <c r="K122" s="27"/>
    </row>
    <row r="123">
      <c r="B123" s="28"/>
      <c r="C123" s="28"/>
      <c r="D123" s="27"/>
      <c r="J123" s="27"/>
      <c r="K123" s="27"/>
    </row>
    <row r="124">
      <c r="B124" s="28"/>
      <c r="C124" s="28"/>
      <c r="D124" s="27"/>
      <c r="J124" s="27"/>
      <c r="K124" s="27"/>
    </row>
    <row r="125">
      <c r="B125" s="28"/>
      <c r="C125" s="28"/>
      <c r="D125" s="27"/>
      <c r="J125" s="27"/>
      <c r="K125" s="27"/>
    </row>
    <row r="126">
      <c r="B126" s="28"/>
      <c r="C126" s="28"/>
      <c r="D126" s="27"/>
      <c r="J126" s="27"/>
      <c r="K126" s="27"/>
    </row>
    <row r="127">
      <c r="B127" s="28"/>
      <c r="C127" s="28"/>
      <c r="D127" s="27"/>
      <c r="J127" s="27"/>
      <c r="K127" s="27"/>
    </row>
    <row r="128">
      <c r="B128" s="28"/>
      <c r="C128" s="28"/>
      <c r="D128" s="27"/>
      <c r="J128" s="27"/>
      <c r="K128" s="27"/>
    </row>
    <row r="129">
      <c r="B129" s="28"/>
      <c r="C129" s="28"/>
      <c r="D129" s="27"/>
      <c r="J129" s="27"/>
      <c r="K129" s="27"/>
    </row>
    <row r="130">
      <c r="B130" s="28"/>
      <c r="C130" s="28"/>
      <c r="D130" s="27"/>
      <c r="J130" s="27"/>
      <c r="K130" s="27"/>
    </row>
    <row r="131">
      <c r="B131" s="28"/>
      <c r="C131" s="28"/>
      <c r="D131" s="27"/>
      <c r="J131" s="27"/>
      <c r="K131" s="27"/>
    </row>
    <row r="132">
      <c r="B132" s="28"/>
      <c r="C132" s="28"/>
      <c r="D132" s="27"/>
      <c r="J132" s="27"/>
      <c r="K132" s="27"/>
    </row>
    <row r="133">
      <c r="B133" s="28"/>
      <c r="C133" s="28"/>
      <c r="D133" s="27"/>
      <c r="J133" s="27"/>
      <c r="K133" s="27"/>
    </row>
    <row r="134">
      <c r="B134" s="28"/>
      <c r="C134" s="28"/>
      <c r="D134" s="27"/>
      <c r="J134" s="27"/>
      <c r="K134" s="27"/>
    </row>
    <row r="135">
      <c r="B135" s="28"/>
      <c r="C135" s="28"/>
      <c r="D135" s="27"/>
      <c r="J135" s="27"/>
      <c r="K135" s="27"/>
    </row>
    <row r="136">
      <c r="B136" s="28"/>
      <c r="C136" s="28"/>
      <c r="D136" s="27"/>
      <c r="J136" s="27"/>
      <c r="K136" s="27"/>
    </row>
    <row r="137">
      <c r="B137" s="28"/>
      <c r="C137" s="28"/>
      <c r="D137" s="27"/>
      <c r="J137" s="27"/>
      <c r="K137" s="27"/>
    </row>
    <row r="138">
      <c r="B138" s="28"/>
      <c r="C138" s="28"/>
      <c r="D138" s="27"/>
      <c r="J138" s="27"/>
      <c r="K138" s="27"/>
    </row>
    <row r="139">
      <c r="B139" s="28"/>
      <c r="C139" s="28"/>
      <c r="D139" s="27"/>
      <c r="J139" s="27"/>
      <c r="K139" s="27"/>
    </row>
    <row r="140">
      <c r="B140" s="28"/>
      <c r="C140" s="28"/>
      <c r="D140" s="27"/>
      <c r="J140" s="27"/>
      <c r="K140" s="27"/>
    </row>
    <row r="141">
      <c r="B141" s="28"/>
      <c r="C141" s="28"/>
      <c r="D141" s="27"/>
      <c r="J141" s="27"/>
      <c r="K141" s="27"/>
    </row>
    <row r="142">
      <c r="B142" s="28"/>
      <c r="C142" s="28"/>
      <c r="D142" s="27"/>
      <c r="J142" s="27"/>
      <c r="K142" s="27"/>
    </row>
    <row r="143">
      <c r="B143" s="28"/>
      <c r="C143" s="28"/>
      <c r="D143" s="27"/>
      <c r="J143" s="27"/>
      <c r="K143" s="27"/>
    </row>
    <row r="144">
      <c r="B144" s="28"/>
      <c r="C144" s="28"/>
      <c r="D144" s="27"/>
      <c r="J144" s="27"/>
      <c r="K144" s="27"/>
    </row>
    <row r="145">
      <c r="B145" s="28"/>
      <c r="C145" s="28"/>
      <c r="D145" s="27"/>
      <c r="J145" s="27"/>
      <c r="K145" s="27"/>
    </row>
    <row r="146">
      <c r="B146" s="28"/>
      <c r="C146" s="28"/>
      <c r="D146" s="27"/>
      <c r="J146" s="27"/>
      <c r="K146" s="27"/>
    </row>
    <row r="147">
      <c r="B147" s="28"/>
      <c r="C147" s="28"/>
      <c r="D147" s="27"/>
      <c r="J147" s="27"/>
      <c r="K147" s="27"/>
    </row>
    <row r="148">
      <c r="B148" s="28"/>
      <c r="C148" s="28"/>
      <c r="D148" s="27"/>
      <c r="J148" s="27"/>
      <c r="K148" s="27"/>
    </row>
    <row r="149">
      <c r="B149" s="28"/>
      <c r="C149" s="28"/>
      <c r="D149" s="27"/>
      <c r="J149" s="27"/>
      <c r="K149" s="27"/>
    </row>
    <row r="150">
      <c r="B150" s="28"/>
      <c r="C150" s="28"/>
      <c r="D150" s="27"/>
      <c r="J150" s="27"/>
      <c r="K150" s="27"/>
    </row>
    <row r="151">
      <c r="B151" s="28"/>
      <c r="C151" s="28"/>
      <c r="D151" s="27"/>
      <c r="J151" s="27"/>
      <c r="K151" s="27"/>
    </row>
    <row r="152">
      <c r="B152" s="28"/>
      <c r="C152" s="28"/>
      <c r="D152" s="27"/>
      <c r="J152" s="27"/>
      <c r="K152" s="27"/>
    </row>
    <row r="153">
      <c r="B153" s="28"/>
      <c r="C153" s="28"/>
      <c r="D153" s="27"/>
      <c r="J153" s="27"/>
      <c r="K153" s="27"/>
    </row>
    <row r="154">
      <c r="B154" s="28"/>
      <c r="C154" s="28"/>
      <c r="D154" s="27"/>
      <c r="J154" s="27"/>
      <c r="K154" s="27"/>
    </row>
    <row r="155">
      <c r="B155" s="28"/>
      <c r="C155" s="28"/>
      <c r="D155" s="27"/>
      <c r="J155" s="27"/>
      <c r="K155" s="27"/>
    </row>
    <row r="156">
      <c r="B156" s="28"/>
      <c r="C156" s="28"/>
      <c r="D156" s="27"/>
      <c r="J156" s="27"/>
      <c r="K156" s="27"/>
    </row>
    <row r="157">
      <c r="B157" s="28"/>
      <c r="C157" s="28"/>
      <c r="D157" s="27"/>
      <c r="J157" s="27"/>
      <c r="K157" s="27"/>
    </row>
    <row r="158">
      <c r="B158" s="28"/>
      <c r="C158" s="28"/>
      <c r="D158" s="27"/>
      <c r="J158" s="27"/>
      <c r="K158" s="27"/>
    </row>
    <row r="159">
      <c r="B159" s="28"/>
      <c r="C159" s="28"/>
      <c r="D159" s="27"/>
      <c r="J159" s="27"/>
      <c r="K159" s="27"/>
    </row>
    <row r="160">
      <c r="B160" s="28"/>
      <c r="C160" s="28"/>
      <c r="D160" s="27"/>
      <c r="J160" s="27"/>
      <c r="K160" s="27"/>
    </row>
    <row r="161">
      <c r="B161" s="28"/>
      <c r="C161" s="28"/>
      <c r="D161" s="27"/>
      <c r="J161" s="27"/>
      <c r="K161" s="27"/>
    </row>
    <row r="162">
      <c r="B162" s="28"/>
      <c r="C162" s="28"/>
      <c r="D162" s="27"/>
      <c r="J162" s="27"/>
      <c r="K162" s="27"/>
    </row>
    <row r="163">
      <c r="B163" s="28"/>
      <c r="C163" s="28"/>
      <c r="D163" s="27"/>
      <c r="J163" s="27"/>
      <c r="K163" s="27"/>
    </row>
    <row r="164">
      <c r="B164" s="28"/>
      <c r="C164" s="28"/>
      <c r="D164" s="27"/>
      <c r="J164" s="27"/>
      <c r="K164" s="27"/>
    </row>
    <row r="165">
      <c r="B165" s="28"/>
      <c r="C165" s="28"/>
      <c r="D165" s="27"/>
      <c r="J165" s="27"/>
      <c r="K165" s="27"/>
    </row>
    <row r="166">
      <c r="B166" s="28"/>
      <c r="C166" s="28"/>
      <c r="D166" s="27"/>
      <c r="J166" s="27"/>
      <c r="K166" s="27"/>
    </row>
    <row r="167">
      <c r="B167" s="28"/>
      <c r="C167" s="28"/>
      <c r="D167" s="27"/>
      <c r="J167" s="27"/>
      <c r="K167" s="27"/>
    </row>
    <row r="168">
      <c r="B168" s="28"/>
      <c r="C168" s="28"/>
      <c r="D168" s="27"/>
      <c r="J168" s="27"/>
      <c r="K168" s="27"/>
    </row>
    <row r="169">
      <c r="B169" s="28"/>
      <c r="C169" s="28"/>
      <c r="D169" s="27"/>
      <c r="J169" s="27"/>
      <c r="K169" s="27"/>
    </row>
    <row r="170">
      <c r="B170" s="28"/>
      <c r="C170" s="28"/>
      <c r="D170" s="27"/>
      <c r="J170" s="27"/>
      <c r="K170" s="27"/>
    </row>
    <row r="171">
      <c r="B171" s="28"/>
      <c r="C171" s="28"/>
      <c r="D171" s="27"/>
      <c r="J171" s="27"/>
      <c r="K171" s="27"/>
    </row>
    <row r="172">
      <c r="B172" s="28"/>
      <c r="C172" s="28"/>
      <c r="D172" s="27"/>
      <c r="J172" s="27"/>
      <c r="K172" s="27"/>
    </row>
    <row r="173">
      <c r="B173" s="28"/>
      <c r="C173" s="28"/>
      <c r="D173" s="27"/>
      <c r="J173" s="27"/>
      <c r="K173" s="27"/>
    </row>
    <row r="174">
      <c r="B174" s="28"/>
      <c r="C174" s="28"/>
      <c r="D174" s="27"/>
      <c r="J174" s="27"/>
      <c r="K174" s="27"/>
    </row>
    <row r="175">
      <c r="B175" s="28"/>
      <c r="C175" s="28"/>
      <c r="D175" s="27"/>
      <c r="J175" s="27"/>
      <c r="K175" s="27"/>
    </row>
    <row r="176">
      <c r="B176" s="28"/>
      <c r="C176" s="28"/>
      <c r="D176" s="27"/>
      <c r="J176" s="27"/>
      <c r="K176" s="27"/>
    </row>
    <row r="177">
      <c r="B177" s="28"/>
      <c r="C177" s="28"/>
      <c r="D177" s="27"/>
      <c r="J177" s="27"/>
      <c r="K177" s="27"/>
    </row>
    <row r="178">
      <c r="B178" s="28"/>
      <c r="C178" s="28"/>
      <c r="D178" s="27"/>
      <c r="J178" s="27"/>
      <c r="K178" s="27"/>
    </row>
    <row r="179">
      <c r="B179" s="28"/>
      <c r="C179" s="28"/>
      <c r="D179" s="27"/>
      <c r="J179" s="27"/>
      <c r="K179" s="27"/>
    </row>
    <row r="180">
      <c r="B180" s="28"/>
      <c r="C180" s="28"/>
      <c r="D180" s="27"/>
      <c r="J180" s="27"/>
      <c r="K180" s="27"/>
    </row>
    <row r="181">
      <c r="B181" s="28"/>
      <c r="C181" s="28"/>
      <c r="D181" s="27"/>
      <c r="J181" s="27"/>
      <c r="K181" s="27"/>
    </row>
    <row r="182">
      <c r="B182" s="28"/>
      <c r="C182" s="28"/>
      <c r="D182" s="27"/>
      <c r="J182" s="27"/>
      <c r="K182" s="27"/>
    </row>
    <row r="183">
      <c r="B183" s="28"/>
      <c r="C183" s="28"/>
      <c r="D183" s="27"/>
      <c r="J183" s="27"/>
      <c r="K183" s="27"/>
    </row>
    <row r="184">
      <c r="B184" s="28"/>
      <c r="C184" s="28"/>
      <c r="D184" s="27"/>
      <c r="J184" s="27"/>
      <c r="K184" s="27"/>
    </row>
    <row r="185">
      <c r="B185" s="28"/>
      <c r="C185" s="28"/>
      <c r="D185" s="27"/>
      <c r="J185" s="27"/>
      <c r="K185" s="27"/>
    </row>
    <row r="186">
      <c r="B186" s="28"/>
      <c r="C186" s="28"/>
      <c r="D186" s="27"/>
      <c r="J186" s="27"/>
      <c r="K186" s="27"/>
    </row>
    <row r="187">
      <c r="B187" s="28"/>
      <c r="C187" s="28"/>
      <c r="D187" s="27"/>
      <c r="J187" s="27"/>
      <c r="K187" s="27"/>
    </row>
    <row r="188">
      <c r="B188" s="28"/>
      <c r="C188" s="28"/>
      <c r="D188" s="27"/>
      <c r="J188" s="27"/>
      <c r="K188" s="27"/>
    </row>
    <row r="189">
      <c r="B189" s="28"/>
      <c r="C189" s="28"/>
      <c r="D189" s="27"/>
      <c r="J189" s="27"/>
      <c r="K189" s="27"/>
    </row>
    <row r="190">
      <c r="B190" s="28"/>
      <c r="C190" s="28"/>
      <c r="D190" s="27"/>
      <c r="J190" s="27"/>
      <c r="K190" s="27"/>
    </row>
    <row r="191">
      <c r="B191" s="28"/>
      <c r="C191" s="28"/>
      <c r="D191" s="27"/>
      <c r="J191" s="27"/>
      <c r="K191" s="27"/>
    </row>
    <row r="192">
      <c r="B192" s="28"/>
      <c r="C192" s="28"/>
      <c r="D192" s="27"/>
      <c r="J192" s="27"/>
      <c r="K192" s="27"/>
    </row>
    <row r="193">
      <c r="B193" s="28"/>
      <c r="C193" s="28"/>
      <c r="D193" s="27"/>
      <c r="J193" s="27"/>
      <c r="K193" s="27"/>
    </row>
    <row r="194">
      <c r="B194" s="28"/>
      <c r="C194" s="28"/>
      <c r="D194" s="27"/>
      <c r="J194" s="27"/>
      <c r="K194" s="27"/>
    </row>
    <row r="195">
      <c r="B195" s="28"/>
      <c r="C195" s="28"/>
      <c r="D195" s="27"/>
      <c r="J195" s="27"/>
      <c r="K195" s="27"/>
    </row>
    <row r="196">
      <c r="B196" s="28"/>
      <c r="C196" s="28"/>
      <c r="D196" s="27"/>
      <c r="J196" s="27"/>
      <c r="K196" s="27"/>
    </row>
    <row r="197">
      <c r="B197" s="28"/>
      <c r="C197" s="28"/>
      <c r="D197" s="27"/>
      <c r="J197" s="27"/>
      <c r="K197" s="27"/>
    </row>
    <row r="198">
      <c r="B198" s="28"/>
      <c r="C198" s="28"/>
      <c r="D198" s="27"/>
      <c r="J198" s="27"/>
      <c r="K198" s="27"/>
    </row>
    <row r="199">
      <c r="B199" s="28"/>
      <c r="C199" s="28"/>
      <c r="D199" s="27"/>
      <c r="J199" s="27"/>
      <c r="K199" s="27"/>
    </row>
    <row r="200">
      <c r="B200" s="28"/>
      <c r="C200" s="28"/>
      <c r="D200" s="27"/>
      <c r="J200" s="27"/>
      <c r="K200" s="27"/>
    </row>
    <row r="201">
      <c r="B201" s="28"/>
      <c r="C201" s="28"/>
      <c r="D201" s="27"/>
      <c r="J201" s="27"/>
      <c r="K201" s="27"/>
    </row>
    <row r="202">
      <c r="B202" s="28"/>
      <c r="C202" s="28"/>
      <c r="D202" s="27"/>
      <c r="J202" s="27"/>
      <c r="K202" s="27"/>
    </row>
    <row r="203">
      <c r="B203" s="28"/>
      <c r="C203" s="28"/>
      <c r="D203" s="27"/>
      <c r="J203" s="27"/>
      <c r="K203" s="27"/>
    </row>
    <row r="204">
      <c r="B204" s="28"/>
      <c r="C204" s="28"/>
      <c r="D204" s="27"/>
      <c r="J204" s="27"/>
      <c r="K204" s="27"/>
    </row>
    <row r="205">
      <c r="B205" s="28"/>
      <c r="C205" s="28"/>
      <c r="D205" s="27"/>
      <c r="J205" s="27"/>
      <c r="K205" s="27"/>
    </row>
    <row r="206">
      <c r="B206" s="28"/>
      <c r="C206" s="28"/>
      <c r="D206" s="27"/>
      <c r="J206" s="27"/>
      <c r="K206" s="27"/>
    </row>
    <row r="207">
      <c r="B207" s="28"/>
      <c r="C207" s="28"/>
      <c r="D207" s="27"/>
      <c r="J207" s="27"/>
      <c r="K207" s="27"/>
    </row>
    <row r="208">
      <c r="B208" s="28"/>
      <c r="C208" s="28"/>
      <c r="D208" s="27"/>
      <c r="J208" s="27"/>
      <c r="K208" s="27"/>
    </row>
    <row r="209">
      <c r="B209" s="28"/>
      <c r="C209" s="28"/>
      <c r="D209" s="27"/>
      <c r="J209" s="27"/>
      <c r="K209" s="27"/>
    </row>
    <row r="210">
      <c r="B210" s="28"/>
      <c r="C210" s="28"/>
      <c r="D210" s="27"/>
      <c r="J210" s="27"/>
      <c r="K210" s="27"/>
    </row>
    <row r="211">
      <c r="B211" s="28"/>
      <c r="C211" s="28"/>
      <c r="D211" s="27"/>
      <c r="J211" s="27"/>
      <c r="K211" s="27"/>
    </row>
    <row r="212">
      <c r="B212" s="28"/>
      <c r="C212" s="28"/>
      <c r="D212" s="27"/>
      <c r="J212" s="27"/>
      <c r="K212" s="27"/>
    </row>
    <row r="213">
      <c r="B213" s="28"/>
      <c r="C213" s="28"/>
      <c r="D213" s="27"/>
      <c r="J213" s="27"/>
      <c r="K213" s="27"/>
    </row>
    <row r="214">
      <c r="B214" s="28"/>
      <c r="C214" s="28"/>
      <c r="D214" s="27"/>
      <c r="J214" s="27"/>
      <c r="K214" s="27"/>
    </row>
    <row r="215">
      <c r="B215" s="28"/>
      <c r="C215" s="28"/>
      <c r="D215" s="27"/>
      <c r="J215" s="27"/>
      <c r="K215" s="27"/>
    </row>
    <row r="216">
      <c r="B216" s="28"/>
      <c r="C216" s="28"/>
      <c r="D216" s="27"/>
      <c r="J216" s="27"/>
      <c r="K216" s="27"/>
    </row>
    <row r="217">
      <c r="B217" s="28"/>
      <c r="C217" s="28"/>
      <c r="D217" s="27"/>
      <c r="J217" s="27"/>
      <c r="K217" s="27"/>
    </row>
    <row r="218">
      <c r="B218" s="28"/>
      <c r="C218" s="28"/>
      <c r="D218" s="27"/>
      <c r="J218" s="27"/>
      <c r="K218" s="27"/>
    </row>
    <row r="219">
      <c r="B219" s="28"/>
      <c r="C219" s="28"/>
      <c r="D219" s="27"/>
      <c r="J219" s="27"/>
      <c r="K219" s="27"/>
    </row>
    <row r="220">
      <c r="B220" s="28"/>
      <c r="C220" s="28"/>
      <c r="D220" s="27"/>
      <c r="J220" s="27"/>
      <c r="K220" s="27"/>
    </row>
    <row r="221">
      <c r="B221" s="28"/>
      <c r="C221" s="28"/>
      <c r="D221" s="27"/>
      <c r="J221" s="27"/>
      <c r="K221" s="27"/>
    </row>
    <row r="222">
      <c r="B222" s="28"/>
      <c r="C222" s="28"/>
      <c r="D222" s="27"/>
      <c r="J222" s="27"/>
      <c r="K222" s="27"/>
    </row>
    <row r="223">
      <c r="B223" s="28"/>
      <c r="C223" s="28"/>
      <c r="D223" s="27"/>
      <c r="J223" s="27"/>
      <c r="K223" s="27"/>
    </row>
    <row r="224">
      <c r="B224" s="28"/>
      <c r="C224" s="28"/>
      <c r="D224" s="27"/>
      <c r="J224" s="27"/>
      <c r="K224" s="27"/>
    </row>
    <row r="225">
      <c r="B225" s="28"/>
      <c r="C225" s="28"/>
      <c r="D225" s="27"/>
      <c r="J225" s="27"/>
      <c r="K225" s="27"/>
    </row>
    <row r="226">
      <c r="B226" s="28"/>
      <c r="C226" s="28"/>
      <c r="D226" s="27"/>
      <c r="J226" s="27"/>
      <c r="K226" s="27"/>
    </row>
    <row r="227">
      <c r="B227" s="28"/>
      <c r="C227" s="28"/>
      <c r="D227" s="27"/>
      <c r="J227" s="27"/>
      <c r="K227" s="27"/>
    </row>
    <row r="228">
      <c r="B228" s="28"/>
      <c r="C228" s="28"/>
      <c r="D228" s="27"/>
      <c r="J228" s="27"/>
      <c r="K228" s="27"/>
    </row>
    <row r="229">
      <c r="B229" s="28"/>
      <c r="C229" s="28"/>
      <c r="D229" s="27"/>
      <c r="J229" s="27"/>
      <c r="K229" s="27"/>
    </row>
    <row r="230">
      <c r="B230" s="28"/>
      <c r="C230" s="28"/>
      <c r="D230" s="27"/>
      <c r="J230" s="27"/>
      <c r="K230" s="27"/>
    </row>
    <row r="231">
      <c r="B231" s="28"/>
      <c r="C231" s="28"/>
      <c r="D231" s="27"/>
      <c r="J231" s="27"/>
      <c r="K231" s="27"/>
    </row>
    <row r="232">
      <c r="B232" s="28"/>
      <c r="C232" s="28"/>
      <c r="D232" s="27"/>
      <c r="J232" s="27"/>
      <c r="K232" s="27"/>
    </row>
    <row r="233">
      <c r="B233" s="28"/>
      <c r="C233" s="28"/>
      <c r="D233" s="27"/>
      <c r="J233" s="27"/>
      <c r="K233" s="27"/>
    </row>
    <row r="234">
      <c r="B234" s="28"/>
      <c r="C234" s="28"/>
      <c r="D234" s="27"/>
      <c r="J234" s="27"/>
      <c r="K234" s="27"/>
    </row>
    <row r="235">
      <c r="B235" s="28"/>
      <c r="C235" s="28"/>
      <c r="D235" s="27"/>
      <c r="J235" s="27"/>
      <c r="K235" s="27"/>
    </row>
    <row r="236">
      <c r="B236" s="28"/>
      <c r="C236" s="28"/>
      <c r="D236" s="27"/>
      <c r="J236" s="27"/>
      <c r="K236" s="27"/>
    </row>
    <row r="237">
      <c r="B237" s="28"/>
      <c r="C237" s="28"/>
      <c r="D237" s="27"/>
      <c r="J237" s="27"/>
      <c r="K237" s="27"/>
    </row>
    <row r="238">
      <c r="B238" s="28"/>
      <c r="C238" s="28"/>
      <c r="D238" s="27"/>
      <c r="J238" s="27"/>
      <c r="K238" s="27"/>
    </row>
    <row r="239">
      <c r="B239" s="28"/>
      <c r="C239" s="28"/>
      <c r="D239" s="27"/>
      <c r="J239" s="27"/>
      <c r="K239" s="27"/>
    </row>
    <row r="240">
      <c r="B240" s="28"/>
      <c r="C240" s="28"/>
      <c r="D240" s="27"/>
      <c r="J240" s="27"/>
      <c r="K240" s="27"/>
    </row>
    <row r="241">
      <c r="B241" s="28"/>
      <c r="C241" s="28"/>
      <c r="D241" s="27"/>
      <c r="J241" s="27"/>
      <c r="K241" s="27"/>
    </row>
    <row r="242">
      <c r="B242" s="28"/>
      <c r="C242" s="28"/>
      <c r="D242" s="27"/>
      <c r="J242" s="27"/>
      <c r="K242" s="27"/>
    </row>
    <row r="243">
      <c r="B243" s="28"/>
      <c r="C243" s="28"/>
      <c r="D243" s="27"/>
      <c r="J243" s="27"/>
      <c r="K243" s="27"/>
    </row>
    <row r="244">
      <c r="B244" s="28"/>
      <c r="C244" s="28"/>
      <c r="D244" s="27"/>
      <c r="J244" s="27"/>
      <c r="K244" s="27"/>
    </row>
    <row r="245">
      <c r="B245" s="28"/>
      <c r="C245" s="28"/>
      <c r="D245" s="27"/>
      <c r="J245" s="27"/>
      <c r="K245" s="27"/>
    </row>
    <row r="246">
      <c r="B246" s="28"/>
      <c r="C246" s="28"/>
      <c r="D246" s="27"/>
      <c r="J246" s="27"/>
      <c r="K246" s="27"/>
    </row>
    <row r="247">
      <c r="B247" s="28"/>
      <c r="C247" s="28"/>
      <c r="D247" s="27"/>
      <c r="J247" s="27"/>
      <c r="K247" s="27"/>
    </row>
    <row r="248">
      <c r="B248" s="28"/>
      <c r="C248" s="28"/>
      <c r="D248" s="27"/>
      <c r="J248" s="27"/>
      <c r="K248" s="27"/>
    </row>
    <row r="249">
      <c r="B249" s="28"/>
      <c r="C249" s="28"/>
      <c r="D249" s="27"/>
      <c r="J249" s="27"/>
      <c r="K249" s="27"/>
    </row>
    <row r="250">
      <c r="B250" s="28"/>
      <c r="C250" s="28"/>
      <c r="D250" s="27"/>
      <c r="J250" s="27"/>
      <c r="K250" s="27"/>
    </row>
    <row r="251">
      <c r="B251" s="28"/>
      <c r="C251" s="28"/>
      <c r="D251" s="27"/>
      <c r="J251" s="27"/>
      <c r="K251" s="27"/>
    </row>
    <row r="252">
      <c r="B252" s="28"/>
      <c r="C252" s="28"/>
      <c r="D252" s="27"/>
      <c r="J252" s="27"/>
      <c r="K252" s="27"/>
    </row>
    <row r="253">
      <c r="B253" s="28"/>
      <c r="C253" s="28"/>
      <c r="D253" s="27"/>
      <c r="J253" s="27"/>
      <c r="K253" s="27"/>
    </row>
    <row r="254">
      <c r="B254" s="28"/>
      <c r="C254" s="28"/>
      <c r="D254" s="27"/>
      <c r="J254" s="27"/>
      <c r="K254" s="27"/>
    </row>
    <row r="255">
      <c r="B255" s="28"/>
      <c r="C255" s="28"/>
      <c r="D255" s="27"/>
      <c r="J255" s="27"/>
      <c r="K255" s="27"/>
    </row>
    <row r="256">
      <c r="B256" s="28"/>
      <c r="C256" s="28"/>
      <c r="D256" s="27"/>
      <c r="J256" s="27"/>
      <c r="K256" s="27"/>
    </row>
    <row r="257">
      <c r="B257" s="28"/>
      <c r="C257" s="28"/>
      <c r="D257" s="27"/>
      <c r="J257" s="27"/>
      <c r="K257" s="27"/>
    </row>
    <row r="258">
      <c r="B258" s="28"/>
      <c r="C258" s="28"/>
      <c r="D258" s="27"/>
      <c r="J258" s="27"/>
      <c r="K258" s="27"/>
    </row>
    <row r="259">
      <c r="B259" s="28"/>
      <c r="C259" s="28"/>
      <c r="D259" s="27"/>
      <c r="J259" s="27"/>
      <c r="K259" s="27"/>
    </row>
    <row r="260">
      <c r="B260" s="28"/>
      <c r="C260" s="28"/>
      <c r="D260" s="27"/>
      <c r="J260" s="27"/>
      <c r="K260" s="27"/>
    </row>
    <row r="261">
      <c r="B261" s="28"/>
      <c r="C261" s="28"/>
      <c r="D261" s="27"/>
      <c r="J261" s="27"/>
      <c r="K261" s="27"/>
    </row>
    <row r="262">
      <c r="B262" s="28"/>
      <c r="C262" s="28"/>
      <c r="D262" s="27"/>
      <c r="J262" s="27"/>
      <c r="K262" s="27"/>
    </row>
    <row r="263">
      <c r="B263" s="28"/>
      <c r="C263" s="28"/>
      <c r="D263" s="27"/>
      <c r="J263" s="27"/>
      <c r="K263" s="27"/>
    </row>
    <row r="264">
      <c r="B264" s="28"/>
      <c r="C264" s="28"/>
      <c r="D264" s="27"/>
      <c r="J264" s="27"/>
      <c r="K264" s="27"/>
    </row>
    <row r="265">
      <c r="B265" s="28"/>
      <c r="C265" s="28"/>
      <c r="D265" s="27"/>
      <c r="J265" s="27"/>
      <c r="K265" s="27"/>
    </row>
    <row r="266">
      <c r="B266" s="28"/>
      <c r="C266" s="28"/>
      <c r="D266" s="27"/>
      <c r="J266" s="27"/>
      <c r="K266" s="27"/>
    </row>
    <row r="267">
      <c r="B267" s="28"/>
      <c r="C267" s="28"/>
      <c r="D267" s="27"/>
      <c r="J267" s="27"/>
      <c r="K267" s="27"/>
    </row>
    <row r="268">
      <c r="B268" s="28"/>
      <c r="C268" s="28"/>
      <c r="D268" s="27"/>
      <c r="J268" s="27"/>
      <c r="K268" s="27"/>
    </row>
    <row r="269">
      <c r="B269" s="28"/>
      <c r="C269" s="28"/>
      <c r="D269" s="27"/>
      <c r="J269" s="27"/>
      <c r="K269" s="27"/>
    </row>
    <row r="270">
      <c r="B270" s="28"/>
      <c r="C270" s="28"/>
      <c r="D270" s="27"/>
      <c r="J270" s="27"/>
      <c r="K270" s="27"/>
    </row>
    <row r="271">
      <c r="B271" s="28"/>
      <c r="C271" s="28"/>
      <c r="D271" s="27"/>
      <c r="J271" s="27"/>
      <c r="K271" s="27"/>
    </row>
    <row r="272">
      <c r="B272" s="28"/>
      <c r="C272" s="28"/>
      <c r="D272" s="27"/>
      <c r="J272" s="27"/>
      <c r="K272" s="27"/>
    </row>
    <row r="273">
      <c r="B273" s="28"/>
      <c r="C273" s="28"/>
      <c r="D273" s="27"/>
      <c r="J273" s="27"/>
      <c r="K273" s="27"/>
    </row>
    <row r="274">
      <c r="B274" s="28"/>
      <c r="C274" s="28"/>
      <c r="D274" s="27"/>
      <c r="J274" s="27"/>
      <c r="K274" s="27"/>
    </row>
    <row r="275">
      <c r="B275" s="28"/>
      <c r="C275" s="28"/>
      <c r="D275" s="27"/>
      <c r="J275" s="27"/>
      <c r="K275" s="27"/>
    </row>
    <row r="276">
      <c r="B276" s="28"/>
      <c r="C276" s="28"/>
      <c r="D276" s="27"/>
      <c r="J276" s="27"/>
      <c r="K276" s="27"/>
    </row>
    <row r="277">
      <c r="B277" s="28"/>
      <c r="C277" s="28"/>
      <c r="D277" s="27"/>
      <c r="J277" s="27"/>
      <c r="K277" s="27"/>
    </row>
    <row r="278">
      <c r="B278" s="28"/>
      <c r="C278" s="28"/>
      <c r="D278" s="27"/>
      <c r="J278" s="27"/>
      <c r="K278" s="27"/>
    </row>
    <row r="279">
      <c r="B279" s="28"/>
      <c r="C279" s="28"/>
      <c r="D279" s="27"/>
      <c r="J279" s="27"/>
      <c r="K279" s="27"/>
    </row>
    <row r="280">
      <c r="B280" s="28"/>
      <c r="C280" s="28"/>
      <c r="D280" s="27"/>
      <c r="J280" s="27"/>
      <c r="K280" s="27"/>
    </row>
    <row r="281">
      <c r="B281" s="28"/>
      <c r="C281" s="28"/>
      <c r="D281" s="27"/>
      <c r="J281" s="27"/>
      <c r="K281" s="27"/>
    </row>
    <row r="282">
      <c r="B282" s="28"/>
      <c r="C282" s="28"/>
      <c r="D282" s="27"/>
      <c r="J282" s="27"/>
      <c r="K282" s="27"/>
    </row>
    <row r="283">
      <c r="B283" s="28"/>
      <c r="C283" s="28"/>
      <c r="D283" s="27"/>
      <c r="J283" s="27"/>
      <c r="K283" s="27"/>
    </row>
    <row r="284">
      <c r="B284" s="28"/>
      <c r="C284" s="28"/>
      <c r="D284" s="27"/>
      <c r="J284" s="27"/>
      <c r="K284" s="27"/>
    </row>
    <row r="285">
      <c r="B285" s="28"/>
      <c r="C285" s="28"/>
      <c r="D285" s="27"/>
      <c r="J285" s="27"/>
      <c r="K285" s="27"/>
    </row>
    <row r="286">
      <c r="B286" s="28"/>
      <c r="C286" s="28"/>
      <c r="D286" s="27"/>
      <c r="J286" s="27"/>
      <c r="K286" s="27"/>
    </row>
    <row r="287">
      <c r="B287" s="28"/>
      <c r="C287" s="28"/>
      <c r="D287" s="27"/>
      <c r="J287" s="27"/>
      <c r="K287" s="27"/>
    </row>
    <row r="288">
      <c r="B288" s="28"/>
      <c r="C288" s="28"/>
      <c r="D288" s="27"/>
      <c r="J288" s="27"/>
      <c r="K288" s="27"/>
    </row>
    <row r="289">
      <c r="B289" s="28"/>
      <c r="C289" s="28"/>
      <c r="D289" s="27"/>
      <c r="J289" s="27"/>
      <c r="K289" s="27"/>
    </row>
    <row r="290">
      <c r="B290" s="28"/>
      <c r="C290" s="28"/>
      <c r="D290" s="27"/>
      <c r="J290" s="27"/>
      <c r="K290" s="27"/>
    </row>
    <row r="291">
      <c r="B291" s="28"/>
      <c r="C291" s="28"/>
      <c r="D291" s="27"/>
      <c r="J291" s="27"/>
      <c r="K291" s="27"/>
    </row>
    <row r="292">
      <c r="B292" s="28"/>
      <c r="C292" s="28"/>
      <c r="D292" s="27"/>
      <c r="J292" s="27"/>
      <c r="K292" s="27"/>
    </row>
    <row r="293">
      <c r="B293" s="28"/>
      <c r="C293" s="28"/>
      <c r="D293" s="27"/>
      <c r="J293" s="27"/>
      <c r="K293" s="27"/>
    </row>
    <row r="294">
      <c r="B294" s="28"/>
      <c r="C294" s="28"/>
      <c r="D294" s="27"/>
      <c r="J294" s="27"/>
      <c r="K294" s="27"/>
    </row>
    <row r="295">
      <c r="B295" s="28"/>
      <c r="C295" s="28"/>
      <c r="D295" s="27"/>
      <c r="J295" s="27"/>
      <c r="K295" s="27"/>
    </row>
    <row r="296">
      <c r="B296" s="28"/>
      <c r="C296" s="28"/>
      <c r="D296" s="27"/>
      <c r="J296" s="27"/>
      <c r="K296" s="27"/>
    </row>
    <row r="297">
      <c r="B297" s="28"/>
      <c r="C297" s="28"/>
      <c r="D297" s="27"/>
      <c r="J297" s="27"/>
      <c r="K297" s="27"/>
    </row>
    <row r="298">
      <c r="B298" s="28"/>
      <c r="C298" s="28"/>
      <c r="D298" s="27"/>
      <c r="J298" s="27"/>
      <c r="K298" s="27"/>
    </row>
    <row r="299">
      <c r="B299" s="28"/>
      <c r="C299" s="28"/>
      <c r="D299" s="27"/>
      <c r="J299" s="27"/>
      <c r="K299" s="27"/>
    </row>
    <row r="300">
      <c r="B300" s="28"/>
      <c r="C300" s="28"/>
      <c r="D300" s="27"/>
      <c r="J300" s="27"/>
      <c r="K300" s="27"/>
    </row>
    <row r="301">
      <c r="B301" s="28"/>
      <c r="C301" s="28"/>
      <c r="D301" s="27"/>
      <c r="J301" s="27"/>
      <c r="K301" s="27"/>
    </row>
    <row r="302">
      <c r="B302" s="28"/>
      <c r="C302" s="28"/>
      <c r="D302" s="27"/>
      <c r="J302" s="27"/>
      <c r="K302" s="27"/>
    </row>
    <row r="303">
      <c r="B303" s="28"/>
      <c r="C303" s="28"/>
      <c r="D303" s="27"/>
      <c r="J303" s="27"/>
      <c r="K303" s="27"/>
    </row>
    <row r="304">
      <c r="B304" s="28"/>
      <c r="C304" s="28"/>
      <c r="D304" s="27"/>
      <c r="J304" s="27"/>
      <c r="K304" s="27"/>
    </row>
    <row r="305">
      <c r="B305" s="28"/>
      <c r="C305" s="28"/>
      <c r="D305" s="27"/>
      <c r="J305" s="27"/>
      <c r="K305" s="27"/>
    </row>
    <row r="306">
      <c r="B306" s="28"/>
      <c r="C306" s="28"/>
      <c r="D306" s="27"/>
      <c r="J306" s="27"/>
      <c r="K306" s="27"/>
    </row>
    <row r="307">
      <c r="B307" s="28"/>
      <c r="C307" s="28"/>
      <c r="D307" s="27"/>
      <c r="J307" s="27"/>
      <c r="K307" s="27"/>
    </row>
    <row r="308">
      <c r="B308" s="28"/>
      <c r="C308" s="28"/>
      <c r="D308" s="27"/>
      <c r="J308" s="27"/>
      <c r="K308" s="27"/>
    </row>
    <row r="309">
      <c r="B309" s="28"/>
      <c r="C309" s="28"/>
      <c r="D309" s="27"/>
      <c r="J309" s="27"/>
      <c r="K309" s="27"/>
    </row>
    <row r="310">
      <c r="B310" s="28"/>
      <c r="C310" s="28"/>
      <c r="D310" s="27"/>
      <c r="J310" s="27"/>
      <c r="K310" s="27"/>
    </row>
    <row r="311">
      <c r="B311" s="28"/>
      <c r="C311" s="28"/>
      <c r="D311" s="27"/>
      <c r="J311" s="27"/>
      <c r="K311" s="27"/>
    </row>
    <row r="312">
      <c r="B312" s="28"/>
      <c r="C312" s="28"/>
      <c r="D312" s="27"/>
      <c r="J312" s="27"/>
      <c r="K312" s="27"/>
    </row>
    <row r="313">
      <c r="B313" s="28"/>
      <c r="C313" s="28"/>
      <c r="D313" s="27"/>
      <c r="J313" s="27"/>
      <c r="K313" s="27"/>
    </row>
    <row r="314">
      <c r="B314" s="28"/>
      <c r="C314" s="28"/>
      <c r="D314" s="27"/>
      <c r="J314" s="27"/>
      <c r="K314" s="27"/>
    </row>
    <row r="315">
      <c r="B315" s="28"/>
      <c r="C315" s="28"/>
      <c r="D315" s="27"/>
      <c r="J315" s="27"/>
      <c r="K315" s="27"/>
    </row>
    <row r="316">
      <c r="B316" s="28"/>
      <c r="C316" s="28"/>
      <c r="D316" s="27"/>
      <c r="J316" s="27"/>
      <c r="K316" s="27"/>
    </row>
    <row r="317">
      <c r="B317" s="28"/>
      <c r="C317" s="28"/>
      <c r="D317" s="27"/>
      <c r="J317" s="27"/>
      <c r="K317" s="27"/>
    </row>
    <row r="318">
      <c r="B318" s="28"/>
      <c r="C318" s="28"/>
      <c r="D318" s="27"/>
      <c r="J318" s="27"/>
      <c r="K318" s="27"/>
    </row>
    <row r="319">
      <c r="B319" s="28"/>
      <c r="C319" s="28"/>
      <c r="D319" s="27"/>
      <c r="J319" s="27"/>
      <c r="K319" s="27"/>
    </row>
    <row r="320">
      <c r="B320" s="28"/>
      <c r="C320" s="28"/>
      <c r="D320" s="27"/>
      <c r="J320" s="27"/>
      <c r="K320" s="27"/>
    </row>
    <row r="321">
      <c r="B321" s="28"/>
      <c r="C321" s="28"/>
      <c r="D321" s="27"/>
      <c r="J321" s="27"/>
      <c r="K321" s="27"/>
    </row>
    <row r="322">
      <c r="B322" s="28"/>
      <c r="C322" s="28"/>
      <c r="D322" s="27"/>
      <c r="J322" s="27"/>
      <c r="K322" s="27"/>
    </row>
    <row r="323">
      <c r="B323" s="28"/>
      <c r="C323" s="28"/>
      <c r="D323" s="27"/>
      <c r="J323" s="27"/>
      <c r="K323" s="27"/>
    </row>
    <row r="324">
      <c r="B324" s="28"/>
      <c r="C324" s="28"/>
      <c r="D324" s="27"/>
      <c r="J324" s="27"/>
      <c r="K324" s="27"/>
    </row>
    <row r="325">
      <c r="B325" s="28"/>
      <c r="C325" s="28"/>
      <c r="D325" s="27"/>
      <c r="J325" s="27"/>
      <c r="K325" s="27"/>
    </row>
    <row r="326">
      <c r="B326" s="28"/>
      <c r="C326" s="28"/>
      <c r="D326" s="27"/>
      <c r="J326" s="27"/>
      <c r="K326" s="27"/>
    </row>
    <row r="327">
      <c r="B327" s="28"/>
      <c r="C327" s="28"/>
      <c r="D327" s="27"/>
      <c r="J327" s="27"/>
      <c r="K327" s="27"/>
    </row>
    <row r="328">
      <c r="B328" s="28"/>
      <c r="C328" s="28"/>
      <c r="D328" s="27"/>
      <c r="J328" s="27"/>
      <c r="K328" s="27"/>
    </row>
    <row r="329">
      <c r="B329" s="28"/>
      <c r="C329" s="28"/>
      <c r="D329" s="27"/>
      <c r="J329" s="27"/>
      <c r="K329" s="27"/>
    </row>
    <row r="330">
      <c r="B330" s="28"/>
      <c r="C330" s="28"/>
      <c r="D330" s="27"/>
      <c r="J330" s="27"/>
      <c r="K330" s="27"/>
    </row>
    <row r="331">
      <c r="B331" s="28"/>
      <c r="C331" s="28"/>
      <c r="D331" s="27"/>
      <c r="J331" s="27"/>
      <c r="K331" s="27"/>
    </row>
    <row r="332">
      <c r="B332" s="28"/>
      <c r="C332" s="28"/>
      <c r="D332" s="27"/>
      <c r="J332" s="27"/>
      <c r="K332" s="27"/>
    </row>
    <row r="333">
      <c r="B333" s="28"/>
      <c r="C333" s="28"/>
      <c r="D333" s="27"/>
      <c r="J333" s="27"/>
      <c r="K333" s="27"/>
    </row>
    <row r="334">
      <c r="B334" s="28"/>
      <c r="C334" s="28"/>
      <c r="D334" s="27"/>
      <c r="J334" s="27"/>
      <c r="K334" s="27"/>
    </row>
    <row r="335">
      <c r="B335" s="28"/>
      <c r="C335" s="28"/>
      <c r="D335" s="27"/>
      <c r="J335" s="27"/>
      <c r="K335" s="27"/>
    </row>
    <row r="336">
      <c r="B336" s="28"/>
      <c r="C336" s="28"/>
      <c r="D336" s="27"/>
      <c r="J336" s="27"/>
      <c r="K336" s="27"/>
    </row>
    <row r="337">
      <c r="B337" s="28"/>
      <c r="C337" s="28"/>
      <c r="D337" s="27"/>
      <c r="J337" s="27"/>
      <c r="K337" s="27"/>
    </row>
    <row r="338">
      <c r="B338" s="28"/>
      <c r="C338" s="28"/>
      <c r="D338" s="27"/>
      <c r="J338" s="27"/>
      <c r="K338" s="27"/>
    </row>
    <row r="339">
      <c r="B339" s="28"/>
      <c r="C339" s="28"/>
      <c r="D339" s="27"/>
      <c r="J339" s="27"/>
      <c r="K339" s="27"/>
    </row>
    <row r="340">
      <c r="B340" s="28"/>
      <c r="C340" s="28"/>
      <c r="D340" s="27"/>
      <c r="J340" s="27"/>
      <c r="K340" s="27"/>
    </row>
    <row r="341">
      <c r="B341" s="28"/>
      <c r="C341" s="28"/>
      <c r="D341" s="27"/>
      <c r="J341" s="27"/>
      <c r="K341" s="27"/>
    </row>
    <row r="342">
      <c r="B342" s="28"/>
      <c r="C342" s="28"/>
      <c r="D342" s="27"/>
      <c r="J342" s="27"/>
      <c r="K342" s="27"/>
    </row>
    <row r="343">
      <c r="B343" s="28"/>
      <c r="C343" s="28"/>
      <c r="D343" s="27"/>
      <c r="J343" s="27"/>
      <c r="K343" s="27"/>
    </row>
    <row r="344">
      <c r="B344" s="28"/>
      <c r="C344" s="28"/>
      <c r="D344" s="27"/>
      <c r="J344" s="27"/>
      <c r="K344" s="27"/>
    </row>
    <row r="345">
      <c r="B345" s="28"/>
      <c r="C345" s="28"/>
      <c r="D345" s="27"/>
      <c r="J345" s="27"/>
      <c r="K345" s="27"/>
    </row>
    <row r="346">
      <c r="B346" s="28"/>
      <c r="C346" s="28"/>
      <c r="D346" s="27"/>
      <c r="J346" s="27"/>
      <c r="K346" s="27"/>
    </row>
    <row r="347">
      <c r="B347" s="28"/>
      <c r="C347" s="28"/>
      <c r="D347" s="27"/>
      <c r="J347" s="27"/>
      <c r="K347" s="27"/>
    </row>
    <row r="348">
      <c r="B348" s="28"/>
      <c r="C348" s="28"/>
      <c r="D348" s="27"/>
      <c r="J348" s="27"/>
      <c r="K348" s="27"/>
    </row>
    <row r="349">
      <c r="B349" s="28"/>
      <c r="C349" s="28"/>
      <c r="D349" s="27"/>
      <c r="J349" s="27"/>
      <c r="K349" s="27"/>
    </row>
    <row r="350">
      <c r="B350" s="28"/>
      <c r="C350" s="28"/>
      <c r="D350" s="27"/>
      <c r="J350" s="27"/>
      <c r="K350" s="27"/>
    </row>
    <row r="351">
      <c r="B351" s="28"/>
      <c r="C351" s="28"/>
      <c r="D351" s="27"/>
      <c r="J351" s="27"/>
      <c r="K351" s="27"/>
    </row>
    <row r="352">
      <c r="B352" s="28"/>
      <c r="C352" s="28"/>
      <c r="D352" s="27"/>
      <c r="J352" s="27"/>
      <c r="K352" s="27"/>
    </row>
    <row r="353">
      <c r="B353" s="28"/>
      <c r="C353" s="28"/>
      <c r="D353" s="27"/>
      <c r="J353" s="27"/>
      <c r="K353" s="27"/>
    </row>
    <row r="354">
      <c r="B354" s="28"/>
      <c r="C354" s="28"/>
      <c r="D354" s="27"/>
      <c r="J354" s="27"/>
      <c r="K354" s="27"/>
    </row>
    <row r="355">
      <c r="B355" s="28"/>
      <c r="C355" s="28"/>
      <c r="D355" s="27"/>
      <c r="J355" s="27"/>
      <c r="K355" s="27"/>
    </row>
    <row r="356">
      <c r="B356" s="28"/>
      <c r="C356" s="28"/>
      <c r="D356" s="27"/>
      <c r="J356" s="27"/>
      <c r="K356" s="27"/>
    </row>
    <row r="357">
      <c r="B357" s="28"/>
      <c r="C357" s="28"/>
      <c r="D357" s="27"/>
      <c r="J357" s="27"/>
      <c r="K357" s="27"/>
    </row>
    <row r="358">
      <c r="B358" s="28"/>
      <c r="C358" s="28"/>
      <c r="D358" s="27"/>
      <c r="J358" s="27"/>
      <c r="K358" s="27"/>
    </row>
    <row r="359">
      <c r="B359" s="28"/>
      <c r="C359" s="28"/>
      <c r="D359" s="27"/>
      <c r="J359" s="27"/>
      <c r="K359" s="27"/>
    </row>
    <row r="360">
      <c r="B360" s="28"/>
      <c r="C360" s="28"/>
      <c r="D360" s="27"/>
      <c r="J360" s="27"/>
      <c r="K360" s="27"/>
    </row>
    <row r="361">
      <c r="B361" s="28"/>
      <c r="C361" s="28"/>
      <c r="D361" s="27"/>
      <c r="J361" s="27"/>
      <c r="K361" s="27"/>
    </row>
    <row r="362">
      <c r="B362" s="28"/>
      <c r="C362" s="28"/>
      <c r="D362" s="27"/>
      <c r="J362" s="27"/>
      <c r="K362" s="27"/>
    </row>
    <row r="363">
      <c r="B363" s="28"/>
      <c r="C363" s="28"/>
      <c r="D363" s="27"/>
      <c r="J363" s="27"/>
      <c r="K363" s="27"/>
    </row>
    <row r="364">
      <c r="B364" s="28"/>
      <c r="C364" s="28"/>
      <c r="D364" s="27"/>
      <c r="J364" s="27"/>
      <c r="K364" s="27"/>
    </row>
    <row r="365">
      <c r="B365" s="28"/>
      <c r="C365" s="28"/>
      <c r="D365" s="27"/>
      <c r="J365" s="27"/>
      <c r="K365" s="27"/>
    </row>
    <row r="366">
      <c r="B366" s="28"/>
      <c r="C366" s="28"/>
      <c r="D366" s="27"/>
      <c r="J366" s="27"/>
      <c r="K366" s="27"/>
    </row>
    <row r="367">
      <c r="B367" s="28"/>
      <c r="C367" s="28"/>
      <c r="D367" s="27"/>
      <c r="J367" s="27"/>
      <c r="K367" s="27"/>
    </row>
    <row r="368">
      <c r="B368" s="28"/>
      <c r="C368" s="28"/>
      <c r="D368" s="27"/>
      <c r="J368" s="27"/>
      <c r="K368" s="27"/>
    </row>
    <row r="369">
      <c r="B369" s="28"/>
      <c r="C369" s="28"/>
      <c r="D369" s="27"/>
      <c r="J369" s="27"/>
      <c r="K369" s="27"/>
    </row>
    <row r="370">
      <c r="B370" s="28"/>
      <c r="C370" s="28"/>
      <c r="D370" s="27"/>
      <c r="J370" s="27"/>
      <c r="K370" s="27"/>
    </row>
    <row r="371">
      <c r="B371" s="28"/>
      <c r="C371" s="28"/>
      <c r="D371" s="27"/>
      <c r="J371" s="27"/>
      <c r="K371" s="27"/>
    </row>
    <row r="372">
      <c r="B372" s="28"/>
      <c r="C372" s="28"/>
      <c r="D372" s="27"/>
      <c r="J372" s="27"/>
      <c r="K372" s="27"/>
    </row>
    <row r="373">
      <c r="B373" s="28"/>
      <c r="C373" s="28"/>
      <c r="D373" s="27"/>
      <c r="J373" s="27"/>
      <c r="K373" s="27"/>
    </row>
    <row r="374">
      <c r="B374" s="28"/>
      <c r="C374" s="28"/>
      <c r="D374" s="27"/>
      <c r="J374" s="27"/>
      <c r="K374" s="27"/>
    </row>
    <row r="375">
      <c r="B375" s="28"/>
      <c r="C375" s="28"/>
      <c r="D375" s="27"/>
      <c r="J375" s="27"/>
      <c r="K375" s="27"/>
    </row>
    <row r="376">
      <c r="B376" s="28"/>
      <c r="C376" s="28"/>
      <c r="D376" s="27"/>
      <c r="J376" s="27"/>
      <c r="K376" s="27"/>
    </row>
    <row r="377">
      <c r="B377" s="28"/>
      <c r="C377" s="28"/>
      <c r="D377" s="27"/>
      <c r="J377" s="27"/>
      <c r="K377" s="27"/>
    </row>
    <row r="378">
      <c r="B378" s="28"/>
      <c r="C378" s="28"/>
      <c r="D378" s="27"/>
      <c r="J378" s="27"/>
      <c r="K378" s="27"/>
    </row>
    <row r="379">
      <c r="B379" s="28"/>
      <c r="C379" s="28"/>
      <c r="D379" s="27"/>
      <c r="J379" s="27"/>
      <c r="K379" s="27"/>
    </row>
    <row r="380">
      <c r="B380" s="28"/>
      <c r="C380" s="28"/>
      <c r="D380" s="27"/>
      <c r="J380" s="27"/>
      <c r="K380" s="27"/>
    </row>
    <row r="381">
      <c r="B381" s="28"/>
      <c r="C381" s="28"/>
      <c r="D381" s="27"/>
      <c r="J381" s="27"/>
      <c r="K381" s="27"/>
    </row>
    <row r="382">
      <c r="B382" s="28"/>
      <c r="C382" s="28"/>
      <c r="D382" s="27"/>
      <c r="J382" s="27"/>
      <c r="K382" s="27"/>
    </row>
    <row r="383">
      <c r="B383" s="28"/>
      <c r="C383" s="28"/>
      <c r="D383" s="27"/>
      <c r="J383" s="27"/>
      <c r="K383" s="27"/>
    </row>
    <row r="384">
      <c r="B384" s="28"/>
      <c r="C384" s="28"/>
      <c r="D384" s="27"/>
      <c r="J384" s="27"/>
      <c r="K384" s="27"/>
    </row>
    <row r="385">
      <c r="B385" s="28"/>
      <c r="C385" s="28"/>
      <c r="D385" s="27"/>
      <c r="J385" s="27"/>
      <c r="K385" s="27"/>
    </row>
    <row r="386">
      <c r="B386" s="28"/>
      <c r="C386" s="28"/>
      <c r="D386" s="27"/>
      <c r="J386" s="27"/>
      <c r="K386" s="27"/>
    </row>
    <row r="387">
      <c r="B387" s="28"/>
      <c r="C387" s="28"/>
      <c r="D387" s="27"/>
      <c r="J387" s="27"/>
      <c r="K387" s="27"/>
    </row>
    <row r="388">
      <c r="B388" s="28"/>
      <c r="C388" s="28"/>
      <c r="D388" s="27"/>
      <c r="J388" s="27"/>
      <c r="K388" s="27"/>
    </row>
    <row r="389">
      <c r="B389" s="28"/>
      <c r="C389" s="28"/>
      <c r="D389" s="27"/>
      <c r="J389" s="27"/>
      <c r="K389" s="27"/>
    </row>
    <row r="390">
      <c r="B390" s="28"/>
      <c r="C390" s="28"/>
      <c r="D390" s="27"/>
      <c r="J390" s="27"/>
      <c r="K390" s="27"/>
    </row>
    <row r="391">
      <c r="B391" s="28"/>
      <c r="C391" s="28"/>
      <c r="D391" s="27"/>
      <c r="J391" s="27"/>
      <c r="K391" s="27"/>
    </row>
    <row r="392">
      <c r="B392" s="28"/>
      <c r="C392" s="28"/>
      <c r="D392" s="27"/>
      <c r="J392" s="27"/>
      <c r="K392" s="27"/>
    </row>
    <row r="393">
      <c r="B393" s="28"/>
      <c r="C393" s="28"/>
      <c r="D393" s="27"/>
      <c r="J393" s="27"/>
      <c r="K393" s="27"/>
    </row>
    <row r="394">
      <c r="B394" s="28"/>
      <c r="C394" s="28"/>
      <c r="D394" s="27"/>
      <c r="J394" s="27"/>
      <c r="K394" s="27"/>
    </row>
    <row r="395">
      <c r="B395" s="28"/>
      <c r="C395" s="28"/>
      <c r="D395" s="27"/>
      <c r="J395" s="27"/>
      <c r="K395" s="27"/>
    </row>
    <row r="396">
      <c r="B396" s="28"/>
      <c r="C396" s="28"/>
      <c r="D396" s="27"/>
      <c r="J396" s="27"/>
      <c r="K396" s="27"/>
    </row>
    <row r="397">
      <c r="B397" s="28"/>
      <c r="C397" s="28"/>
      <c r="D397" s="27"/>
      <c r="J397" s="27"/>
      <c r="K397" s="27"/>
    </row>
    <row r="398">
      <c r="B398" s="28"/>
      <c r="C398" s="28"/>
      <c r="D398" s="27"/>
      <c r="J398" s="27"/>
      <c r="K398" s="27"/>
    </row>
    <row r="399">
      <c r="B399" s="28"/>
      <c r="C399" s="28"/>
      <c r="D399" s="27"/>
      <c r="J399" s="27"/>
      <c r="K399" s="27"/>
    </row>
    <row r="400">
      <c r="B400" s="28"/>
      <c r="C400" s="28"/>
      <c r="D400" s="27"/>
      <c r="J400" s="27"/>
      <c r="K400" s="27"/>
    </row>
    <row r="401">
      <c r="B401" s="28"/>
      <c r="C401" s="28"/>
      <c r="D401" s="27"/>
      <c r="J401" s="27"/>
      <c r="K401" s="27"/>
    </row>
    <row r="402">
      <c r="B402" s="28"/>
      <c r="C402" s="28"/>
      <c r="D402" s="27"/>
      <c r="J402" s="27"/>
      <c r="K402" s="27"/>
    </row>
    <row r="403">
      <c r="B403" s="28"/>
      <c r="C403" s="28"/>
      <c r="D403" s="27"/>
      <c r="J403" s="27"/>
      <c r="K403" s="27"/>
    </row>
    <row r="404">
      <c r="B404" s="28"/>
      <c r="C404" s="28"/>
      <c r="D404" s="27"/>
      <c r="J404" s="27"/>
      <c r="K404" s="27"/>
    </row>
    <row r="405">
      <c r="B405" s="28"/>
      <c r="C405" s="28"/>
      <c r="D405" s="27"/>
      <c r="J405" s="27"/>
      <c r="K405" s="27"/>
    </row>
    <row r="406">
      <c r="B406" s="28"/>
      <c r="C406" s="28"/>
      <c r="D406" s="27"/>
      <c r="J406" s="27"/>
      <c r="K406" s="27"/>
    </row>
    <row r="407">
      <c r="B407" s="28"/>
      <c r="C407" s="28"/>
      <c r="D407" s="27"/>
      <c r="J407" s="27"/>
      <c r="K407" s="27"/>
    </row>
    <row r="408">
      <c r="B408" s="28"/>
      <c r="C408" s="28"/>
      <c r="D408" s="27"/>
      <c r="J408" s="27"/>
      <c r="K408" s="27"/>
    </row>
    <row r="409">
      <c r="B409" s="28"/>
      <c r="C409" s="28"/>
      <c r="D409" s="27"/>
      <c r="J409" s="27"/>
      <c r="K409" s="27"/>
    </row>
    <row r="410">
      <c r="B410" s="28"/>
      <c r="C410" s="28"/>
      <c r="D410" s="27"/>
      <c r="J410" s="27"/>
      <c r="K410" s="27"/>
    </row>
    <row r="411">
      <c r="B411" s="28"/>
      <c r="C411" s="28"/>
      <c r="D411" s="27"/>
      <c r="J411" s="27"/>
      <c r="K411" s="27"/>
    </row>
    <row r="412">
      <c r="B412" s="28"/>
      <c r="C412" s="28"/>
      <c r="D412" s="27"/>
      <c r="J412" s="27"/>
      <c r="K412" s="27"/>
    </row>
    <row r="413">
      <c r="B413" s="28"/>
      <c r="C413" s="28"/>
      <c r="D413" s="27"/>
      <c r="J413" s="27"/>
      <c r="K413" s="27"/>
    </row>
    <row r="414">
      <c r="B414" s="28"/>
      <c r="C414" s="28"/>
      <c r="D414" s="27"/>
      <c r="J414" s="27"/>
      <c r="K414" s="27"/>
    </row>
    <row r="415">
      <c r="B415" s="28"/>
      <c r="C415" s="28"/>
      <c r="D415" s="27"/>
      <c r="J415" s="27"/>
      <c r="K415" s="27"/>
    </row>
    <row r="416">
      <c r="B416" s="28"/>
      <c r="C416" s="28"/>
      <c r="D416" s="27"/>
      <c r="J416" s="27"/>
      <c r="K416" s="27"/>
    </row>
    <row r="417">
      <c r="B417" s="28"/>
      <c r="C417" s="28"/>
      <c r="D417" s="27"/>
      <c r="J417" s="27"/>
      <c r="K417" s="27"/>
    </row>
    <row r="418">
      <c r="B418" s="28"/>
      <c r="C418" s="28"/>
      <c r="D418" s="27"/>
      <c r="J418" s="27"/>
      <c r="K418" s="27"/>
    </row>
    <row r="419">
      <c r="B419" s="28"/>
      <c r="C419" s="28"/>
      <c r="D419" s="27"/>
      <c r="J419" s="27"/>
      <c r="K419" s="27"/>
    </row>
    <row r="420">
      <c r="B420" s="28"/>
      <c r="C420" s="28"/>
      <c r="D420" s="27"/>
      <c r="J420" s="27"/>
      <c r="K420" s="27"/>
    </row>
    <row r="421">
      <c r="B421" s="28"/>
      <c r="C421" s="28"/>
      <c r="D421" s="27"/>
      <c r="J421" s="27"/>
      <c r="K421" s="27"/>
    </row>
    <row r="422">
      <c r="B422" s="28"/>
      <c r="C422" s="28"/>
      <c r="D422" s="27"/>
      <c r="J422" s="27"/>
      <c r="K422" s="27"/>
    </row>
    <row r="423">
      <c r="B423" s="28"/>
      <c r="C423" s="28"/>
      <c r="D423" s="27"/>
      <c r="J423" s="27"/>
      <c r="K423" s="27"/>
    </row>
    <row r="424">
      <c r="B424" s="28"/>
      <c r="C424" s="28"/>
      <c r="D424" s="27"/>
      <c r="J424" s="27"/>
      <c r="K424" s="27"/>
    </row>
    <row r="425">
      <c r="B425" s="28"/>
      <c r="C425" s="28"/>
      <c r="D425" s="27"/>
      <c r="J425" s="27"/>
      <c r="K425" s="27"/>
    </row>
    <row r="426">
      <c r="B426" s="28"/>
      <c r="C426" s="28"/>
      <c r="D426" s="27"/>
      <c r="J426" s="27"/>
      <c r="K426" s="27"/>
    </row>
    <row r="427">
      <c r="B427" s="28"/>
      <c r="C427" s="28"/>
      <c r="D427" s="27"/>
      <c r="J427" s="27"/>
      <c r="K427" s="27"/>
    </row>
    <row r="428">
      <c r="B428" s="28"/>
      <c r="C428" s="28"/>
      <c r="D428" s="27"/>
      <c r="J428" s="27"/>
      <c r="K428" s="27"/>
    </row>
    <row r="429">
      <c r="B429" s="28"/>
      <c r="C429" s="28"/>
      <c r="D429" s="27"/>
      <c r="J429" s="27"/>
      <c r="K429" s="27"/>
    </row>
    <row r="430">
      <c r="B430" s="28"/>
      <c r="C430" s="28"/>
      <c r="D430" s="27"/>
      <c r="J430" s="27"/>
      <c r="K430" s="27"/>
    </row>
    <row r="431">
      <c r="B431" s="28"/>
      <c r="C431" s="28"/>
      <c r="D431" s="27"/>
      <c r="J431" s="27"/>
      <c r="K431" s="27"/>
    </row>
    <row r="432">
      <c r="B432" s="28"/>
      <c r="C432" s="28"/>
      <c r="D432" s="27"/>
      <c r="J432" s="27"/>
      <c r="K432" s="27"/>
    </row>
    <row r="433">
      <c r="B433" s="28"/>
      <c r="C433" s="28"/>
      <c r="D433" s="27"/>
      <c r="J433" s="27"/>
      <c r="K433" s="27"/>
    </row>
    <row r="434">
      <c r="B434" s="28"/>
      <c r="C434" s="28"/>
      <c r="D434" s="27"/>
      <c r="J434" s="27"/>
      <c r="K434" s="27"/>
    </row>
    <row r="435">
      <c r="B435" s="28"/>
      <c r="C435" s="28"/>
      <c r="D435" s="27"/>
      <c r="J435" s="27"/>
      <c r="K435" s="27"/>
    </row>
    <row r="436">
      <c r="B436" s="28"/>
      <c r="C436" s="28"/>
      <c r="D436" s="27"/>
      <c r="J436" s="27"/>
      <c r="K436" s="27"/>
    </row>
    <row r="437">
      <c r="B437" s="28"/>
      <c r="C437" s="28"/>
      <c r="D437" s="27"/>
      <c r="J437" s="27"/>
      <c r="K437" s="27"/>
    </row>
    <row r="438">
      <c r="B438" s="28"/>
      <c r="C438" s="28"/>
      <c r="D438" s="27"/>
      <c r="J438" s="27"/>
      <c r="K438" s="27"/>
    </row>
    <row r="439">
      <c r="B439" s="28"/>
      <c r="C439" s="28"/>
      <c r="D439" s="27"/>
      <c r="J439" s="27"/>
      <c r="K439" s="27"/>
    </row>
    <row r="440">
      <c r="B440" s="28"/>
      <c r="C440" s="28"/>
      <c r="D440" s="27"/>
      <c r="J440" s="27"/>
      <c r="K440" s="27"/>
    </row>
    <row r="441">
      <c r="B441" s="28"/>
      <c r="C441" s="28"/>
      <c r="D441" s="27"/>
      <c r="J441" s="27"/>
      <c r="K441" s="27"/>
    </row>
    <row r="442">
      <c r="B442" s="28"/>
      <c r="C442" s="28"/>
      <c r="D442" s="27"/>
      <c r="J442" s="27"/>
      <c r="K442" s="27"/>
    </row>
    <row r="443">
      <c r="B443" s="28"/>
      <c r="C443" s="28"/>
      <c r="D443" s="27"/>
      <c r="J443" s="27"/>
      <c r="K443" s="27"/>
    </row>
    <row r="444">
      <c r="B444" s="28"/>
      <c r="C444" s="28"/>
      <c r="D444" s="27"/>
      <c r="J444" s="27"/>
      <c r="K444" s="27"/>
    </row>
    <row r="445">
      <c r="B445" s="28"/>
      <c r="C445" s="28"/>
      <c r="D445" s="27"/>
      <c r="J445" s="27"/>
      <c r="K445" s="27"/>
    </row>
    <row r="446">
      <c r="B446" s="28"/>
      <c r="C446" s="28"/>
      <c r="D446" s="27"/>
      <c r="J446" s="27"/>
      <c r="K446" s="27"/>
    </row>
    <row r="447">
      <c r="B447" s="28"/>
      <c r="C447" s="28"/>
      <c r="D447" s="27"/>
      <c r="J447" s="27"/>
      <c r="K447" s="27"/>
    </row>
    <row r="448">
      <c r="B448" s="28"/>
      <c r="C448" s="28"/>
      <c r="D448" s="27"/>
      <c r="J448" s="27"/>
      <c r="K448" s="27"/>
    </row>
    <row r="449">
      <c r="B449" s="28"/>
      <c r="C449" s="28"/>
      <c r="D449" s="27"/>
      <c r="J449" s="27"/>
      <c r="K449" s="27"/>
    </row>
    <row r="450">
      <c r="B450" s="28"/>
      <c r="C450" s="28"/>
      <c r="D450" s="27"/>
      <c r="J450" s="27"/>
      <c r="K450" s="27"/>
    </row>
    <row r="451">
      <c r="B451" s="28"/>
      <c r="C451" s="28"/>
      <c r="D451" s="27"/>
      <c r="J451" s="27"/>
      <c r="K451" s="27"/>
    </row>
    <row r="452">
      <c r="B452" s="28"/>
      <c r="C452" s="28"/>
      <c r="D452" s="27"/>
      <c r="J452" s="27"/>
      <c r="K452" s="27"/>
    </row>
    <row r="453">
      <c r="B453" s="28"/>
      <c r="C453" s="28"/>
      <c r="D453" s="27"/>
      <c r="J453" s="27"/>
      <c r="K453" s="27"/>
    </row>
    <row r="454">
      <c r="B454" s="28"/>
      <c r="C454" s="28"/>
      <c r="D454" s="27"/>
      <c r="J454" s="27"/>
      <c r="K454" s="27"/>
    </row>
    <row r="455">
      <c r="B455" s="28"/>
      <c r="C455" s="28"/>
      <c r="D455" s="27"/>
      <c r="J455" s="27"/>
      <c r="K455" s="27"/>
    </row>
    <row r="456">
      <c r="B456" s="28"/>
      <c r="C456" s="28"/>
      <c r="D456" s="27"/>
      <c r="J456" s="27"/>
      <c r="K456" s="27"/>
    </row>
    <row r="457">
      <c r="B457" s="28"/>
      <c r="C457" s="28"/>
      <c r="D457" s="27"/>
      <c r="J457" s="27"/>
      <c r="K457" s="27"/>
    </row>
    <row r="458">
      <c r="B458" s="28"/>
      <c r="C458" s="28"/>
      <c r="D458" s="27"/>
      <c r="J458" s="27"/>
      <c r="K458" s="27"/>
    </row>
    <row r="459">
      <c r="B459" s="28"/>
      <c r="C459" s="28"/>
      <c r="D459" s="27"/>
      <c r="J459" s="27"/>
      <c r="K459" s="27"/>
    </row>
    <row r="460">
      <c r="B460" s="28"/>
      <c r="C460" s="28"/>
      <c r="D460" s="27"/>
      <c r="J460" s="27"/>
      <c r="K460" s="27"/>
    </row>
    <row r="461">
      <c r="B461" s="28"/>
      <c r="C461" s="28"/>
      <c r="D461" s="27"/>
      <c r="J461" s="27"/>
      <c r="K461" s="27"/>
    </row>
    <row r="462">
      <c r="B462" s="28"/>
      <c r="C462" s="28"/>
      <c r="D462" s="27"/>
      <c r="J462" s="27"/>
      <c r="K462" s="27"/>
    </row>
    <row r="463">
      <c r="B463" s="28"/>
      <c r="C463" s="28"/>
      <c r="D463" s="27"/>
      <c r="J463" s="27"/>
      <c r="K463" s="27"/>
    </row>
    <row r="464">
      <c r="B464" s="28"/>
      <c r="C464" s="28"/>
      <c r="D464" s="27"/>
      <c r="J464" s="27"/>
      <c r="K464" s="27"/>
    </row>
    <row r="465">
      <c r="B465" s="28"/>
      <c r="C465" s="28"/>
      <c r="D465" s="27"/>
      <c r="J465" s="27"/>
      <c r="K465" s="27"/>
    </row>
    <row r="466">
      <c r="B466" s="28"/>
      <c r="C466" s="28"/>
      <c r="D466" s="27"/>
      <c r="J466" s="27"/>
      <c r="K466" s="27"/>
    </row>
    <row r="467">
      <c r="B467" s="28"/>
      <c r="C467" s="28"/>
      <c r="D467" s="27"/>
      <c r="J467" s="27"/>
      <c r="K467" s="27"/>
    </row>
    <row r="468">
      <c r="B468" s="28"/>
      <c r="C468" s="28"/>
      <c r="D468" s="27"/>
      <c r="J468" s="27"/>
      <c r="K468" s="27"/>
    </row>
    <row r="469">
      <c r="B469" s="28"/>
      <c r="C469" s="28"/>
      <c r="D469" s="27"/>
      <c r="J469" s="27"/>
      <c r="K469" s="27"/>
    </row>
    <row r="470">
      <c r="B470" s="28"/>
      <c r="C470" s="28"/>
      <c r="D470" s="27"/>
      <c r="J470" s="27"/>
      <c r="K470" s="27"/>
    </row>
    <row r="471">
      <c r="B471" s="28"/>
      <c r="C471" s="28"/>
      <c r="D471" s="27"/>
      <c r="J471" s="27"/>
      <c r="K471" s="27"/>
    </row>
    <row r="472">
      <c r="B472" s="28"/>
      <c r="C472" s="28"/>
      <c r="D472" s="27"/>
      <c r="J472" s="27"/>
      <c r="K472" s="27"/>
    </row>
    <row r="473">
      <c r="B473" s="28"/>
      <c r="C473" s="28"/>
      <c r="D473" s="27"/>
      <c r="J473" s="27"/>
      <c r="K473" s="27"/>
    </row>
    <row r="474">
      <c r="B474" s="28"/>
      <c r="C474" s="28"/>
      <c r="D474" s="27"/>
      <c r="J474" s="27"/>
      <c r="K474" s="27"/>
    </row>
    <row r="475">
      <c r="B475" s="28"/>
      <c r="C475" s="28"/>
      <c r="D475" s="27"/>
      <c r="J475" s="27"/>
      <c r="K475" s="27"/>
    </row>
    <row r="476">
      <c r="B476" s="28"/>
      <c r="C476" s="28"/>
      <c r="D476" s="27"/>
      <c r="J476" s="27"/>
      <c r="K476" s="27"/>
    </row>
    <row r="477">
      <c r="B477" s="28"/>
      <c r="C477" s="28"/>
      <c r="D477" s="27"/>
      <c r="J477" s="27"/>
      <c r="K477" s="27"/>
    </row>
    <row r="478">
      <c r="B478" s="28"/>
      <c r="C478" s="28"/>
      <c r="D478" s="27"/>
      <c r="J478" s="27"/>
      <c r="K478" s="27"/>
    </row>
    <row r="479">
      <c r="B479" s="28"/>
      <c r="C479" s="28"/>
      <c r="D479" s="27"/>
      <c r="J479" s="27"/>
      <c r="K479" s="27"/>
    </row>
    <row r="480">
      <c r="B480" s="28"/>
      <c r="C480" s="28"/>
      <c r="D480" s="27"/>
      <c r="J480" s="27"/>
      <c r="K480" s="27"/>
    </row>
    <row r="481">
      <c r="B481" s="28"/>
      <c r="C481" s="28"/>
      <c r="D481" s="27"/>
      <c r="J481" s="27"/>
      <c r="K481" s="27"/>
    </row>
    <row r="482">
      <c r="B482" s="28"/>
      <c r="C482" s="28"/>
      <c r="D482" s="27"/>
      <c r="J482" s="27"/>
      <c r="K482" s="27"/>
    </row>
    <row r="483">
      <c r="B483" s="28"/>
      <c r="C483" s="28"/>
      <c r="D483" s="27"/>
      <c r="J483" s="27"/>
      <c r="K483" s="27"/>
    </row>
    <row r="484">
      <c r="B484" s="28"/>
      <c r="C484" s="28"/>
      <c r="D484" s="27"/>
      <c r="J484" s="27"/>
      <c r="K484" s="27"/>
    </row>
    <row r="485">
      <c r="B485" s="28"/>
      <c r="C485" s="28"/>
      <c r="D485" s="27"/>
      <c r="J485" s="27"/>
      <c r="K485" s="27"/>
    </row>
    <row r="486">
      <c r="B486" s="28"/>
      <c r="C486" s="28"/>
      <c r="D486" s="27"/>
      <c r="J486" s="27"/>
      <c r="K486" s="27"/>
    </row>
    <row r="487">
      <c r="B487" s="28"/>
      <c r="C487" s="28"/>
      <c r="D487" s="27"/>
      <c r="J487" s="27"/>
      <c r="K487" s="27"/>
    </row>
    <row r="488">
      <c r="B488" s="28"/>
      <c r="C488" s="28"/>
      <c r="D488" s="27"/>
      <c r="J488" s="27"/>
      <c r="K488" s="27"/>
    </row>
    <row r="489">
      <c r="B489" s="28"/>
      <c r="C489" s="28"/>
      <c r="D489" s="27"/>
      <c r="J489" s="27"/>
      <c r="K489" s="27"/>
    </row>
    <row r="490">
      <c r="B490" s="28"/>
      <c r="C490" s="28"/>
      <c r="D490" s="27"/>
      <c r="J490" s="27"/>
      <c r="K490" s="27"/>
    </row>
    <row r="491">
      <c r="B491" s="28"/>
      <c r="C491" s="28"/>
      <c r="D491" s="27"/>
      <c r="J491" s="27"/>
      <c r="K491" s="27"/>
    </row>
    <row r="492">
      <c r="B492" s="28"/>
      <c r="C492" s="28"/>
      <c r="D492" s="27"/>
      <c r="J492" s="27"/>
      <c r="K492" s="27"/>
    </row>
    <row r="493">
      <c r="B493" s="28"/>
      <c r="C493" s="28"/>
      <c r="D493" s="27"/>
      <c r="J493" s="27"/>
      <c r="K493" s="27"/>
    </row>
    <row r="494">
      <c r="B494" s="28"/>
      <c r="C494" s="28"/>
      <c r="D494" s="27"/>
      <c r="J494" s="27"/>
      <c r="K494" s="27"/>
    </row>
    <row r="495">
      <c r="B495" s="28"/>
      <c r="C495" s="28"/>
      <c r="D495" s="27"/>
      <c r="J495" s="27"/>
      <c r="K495" s="27"/>
    </row>
    <row r="496">
      <c r="B496" s="28"/>
      <c r="C496" s="28"/>
      <c r="D496" s="27"/>
      <c r="J496" s="27"/>
      <c r="K496" s="27"/>
    </row>
    <row r="497">
      <c r="B497" s="28"/>
      <c r="C497" s="28"/>
      <c r="D497" s="27"/>
      <c r="J497" s="27"/>
      <c r="K497" s="27"/>
    </row>
    <row r="498">
      <c r="B498" s="28"/>
      <c r="C498" s="28"/>
      <c r="D498" s="27"/>
      <c r="J498" s="27"/>
      <c r="K498" s="27"/>
    </row>
    <row r="499">
      <c r="B499" s="28"/>
      <c r="C499" s="28"/>
      <c r="D499" s="27"/>
      <c r="J499" s="27"/>
      <c r="K499" s="27"/>
    </row>
    <row r="500">
      <c r="B500" s="28"/>
      <c r="C500" s="28"/>
      <c r="D500" s="27"/>
      <c r="J500" s="27"/>
      <c r="K500" s="27"/>
    </row>
    <row r="501">
      <c r="B501" s="28"/>
      <c r="C501" s="28"/>
      <c r="D501" s="27"/>
      <c r="J501" s="27"/>
      <c r="K501" s="27"/>
    </row>
    <row r="502">
      <c r="B502" s="28"/>
      <c r="C502" s="28"/>
      <c r="D502" s="27"/>
      <c r="J502" s="27"/>
      <c r="K502" s="27"/>
    </row>
    <row r="503">
      <c r="B503" s="28"/>
      <c r="C503" s="28"/>
      <c r="D503" s="27"/>
      <c r="J503" s="27"/>
      <c r="K503" s="27"/>
    </row>
    <row r="504">
      <c r="B504" s="28"/>
      <c r="C504" s="28"/>
      <c r="D504" s="27"/>
      <c r="J504" s="27"/>
      <c r="K504" s="27"/>
    </row>
    <row r="505">
      <c r="B505" s="28"/>
      <c r="C505" s="28"/>
      <c r="D505" s="27"/>
      <c r="J505" s="27"/>
      <c r="K505" s="27"/>
    </row>
    <row r="506">
      <c r="B506" s="28"/>
      <c r="C506" s="28"/>
      <c r="D506" s="27"/>
      <c r="J506" s="27"/>
      <c r="K506" s="27"/>
    </row>
    <row r="507">
      <c r="B507" s="28"/>
      <c r="C507" s="28"/>
      <c r="D507" s="27"/>
      <c r="J507" s="27"/>
      <c r="K507" s="27"/>
    </row>
    <row r="508">
      <c r="B508" s="28"/>
      <c r="C508" s="28"/>
      <c r="D508" s="27"/>
      <c r="J508" s="27"/>
      <c r="K508" s="27"/>
    </row>
    <row r="509">
      <c r="B509" s="28"/>
      <c r="C509" s="28"/>
      <c r="D509" s="27"/>
      <c r="J509" s="27"/>
      <c r="K509" s="27"/>
    </row>
    <row r="510">
      <c r="B510" s="28"/>
      <c r="C510" s="28"/>
      <c r="D510" s="27"/>
      <c r="J510" s="27"/>
      <c r="K510" s="27"/>
    </row>
    <row r="511">
      <c r="B511" s="28"/>
      <c r="C511" s="28"/>
      <c r="D511" s="27"/>
      <c r="J511" s="27"/>
      <c r="K511" s="27"/>
    </row>
    <row r="512">
      <c r="B512" s="28"/>
      <c r="C512" s="28"/>
      <c r="D512" s="27"/>
      <c r="J512" s="27"/>
      <c r="K512" s="27"/>
    </row>
    <row r="513">
      <c r="B513" s="28"/>
      <c r="C513" s="28"/>
      <c r="D513" s="27"/>
      <c r="J513" s="27"/>
      <c r="K513" s="27"/>
    </row>
    <row r="514">
      <c r="B514" s="28"/>
      <c r="C514" s="28"/>
      <c r="D514" s="27"/>
      <c r="J514" s="27"/>
      <c r="K514" s="27"/>
    </row>
    <row r="515">
      <c r="B515" s="28"/>
      <c r="C515" s="28"/>
      <c r="D515" s="27"/>
      <c r="J515" s="27"/>
      <c r="K515" s="27"/>
    </row>
    <row r="516">
      <c r="B516" s="28"/>
      <c r="C516" s="28"/>
      <c r="D516" s="27"/>
      <c r="J516" s="27"/>
      <c r="K516" s="27"/>
    </row>
    <row r="517">
      <c r="B517" s="28"/>
      <c r="C517" s="28"/>
      <c r="D517" s="27"/>
      <c r="J517" s="27"/>
      <c r="K517" s="27"/>
    </row>
    <row r="518">
      <c r="B518" s="28"/>
      <c r="C518" s="28"/>
      <c r="D518" s="27"/>
      <c r="J518" s="27"/>
      <c r="K518" s="27"/>
    </row>
    <row r="519">
      <c r="B519" s="28"/>
      <c r="C519" s="28"/>
      <c r="D519" s="27"/>
      <c r="J519" s="27"/>
      <c r="K519" s="27"/>
    </row>
    <row r="520">
      <c r="B520" s="28"/>
      <c r="C520" s="28"/>
      <c r="D520" s="27"/>
      <c r="J520" s="27"/>
      <c r="K520" s="27"/>
    </row>
    <row r="521">
      <c r="B521" s="28"/>
      <c r="C521" s="28"/>
      <c r="D521" s="27"/>
      <c r="J521" s="27"/>
      <c r="K521" s="27"/>
    </row>
    <row r="522">
      <c r="B522" s="28"/>
      <c r="C522" s="28"/>
      <c r="D522" s="27"/>
      <c r="J522" s="27"/>
      <c r="K522" s="27"/>
    </row>
    <row r="523">
      <c r="B523" s="28"/>
      <c r="C523" s="28"/>
      <c r="D523" s="27"/>
      <c r="J523" s="27"/>
      <c r="K523" s="27"/>
    </row>
    <row r="524">
      <c r="B524" s="28"/>
      <c r="C524" s="28"/>
      <c r="D524" s="27"/>
      <c r="J524" s="27"/>
      <c r="K524" s="27"/>
    </row>
    <row r="525">
      <c r="B525" s="28"/>
      <c r="C525" s="28"/>
      <c r="D525" s="27"/>
      <c r="J525" s="27"/>
      <c r="K525" s="27"/>
    </row>
    <row r="526">
      <c r="B526" s="28"/>
      <c r="C526" s="28"/>
      <c r="D526" s="27"/>
      <c r="J526" s="27"/>
      <c r="K526" s="27"/>
    </row>
    <row r="527">
      <c r="B527" s="28"/>
      <c r="C527" s="28"/>
      <c r="D527" s="27"/>
      <c r="J527" s="27"/>
      <c r="K527" s="27"/>
    </row>
    <row r="528">
      <c r="B528" s="28"/>
      <c r="C528" s="28"/>
      <c r="D528" s="27"/>
      <c r="J528" s="27"/>
      <c r="K528" s="27"/>
    </row>
    <row r="529">
      <c r="B529" s="28"/>
      <c r="C529" s="28"/>
      <c r="D529" s="27"/>
      <c r="J529" s="27"/>
      <c r="K529" s="27"/>
    </row>
    <row r="530">
      <c r="B530" s="28"/>
      <c r="C530" s="28"/>
      <c r="D530" s="27"/>
      <c r="J530" s="27"/>
      <c r="K530" s="27"/>
    </row>
    <row r="531">
      <c r="B531" s="28"/>
      <c r="C531" s="28"/>
      <c r="D531" s="27"/>
      <c r="J531" s="27"/>
      <c r="K531" s="27"/>
    </row>
    <row r="532">
      <c r="B532" s="28"/>
      <c r="C532" s="28"/>
      <c r="D532" s="27"/>
      <c r="J532" s="27"/>
      <c r="K532" s="27"/>
    </row>
    <row r="533">
      <c r="B533" s="28"/>
      <c r="C533" s="28"/>
      <c r="D533" s="27"/>
      <c r="J533" s="27"/>
      <c r="K533" s="27"/>
    </row>
    <row r="534">
      <c r="B534" s="28"/>
      <c r="C534" s="28"/>
      <c r="D534" s="27"/>
      <c r="J534" s="27"/>
      <c r="K534" s="27"/>
    </row>
    <row r="535">
      <c r="B535" s="28"/>
      <c r="C535" s="28"/>
      <c r="D535" s="27"/>
      <c r="J535" s="27"/>
      <c r="K535" s="27"/>
    </row>
    <row r="536">
      <c r="B536" s="28"/>
      <c r="C536" s="28"/>
      <c r="D536" s="27"/>
      <c r="J536" s="27"/>
      <c r="K536" s="27"/>
    </row>
    <row r="537">
      <c r="B537" s="28"/>
      <c r="C537" s="28"/>
      <c r="D537" s="27"/>
      <c r="J537" s="27"/>
      <c r="K537" s="27"/>
    </row>
    <row r="538">
      <c r="B538" s="28"/>
      <c r="C538" s="28"/>
      <c r="D538" s="27"/>
      <c r="J538" s="27"/>
      <c r="K538" s="27"/>
    </row>
    <row r="539">
      <c r="B539" s="28"/>
      <c r="C539" s="28"/>
      <c r="D539" s="27"/>
      <c r="J539" s="27"/>
      <c r="K539" s="27"/>
    </row>
    <row r="540">
      <c r="B540" s="28"/>
      <c r="C540" s="28"/>
      <c r="D540" s="27"/>
      <c r="J540" s="27"/>
      <c r="K540" s="27"/>
    </row>
    <row r="541">
      <c r="B541" s="28"/>
      <c r="C541" s="28"/>
      <c r="D541" s="27"/>
      <c r="J541" s="27"/>
      <c r="K541" s="27"/>
    </row>
    <row r="542">
      <c r="B542" s="28"/>
      <c r="C542" s="28"/>
      <c r="D542" s="27"/>
      <c r="J542" s="27"/>
      <c r="K542" s="27"/>
    </row>
    <row r="543">
      <c r="B543" s="28"/>
      <c r="C543" s="28"/>
      <c r="D543" s="27"/>
      <c r="J543" s="27"/>
      <c r="K543" s="27"/>
    </row>
    <row r="544">
      <c r="B544" s="28"/>
      <c r="C544" s="28"/>
      <c r="D544" s="27"/>
      <c r="J544" s="27"/>
      <c r="K544" s="27"/>
    </row>
    <row r="545">
      <c r="B545" s="28"/>
      <c r="C545" s="28"/>
      <c r="D545" s="27"/>
      <c r="J545" s="27"/>
      <c r="K545" s="27"/>
    </row>
    <row r="546">
      <c r="B546" s="28"/>
      <c r="C546" s="28"/>
      <c r="D546" s="27"/>
      <c r="J546" s="27"/>
      <c r="K546" s="27"/>
    </row>
    <row r="547">
      <c r="B547" s="28"/>
      <c r="C547" s="28"/>
      <c r="D547" s="27"/>
      <c r="J547" s="27"/>
      <c r="K547" s="27"/>
    </row>
    <row r="548">
      <c r="B548" s="28"/>
      <c r="C548" s="28"/>
      <c r="D548" s="27"/>
      <c r="J548" s="27"/>
      <c r="K548" s="27"/>
    </row>
    <row r="549">
      <c r="B549" s="28"/>
      <c r="C549" s="28"/>
      <c r="D549" s="27"/>
      <c r="J549" s="27"/>
      <c r="K549" s="27"/>
    </row>
    <row r="550">
      <c r="B550" s="28"/>
      <c r="C550" s="28"/>
      <c r="D550" s="27"/>
      <c r="J550" s="27"/>
      <c r="K550" s="27"/>
    </row>
    <row r="551">
      <c r="B551" s="28"/>
      <c r="C551" s="28"/>
      <c r="D551" s="27"/>
      <c r="J551" s="27"/>
      <c r="K551" s="27"/>
    </row>
    <row r="552">
      <c r="B552" s="28"/>
      <c r="C552" s="28"/>
      <c r="D552" s="27"/>
      <c r="J552" s="27"/>
      <c r="K552" s="27"/>
    </row>
    <row r="553">
      <c r="B553" s="28"/>
      <c r="C553" s="28"/>
      <c r="D553" s="27"/>
      <c r="J553" s="27"/>
      <c r="K553" s="27"/>
    </row>
    <row r="554">
      <c r="B554" s="28"/>
      <c r="C554" s="28"/>
      <c r="D554" s="27"/>
      <c r="J554" s="27"/>
      <c r="K554" s="27"/>
    </row>
    <row r="555">
      <c r="B555" s="28"/>
      <c r="C555" s="28"/>
      <c r="D555" s="27"/>
      <c r="J555" s="27"/>
      <c r="K555" s="27"/>
    </row>
    <row r="556">
      <c r="B556" s="28"/>
      <c r="C556" s="28"/>
      <c r="D556" s="27"/>
      <c r="J556" s="27"/>
      <c r="K556" s="27"/>
    </row>
    <row r="557">
      <c r="B557" s="28"/>
      <c r="C557" s="28"/>
      <c r="D557" s="27"/>
      <c r="J557" s="27"/>
      <c r="K557" s="27"/>
    </row>
    <row r="558">
      <c r="B558" s="28"/>
      <c r="C558" s="28"/>
      <c r="D558" s="27"/>
      <c r="J558" s="27"/>
      <c r="K558" s="27"/>
    </row>
    <row r="559">
      <c r="B559" s="28"/>
      <c r="C559" s="28"/>
      <c r="D559" s="27"/>
      <c r="J559" s="27"/>
      <c r="K559" s="27"/>
    </row>
    <row r="560">
      <c r="B560" s="28"/>
      <c r="C560" s="28"/>
      <c r="D560" s="27"/>
      <c r="J560" s="27"/>
      <c r="K560" s="27"/>
    </row>
    <row r="561">
      <c r="B561" s="28"/>
      <c r="C561" s="28"/>
      <c r="D561" s="27"/>
      <c r="J561" s="27"/>
      <c r="K561" s="27"/>
    </row>
    <row r="562">
      <c r="B562" s="28"/>
      <c r="C562" s="28"/>
      <c r="D562" s="27"/>
      <c r="J562" s="27"/>
      <c r="K562" s="27"/>
    </row>
    <row r="563">
      <c r="B563" s="28"/>
      <c r="C563" s="28"/>
      <c r="D563" s="27"/>
      <c r="J563" s="27"/>
      <c r="K563" s="27"/>
    </row>
    <row r="564">
      <c r="B564" s="28"/>
      <c r="C564" s="28"/>
      <c r="D564" s="27"/>
      <c r="J564" s="27"/>
      <c r="K564" s="27"/>
    </row>
    <row r="565">
      <c r="B565" s="28"/>
      <c r="C565" s="28"/>
      <c r="D565" s="27"/>
      <c r="J565" s="27"/>
      <c r="K565" s="27"/>
    </row>
    <row r="566">
      <c r="B566" s="28"/>
      <c r="C566" s="28"/>
      <c r="D566" s="27"/>
      <c r="J566" s="27"/>
      <c r="K566" s="27"/>
    </row>
    <row r="567">
      <c r="B567" s="28"/>
      <c r="C567" s="28"/>
      <c r="D567" s="27"/>
      <c r="J567" s="27"/>
      <c r="K567" s="27"/>
    </row>
    <row r="568">
      <c r="B568" s="28"/>
      <c r="C568" s="28"/>
      <c r="D568" s="27"/>
      <c r="J568" s="27"/>
      <c r="K568" s="27"/>
    </row>
    <row r="569">
      <c r="B569" s="28"/>
      <c r="C569" s="28"/>
      <c r="D569" s="27"/>
      <c r="J569" s="27"/>
      <c r="K569" s="27"/>
    </row>
    <row r="570">
      <c r="B570" s="28"/>
      <c r="C570" s="28"/>
      <c r="D570" s="27"/>
      <c r="J570" s="27"/>
      <c r="K570" s="27"/>
    </row>
    <row r="571">
      <c r="B571" s="28"/>
      <c r="C571" s="28"/>
      <c r="D571" s="27"/>
      <c r="J571" s="27"/>
      <c r="K571" s="27"/>
    </row>
    <row r="572">
      <c r="B572" s="28"/>
      <c r="C572" s="28"/>
      <c r="D572" s="27"/>
      <c r="J572" s="27"/>
      <c r="K572" s="27"/>
    </row>
    <row r="573">
      <c r="B573" s="28"/>
      <c r="C573" s="28"/>
      <c r="D573" s="27"/>
      <c r="J573" s="27"/>
      <c r="K573" s="27"/>
    </row>
    <row r="574">
      <c r="B574" s="28"/>
      <c r="C574" s="28"/>
      <c r="D574" s="27"/>
      <c r="J574" s="27"/>
      <c r="K574" s="27"/>
    </row>
    <row r="575">
      <c r="B575" s="28"/>
      <c r="C575" s="28"/>
      <c r="D575" s="27"/>
      <c r="J575" s="27"/>
      <c r="K575" s="27"/>
    </row>
    <row r="576">
      <c r="B576" s="28"/>
      <c r="C576" s="28"/>
      <c r="D576" s="27"/>
      <c r="J576" s="27"/>
      <c r="K576" s="27"/>
    </row>
    <row r="577">
      <c r="B577" s="28"/>
      <c r="C577" s="28"/>
      <c r="D577" s="27"/>
      <c r="J577" s="27"/>
      <c r="K577" s="27"/>
    </row>
    <row r="578">
      <c r="B578" s="28"/>
      <c r="C578" s="28"/>
      <c r="D578" s="27"/>
      <c r="J578" s="27"/>
      <c r="K578" s="27"/>
    </row>
    <row r="579">
      <c r="B579" s="28"/>
      <c r="C579" s="28"/>
      <c r="D579" s="27"/>
      <c r="J579" s="27"/>
      <c r="K579" s="27"/>
    </row>
    <row r="580">
      <c r="B580" s="28"/>
      <c r="C580" s="28"/>
      <c r="D580" s="27"/>
      <c r="J580" s="27"/>
      <c r="K580" s="27"/>
    </row>
    <row r="581">
      <c r="B581" s="28"/>
      <c r="C581" s="28"/>
      <c r="D581" s="27"/>
      <c r="J581" s="27"/>
      <c r="K581" s="27"/>
    </row>
    <row r="582">
      <c r="B582" s="28"/>
      <c r="C582" s="28"/>
      <c r="D582" s="27"/>
      <c r="J582" s="27"/>
      <c r="K582" s="27"/>
    </row>
    <row r="583">
      <c r="B583" s="28"/>
      <c r="C583" s="28"/>
      <c r="D583" s="27"/>
      <c r="J583" s="27"/>
      <c r="K583" s="27"/>
    </row>
    <row r="584">
      <c r="B584" s="28"/>
      <c r="C584" s="28"/>
      <c r="D584" s="27"/>
      <c r="J584" s="27"/>
      <c r="K584" s="27"/>
    </row>
    <row r="585">
      <c r="B585" s="28"/>
      <c r="C585" s="28"/>
      <c r="D585" s="27"/>
      <c r="J585" s="27"/>
      <c r="K585" s="27"/>
    </row>
    <row r="586">
      <c r="B586" s="28"/>
      <c r="C586" s="28"/>
      <c r="D586" s="27"/>
      <c r="J586" s="27"/>
      <c r="K586" s="27"/>
    </row>
    <row r="587">
      <c r="B587" s="28"/>
      <c r="C587" s="28"/>
      <c r="D587" s="27"/>
      <c r="J587" s="27"/>
      <c r="K587" s="27"/>
    </row>
    <row r="588">
      <c r="B588" s="28"/>
      <c r="C588" s="28"/>
      <c r="D588" s="27"/>
      <c r="J588" s="27"/>
      <c r="K588" s="27"/>
    </row>
    <row r="589">
      <c r="B589" s="28"/>
      <c r="C589" s="28"/>
      <c r="D589" s="27"/>
      <c r="J589" s="27"/>
      <c r="K589" s="27"/>
    </row>
    <row r="590">
      <c r="B590" s="28"/>
      <c r="C590" s="28"/>
      <c r="D590" s="27"/>
      <c r="J590" s="27"/>
      <c r="K590" s="27"/>
    </row>
    <row r="591">
      <c r="B591" s="28"/>
      <c r="C591" s="28"/>
      <c r="D591" s="27"/>
      <c r="J591" s="27"/>
      <c r="K591" s="27"/>
    </row>
    <row r="592">
      <c r="B592" s="28"/>
      <c r="C592" s="28"/>
      <c r="D592" s="27"/>
      <c r="J592" s="27"/>
      <c r="K592" s="27"/>
    </row>
    <row r="593">
      <c r="B593" s="28"/>
      <c r="C593" s="28"/>
      <c r="D593" s="27"/>
      <c r="J593" s="27"/>
      <c r="K593" s="27"/>
    </row>
    <row r="594">
      <c r="B594" s="28"/>
      <c r="C594" s="28"/>
      <c r="D594" s="27"/>
      <c r="J594" s="27"/>
      <c r="K594" s="27"/>
    </row>
    <row r="595">
      <c r="B595" s="28"/>
      <c r="C595" s="28"/>
      <c r="D595" s="27"/>
      <c r="J595" s="27"/>
      <c r="K595" s="27"/>
    </row>
    <row r="596">
      <c r="B596" s="28"/>
      <c r="C596" s="28"/>
      <c r="D596" s="27"/>
      <c r="J596" s="27"/>
      <c r="K596" s="27"/>
    </row>
    <row r="597">
      <c r="B597" s="28"/>
      <c r="C597" s="28"/>
      <c r="D597" s="27"/>
      <c r="J597" s="27"/>
      <c r="K597" s="27"/>
    </row>
    <row r="598">
      <c r="B598" s="28"/>
      <c r="C598" s="28"/>
      <c r="D598" s="27"/>
      <c r="J598" s="27"/>
      <c r="K598" s="27"/>
    </row>
    <row r="599">
      <c r="B599" s="28"/>
      <c r="C599" s="28"/>
      <c r="D599" s="27"/>
      <c r="J599" s="27"/>
      <c r="K599" s="27"/>
    </row>
    <row r="600">
      <c r="B600" s="28"/>
      <c r="C600" s="28"/>
      <c r="D600" s="27"/>
      <c r="J600" s="27"/>
      <c r="K600" s="27"/>
    </row>
    <row r="601">
      <c r="B601" s="28"/>
      <c r="C601" s="28"/>
      <c r="D601" s="27"/>
      <c r="J601" s="27"/>
      <c r="K601" s="27"/>
    </row>
    <row r="602">
      <c r="B602" s="28"/>
      <c r="C602" s="28"/>
      <c r="D602" s="27"/>
      <c r="J602" s="27"/>
      <c r="K602" s="27"/>
    </row>
    <row r="603">
      <c r="B603" s="28"/>
      <c r="C603" s="28"/>
      <c r="D603" s="27"/>
      <c r="J603" s="27"/>
      <c r="K603" s="27"/>
    </row>
    <row r="604">
      <c r="B604" s="28"/>
      <c r="C604" s="28"/>
      <c r="D604" s="27"/>
      <c r="J604" s="27"/>
      <c r="K604" s="27"/>
    </row>
    <row r="605">
      <c r="B605" s="28"/>
      <c r="C605" s="28"/>
      <c r="D605" s="27"/>
      <c r="J605" s="27"/>
      <c r="K605" s="27"/>
    </row>
    <row r="606">
      <c r="B606" s="28"/>
      <c r="C606" s="28"/>
      <c r="D606" s="27"/>
      <c r="J606" s="27"/>
      <c r="K606" s="27"/>
    </row>
    <row r="607">
      <c r="B607" s="28"/>
      <c r="C607" s="28"/>
      <c r="D607" s="27"/>
      <c r="J607" s="27"/>
      <c r="K607" s="27"/>
    </row>
    <row r="608">
      <c r="B608" s="28"/>
      <c r="C608" s="28"/>
      <c r="D608" s="27"/>
      <c r="J608" s="27"/>
      <c r="K608" s="27"/>
    </row>
    <row r="609">
      <c r="B609" s="28"/>
      <c r="C609" s="28"/>
      <c r="D609" s="27"/>
      <c r="J609" s="27"/>
      <c r="K609" s="27"/>
    </row>
    <row r="610">
      <c r="B610" s="28"/>
      <c r="C610" s="28"/>
      <c r="D610" s="27"/>
      <c r="J610" s="27"/>
      <c r="K610" s="27"/>
    </row>
    <row r="611">
      <c r="B611" s="28"/>
      <c r="C611" s="28"/>
      <c r="D611" s="27"/>
      <c r="J611" s="27"/>
      <c r="K611" s="27"/>
    </row>
    <row r="612">
      <c r="B612" s="28"/>
      <c r="C612" s="28"/>
      <c r="D612" s="27"/>
      <c r="J612" s="27"/>
      <c r="K612" s="27"/>
    </row>
    <row r="613">
      <c r="B613" s="28"/>
      <c r="C613" s="28"/>
      <c r="D613" s="27"/>
      <c r="J613" s="27"/>
      <c r="K613" s="27"/>
    </row>
    <row r="614">
      <c r="B614" s="28"/>
      <c r="C614" s="28"/>
      <c r="D614" s="27"/>
      <c r="J614" s="27"/>
      <c r="K614" s="27"/>
    </row>
    <row r="615">
      <c r="B615" s="28"/>
      <c r="C615" s="28"/>
      <c r="D615" s="27"/>
      <c r="J615" s="27"/>
      <c r="K615" s="27"/>
    </row>
    <row r="616">
      <c r="B616" s="28"/>
      <c r="C616" s="28"/>
      <c r="D616" s="27"/>
      <c r="J616" s="27"/>
      <c r="K616" s="27"/>
    </row>
    <row r="617">
      <c r="B617" s="28"/>
      <c r="C617" s="28"/>
      <c r="D617" s="27"/>
      <c r="J617" s="27"/>
      <c r="K617" s="27"/>
    </row>
    <row r="618">
      <c r="B618" s="28"/>
      <c r="C618" s="28"/>
      <c r="D618" s="27"/>
      <c r="J618" s="27"/>
      <c r="K618" s="27"/>
    </row>
    <row r="619">
      <c r="B619" s="28"/>
      <c r="C619" s="28"/>
      <c r="D619" s="27"/>
      <c r="J619" s="27"/>
      <c r="K619" s="27"/>
    </row>
    <row r="620">
      <c r="B620" s="28"/>
      <c r="C620" s="28"/>
      <c r="D620" s="27"/>
      <c r="J620" s="27"/>
      <c r="K620" s="27"/>
    </row>
    <row r="621">
      <c r="B621" s="28"/>
      <c r="C621" s="28"/>
      <c r="D621" s="27"/>
      <c r="J621" s="27"/>
      <c r="K621" s="27"/>
    </row>
    <row r="622">
      <c r="B622" s="28"/>
      <c r="C622" s="28"/>
      <c r="D622" s="27"/>
      <c r="J622" s="27"/>
      <c r="K622" s="27"/>
    </row>
    <row r="623">
      <c r="B623" s="28"/>
      <c r="C623" s="28"/>
      <c r="D623" s="27"/>
      <c r="J623" s="27"/>
      <c r="K623" s="27"/>
    </row>
    <row r="624">
      <c r="B624" s="28"/>
      <c r="C624" s="28"/>
      <c r="D624" s="27"/>
      <c r="J624" s="27"/>
      <c r="K624" s="27"/>
    </row>
    <row r="625">
      <c r="B625" s="28"/>
      <c r="C625" s="28"/>
      <c r="D625" s="27"/>
      <c r="J625" s="27"/>
      <c r="K625" s="27"/>
    </row>
    <row r="626">
      <c r="B626" s="28"/>
      <c r="C626" s="28"/>
      <c r="D626" s="27"/>
      <c r="J626" s="27"/>
      <c r="K626" s="27"/>
    </row>
    <row r="627">
      <c r="B627" s="28"/>
      <c r="C627" s="28"/>
      <c r="D627" s="27"/>
      <c r="J627" s="27"/>
      <c r="K627" s="27"/>
    </row>
    <row r="628">
      <c r="B628" s="28"/>
      <c r="C628" s="28"/>
      <c r="D628" s="27"/>
      <c r="J628" s="27"/>
      <c r="K628" s="27"/>
    </row>
    <row r="629">
      <c r="B629" s="28"/>
      <c r="C629" s="28"/>
      <c r="D629" s="27"/>
      <c r="J629" s="27"/>
      <c r="K629" s="27"/>
    </row>
    <row r="630">
      <c r="B630" s="28"/>
      <c r="C630" s="28"/>
      <c r="D630" s="27"/>
      <c r="J630" s="27"/>
      <c r="K630" s="27"/>
    </row>
    <row r="631">
      <c r="B631" s="28"/>
      <c r="C631" s="28"/>
      <c r="D631" s="27"/>
      <c r="J631" s="27"/>
      <c r="K631" s="27"/>
    </row>
    <row r="632">
      <c r="B632" s="28"/>
      <c r="C632" s="28"/>
      <c r="D632" s="27"/>
      <c r="J632" s="27"/>
      <c r="K632" s="27"/>
    </row>
    <row r="633">
      <c r="B633" s="28"/>
      <c r="C633" s="28"/>
      <c r="D633" s="27"/>
      <c r="J633" s="27"/>
      <c r="K633" s="27"/>
    </row>
    <row r="634">
      <c r="B634" s="28"/>
      <c r="C634" s="28"/>
      <c r="D634" s="27"/>
      <c r="J634" s="27"/>
      <c r="K634" s="27"/>
    </row>
    <row r="635">
      <c r="B635" s="28"/>
      <c r="C635" s="28"/>
      <c r="D635" s="27"/>
      <c r="J635" s="27"/>
      <c r="K635" s="27"/>
    </row>
    <row r="636">
      <c r="B636" s="28"/>
      <c r="C636" s="28"/>
      <c r="D636" s="27"/>
      <c r="J636" s="27"/>
      <c r="K636" s="27"/>
    </row>
    <row r="637">
      <c r="B637" s="28"/>
      <c r="C637" s="28"/>
      <c r="D637" s="27"/>
      <c r="J637" s="27"/>
      <c r="K637" s="27"/>
    </row>
    <row r="638">
      <c r="B638" s="28"/>
      <c r="C638" s="28"/>
      <c r="D638" s="27"/>
      <c r="J638" s="27"/>
      <c r="K638" s="27"/>
    </row>
    <row r="639">
      <c r="B639" s="28"/>
      <c r="C639" s="28"/>
      <c r="D639" s="27"/>
      <c r="J639" s="27"/>
      <c r="K639" s="27"/>
    </row>
    <row r="640">
      <c r="B640" s="28"/>
      <c r="C640" s="28"/>
      <c r="D640" s="27"/>
      <c r="J640" s="27"/>
      <c r="K640" s="27"/>
    </row>
    <row r="641">
      <c r="B641" s="28"/>
      <c r="C641" s="28"/>
      <c r="D641" s="27"/>
      <c r="J641" s="27"/>
      <c r="K641" s="27"/>
    </row>
    <row r="642">
      <c r="B642" s="28"/>
      <c r="C642" s="28"/>
      <c r="D642" s="27"/>
      <c r="J642" s="27"/>
      <c r="K642" s="27"/>
    </row>
    <row r="643">
      <c r="B643" s="28"/>
      <c r="C643" s="28"/>
      <c r="D643" s="27"/>
      <c r="J643" s="27"/>
      <c r="K643" s="27"/>
    </row>
    <row r="644">
      <c r="B644" s="28"/>
      <c r="C644" s="28"/>
      <c r="D644" s="27"/>
      <c r="J644" s="27"/>
      <c r="K644" s="27"/>
    </row>
    <row r="645">
      <c r="B645" s="28"/>
      <c r="C645" s="28"/>
      <c r="D645" s="27"/>
      <c r="J645" s="27"/>
      <c r="K645" s="27"/>
    </row>
    <row r="646">
      <c r="B646" s="28"/>
      <c r="C646" s="28"/>
      <c r="D646" s="27"/>
      <c r="J646" s="27"/>
      <c r="K646" s="27"/>
    </row>
    <row r="647">
      <c r="B647" s="28"/>
      <c r="C647" s="28"/>
      <c r="D647" s="27"/>
      <c r="J647" s="27"/>
      <c r="K647" s="27"/>
    </row>
    <row r="648">
      <c r="B648" s="28"/>
      <c r="C648" s="28"/>
      <c r="D648" s="27"/>
      <c r="J648" s="27"/>
      <c r="K648" s="27"/>
    </row>
    <row r="649">
      <c r="B649" s="28"/>
      <c r="C649" s="28"/>
      <c r="D649" s="27"/>
      <c r="J649" s="27"/>
      <c r="K649" s="27"/>
    </row>
    <row r="650">
      <c r="B650" s="28"/>
      <c r="C650" s="28"/>
      <c r="D650" s="27"/>
      <c r="J650" s="27"/>
      <c r="K650" s="27"/>
    </row>
    <row r="651">
      <c r="B651" s="28"/>
      <c r="C651" s="28"/>
      <c r="D651" s="27"/>
      <c r="J651" s="27"/>
      <c r="K651" s="27"/>
    </row>
    <row r="652">
      <c r="B652" s="28"/>
      <c r="C652" s="28"/>
      <c r="D652" s="27"/>
      <c r="J652" s="27"/>
      <c r="K652" s="27"/>
    </row>
    <row r="653">
      <c r="B653" s="28"/>
      <c r="C653" s="28"/>
      <c r="D653" s="27"/>
      <c r="J653" s="27"/>
      <c r="K653" s="27"/>
    </row>
    <row r="654">
      <c r="B654" s="28"/>
      <c r="C654" s="28"/>
      <c r="D654" s="27"/>
      <c r="J654" s="27"/>
      <c r="K654" s="27"/>
    </row>
    <row r="655">
      <c r="B655" s="28"/>
      <c r="C655" s="28"/>
      <c r="D655" s="27"/>
      <c r="J655" s="27"/>
      <c r="K655" s="27"/>
    </row>
    <row r="656">
      <c r="B656" s="28"/>
      <c r="C656" s="28"/>
      <c r="D656" s="27"/>
      <c r="J656" s="27"/>
      <c r="K656" s="27"/>
    </row>
    <row r="657">
      <c r="B657" s="28"/>
      <c r="C657" s="28"/>
      <c r="D657" s="27"/>
      <c r="J657" s="27"/>
      <c r="K657" s="27"/>
    </row>
    <row r="658">
      <c r="B658" s="28"/>
      <c r="C658" s="28"/>
      <c r="D658" s="27"/>
      <c r="J658" s="27"/>
      <c r="K658" s="27"/>
    </row>
    <row r="659">
      <c r="B659" s="28"/>
      <c r="C659" s="28"/>
      <c r="D659" s="27"/>
      <c r="J659" s="27"/>
      <c r="K659" s="27"/>
    </row>
    <row r="660">
      <c r="B660" s="28"/>
      <c r="C660" s="28"/>
      <c r="D660" s="27"/>
      <c r="J660" s="27"/>
      <c r="K660" s="27"/>
    </row>
    <row r="661">
      <c r="B661" s="28"/>
      <c r="C661" s="28"/>
      <c r="D661" s="27"/>
      <c r="J661" s="27"/>
      <c r="K661" s="27"/>
    </row>
    <row r="662">
      <c r="B662" s="28"/>
      <c r="C662" s="28"/>
      <c r="D662" s="27"/>
      <c r="J662" s="27"/>
      <c r="K662" s="27"/>
    </row>
    <row r="663">
      <c r="B663" s="28"/>
      <c r="C663" s="28"/>
      <c r="D663" s="27"/>
      <c r="J663" s="27"/>
      <c r="K663" s="27"/>
    </row>
    <row r="664">
      <c r="B664" s="28"/>
      <c r="C664" s="28"/>
      <c r="D664" s="27"/>
      <c r="J664" s="27"/>
      <c r="K664" s="27"/>
    </row>
    <row r="665">
      <c r="B665" s="28"/>
      <c r="C665" s="28"/>
      <c r="D665" s="27"/>
      <c r="J665" s="27"/>
      <c r="K665" s="27"/>
    </row>
    <row r="666">
      <c r="B666" s="28"/>
      <c r="C666" s="28"/>
      <c r="D666" s="27"/>
      <c r="J666" s="27"/>
      <c r="K666" s="27"/>
    </row>
    <row r="667">
      <c r="B667" s="28"/>
      <c r="C667" s="28"/>
      <c r="D667" s="27"/>
      <c r="J667" s="27"/>
      <c r="K667" s="27"/>
    </row>
    <row r="668">
      <c r="B668" s="28"/>
      <c r="C668" s="28"/>
      <c r="D668" s="27"/>
      <c r="J668" s="27"/>
      <c r="K668" s="27"/>
    </row>
    <row r="669">
      <c r="B669" s="28"/>
      <c r="C669" s="28"/>
      <c r="D669" s="27"/>
      <c r="J669" s="27"/>
      <c r="K669" s="27"/>
    </row>
    <row r="670">
      <c r="B670" s="28"/>
      <c r="C670" s="28"/>
      <c r="D670" s="27"/>
      <c r="J670" s="27"/>
      <c r="K670" s="27"/>
    </row>
    <row r="671">
      <c r="B671" s="28"/>
      <c r="C671" s="28"/>
      <c r="D671" s="27"/>
      <c r="J671" s="27"/>
      <c r="K671" s="27"/>
    </row>
    <row r="672">
      <c r="B672" s="28"/>
      <c r="C672" s="28"/>
      <c r="D672" s="27"/>
      <c r="J672" s="27"/>
      <c r="K672" s="27"/>
    </row>
    <row r="673">
      <c r="B673" s="28"/>
      <c r="C673" s="28"/>
      <c r="D673" s="27"/>
      <c r="J673" s="27"/>
      <c r="K673" s="27"/>
    </row>
    <row r="674">
      <c r="B674" s="28"/>
      <c r="C674" s="28"/>
      <c r="D674" s="27"/>
      <c r="J674" s="27"/>
      <c r="K674" s="27"/>
    </row>
    <row r="675">
      <c r="B675" s="28"/>
      <c r="C675" s="28"/>
      <c r="D675" s="27"/>
      <c r="J675" s="27"/>
      <c r="K675" s="27"/>
    </row>
    <row r="676">
      <c r="B676" s="28"/>
      <c r="C676" s="28"/>
      <c r="D676" s="27"/>
      <c r="J676" s="27"/>
      <c r="K676" s="27"/>
    </row>
    <row r="677">
      <c r="B677" s="28"/>
      <c r="C677" s="28"/>
      <c r="D677" s="27"/>
      <c r="J677" s="27"/>
      <c r="K677" s="27"/>
    </row>
    <row r="678">
      <c r="B678" s="28"/>
      <c r="C678" s="28"/>
      <c r="D678" s="27"/>
      <c r="J678" s="27"/>
      <c r="K678" s="27"/>
    </row>
    <row r="679">
      <c r="B679" s="28"/>
      <c r="C679" s="28"/>
      <c r="D679" s="27"/>
      <c r="J679" s="27"/>
      <c r="K679" s="27"/>
    </row>
    <row r="680">
      <c r="B680" s="28"/>
      <c r="C680" s="28"/>
      <c r="D680" s="27"/>
      <c r="J680" s="27"/>
      <c r="K680" s="27"/>
    </row>
    <row r="681">
      <c r="B681" s="28"/>
      <c r="C681" s="28"/>
      <c r="D681" s="27"/>
      <c r="J681" s="27"/>
      <c r="K681" s="27"/>
    </row>
    <row r="682">
      <c r="B682" s="28"/>
      <c r="C682" s="28"/>
      <c r="D682" s="27"/>
      <c r="J682" s="27"/>
      <c r="K682" s="27"/>
    </row>
    <row r="683">
      <c r="B683" s="28"/>
      <c r="C683" s="28"/>
      <c r="D683" s="27"/>
      <c r="J683" s="27"/>
      <c r="K683" s="27"/>
    </row>
    <row r="684">
      <c r="B684" s="28"/>
      <c r="C684" s="28"/>
      <c r="D684" s="27"/>
      <c r="J684" s="27"/>
      <c r="K684" s="27"/>
    </row>
    <row r="685">
      <c r="B685" s="28"/>
      <c r="C685" s="28"/>
      <c r="D685" s="27"/>
      <c r="J685" s="27"/>
      <c r="K685" s="27"/>
    </row>
    <row r="686">
      <c r="B686" s="28"/>
      <c r="C686" s="28"/>
      <c r="D686" s="27"/>
      <c r="J686" s="27"/>
      <c r="K686" s="27"/>
    </row>
    <row r="687">
      <c r="B687" s="28"/>
      <c r="C687" s="28"/>
      <c r="D687" s="27"/>
      <c r="J687" s="27"/>
      <c r="K687" s="27"/>
    </row>
    <row r="688">
      <c r="B688" s="28"/>
      <c r="C688" s="28"/>
      <c r="D688" s="27"/>
      <c r="J688" s="27"/>
      <c r="K688" s="27"/>
    </row>
    <row r="689">
      <c r="B689" s="28"/>
      <c r="C689" s="28"/>
      <c r="D689" s="27"/>
      <c r="J689" s="27"/>
      <c r="K689" s="27"/>
    </row>
    <row r="690">
      <c r="B690" s="28"/>
      <c r="C690" s="28"/>
      <c r="D690" s="27"/>
      <c r="J690" s="27"/>
      <c r="K690" s="27"/>
    </row>
    <row r="691">
      <c r="B691" s="28"/>
      <c r="C691" s="28"/>
      <c r="D691" s="27"/>
      <c r="J691" s="27"/>
      <c r="K691" s="27"/>
    </row>
    <row r="692">
      <c r="B692" s="28"/>
      <c r="C692" s="28"/>
      <c r="D692" s="27"/>
      <c r="J692" s="27"/>
      <c r="K692" s="27"/>
    </row>
    <row r="693">
      <c r="B693" s="28"/>
      <c r="C693" s="28"/>
      <c r="D693" s="27"/>
      <c r="J693" s="27"/>
      <c r="K693" s="27"/>
    </row>
    <row r="694">
      <c r="B694" s="28"/>
      <c r="C694" s="28"/>
      <c r="D694" s="27"/>
      <c r="J694" s="27"/>
      <c r="K694" s="27"/>
    </row>
    <row r="695">
      <c r="B695" s="28"/>
      <c r="C695" s="28"/>
      <c r="D695" s="27"/>
      <c r="J695" s="27"/>
      <c r="K695" s="27"/>
    </row>
    <row r="696">
      <c r="B696" s="28"/>
      <c r="C696" s="28"/>
      <c r="D696" s="27"/>
      <c r="J696" s="27"/>
      <c r="K696" s="27"/>
    </row>
    <row r="697">
      <c r="B697" s="28"/>
      <c r="C697" s="28"/>
      <c r="D697" s="27"/>
      <c r="J697" s="27"/>
      <c r="K697" s="27"/>
    </row>
    <row r="698">
      <c r="B698" s="28"/>
      <c r="C698" s="28"/>
      <c r="D698" s="27"/>
      <c r="J698" s="27"/>
      <c r="K698" s="27"/>
    </row>
    <row r="699">
      <c r="B699" s="28"/>
      <c r="C699" s="28"/>
      <c r="D699" s="27"/>
      <c r="J699" s="27"/>
      <c r="K699" s="27"/>
    </row>
    <row r="700">
      <c r="B700" s="28"/>
      <c r="C700" s="28"/>
      <c r="D700" s="27"/>
      <c r="J700" s="27"/>
      <c r="K700" s="27"/>
    </row>
    <row r="701">
      <c r="B701" s="28"/>
      <c r="C701" s="28"/>
      <c r="D701" s="27"/>
      <c r="J701" s="27"/>
      <c r="K701" s="27"/>
    </row>
    <row r="702">
      <c r="B702" s="28"/>
      <c r="C702" s="28"/>
      <c r="D702" s="27"/>
      <c r="J702" s="27"/>
      <c r="K702" s="27"/>
    </row>
    <row r="703">
      <c r="B703" s="28"/>
      <c r="C703" s="28"/>
      <c r="D703" s="27"/>
      <c r="J703" s="27"/>
      <c r="K703" s="27"/>
    </row>
    <row r="704">
      <c r="B704" s="28"/>
      <c r="C704" s="28"/>
      <c r="D704" s="27"/>
      <c r="J704" s="27"/>
      <c r="K704" s="27"/>
    </row>
    <row r="705">
      <c r="B705" s="28"/>
      <c r="C705" s="28"/>
      <c r="D705" s="27"/>
      <c r="J705" s="27"/>
      <c r="K705" s="27"/>
    </row>
    <row r="706">
      <c r="B706" s="28"/>
      <c r="C706" s="28"/>
      <c r="D706" s="27"/>
      <c r="J706" s="27"/>
      <c r="K706" s="27"/>
    </row>
    <row r="707">
      <c r="B707" s="28"/>
      <c r="C707" s="28"/>
      <c r="D707" s="27"/>
      <c r="J707" s="27"/>
      <c r="K707" s="27"/>
    </row>
    <row r="708">
      <c r="B708" s="28"/>
      <c r="C708" s="28"/>
      <c r="D708" s="27"/>
      <c r="J708" s="27"/>
      <c r="K708" s="27"/>
    </row>
    <row r="709">
      <c r="B709" s="28"/>
      <c r="C709" s="28"/>
      <c r="D709" s="27"/>
      <c r="J709" s="27"/>
      <c r="K709" s="27"/>
    </row>
    <row r="710">
      <c r="B710" s="28"/>
      <c r="C710" s="28"/>
      <c r="D710" s="27"/>
      <c r="J710" s="27"/>
      <c r="K710" s="27"/>
    </row>
    <row r="711">
      <c r="B711" s="28"/>
      <c r="C711" s="28"/>
      <c r="D711" s="27"/>
      <c r="J711" s="27"/>
      <c r="K711" s="27"/>
    </row>
    <row r="712">
      <c r="B712" s="28"/>
      <c r="C712" s="28"/>
      <c r="D712" s="27"/>
      <c r="J712" s="27"/>
      <c r="K712" s="27"/>
    </row>
    <row r="713">
      <c r="B713" s="28"/>
      <c r="C713" s="28"/>
      <c r="D713" s="27"/>
      <c r="J713" s="27"/>
      <c r="K713" s="27"/>
    </row>
    <row r="714">
      <c r="B714" s="28"/>
      <c r="C714" s="28"/>
      <c r="D714" s="27"/>
      <c r="J714" s="27"/>
      <c r="K714" s="27"/>
    </row>
    <row r="715">
      <c r="B715" s="28"/>
      <c r="C715" s="28"/>
      <c r="D715" s="27"/>
      <c r="J715" s="27"/>
      <c r="K715" s="27"/>
    </row>
    <row r="716">
      <c r="B716" s="28"/>
      <c r="C716" s="28"/>
      <c r="D716" s="27"/>
      <c r="J716" s="27"/>
      <c r="K716" s="27"/>
    </row>
    <row r="717">
      <c r="B717" s="28"/>
      <c r="C717" s="28"/>
      <c r="D717" s="27"/>
      <c r="J717" s="27"/>
      <c r="K717" s="27"/>
    </row>
    <row r="718">
      <c r="B718" s="28"/>
      <c r="C718" s="28"/>
      <c r="D718" s="27"/>
      <c r="J718" s="27"/>
      <c r="K718" s="27"/>
    </row>
    <row r="719">
      <c r="B719" s="28"/>
      <c r="C719" s="28"/>
      <c r="D719" s="27"/>
      <c r="J719" s="27"/>
      <c r="K719" s="27"/>
    </row>
    <row r="720">
      <c r="B720" s="28"/>
      <c r="C720" s="28"/>
      <c r="D720" s="27"/>
      <c r="J720" s="27"/>
      <c r="K720" s="27"/>
    </row>
    <row r="721">
      <c r="B721" s="28"/>
      <c r="C721" s="28"/>
      <c r="D721" s="27"/>
      <c r="J721" s="27"/>
      <c r="K721" s="27"/>
    </row>
    <row r="722">
      <c r="B722" s="28"/>
      <c r="C722" s="28"/>
      <c r="D722" s="27"/>
      <c r="J722" s="27"/>
      <c r="K722" s="27"/>
    </row>
    <row r="723">
      <c r="B723" s="28"/>
      <c r="C723" s="28"/>
      <c r="D723" s="27"/>
      <c r="J723" s="27"/>
      <c r="K723" s="27"/>
    </row>
    <row r="724">
      <c r="B724" s="28"/>
      <c r="C724" s="28"/>
      <c r="D724" s="27"/>
      <c r="J724" s="27"/>
      <c r="K724" s="27"/>
    </row>
    <row r="725">
      <c r="B725" s="28"/>
      <c r="C725" s="28"/>
      <c r="D725" s="27"/>
      <c r="J725" s="27"/>
      <c r="K725" s="27"/>
    </row>
    <row r="726">
      <c r="B726" s="28"/>
      <c r="C726" s="28"/>
      <c r="D726" s="27"/>
      <c r="J726" s="27"/>
      <c r="K726" s="27"/>
    </row>
    <row r="727">
      <c r="B727" s="28"/>
      <c r="C727" s="28"/>
      <c r="D727" s="27"/>
      <c r="J727" s="27"/>
      <c r="K727" s="27"/>
    </row>
    <row r="728">
      <c r="B728" s="28"/>
      <c r="C728" s="28"/>
      <c r="D728" s="27"/>
      <c r="J728" s="27"/>
      <c r="K728" s="27"/>
    </row>
    <row r="729">
      <c r="B729" s="28"/>
      <c r="C729" s="28"/>
      <c r="D729" s="27"/>
      <c r="J729" s="27"/>
      <c r="K729" s="27"/>
    </row>
    <row r="730">
      <c r="B730" s="28"/>
      <c r="C730" s="28"/>
      <c r="D730" s="27"/>
      <c r="J730" s="27"/>
      <c r="K730" s="27"/>
    </row>
    <row r="731">
      <c r="B731" s="28"/>
      <c r="C731" s="28"/>
      <c r="D731" s="27"/>
      <c r="J731" s="27"/>
      <c r="K731" s="27"/>
    </row>
    <row r="732">
      <c r="B732" s="28"/>
      <c r="C732" s="28"/>
      <c r="D732" s="27"/>
      <c r="J732" s="27"/>
      <c r="K732" s="27"/>
    </row>
    <row r="733">
      <c r="B733" s="28"/>
      <c r="C733" s="28"/>
      <c r="D733" s="27"/>
      <c r="J733" s="27"/>
      <c r="K733" s="27"/>
    </row>
    <row r="734">
      <c r="B734" s="28"/>
      <c r="C734" s="28"/>
      <c r="D734" s="27"/>
      <c r="J734" s="27"/>
      <c r="K734" s="27"/>
    </row>
    <row r="735">
      <c r="B735" s="28"/>
      <c r="C735" s="28"/>
      <c r="D735" s="27"/>
      <c r="J735" s="27"/>
      <c r="K735" s="27"/>
    </row>
    <row r="736">
      <c r="B736" s="28"/>
      <c r="C736" s="28"/>
      <c r="D736" s="27"/>
      <c r="J736" s="27"/>
      <c r="K736" s="27"/>
    </row>
    <row r="737">
      <c r="B737" s="28"/>
      <c r="C737" s="28"/>
      <c r="D737" s="27"/>
      <c r="J737" s="27"/>
      <c r="K737" s="27"/>
    </row>
    <row r="738">
      <c r="B738" s="28"/>
      <c r="C738" s="28"/>
      <c r="D738" s="27"/>
      <c r="J738" s="27"/>
      <c r="K738" s="27"/>
    </row>
    <row r="739">
      <c r="B739" s="28"/>
      <c r="C739" s="28"/>
      <c r="D739" s="27"/>
      <c r="J739" s="27"/>
      <c r="K739" s="27"/>
    </row>
    <row r="740">
      <c r="B740" s="28"/>
      <c r="C740" s="28"/>
      <c r="D740" s="27"/>
      <c r="J740" s="27"/>
      <c r="K740" s="27"/>
    </row>
    <row r="741">
      <c r="B741" s="28"/>
      <c r="C741" s="28"/>
      <c r="D741" s="27"/>
      <c r="J741" s="27"/>
      <c r="K741" s="27"/>
    </row>
    <row r="742">
      <c r="B742" s="28"/>
      <c r="C742" s="28"/>
      <c r="D742" s="27"/>
      <c r="J742" s="27"/>
      <c r="K742" s="27"/>
    </row>
    <row r="743">
      <c r="B743" s="28"/>
      <c r="C743" s="28"/>
      <c r="D743" s="27"/>
      <c r="J743" s="27"/>
      <c r="K743" s="27"/>
    </row>
    <row r="744">
      <c r="B744" s="28"/>
      <c r="C744" s="28"/>
      <c r="D744" s="27"/>
      <c r="J744" s="27"/>
      <c r="K744" s="27"/>
    </row>
    <row r="745">
      <c r="B745" s="28"/>
      <c r="C745" s="28"/>
      <c r="D745" s="27"/>
      <c r="J745" s="27"/>
      <c r="K745" s="27"/>
    </row>
    <row r="746">
      <c r="B746" s="28"/>
      <c r="C746" s="28"/>
      <c r="D746" s="27"/>
      <c r="J746" s="27"/>
      <c r="K746" s="27"/>
    </row>
    <row r="747">
      <c r="B747" s="28"/>
      <c r="C747" s="28"/>
      <c r="D747" s="27"/>
      <c r="J747" s="27"/>
      <c r="K747" s="27"/>
    </row>
    <row r="748">
      <c r="B748" s="28"/>
      <c r="C748" s="28"/>
      <c r="D748" s="27"/>
      <c r="J748" s="27"/>
      <c r="K748" s="27"/>
    </row>
    <row r="749">
      <c r="B749" s="28"/>
      <c r="C749" s="28"/>
      <c r="D749" s="27"/>
      <c r="J749" s="27"/>
      <c r="K749" s="27"/>
    </row>
    <row r="750">
      <c r="B750" s="28"/>
      <c r="C750" s="28"/>
      <c r="D750" s="27"/>
      <c r="J750" s="27"/>
      <c r="K750" s="27"/>
    </row>
    <row r="751">
      <c r="B751" s="28"/>
      <c r="C751" s="28"/>
      <c r="D751" s="27"/>
      <c r="J751" s="27"/>
      <c r="K751" s="27"/>
    </row>
    <row r="752">
      <c r="B752" s="28"/>
      <c r="C752" s="28"/>
      <c r="D752" s="27"/>
      <c r="J752" s="27"/>
      <c r="K752" s="27"/>
    </row>
    <row r="753">
      <c r="B753" s="28"/>
      <c r="C753" s="28"/>
      <c r="D753" s="27"/>
      <c r="J753" s="27"/>
      <c r="K753" s="27"/>
    </row>
    <row r="754">
      <c r="B754" s="28"/>
      <c r="C754" s="28"/>
      <c r="D754" s="27"/>
      <c r="J754" s="27"/>
      <c r="K754" s="27"/>
    </row>
    <row r="755">
      <c r="B755" s="28"/>
      <c r="C755" s="28"/>
      <c r="D755" s="27"/>
      <c r="J755" s="27"/>
      <c r="K755" s="27"/>
    </row>
    <row r="756">
      <c r="B756" s="28"/>
      <c r="C756" s="28"/>
      <c r="D756" s="27"/>
      <c r="J756" s="27"/>
      <c r="K756" s="27"/>
    </row>
    <row r="757">
      <c r="B757" s="28"/>
      <c r="C757" s="28"/>
      <c r="D757" s="27"/>
      <c r="J757" s="27"/>
      <c r="K757" s="27"/>
    </row>
    <row r="758">
      <c r="B758" s="28"/>
      <c r="C758" s="28"/>
      <c r="D758" s="27"/>
      <c r="J758" s="27"/>
      <c r="K758" s="27"/>
    </row>
    <row r="759">
      <c r="B759" s="28"/>
      <c r="C759" s="28"/>
      <c r="D759" s="27"/>
      <c r="J759" s="27"/>
      <c r="K759" s="27"/>
    </row>
    <row r="760">
      <c r="B760" s="28"/>
      <c r="C760" s="28"/>
      <c r="D760" s="27"/>
      <c r="J760" s="27"/>
      <c r="K760" s="27"/>
    </row>
    <row r="761">
      <c r="B761" s="28"/>
      <c r="C761" s="28"/>
      <c r="D761" s="27"/>
      <c r="J761" s="27"/>
      <c r="K761" s="27"/>
    </row>
    <row r="762">
      <c r="B762" s="28"/>
      <c r="C762" s="28"/>
      <c r="D762" s="27"/>
      <c r="J762" s="27"/>
      <c r="K762" s="27"/>
    </row>
    <row r="763">
      <c r="B763" s="28"/>
      <c r="C763" s="28"/>
      <c r="D763" s="27"/>
      <c r="J763" s="27"/>
      <c r="K763" s="27"/>
    </row>
    <row r="764">
      <c r="B764" s="28"/>
      <c r="C764" s="28"/>
      <c r="D764" s="27"/>
      <c r="J764" s="27"/>
      <c r="K764" s="27"/>
    </row>
    <row r="765">
      <c r="B765" s="28"/>
      <c r="C765" s="28"/>
      <c r="D765" s="27"/>
      <c r="J765" s="27"/>
      <c r="K765" s="27"/>
    </row>
    <row r="766">
      <c r="B766" s="28"/>
      <c r="C766" s="28"/>
      <c r="D766" s="27"/>
      <c r="J766" s="27"/>
      <c r="K766" s="27"/>
    </row>
    <row r="767">
      <c r="B767" s="28"/>
      <c r="C767" s="28"/>
      <c r="D767" s="27"/>
      <c r="J767" s="27"/>
      <c r="K767" s="27"/>
    </row>
    <row r="768">
      <c r="B768" s="28"/>
      <c r="C768" s="28"/>
      <c r="D768" s="27"/>
      <c r="J768" s="27"/>
      <c r="K768" s="27"/>
    </row>
    <row r="769">
      <c r="B769" s="28"/>
      <c r="C769" s="28"/>
      <c r="D769" s="27"/>
      <c r="J769" s="27"/>
      <c r="K769" s="27"/>
    </row>
    <row r="770">
      <c r="B770" s="28"/>
      <c r="C770" s="28"/>
      <c r="D770" s="27"/>
      <c r="J770" s="27"/>
      <c r="K770" s="27"/>
    </row>
    <row r="771">
      <c r="B771" s="28"/>
      <c r="C771" s="28"/>
      <c r="D771" s="27"/>
      <c r="J771" s="27"/>
      <c r="K771" s="27"/>
    </row>
    <row r="772">
      <c r="B772" s="28"/>
      <c r="C772" s="28"/>
      <c r="D772" s="27"/>
      <c r="J772" s="27"/>
      <c r="K772" s="27"/>
    </row>
    <row r="773">
      <c r="B773" s="28"/>
      <c r="C773" s="28"/>
      <c r="D773" s="27"/>
      <c r="J773" s="27"/>
      <c r="K773" s="27"/>
    </row>
    <row r="774">
      <c r="B774" s="28"/>
      <c r="C774" s="28"/>
      <c r="D774" s="27"/>
      <c r="J774" s="27"/>
      <c r="K774" s="27"/>
    </row>
    <row r="775">
      <c r="B775" s="28"/>
      <c r="C775" s="28"/>
      <c r="D775" s="27"/>
      <c r="J775" s="27"/>
      <c r="K775" s="27"/>
    </row>
    <row r="776">
      <c r="B776" s="28"/>
      <c r="C776" s="28"/>
      <c r="D776" s="27"/>
      <c r="J776" s="27"/>
      <c r="K776" s="27"/>
    </row>
    <row r="777">
      <c r="B777" s="28"/>
      <c r="C777" s="28"/>
      <c r="D777" s="27"/>
      <c r="J777" s="27"/>
      <c r="K777" s="27"/>
    </row>
    <row r="778">
      <c r="B778" s="28"/>
      <c r="C778" s="28"/>
      <c r="D778" s="27"/>
      <c r="J778" s="27"/>
      <c r="K778" s="27"/>
    </row>
    <row r="779">
      <c r="B779" s="28"/>
      <c r="C779" s="28"/>
      <c r="D779" s="27"/>
      <c r="J779" s="27"/>
      <c r="K779" s="27"/>
    </row>
    <row r="780">
      <c r="B780" s="28"/>
      <c r="C780" s="28"/>
      <c r="D780" s="27"/>
      <c r="J780" s="27"/>
      <c r="K780" s="27"/>
    </row>
    <row r="781">
      <c r="B781" s="28"/>
      <c r="C781" s="28"/>
      <c r="D781" s="27"/>
      <c r="J781" s="27"/>
      <c r="K781" s="27"/>
    </row>
    <row r="782">
      <c r="B782" s="28"/>
      <c r="C782" s="28"/>
      <c r="D782" s="27"/>
      <c r="J782" s="27"/>
      <c r="K782" s="27"/>
    </row>
    <row r="783">
      <c r="B783" s="28"/>
      <c r="C783" s="28"/>
      <c r="D783" s="27"/>
      <c r="J783" s="27"/>
      <c r="K783" s="27"/>
    </row>
    <row r="784">
      <c r="B784" s="28"/>
      <c r="C784" s="28"/>
      <c r="D784" s="27"/>
      <c r="J784" s="27"/>
      <c r="K784" s="27"/>
    </row>
    <row r="785">
      <c r="B785" s="28"/>
      <c r="C785" s="28"/>
      <c r="D785" s="27"/>
      <c r="J785" s="27"/>
      <c r="K785" s="27"/>
    </row>
    <row r="786">
      <c r="B786" s="28"/>
      <c r="C786" s="28"/>
      <c r="D786" s="27"/>
      <c r="J786" s="27"/>
      <c r="K786" s="27"/>
    </row>
    <row r="787">
      <c r="B787" s="28"/>
      <c r="C787" s="28"/>
      <c r="D787" s="27"/>
      <c r="J787" s="27"/>
      <c r="K787" s="27"/>
    </row>
    <row r="788">
      <c r="B788" s="28"/>
      <c r="C788" s="28"/>
      <c r="D788" s="27"/>
      <c r="J788" s="27"/>
      <c r="K788" s="27"/>
    </row>
    <row r="789">
      <c r="B789" s="28"/>
      <c r="C789" s="28"/>
      <c r="D789" s="27"/>
      <c r="J789" s="27"/>
      <c r="K789" s="27"/>
    </row>
    <row r="790">
      <c r="B790" s="28"/>
      <c r="C790" s="28"/>
      <c r="D790" s="27"/>
      <c r="J790" s="27"/>
      <c r="K790" s="27"/>
    </row>
    <row r="791">
      <c r="B791" s="28"/>
      <c r="C791" s="28"/>
      <c r="D791" s="27"/>
      <c r="J791" s="27"/>
      <c r="K791" s="27"/>
    </row>
    <row r="792">
      <c r="B792" s="28"/>
      <c r="C792" s="28"/>
      <c r="D792" s="27"/>
      <c r="J792" s="27"/>
      <c r="K792" s="27"/>
    </row>
    <row r="793">
      <c r="B793" s="28"/>
      <c r="C793" s="28"/>
      <c r="D793" s="27"/>
      <c r="J793" s="27"/>
      <c r="K793" s="27"/>
    </row>
    <row r="794">
      <c r="B794" s="28"/>
      <c r="C794" s="28"/>
      <c r="D794" s="27"/>
      <c r="J794" s="27"/>
      <c r="K794" s="27"/>
    </row>
    <row r="795">
      <c r="B795" s="28"/>
      <c r="C795" s="28"/>
      <c r="D795" s="27"/>
      <c r="J795" s="27"/>
      <c r="K795" s="27"/>
    </row>
    <row r="796">
      <c r="B796" s="28"/>
      <c r="C796" s="28"/>
      <c r="D796" s="27"/>
      <c r="J796" s="27"/>
      <c r="K796" s="27"/>
    </row>
    <row r="797">
      <c r="B797" s="28"/>
      <c r="C797" s="28"/>
      <c r="D797" s="27"/>
      <c r="J797" s="27"/>
      <c r="K797" s="27"/>
    </row>
    <row r="798">
      <c r="B798" s="28"/>
      <c r="C798" s="28"/>
      <c r="D798" s="27"/>
      <c r="J798" s="27"/>
      <c r="K798" s="27"/>
    </row>
    <row r="799">
      <c r="B799" s="28"/>
      <c r="C799" s="28"/>
      <c r="D799" s="27"/>
      <c r="J799" s="27"/>
      <c r="K799" s="27"/>
    </row>
    <row r="800">
      <c r="B800" s="28"/>
      <c r="C800" s="28"/>
      <c r="D800" s="27"/>
      <c r="J800" s="27"/>
      <c r="K800" s="27"/>
    </row>
    <row r="801">
      <c r="B801" s="28"/>
      <c r="C801" s="28"/>
      <c r="D801" s="27"/>
      <c r="J801" s="27"/>
      <c r="K801" s="27"/>
    </row>
    <row r="802">
      <c r="B802" s="28"/>
      <c r="C802" s="28"/>
      <c r="D802" s="27"/>
      <c r="J802" s="27"/>
      <c r="K802" s="27"/>
    </row>
    <row r="803">
      <c r="B803" s="28"/>
      <c r="C803" s="28"/>
      <c r="D803" s="27"/>
      <c r="J803" s="27"/>
      <c r="K803" s="27"/>
    </row>
    <row r="804">
      <c r="B804" s="28"/>
      <c r="C804" s="28"/>
      <c r="D804" s="27"/>
      <c r="J804" s="27"/>
      <c r="K804" s="27"/>
    </row>
    <row r="805">
      <c r="B805" s="28"/>
      <c r="C805" s="28"/>
      <c r="D805" s="27"/>
      <c r="J805" s="27"/>
      <c r="K805" s="27"/>
    </row>
    <row r="806">
      <c r="B806" s="28"/>
      <c r="C806" s="28"/>
      <c r="D806" s="27"/>
      <c r="J806" s="27"/>
      <c r="K806" s="27"/>
    </row>
    <row r="807">
      <c r="B807" s="28"/>
      <c r="C807" s="28"/>
      <c r="D807" s="27"/>
      <c r="J807" s="27"/>
      <c r="K807" s="27"/>
    </row>
    <row r="808">
      <c r="B808" s="28"/>
      <c r="C808" s="28"/>
      <c r="D808" s="27"/>
      <c r="J808" s="27"/>
      <c r="K808" s="27"/>
    </row>
    <row r="809">
      <c r="B809" s="28"/>
      <c r="C809" s="28"/>
      <c r="D809" s="27"/>
      <c r="J809" s="27"/>
      <c r="K809" s="27"/>
    </row>
    <row r="810">
      <c r="B810" s="28"/>
      <c r="C810" s="28"/>
      <c r="D810" s="27"/>
      <c r="J810" s="27"/>
      <c r="K810" s="27"/>
    </row>
    <row r="811">
      <c r="B811" s="28"/>
      <c r="C811" s="28"/>
      <c r="D811" s="27"/>
      <c r="J811" s="27"/>
      <c r="K811" s="27"/>
    </row>
    <row r="812">
      <c r="B812" s="28"/>
      <c r="C812" s="28"/>
      <c r="D812" s="27"/>
      <c r="J812" s="27"/>
      <c r="K812" s="27"/>
    </row>
    <row r="813">
      <c r="B813" s="28"/>
      <c r="C813" s="28"/>
      <c r="D813" s="27"/>
      <c r="J813" s="27"/>
      <c r="K813" s="27"/>
    </row>
    <row r="814">
      <c r="B814" s="28"/>
      <c r="C814" s="28"/>
      <c r="D814" s="27"/>
      <c r="J814" s="27"/>
      <c r="K814" s="27"/>
    </row>
    <row r="815">
      <c r="B815" s="28"/>
      <c r="C815" s="28"/>
      <c r="D815" s="27"/>
      <c r="J815" s="27"/>
      <c r="K815" s="27"/>
    </row>
    <row r="816">
      <c r="B816" s="28"/>
      <c r="C816" s="28"/>
      <c r="D816" s="27"/>
      <c r="J816" s="27"/>
      <c r="K816" s="27"/>
    </row>
    <row r="817">
      <c r="B817" s="28"/>
      <c r="C817" s="28"/>
      <c r="D817" s="27"/>
      <c r="J817" s="27"/>
      <c r="K817" s="27"/>
    </row>
    <row r="818">
      <c r="B818" s="28"/>
      <c r="C818" s="28"/>
      <c r="D818" s="27"/>
      <c r="J818" s="27"/>
      <c r="K818" s="27"/>
    </row>
    <row r="819">
      <c r="B819" s="28"/>
      <c r="C819" s="28"/>
      <c r="D819" s="27"/>
      <c r="J819" s="27"/>
      <c r="K819" s="27"/>
    </row>
    <row r="820">
      <c r="B820" s="28"/>
      <c r="C820" s="28"/>
      <c r="D820" s="27"/>
      <c r="J820" s="27"/>
      <c r="K820" s="27"/>
    </row>
    <row r="821">
      <c r="B821" s="28"/>
      <c r="C821" s="28"/>
      <c r="D821" s="27"/>
      <c r="J821" s="27"/>
      <c r="K821" s="27"/>
    </row>
    <row r="822">
      <c r="B822" s="28"/>
      <c r="C822" s="28"/>
      <c r="D822" s="27"/>
      <c r="J822" s="27"/>
      <c r="K822" s="27"/>
    </row>
    <row r="823">
      <c r="B823" s="28"/>
      <c r="C823" s="28"/>
      <c r="D823" s="27"/>
      <c r="J823" s="27"/>
      <c r="K823" s="27"/>
    </row>
    <row r="824">
      <c r="B824" s="28"/>
      <c r="C824" s="28"/>
      <c r="D824" s="27"/>
      <c r="J824" s="27"/>
      <c r="K824" s="27"/>
    </row>
    <row r="825">
      <c r="B825" s="28"/>
      <c r="C825" s="28"/>
      <c r="D825" s="27"/>
      <c r="J825" s="27"/>
      <c r="K825" s="27"/>
    </row>
    <row r="826">
      <c r="B826" s="28"/>
      <c r="C826" s="28"/>
      <c r="D826" s="27"/>
      <c r="J826" s="27"/>
      <c r="K826" s="27"/>
    </row>
    <row r="827">
      <c r="B827" s="28"/>
      <c r="C827" s="28"/>
      <c r="D827" s="27"/>
      <c r="J827" s="27"/>
      <c r="K827" s="27"/>
    </row>
    <row r="828">
      <c r="B828" s="28"/>
      <c r="C828" s="28"/>
      <c r="D828" s="27"/>
      <c r="J828" s="27"/>
      <c r="K828" s="27"/>
    </row>
    <row r="829">
      <c r="B829" s="28"/>
      <c r="C829" s="28"/>
      <c r="D829" s="27"/>
      <c r="J829" s="27"/>
      <c r="K829" s="27"/>
    </row>
    <row r="830">
      <c r="B830" s="28"/>
      <c r="C830" s="28"/>
      <c r="D830" s="27"/>
      <c r="J830" s="27"/>
      <c r="K830" s="27"/>
    </row>
    <row r="831">
      <c r="B831" s="28"/>
      <c r="C831" s="28"/>
      <c r="D831" s="27"/>
      <c r="J831" s="27"/>
      <c r="K831" s="27"/>
    </row>
    <row r="832">
      <c r="B832" s="28"/>
      <c r="C832" s="28"/>
      <c r="D832" s="27"/>
      <c r="J832" s="27"/>
      <c r="K832" s="27"/>
    </row>
    <row r="833">
      <c r="B833" s="28"/>
      <c r="C833" s="28"/>
      <c r="D833" s="27"/>
      <c r="J833" s="27"/>
      <c r="K833" s="27"/>
    </row>
    <row r="834">
      <c r="B834" s="28"/>
      <c r="C834" s="28"/>
      <c r="D834" s="27"/>
      <c r="J834" s="27"/>
      <c r="K834" s="27"/>
    </row>
    <row r="835">
      <c r="B835" s="28"/>
      <c r="C835" s="28"/>
      <c r="D835" s="27"/>
      <c r="J835" s="27"/>
      <c r="K835" s="27"/>
    </row>
    <row r="836">
      <c r="B836" s="28"/>
      <c r="C836" s="28"/>
      <c r="D836" s="27"/>
      <c r="J836" s="27"/>
      <c r="K836" s="27"/>
    </row>
    <row r="837">
      <c r="B837" s="28"/>
      <c r="C837" s="28"/>
      <c r="D837" s="27"/>
      <c r="J837" s="27"/>
      <c r="K837" s="27"/>
    </row>
    <row r="838">
      <c r="B838" s="28"/>
      <c r="C838" s="28"/>
      <c r="D838" s="27"/>
      <c r="J838" s="27"/>
      <c r="K838" s="27"/>
    </row>
    <row r="839">
      <c r="B839" s="28"/>
      <c r="C839" s="28"/>
      <c r="D839" s="27"/>
      <c r="J839" s="27"/>
      <c r="K839" s="27"/>
    </row>
    <row r="840">
      <c r="B840" s="28"/>
      <c r="C840" s="28"/>
      <c r="D840" s="27"/>
      <c r="J840" s="27"/>
      <c r="K840" s="27"/>
    </row>
    <row r="841">
      <c r="B841" s="28"/>
      <c r="C841" s="28"/>
      <c r="D841" s="27"/>
      <c r="J841" s="27"/>
      <c r="K841" s="27"/>
    </row>
    <row r="842">
      <c r="B842" s="28"/>
      <c r="C842" s="28"/>
      <c r="D842" s="27"/>
      <c r="J842" s="27"/>
      <c r="K842" s="27"/>
    </row>
    <row r="843">
      <c r="B843" s="28"/>
      <c r="C843" s="28"/>
      <c r="D843" s="27"/>
      <c r="J843" s="27"/>
      <c r="K843" s="27"/>
    </row>
    <row r="844">
      <c r="B844" s="28"/>
      <c r="C844" s="28"/>
      <c r="D844" s="27"/>
      <c r="J844" s="27"/>
      <c r="K844" s="27"/>
    </row>
    <row r="845">
      <c r="B845" s="28"/>
      <c r="C845" s="28"/>
      <c r="D845" s="27"/>
      <c r="J845" s="27"/>
      <c r="K845" s="27"/>
    </row>
    <row r="846">
      <c r="B846" s="28"/>
      <c r="C846" s="28"/>
      <c r="D846" s="27"/>
      <c r="J846" s="27"/>
      <c r="K846" s="27"/>
    </row>
    <row r="847">
      <c r="B847" s="28"/>
      <c r="C847" s="28"/>
      <c r="D847" s="27"/>
      <c r="J847" s="27"/>
      <c r="K847" s="27"/>
    </row>
    <row r="848">
      <c r="B848" s="28"/>
      <c r="C848" s="28"/>
      <c r="D848" s="27"/>
      <c r="J848" s="27"/>
      <c r="K848" s="27"/>
    </row>
    <row r="849">
      <c r="B849" s="28"/>
      <c r="C849" s="28"/>
      <c r="D849" s="27"/>
      <c r="J849" s="27"/>
      <c r="K849" s="27"/>
    </row>
    <row r="850">
      <c r="B850" s="28"/>
      <c r="C850" s="28"/>
      <c r="D850" s="27"/>
      <c r="J850" s="27"/>
      <c r="K850" s="27"/>
    </row>
    <row r="851">
      <c r="B851" s="28"/>
      <c r="C851" s="28"/>
      <c r="D851" s="27"/>
      <c r="J851" s="27"/>
      <c r="K851" s="27"/>
    </row>
    <row r="852">
      <c r="B852" s="28"/>
      <c r="C852" s="28"/>
      <c r="D852" s="27"/>
      <c r="J852" s="27"/>
      <c r="K852" s="27"/>
    </row>
    <row r="853">
      <c r="B853" s="28"/>
      <c r="C853" s="28"/>
      <c r="D853" s="27"/>
      <c r="J853" s="27"/>
      <c r="K853" s="27"/>
    </row>
    <row r="854">
      <c r="B854" s="28"/>
      <c r="C854" s="28"/>
      <c r="D854" s="27"/>
      <c r="J854" s="27"/>
      <c r="K854" s="27"/>
    </row>
    <row r="855">
      <c r="B855" s="28"/>
      <c r="C855" s="28"/>
      <c r="D855" s="27"/>
      <c r="J855" s="27"/>
      <c r="K855" s="27"/>
    </row>
    <row r="856">
      <c r="B856" s="28"/>
      <c r="C856" s="28"/>
      <c r="D856" s="27"/>
      <c r="J856" s="27"/>
      <c r="K856" s="27"/>
    </row>
    <row r="857">
      <c r="B857" s="28"/>
      <c r="C857" s="28"/>
      <c r="D857" s="27"/>
      <c r="J857" s="27"/>
      <c r="K857" s="27"/>
    </row>
    <row r="858">
      <c r="B858" s="28"/>
      <c r="C858" s="28"/>
      <c r="D858" s="27"/>
      <c r="J858" s="27"/>
      <c r="K858" s="27"/>
    </row>
    <row r="859">
      <c r="B859" s="28"/>
      <c r="C859" s="28"/>
      <c r="D859" s="27"/>
      <c r="J859" s="27"/>
      <c r="K859" s="27"/>
    </row>
    <row r="860">
      <c r="B860" s="28"/>
      <c r="C860" s="28"/>
      <c r="D860" s="27"/>
      <c r="J860" s="27"/>
      <c r="K860" s="27"/>
    </row>
    <row r="861">
      <c r="B861" s="28"/>
      <c r="C861" s="28"/>
      <c r="D861" s="27"/>
      <c r="J861" s="27"/>
      <c r="K861" s="27"/>
    </row>
    <row r="862">
      <c r="B862" s="28"/>
      <c r="C862" s="28"/>
      <c r="D862" s="27"/>
      <c r="J862" s="27"/>
      <c r="K862" s="27"/>
    </row>
    <row r="863">
      <c r="B863" s="28"/>
      <c r="C863" s="28"/>
      <c r="D863" s="27"/>
      <c r="J863" s="27"/>
      <c r="K863" s="27"/>
    </row>
    <row r="864">
      <c r="B864" s="28"/>
      <c r="C864" s="28"/>
      <c r="D864" s="27"/>
      <c r="J864" s="27"/>
      <c r="K864" s="27"/>
    </row>
    <row r="865">
      <c r="B865" s="28"/>
      <c r="C865" s="28"/>
      <c r="D865" s="27"/>
      <c r="J865" s="27"/>
      <c r="K865" s="27"/>
    </row>
    <row r="866">
      <c r="B866" s="28"/>
      <c r="C866" s="28"/>
      <c r="D866" s="27"/>
      <c r="J866" s="27"/>
      <c r="K866" s="27"/>
    </row>
    <row r="867">
      <c r="B867" s="28"/>
      <c r="C867" s="28"/>
      <c r="D867" s="27"/>
      <c r="J867" s="27"/>
      <c r="K867" s="27"/>
    </row>
    <row r="868">
      <c r="B868" s="28"/>
      <c r="C868" s="28"/>
      <c r="D868" s="27"/>
      <c r="J868" s="27"/>
      <c r="K868" s="27"/>
    </row>
    <row r="869">
      <c r="B869" s="28"/>
      <c r="C869" s="28"/>
      <c r="D869" s="27"/>
      <c r="J869" s="27"/>
      <c r="K869" s="27"/>
    </row>
    <row r="870">
      <c r="B870" s="28"/>
      <c r="C870" s="28"/>
      <c r="D870" s="27"/>
      <c r="J870" s="27"/>
      <c r="K870" s="27"/>
    </row>
    <row r="871">
      <c r="B871" s="28"/>
      <c r="C871" s="28"/>
      <c r="D871" s="27"/>
      <c r="J871" s="27"/>
      <c r="K871" s="27"/>
    </row>
    <row r="872">
      <c r="B872" s="28"/>
      <c r="C872" s="28"/>
      <c r="D872" s="27"/>
      <c r="J872" s="27"/>
      <c r="K872" s="27"/>
    </row>
    <row r="873">
      <c r="B873" s="28"/>
      <c r="C873" s="28"/>
      <c r="D873" s="27"/>
      <c r="J873" s="27"/>
      <c r="K873" s="27"/>
    </row>
    <row r="874">
      <c r="B874" s="28"/>
      <c r="C874" s="28"/>
      <c r="D874" s="27"/>
      <c r="J874" s="27"/>
      <c r="K874" s="27"/>
    </row>
    <row r="875">
      <c r="B875" s="28"/>
      <c r="C875" s="28"/>
      <c r="D875" s="27"/>
      <c r="J875" s="27"/>
      <c r="K875" s="27"/>
    </row>
    <row r="876">
      <c r="B876" s="28"/>
      <c r="C876" s="28"/>
      <c r="D876" s="27"/>
      <c r="J876" s="27"/>
      <c r="K876" s="27"/>
    </row>
    <row r="877">
      <c r="B877" s="28"/>
      <c r="C877" s="28"/>
      <c r="D877" s="27"/>
      <c r="J877" s="27"/>
      <c r="K877" s="27"/>
    </row>
    <row r="878">
      <c r="B878" s="28"/>
      <c r="C878" s="28"/>
      <c r="D878" s="27"/>
      <c r="J878" s="27"/>
      <c r="K878" s="27"/>
    </row>
    <row r="879">
      <c r="B879" s="28"/>
      <c r="C879" s="28"/>
      <c r="D879" s="27"/>
      <c r="J879" s="27"/>
      <c r="K879" s="27"/>
    </row>
    <row r="880">
      <c r="B880" s="28"/>
      <c r="C880" s="28"/>
      <c r="D880" s="27"/>
      <c r="J880" s="27"/>
      <c r="K880" s="27"/>
    </row>
    <row r="881">
      <c r="B881" s="28"/>
      <c r="C881" s="28"/>
      <c r="D881" s="27"/>
      <c r="J881" s="27"/>
      <c r="K881" s="27"/>
    </row>
    <row r="882">
      <c r="B882" s="28"/>
      <c r="C882" s="28"/>
      <c r="D882" s="27"/>
      <c r="J882" s="27"/>
      <c r="K882" s="27"/>
    </row>
    <row r="883">
      <c r="B883" s="28"/>
      <c r="C883" s="28"/>
      <c r="D883" s="27"/>
      <c r="J883" s="27"/>
      <c r="K883" s="27"/>
    </row>
    <row r="884">
      <c r="B884" s="28"/>
      <c r="C884" s="28"/>
      <c r="D884" s="27"/>
      <c r="J884" s="27"/>
      <c r="K884" s="27"/>
    </row>
    <row r="885">
      <c r="B885" s="28"/>
      <c r="C885" s="28"/>
      <c r="D885" s="27"/>
      <c r="J885" s="27"/>
      <c r="K885" s="27"/>
    </row>
    <row r="886">
      <c r="B886" s="28"/>
      <c r="C886" s="28"/>
      <c r="D886" s="27"/>
      <c r="J886" s="27"/>
      <c r="K886" s="27"/>
    </row>
    <row r="887">
      <c r="B887" s="28"/>
      <c r="C887" s="28"/>
      <c r="D887" s="27"/>
      <c r="J887" s="27"/>
      <c r="K887" s="27"/>
    </row>
    <row r="888">
      <c r="B888" s="28"/>
      <c r="C888" s="28"/>
      <c r="D888" s="27"/>
      <c r="J888" s="27"/>
      <c r="K888" s="27"/>
    </row>
    <row r="889">
      <c r="B889" s="28"/>
      <c r="C889" s="28"/>
      <c r="D889" s="27"/>
      <c r="J889" s="27"/>
      <c r="K889" s="27"/>
    </row>
    <row r="890">
      <c r="B890" s="28"/>
      <c r="C890" s="28"/>
      <c r="D890" s="27"/>
      <c r="J890" s="27"/>
      <c r="K890" s="27"/>
    </row>
    <row r="891">
      <c r="B891" s="28"/>
      <c r="C891" s="28"/>
      <c r="D891" s="27"/>
      <c r="J891" s="27"/>
      <c r="K891" s="27"/>
    </row>
    <row r="892">
      <c r="B892" s="28"/>
      <c r="C892" s="28"/>
      <c r="D892" s="27"/>
      <c r="J892" s="27"/>
      <c r="K892" s="27"/>
    </row>
    <row r="893">
      <c r="B893" s="28"/>
      <c r="C893" s="28"/>
      <c r="D893" s="27"/>
      <c r="J893" s="27"/>
      <c r="K893" s="27"/>
    </row>
    <row r="894">
      <c r="B894" s="28"/>
      <c r="C894" s="28"/>
      <c r="D894" s="27"/>
      <c r="J894" s="27"/>
      <c r="K894" s="27"/>
    </row>
    <row r="895">
      <c r="B895" s="28"/>
      <c r="C895" s="28"/>
      <c r="D895" s="27"/>
      <c r="J895" s="27"/>
      <c r="K895" s="27"/>
    </row>
    <row r="896">
      <c r="B896" s="28"/>
      <c r="C896" s="28"/>
      <c r="D896" s="27"/>
      <c r="J896" s="27"/>
      <c r="K896" s="27"/>
    </row>
    <row r="897">
      <c r="B897" s="28"/>
      <c r="C897" s="28"/>
      <c r="D897" s="27"/>
      <c r="J897" s="27"/>
      <c r="K897" s="27"/>
    </row>
    <row r="898">
      <c r="B898" s="28"/>
      <c r="C898" s="28"/>
      <c r="D898" s="27"/>
      <c r="J898" s="27"/>
      <c r="K898" s="27"/>
    </row>
    <row r="899">
      <c r="B899" s="28"/>
      <c r="C899" s="28"/>
      <c r="D899" s="27"/>
      <c r="J899" s="27"/>
      <c r="K899" s="27"/>
    </row>
    <row r="900">
      <c r="B900" s="28"/>
      <c r="C900" s="28"/>
      <c r="D900" s="27"/>
      <c r="J900" s="27"/>
      <c r="K900" s="27"/>
    </row>
    <row r="901">
      <c r="B901" s="28"/>
      <c r="C901" s="28"/>
      <c r="D901" s="27"/>
      <c r="J901" s="27"/>
      <c r="K901" s="27"/>
    </row>
    <row r="902">
      <c r="B902" s="28"/>
      <c r="C902" s="28"/>
      <c r="D902" s="27"/>
      <c r="J902" s="27"/>
      <c r="K902" s="27"/>
    </row>
    <row r="903">
      <c r="B903" s="28"/>
      <c r="C903" s="28"/>
      <c r="D903" s="27"/>
      <c r="J903" s="27"/>
      <c r="K903" s="27"/>
    </row>
    <row r="904">
      <c r="B904" s="28"/>
      <c r="C904" s="28"/>
      <c r="D904" s="27"/>
      <c r="J904" s="27"/>
      <c r="K904" s="27"/>
    </row>
    <row r="905">
      <c r="B905" s="28"/>
      <c r="C905" s="28"/>
      <c r="D905" s="27"/>
      <c r="J905" s="27"/>
      <c r="K905" s="27"/>
    </row>
    <row r="906">
      <c r="B906" s="28"/>
      <c r="C906" s="28"/>
      <c r="D906" s="27"/>
      <c r="J906" s="27"/>
      <c r="K906" s="27"/>
    </row>
    <row r="907">
      <c r="B907" s="28"/>
      <c r="C907" s="28"/>
      <c r="D907" s="27"/>
      <c r="J907" s="27"/>
      <c r="K907" s="27"/>
    </row>
    <row r="908">
      <c r="B908" s="28"/>
      <c r="C908" s="28"/>
      <c r="D908" s="27"/>
      <c r="J908" s="27"/>
      <c r="K908" s="27"/>
    </row>
    <row r="909">
      <c r="B909" s="28"/>
      <c r="C909" s="28"/>
      <c r="D909" s="27"/>
      <c r="J909" s="27"/>
      <c r="K909" s="27"/>
    </row>
    <row r="910">
      <c r="B910" s="28"/>
      <c r="C910" s="28"/>
      <c r="D910" s="27"/>
      <c r="J910" s="27"/>
      <c r="K910" s="27"/>
    </row>
    <row r="911">
      <c r="B911" s="28"/>
      <c r="C911" s="28"/>
      <c r="D911" s="27"/>
      <c r="J911" s="27"/>
      <c r="K911" s="27"/>
    </row>
    <row r="912">
      <c r="B912" s="28"/>
      <c r="C912" s="28"/>
      <c r="D912" s="27"/>
      <c r="J912" s="27"/>
      <c r="K912" s="27"/>
    </row>
    <row r="913">
      <c r="B913" s="28"/>
      <c r="C913" s="28"/>
      <c r="D913" s="27"/>
      <c r="E913" s="27"/>
      <c r="F913" s="27"/>
      <c r="G913" s="27"/>
      <c r="H913" s="27"/>
      <c r="I913" s="27"/>
      <c r="J913" s="27"/>
      <c r="K913" s="27"/>
      <c r="L913" s="27"/>
    </row>
    <row r="914">
      <c r="B914" s="28"/>
      <c r="C914" s="28"/>
      <c r="D914" s="27"/>
      <c r="E914" s="27"/>
      <c r="F914" s="27"/>
      <c r="G914" s="27"/>
      <c r="H914" s="27"/>
      <c r="I914" s="27"/>
      <c r="J914" s="27"/>
      <c r="K914" s="27"/>
      <c r="L914" s="27"/>
    </row>
    <row r="915">
      <c r="B915" s="28"/>
      <c r="C915" s="28"/>
      <c r="D915" s="27"/>
      <c r="E915" s="27"/>
      <c r="F915" s="27"/>
      <c r="G915" s="27"/>
      <c r="H915" s="27"/>
      <c r="I915" s="27"/>
      <c r="J915" s="27"/>
      <c r="K915" s="27"/>
      <c r="L915" s="27"/>
    </row>
    <row r="916">
      <c r="B916" s="28"/>
      <c r="C916" s="28"/>
      <c r="D916" s="27"/>
      <c r="E916" s="27"/>
      <c r="F916" s="27"/>
      <c r="G916" s="27"/>
      <c r="H916" s="27"/>
      <c r="I916" s="27"/>
      <c r="J916" s="27"/>
      <c r="K916" s="27"/>
      <c r="L916" s="27"/>
    </row>
    <row r="917">
      <c r="B917" s="28"/>
      <c r="C917" s="28"/>
      <c r="D917" s="27"/>
      <c r="E917" s="27"/>
      <c r="F917" s="27"/>
      <c r="G917" s="27"/>
      <c r="H917" s="27"/>
      <c r="I917" s="27"/>
      <c r="J917" s="27"/>
      <c r="K917" s="27"/>
      <c r="L917" s="27"/>
    </row>
    <row r="918">
      <c r="B918" s="28"/>
      <c r="C918" s="28"/>
      <c r="D918" s="27"/>
      <c r="E918" s="27"/>
      <c r="F918" s="27"/>
      <c r="G918" s="27"/>
      <c r="H918" s="27"/>
      <c r="I918" s="27"/>
      <c r="J918" s="27"/>
      <c r="K918" s="27"/>
      <c r="L918" s="27"/>
    </row>
    <row r="919">
      <c r="B919" s="28"/>
      <c r="C919" s="28"/>
      <c r="D919" s="27"/>
      <c r="E919" s="27"/>
      <c r="F919" s="27"/>
      <c r="G919" s="27"/>
      <c r="H919" s="27"/>
      <c r="I919" s="27"/>
      <c r="J919" s="27"/>
      <c r="K919" s="27"/>
      <c r="L919" s="27"/>
    </row>
    <row r="920">
      <c r="B920" s="28"/>
      <c r="C920" s="28"/>
      <c r="D920" s="27"/>
      <c r="E920" s="27"/>
      <c r="F920" s="27"/>
      <c r="G920" s="27"/>
      <c r="H920" s="27"/>
      <c r="I920" s="27"/>
      <c r="J920" s="27"/>
      <c r="K920" s="27"/>
      <c r="L920" s="27"/>
    </row>
    <row r="921">
      <c r="B921" s="28"/>
      <c r="C921" s="28"/>
      <c r="D921" s="27"/>
      <c r="E921" s="27"/>
      <c r="F921" s="27"/>
      <c r="G921" s="27"/>
      <c r="H921" s="27"/>
      <c r="I921" s="27"/>
      <c r="J921" s="27"/>
      <c r="K921" s="27"/>
      <c r="L921" s="27"/>
    </row>
    <row r="922">
      <c r="B922" s="28"/>
      <c r="C922" s="28"/>
      <c r="D922" s="27"/>
      <c r="E922" s="27"/>
      <c r="F922" s="27"/>
      <c r="G922" s="27"/>
      <c r="H922" s="27"/>
      <c r="I922" s="27"/>
      <c r="J922" s="27"/>
      <c r="K922" s="27"/>
      <c r="L922" s="27"/>
    </row>
    <row r="923">
      <c r="B923" s="28"/>
      <c r="C923" s="28"/>
      <c r="D923" s="27"/>
      <c r="E923" s="27"/>
      <c r="F923" s="27"/>
      <c r="G923" s="27"/>
      <c r="H923" s="27"/>
      <c r="I923" s="27"/>
      <c r="J923" s="27"/>
      <c r="K923" s="27"/>
      <c r="L923" s="27"/>
    </row>
    <row r="924">
      <c r="B924" s="28"/>
      <c r="C924" s="28"/>
      <c r="D924" s="27"/>
      <c r="E924" s="27"/>
      <c r="F924" s="27"/>
      <c r="G924" s="27"/>
      <c r="H924" s="27"/>
      <c r="I924" s="27"/>
      <c r="J924" s="27"/>
      <c r="K924" s="27"/>
      <c r="L924" s="27"/>
    </row>
    <row r="925">
      <c r="B925" s="28"/>
      <c r="C925" s="28"/>
      <c r="D925" s="27"/>
      <c r="E925" s="27"/>
      <c r="F925" s="27"/>
      <c r="G925" s="27"/>
      <c r="H925" s="27"/>
      <c r="I925" s="27"/>
      <c r="J925" s="27"/>
      <c r="K925" s="27"/>
      <c r="L925" s="27"/>
    </row>
    <row r="926">
      <c r="B926" s="28"/>
      <c r="C926" s="28"/>
      <c r="D926" s="27"/>
      <c r="E926" s="27"/>
      <c r="F926" s="27"/>
      <c r="G926" s="27"/>
      <c r="H926" s="27"/>
      <c r="I926" s="27"/>
      <c r="J926" s="27"/>
      <c r="K926" s="27"/>
      <c r="L926" s="27"/>
    </row>
    <row r="927">
      <c r="B927" s="28"/>
      <c r="C927" s="28"/>
      <c r="D927" s="27"/>
      <c r="E927" s="27"/>
      <c r="F927" s="27"/>
      <c r="G927" s="27"/>
      <c r="H927" s="27"/>
      <c r="I927" s="27"/>
      <c r="J927" s="27"/>
      <c r="K927" s="27"/>
      <c r="L927" s="27"/>
    </row>
    <row r="928">
      <c r="B928" s="28"/>
      <c r="C928" s="28"/>
      <c r="D928" s="27"/>
      <c r="E928" s="27"/>
      <c r="F928" s="27"/>
      <c r="G928" s="27"/>
      <c r="H928" s="27"/>
      <c r="I928" s="27"/>
      <c r="J928" s="27"/>
      <c r="K928" s="27"/>
      <c r="L928" s="27"/>
    </row>
    <row r="929">
      <c r="B929" s="28"/>
      <c r="C929" s="28"/>
      <c r="D929" s="27"/>
      <c r="E929" s="27"/>
      <c r="F929" s="27"/>
      <c r="G929" s="27"/>
      <c r="H929" s="27"/>
      <c r="I929" s="27"/>
      <c r="J929" s="27"/>
      <c r="K929" s="27"/>
      <c r="L929" s="27"/>
    </row>
    <row r="930">
      <c r="B930" s="28"/>
      <c r="C930" s="28"/>
      <c r="D930" s="27"/>
      <c r="E930" s="27"/>
      <c r="F930" s="27"/>
      <c r="G930" s="27"/>
      <c r="H930" s="27"/>
      <c r="I930" s="27"/>
      <c r="J930" s="27"/>
      <c r="K930" s="27"/>
      <c r="L930" s="27"/>
    </row>
    <row r="931">
      <c r="B931" s="28"/>
      <c r="C931" s="28"/>
      <c r="D931" s="27"/>
      <c r="E931" s="27"/>
      <c r="F931" s="27"/>
      <c r="G931" s="27"/>
      <c r="H931" s="27"/>
      <c r="I931" s="27"/>
      <c r="J931" s="27"/>
      <c r="K931" s="27"/>
      <c r="L931" s="27"/>
    </row>
    <row r="932">
      <c r="B932" s="28"/>
      <c r="C932" s="28"/>
      <c r="D932" s="27"/>
      <c r="E932" s="27"/>
      <c r="F932" s="27"/>
      <c r="G932" s="27"/>
      <c r="H932" s="27"/>
      <c r="I932" s="27"/>
      <c r="J932" s="27"/>
      <c r="K932" s="27"/>
      <c r="L932" s="27"/>
    </row>
    <row r="933">
      <c r="B933" s="28"/>
      <c r="C933" s="28"/>
      <c r="D933" s="27"/>
      <c r="E933" s="27"/>
      <c r="F933" s="27"/>
      <c r="G933" s="27"/>
      <c r="H933" s="27"/>
      <c r="I933" s="27"/>
      <c r="J933" s="27"/>
      <c r="K933" s="27"/>
      <c r="L933" s="27"/>
    </row>
    <row r="934">
      <c r="B934" s="28"/>
      <c r="C934" s="28"/>
      <c r="D934" s="27"/>
      <c r="E934" s="27"/>
      <c r="F934" s="27"/>
      <c r="G934" s="27"/>
      <c r="H934" s="27"/>
      <c r="I934" s="27"/>
      <c r="J934" s="27"/>
      <c r="K934" s="27"/>
      <c r="L934" s="27"/>
    </row>
    <row r="935">
      <c r="B935" s="28"/>
      <c r="C935" s="28"/>
      <c r="D935" s="27"/>
      <c r="E935" s="27"/>
      <c r="F935" s="27"/>
      <c r="G935" s="27"/>
      <c r="H935" s="27"/>
      <c r="I935" s="27"/>
      <c r="J935" s="27"/>
      <c r="K935" s="27"/>
      <c r="L935" s="27"/>
    </row>
    <row r="936">
      <c r="B936" s="28"/>
      <c r="C936" s="28"/>
      <c r="D936" s="27"/>
      <c r="E936" s="27"/>
      <c r="F936" s="27"/>
      <c r="G936" s="27"/>
      <c r="H936" s="27"/>
      <c r="I936" s="27"/>
      <c r="J936" s="27"/>
      <c r="K936" s="27"/>
      <c r="L936" s="27"/>
    </row>
    <row r="937">
      <c r="B937" s="28"/>
      <c r="C937" s="28"/>
      <c r="D937" s="27"/>
      <c r="E937" s="27"/>
      <c r="F937" s="27"/>
      <c r="G937" s="27"/>
      <c r="H937" s="27"/>
      <c r="I937" s="27"/>
      <c r="J937" s="27"/>
      <c r="K937" s="27"/>
      <c r="L937" s="27"/>
    </row>
    <row r="938">
      <c r="B938" s="28"/>
      <c r="C938" s="28"/>
      <c r="D938" s="27"/>
      <c r="E938" s="27"/>
      <c r="F938" s="27"/>
      <c r="G938" s="27"/>
      <c r="H938" s="27"/>
      <c r="I938" s="27"/>
      <c r="J938" s="27"/>
      <c r="K938" s="27"/>
      <c r="L938" s="27"/>
    </row>
    <row r="939">
      <c r="B939" s="28"/>
      <c r="C939" s="28"/>
      <c r="D939" s="27"/>
      <c r="E939" s="27"/>
      <c r="F939" s="27"/>
      <c r="G939" s="27"/>
      <c r="H939" s="27"/>
      <c r="I939" s="27"/>
      <c r="J939" s="27"/>
      <c r="K939" s="27"/>
      <c r="L939" s="27"/>
    </row>
    <row r="940">
      <c r="B940" s="28"/>
      <c r="C940" s="28"/>
      <c r="D940" s="27"/>
      <c r="E940" s="27"/>
      <c r="F940" s="27"/>
      <c r="G940" s="27"/>
      <c r="H940" s="27"/>
      <c r="I940" s="27"/>
      <c r="J940" s="27"/>
      <c r="K940" s="27"/>
      <c r="L940" s="27"/>
    </row>
    <row r="941">
      <c r="B941" s="28"/>
      <c r="C941" s="28"/>
      <c r="D941" s="27"/>
      <c r="E941" s="27"/>
      <c r="F941" s="27"/>
      <c r="G941" s="27"/>
      <c r="H941" s="27"/>
      <c r="I941" s="27"/>
      <c r="J941" s="27"/>
      <c r="K941" s="27"/>
      <c r="L941" s="27"/>
    </row>
    <row r="942">
      <c r="B942" s="28"/>
      <c r="C942" s="28"/>
      <c r="D942" s="27"/>
      <c r="E942" s="27"/>
      <c r="F942" s="27"/>
      <c r="G942" s="27"/>
      <c r="H942" s="27"/>
      <c r="I942" s="27"/>
      <c r="J942" s="27"/>
      <c r="K942" s="27"/>
      <c r="L942" s="27"/>
    </row>
    <row r="943">
      <c r="B943" s="28"/>
      <c r="C943" s="28"/>
      <c r="D943" s="27"/>
      <c r="E943" s="27"/>
      <c r="F943" s="27"/>
      <c r="G943" s="27"/>
      <c r="H943" s="27"/>
      <c r="I943" s="27"/>
      <c r="J943" s="27"/>
      <c r="K943" s="27"/>
      <c r="L943" s="27"/>
    </row>
    <row r="944">
      <c r="B944" s="28"/>
      <c r="C944" s="28"/>
      <c r="D944" s="27"/>
      <c r="E944" s="27"/>
      <c r="F944" s="27"/>
      <c r="G944" s="27"/>
      <c r="H944" s="27"/>
      <c r="I944" s="27"/>
      <c r="J944" s="27"/>
      <c r="K944" s="27"/>
      <c r="L944" s="27"/>
    </row>
    <row r="945">
      <c r="B945" s="28"/>
      <c r="C945" s="28"/>
      <c r="D945" s="27"/>
      <c r="E945" s="27"/>
      <c r="F945" s="27"/>
      <c r="G945" s="27"/>
      <c r="H945" s="27"/>
      <c r="I945" s="27"/>
      <c r="J945" s="27"/>
      <c r="K945" s="27"/>
      <c r="L945" s="27"/>
    </row>
    <row r="946">
      <c r="B946" s="28"/>
      <c r="C946" s="28"/>
      <c r="D946" s="27"/>
      <c r="E946" s="27"/>
      <c r="F946" s="27"/>
      <c r="G946" s="27"/>
      <c r="H946" s="27"/>
      <c r="I946" s="27"/>
      <c r="J946" s="27"/>
      <c r="K946" s="27"/>
      <c r="L946" s="27"/>
    </row>
    <row r="947">
      <c r="B947" s="28"/>
      <c r="C947" s="28"/>
      <c r="D947" s="27"/>
      <c r="E947" s="27"/>
      <c r="F947" s="27"/>
      <c r="G947" s="27"/>
      <c r="H947" s="27"/>
      <c r="I947" s="27"/>
      <c r="J947" s="27"/>
      <c r="K947" s="27"/>
      <c r="L947" s="27"/>
    </row>
    <row r="948">
      <c r="B948" s="28"/>
      <c r="C948" s="28"/>
      <c r="D948" s="27"/>
      <c r="E948" s="27"/>
      <c r="F948" s="27"/>
      <c r="G948" s="27"/>
      <c r="H948" s="27"/>
      <c r="I948" s="27"/>
      <c r="J948" s="27"/>
      <c r="K948" s="27"/>
      <c r="L948" s="27"/>
    </row>
    <row r="949">
      <c r="B949" s="28"/>
      <c r="C949" s="28"/>
      <c r="D949" s="27"/>
      <c r="E949" s="27"/>
      <c r="F949" s="27"/>
      <c r="G949" s="27"/>
      <c r="H949" s="27"/>
      <c r="I949" s="27"/>
      <c r="J949" s="27"/>
      <c r="K949" s="27"/>
      <c r="L949" s="27"/>
    </row>
    <row r="950">
      <c r="B950" s="28"/>
      <c r="C950" s="28"/>
      <c r="D950" s="27"/>
      <c r="E950" s="27"/>
      <c r="F950" s="27"/>
      <c r="G950" s="27"/>
      <c r="H950" s="27"/>
      <c r="I950" s="27"/>
      <c r="J950" s="27"/>
      <c r="K950" s="27"/>
      <c r="L950" s="27"/>
    </row>
    <row r="951">
      <c r="B951" s="28"/>
      <c r="C951" s="28"/>
      <c r="D951" s="27"/>
      <c r="E951" s="27"/>
      <c r="F951" s="27"/>
      <c r="G951" s="27"/>
      <c r="H951" s="27"/>
      <c r="I951" s="27"/>
      <c r="J951" s="27"/>
      <c r="K951" s="27"/>
      <c r="L951" s="27"/>
    </row>
    <row r="952">
      <c r="B952" s="28"/>
      <c r="C952" s="28"/>
      <c r="D952" s="27"/>
      <c r="E952" s="27"/>
      <c r="F952" s="27"/>
      <c r="G952" s="27"/>
      <c r="H952" s="27"/>
      <c r="I952" s="27"/>
      <c r="J952" s="27"/>
      <c r="K952" s="27"/>
      <c r="L952" s="27"/>
    </row>
    <row r="953">
      <c r="B953" s="28"/>
      <c r="C953" s="28"/>
      <c r="D953" s="27"/>
      <c r="E953" s="27"/>
      <c r="F953" s="27"/>
      <c r="G953" s="27"/>
      <c r="H953" s="27"/>
      <c r="I953" s="27"/>
      <c r="J953" s="27"/>
      <c r="K953" s="27"/>
      <c r="L953" s="27"/>
    </row>
    <row r="954">
      <c r="B954" s="28"/>
      <c r="C954" s="28"/>
      <c r="D954" s="27"/>
      <c r="E954" s="27"/>
      <c r="F954" s="27"/>
      <c r="G954" s="27"/>
      <c r="H954" s="27"/>
      <c r="I954" s="27"/>
      <c r="J954" s="27"/>
      <c r="K954" s="27"/>
      <c r="L954" s="27"/>
    </row>
    <row r="955">
      <c r="B955" s="28"/>
      <c r="C955" s="28"/>
      <c r="D955" s="27"/>
      <c r="E955" s="27"/>
      <c r="F955" s="27"/>
      <c r="G955" s="27"/>
      <c r="H955" s="27"/>
      <c r="I955" s="27"/>
      <c r="J955" s="27"/>
      <c r="K955" s="27"/>
      <c r="L955" s="27"/>
    </row>
    <row r="956">
      <c r="B956" s="28"/>
      <c r="C956" s="28"/>
      <c r="D956" s="27"/>
      <c r="E956" s="27"/>
      <c r="F956" s="27"/>
      <c r="G956" s="27"/>
      <c r="H956" s="27"/>
      <c r="I956" s="27"/>
      <c r="J956" s="27"/>
      <c r="K956" s="27"/>
      <c r="L956" s="27"/>
    </row>
    <row r="957">
      <c r="B957" s="28"/>
      <c r="C957" s="28"/>
      <c r="D957" s="27"/>
      <c r="E957" s="27"/>
      <c r="F957" s="27"/>
      <c r="G957" s="27"/>
      <c r="H957" s="27"/>
      <c r="I957" s="27"/>
      <c r="J957" s="27"/>
      <c r="K957" s="27"/>
      <c r="L957" s="27"/>
    </row>
    <row r="958">
      <c r="B958" s="28"/>
      <c r="C958" s="28"/>
      <c r="D958" s="27"/>
      <c r="E958" s="27"/>
      <c r="F958" s="27"/>
      <c r="G958" s="27"/>
      <c r="H958" s="27"/>
      <c r="I958" s="27"/>
      <c r="J958" s="27"/>
      <c r="K958" s="27"/>
      <c r="L958" s="27"/>
    </row>
    <row r="959">
      <c r="B959" s="28"/>
      <c r="C959" s="28"/>
      <c r="D959" s="27"/>
      <c r="E959" s="27"/>
      <c r="F959" s="27"/>
      <c r="G959" s="27"/>
      <c r="H959" s="27"/>
      <c r="I959" s="27"/>
      <c r="J959" s="27"/>
      <c r="K959" s="27"/>
      <c r="L959" s="27"/>
    </row>
    <row r="960">
      <c r="B960" s="28"/>
      <c r="C960" s="28"/>
      <c r="D960" s="27"/>
      <c r="E960" s="27"/>
      <c r="F960" s="27"/>
      <c r="G960" s="27"/>
      <c r="H960" s="27"/>
      <c r="I960" s="27"/>
      <c r="J960" s="27"/>
      <c r="K960" s="27"/>
      <c r="L960" s="27"/>
    </row>
    <row r="961">
      <c r="B961" s="28"/>
      <c r="C961" s="28"/>
      <c r="D961" s="27"/>
      <c r="E961" s="27"/>
      <c r="F961" s="27"/>
      <c r="G961" s="27"/>
      <c r="H961" s="27"/>
      <c r="I961" s="27"/>
      <c r="J961" s="27"/>
      <c r="K961" s="27"/>
      <c r="L961" s="27"/>
    </row>
    <row r="962">
      <c r="B962" s="28"/>
      <c r="C962" s="28"/>
      <c r="D962" s="27"/>
      <c r="E962" s="27"/>
      <c r="F962" s="27"/>
      <c r="G962" s="27"/>
      <c r="H962" s="27"/>
      <c r="I962" s="27"/>
      <c r="J962" s="27"/>
      <c r="K962" s="27"/>
      <c r="L962" s="27"/>
    </row>
    <row r="963">
      <c r="B963" s="28"/>
      <c r="C963" s="28"/>
      <c r="D963" s="27"/>
      <c r="E963" s="27"/>
      <c r="F963" s="27"/>
      <c r="G963" s="27"/>
      <c r="H963" s="27"/>
      <c r="I963" s="27"/>
      <c r="J963" s="27"/>
      <c r="K963" s="27"/>
      <c r="L963" s="27"/>
    </row>
    <row r="964">
      <c r="B964" s="28"/>
      <c r="C964" s="28"/>
      <c r="D964" s="27"/>
      <c r="E964" s="27"/>
      <c r="F964" s="27"/>
      <c r="G964" s="27"/>
      <c r="H964" s="27"/>
      <c r="I964" s="27"/>
      <c r="J964" s="27"/>
      <c r="K964" s="27"/>
      <c r="L964" s="27"/>
    </row>
    <row r="965">
      <c r="B965" s="28"/>
      <c r="C965" s="28"/>
      <c r="D965" s="27"/>
      <c r="E965" s="27"/>
      <c r="F965" s="27"/>
      <c r="G965" s="27"/>
      <c r="H965" s="27"/>
      <c r="I965" s="27"/>
      <c r="J965" s="27"/>
      <c r="K965" s="27"/>
      <c r="L965" s="27"/>
    </row>
    <row r="966">
      <c r="B966" s="28"/>
      <c r="C966" s="28"/>
      <c r="D966" s="27"/>
      <c r="E966" s="27"/>
      <c r="F966" s="27"/>
      <c r="G966" s="27"/>
      <c r="H966" s="27"/>
      <c r="I966" s="27"/>
      <c r="J966" s="27"/>
      <c r="K966" s="27"/>
      <c r="L966" s="27"/>
    </row>
    <row r="967">
      <c r="B967" s="28"/>
      <c r="C967" s="28"/>
      <c r="D967" s="27"/>
      <c r="E967" s="27"/>
      <c r="F967" s="27"/>
      <c r="G967" s="27"/>
      <c r="H967" s="27"/>
      <c r="I967" s="27"/>
      <c r="J967" s="27"/>
      <c r="K967" s="27"/>
      <c r="L967" s="27"/>
    </row>
    <row r="968">
      <c r="B968" s="28"/>
      <c r="C968" s="28"/>
      <c r="D968" s="27"/>
      <c r="E968" s="27"/>
      <c r="F968" s="27"/>
      <c r="G968" s="27"/>
      <c r="H968" s="27"/>
      <c r="I968" s="27"/>
      <c r="J968" s="27"/>
      <c r="K968" s="27"/>
      <c r="L968" s="27"/>
    </row>
    <row r="969">
      <c r="B969" s="28"/>
      <c r="C969" s="28"/>
      <c r="D969" s="27"/>
      <c r="E969" s="27"/>
      <c r="F969" s="27"/>
      <c r="G969" s="27"/>
      <c r="H969" s="27"/>
      <c r="I969" s="27"/>
      <c r="J969" s="27"/>
      <c r="K969" s="27"/>
      <c r="L969" s="27"/>
    </row>
    <row r="970">
      <c r="B970" s="28"/>
      <c r="C970" s="28"/>
      <c r="D970" s="27"/>
      <c r="E970" s="27"/>
      <c r="F970" s="27"/>
      <c r="G970" s="27"/>
      <c r="H970" s="27"/>
      <c r="I970" s="27"/>
      <c r="J970" s="27"/>
      <c r="K970" s="27"/>
      <c r="L970" s="27"/>
    </row>
    <row r="971">
      <c r="B971" s="28"/>
      <c r="C971" s="28"/>
      <c r="D971" s="27"/>
      <c r="E971" s="27"/>
      <c r="F971" s="27"/>
      <c r="G971" s="27"/>
      <c r="H971" s="27"/>
      <c r="I971" s="27"/>
      <c r="J971" s="27"/>
      <c r="K971" s="27"/>
      <c r="L971" s="27"/>
    </row>
    <row r="972">
      <c r="B972" s="28"/>
      <c r="C972" s="28"/>
      <c r="D972" s="27"/>
      <c r="E972" s="27"/>
      <c r="F972" s="27"/>
      <c r="G972" s="27"/>
      <c r="H972" s="27"/>
      <c r="I972" s="27"/>
      <c r="J972" s="27"/>
      <c r="K972" s="27"/>
      <c r="L972" s="27"/>
    </row>
    <row r="973">
      <c r="B973" s="28"/>
      <c r="C973" s="28"/>
      <c r="D973" s="27"/>
      <c r="E973" s="27"/>
      <c r="F973" s="27"/>
      <c r="G973" s="27"/>
      <c r="H973" s="27"/>
      <c r="I973" s="27"/>
      <c r="J973" s="27"/>
      <c r="K973" s="27"/>
      <c r="L973" s="27"/>
    </row>
    <row r="974">
      <c r="B974" s="28"/>
      <c r="C974" s="28"/>
      <c r="D974" s="27"/>
      <c r="E974" s="27"/>
      <c r="F974" s="27"/>
      <c r="G974" s="27"/>
      <c r="H974" s="27"/>
      <c r="I974" s="27"/>
      <c r="J974" s="27"/>
      <c r="K974" s="27"/>
      <c r="L974" s="27"/>
    </row>
    <row r="975">
      <c r="B975" s="28"/>
      <c r="C975" s="28"/>
      <c r="D975" s="27"/>
      <c r="E975" s="27"/>
      <c r="F975" s="27"/>
      <c r="G975" s="27"/>
      <c r="H975" s="27"/>
      <c r="I975" s="27"/>
      <c r="J975" s="27"/>
      <c r="K975" s="27"/>
      <c r="L975" s="27"/>
    </row>
    <row r="976">
      <c r="B976" s="28"/>
      <c r="C976" s="28"/>
      <c r="D976" s="27"/>
      <c r="E976" s="27"/>
      <c r="F976" s="27"/>
      <c r="G976" s="27"/>
      <c r="H976" s="27"/>
      <c r="I976" s="27"/>
      <c r="J976" s="27"/>
      <c r="K976" s="27"/>
      <c r="L976" s="27"/>
    </row>
    <row r="977">
      <c r="B977" s="28"/>
      <c r="C977" s="28"/>
      <c r="D977" s="27"/>
      <c r="E977" s="27"/>
      <c r="F977" s="27"/>
      <c r="G977" s="27"/>
      <c r="H977" s="27"/>
      <c r="I977" s="27"/>
      <c r="J977" s="27"/>
      <c r="K977" s="27"/>
      <c r="L977" s="27"/>
    </row>
    <row r="978">
      <c r="B978" s="28"/>
      <c r="C978" s="28"/>
      <c r="D978" s="27"/>
      <c r="E978" s="27"/>
      <c r="F978" s="27"/>
      <c r="G978" s="27"/>
      <c r="H978" s="27"/>
      <c r="I978" s="27"/>
      <c r="J978" s="27"/>
      <c r="K978" s="27"/>
      <c r="L978" s="27"/>
    </row>
    <row r="979">
      <c r="B979" s="28"/>
      <c r="C979" s="28"/>
      <c r="D979" s="27"/>
      <c r="E979" s="27"/>
      <c r="F979" s="27"/>
      <c r="G979" s="27"/>
      <c r="H979" s="27"/>
      <c r="I979" s="27"/>
      <c r="J979" s="27"/>
      <c r="K979" s="27"/>
      <c r="L979" s="27"/>
    </row>
    <row r="980">
      <c r="B980" s="28"/>
      <c r="C980" s="28"/>
      <c r="D980" s="27"/>
      <c r="E980" s="27"/>
      <c r="F980" s="27"/>
      <c r="G980" s="27"/>
      <c r="H980" s="27"/>
      <c r="I980" s="27"/>
      <c r="J980" s="27"/>
      <c r="K980" s="27"/>
      <c r="L980" s="27"/>
    </row>
    <row r="981">
      <c r="B981" s="28"/>
      <c r="C981" s="28"/>
      <c r="D981" s="27"/>
      <c r="E981" s="27"/>
      <c r="F981" s="27"/>
      <c r="G981" s="27"/>
      <c r="H981" s="27"/>
      <c r="I981" s="27"/>
      <c r="J981" s="27"/>
      <c r="K981" s="27"/>
      <c r="L981" s="27"/>
    </row>
    <row r="982">
      <c r="B982" s="28"/>
      <c r="C982" s="28"/>
      <c r="D982" s="27"/>
      <c r="E982" s="27"/>
      <c r="F982" s="27"/>
      <c r="G982" s="27"/>
      <c r="H982" s="27"/>
      <c r="I982" s="27"/>
      <c r="J982" s="27"/>
      <c r="K982" s="27"/>
      <c r="L982" s="27"/>
    </row>
    <row r="983">
      <c r="B983" s="28"/>
      <c r="C983" s="28"/>
      <c r="D983" s="27"/>
      <c r="E983" s="27"/>
      <c r="F983" s="27"/>
      <c r="G983" s="27"/>
      <c r="H983" s="27"/>
      <c r="I983" s="27"/>
      <c r="J983" s="27"/>
      <c r="K983" s="27"/>
      <c r="L983" s="27"/>
    </row>
    <row r="984">
      <c r="B984" s="28"/>
      <c r="C984" s="28"/>
      <c r="D984" s="27"/>
      <c r="E984" s="27"/>
      <c r="F984" s="27"/>
      <c r="G984" s="27"/>
      <c r="H984" s="27"/>
      <c r="I984" s="27"/>
      <c r="J984" s="27"/>
      <c r="K984" s="27"/>
      <c r="L984" s="27"/>
    </row>
    <row r="985">
      <c r="B985" s="28"/>
      <c r="C985" s="28"/>
      <c r="D985" s="27"/>
      <c r="E985" s="27"/>
      <c r="F985" s="27"/>
      <c r="G985" s="27"/>
      <c r="H985" s="27"/>
      <c r="I985" s="27"/>
      <c r="J985" s="27"/>
      <c r="K985" s="27"/>
      <c r="L985" s="27"/>
    </row>
    <row r="986">
      <c r="B986" s="28"/>
      <c r="C986" s="28"/>
      <c r="D986" s="27"/>
      <c r="E986" s="27"/>
      <c r="F986" s="27"/>
      <c r="G986" s="27"/>
      <c r="H986" s="27"/>
      <c r="I986" s="27"/>
      <c r="J986" s="27"/>
      <c r="K986" s="27"/>
      <c r="L986" s="27"/>
    </row>
    <row r="987">
      <c r="B987" s="28"/>
      <c r="C987" s="28"/>
      <c r="D987" s="27"/>
      <c r="E987" s="27"/>
      <c r="F987" s="27"/>
      <c r="G987" s="27"/>
      <c r="H987" s="27"/>
      <c r="I987" s="27"/>
      <c r="J987" s="27"/>
      <c r="K987" s="27"/>
      <c r="L987" s="27"/>
    </row>
    <row r="988">
      <c r="B988" s="28"/>
      <c r="C988" s="28"/>
      <c r="D988" s="27"/>
      <c r="E988" s="27"/>
      <c r="F988" s="27"/>
      <c r="G988" s="27"/>
      <c r="H988" s="27"/>
      <c r="I988" s="27"/>
      <c r="J988" s="27"/>
      <c r="K988" s="27"/>
      <c r="L988" s="27"/>
    </row>
    <row r="989">
      <c r="B989" s="28"/>
      <c r="C989" s="28"/>
      <c r="D989" s="27"/>
      <c r="E989" s="27"/>
      <c r="F989" s="27"/>
      <c r="G989" s="27"/>
      <c r="H989" s="27"/>
      <c r="I989" s="27"/>
      <c r="J989" s="27"/>
      <c r="K989" s="27"/>
      <c r="L989" s="27"/>
    </row>
    <row r="990">
      <c r="B990" s="28"/>
      <c r="C990" s="28"/>
      <c r="D990" s="27"/>
      <c r="E990" s="27"/>
      <c r="F990" s="27"/>
      <c r="G990" s="27"/>
      <c r="H990" s="27"/>
      <c r="I990" s="27"/>
      <c r="J990" s="27"/>
      <c r="K990" s="27"/>
      <c r="L990" s="27"/>
    </row>
    <row r="991">
      <c r="B991" s="28"/>
      <c r="C991" s="28"/>
      <c r="D991" s="27"/>
      <c r="E991" s="27"/>
      <c r="F991" s="27"/>
      <c r="G991" s="27"/>
      <c r="H991" s="27"/>
      <c r="I991" s="27"/>
      <c r="J991" s="27"/>
      <c r="K991" s="27"/>
      <c r="L991" s="27"/>
    </row>
    <row r="992">
      <c r="B992" s="28"/>
      <c r="C992" s="28"/>
      <c r="D992" s="27"/>
      <c r="E992" s="27"/>
      <c r="F992" s="27"/>
      <c r="G992" s="27"/>
      <c r="H992" s="27"/>
      <c r="I992" s="27"/>
      <c r="J992" s="27"/>
      <c r="K992" s="27"/>
      <c r="L992" s="27"/>
    </row>
    <row r="993">
      <c r="B993" s="28"/>
      <c r="C993" s="28"/>
      <c r="D993" s="27"/>
      <c r="E993" s="27"/>
      <c r="F993" s="27"/>
      <c r="G993" s="27"/>
      <c r="H993" s="27"/>
      <c r="I993" s="27"/>
      <c r="J993" s="27"/>
      <c r="K993" s="27"/>
      <c r="L993" s="27"/>
    </row>
    <row r="994">
      <c r="B994" s="28"/>
      <c r="C994" s="28"/>
      <c r="D994" s="27"/>
      <c r="E994" s="27"/>
      <c r="F994" s="27"/>
      <c r="G994" s="27"/>
      <c r="H994" s="27"/>
      <c r="I994" s="27"/>
      <c r="J994" s="27"/>
      <c r="K994" s="27"/>
      <c r="L994" s="27"/>
    </row>
    <row r="995">
      <c r="B995" s="28"/>
      <c r="C995" s="28"/>
      <c r="D995" s="27"/>
      <c r="E995" s="27"/>
      <c r="F995" s="27"/>
      <c r="G995" s="27"/>
      <c r="H995" s="27"/>
      <c r="I995" s="27"/>
      <c r="J995" s="27"/>
      <c r="K995" s="27"/>
      <c r="L995" s="27"/>
    </row>
    <row r="996">
      <c r="B996" s="28"/>
      <c r="C996" s="28"/>
      <c r="D996" s="27"/>
      <c r="E996" s="27"/>
      <c r="F996" s="27"/>
      <c r="G996" s="27"/>
      <c r="H996" s="27"/>
      <c r="I996" s="27"/>
      <c r="J996" s="27"/>
      <c r="K996" s="27"/>
      <c r="L996" s="27"/>
    </row>
    <row r="997">
      <c r="B997" s="28"/>
      <c r="C997" s="28"/>
      <c r="D997" s="27"/>
      <c r="E997" s="27"/>
      <c r="F997" s="27"/>
      <c r="G997" s="27"/>
      <c r="H997" s="27"/>
      <c r="I997" s="27"/>
      <c r="J997" s="27"/>
      <c r="K997" s="27"/>
      <c r="L997" s="27"/>
    </row>
    <row r="998">
      <c r="B998" s="28"/>
      <c r="C998" s="28"/>
      <c r="D998" s="27"/>
      <c r="E998" s="27"/>
      <c r="F998" s="27"/>
      <c r="G998" s="27"/>
      <c r="H998" s="27"/>
      <c r="I998" s="27"/>
      <c r="J998" s="27"/>
      <c r="K998" s="27"/>
      <c r="L998" s="27"/>
    </row>
    <row r="999">
      <c r="B999" s="28"/>
      <c r="C999" s="28"/>
      <c r="D999" s="27"/>
      <c r="E999" s="27"/>
      <c r="F999" s="27"/>
      <c r="G999" s="27"/>
      <c r="H999" s="27"/>
      <c r="I999" s="27"/>
      <c r="J999" s="27"/>
      <c r="K999" s="27"/>
      <c r="L999" s="27"/>
    </row>
    <row r="1000">
      <c r="B1000" s="28"/>
      <c r="C1000" s="28"/>
      <c r="D1000" s="27"/>
      <c r="E1000" s="27"/>
      <c r="F1000" s="27"/>
      <c r="G1000" s="27"/>
      <c r="H1000" s="27"/>
      <c r="I1000" s="27"/>
      <c r="J1000" s="27"/>
      <c r="K1000" s="27"/>
      <c r="L1000" s="27"/>
    </row>
    <row r="1001">
      <c r="B1001" s="28"/>
      <c r="C1001" s="28"/>
      <c r="D1001" s="27"/>
      <c r="E1001" s="27"/>
      <c r="F1001" s="27"/>
      <c r="G1001" s="27"/>
      <c r="H1001" s="27"/>
      <c r="I1001" s="27"/>
      <c r="J1001" s="27"/>
      <c r="K1001" s="27"/>
      <c r="L1001" s="27"/>
    </row>
    <row r="1002">
      <c r="B1002" s="28"/>
      <c r="C1002" s="28"/>
      <c r="D1002" s="27"/>
      <c r="E1002" s="27"/>
      <c r="F1002" s="27"/>
      <c r="G1002" s="27"/>
      <c r="H1002" s="27"/>
      <c r="I1002" s="27"/>
      <c r="J1002" s="27"/>
      <c r="K1002" s="27"/>
      <c r="L1002" s="27"/>
    </row>
  </sheetData>
  <drawing r:id="rId4"/>
  <legacyDrawing r:id="rId5"/>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0" t="s">
        <v>8286</v>
      </c>
      <c r="B1" s="143" t="s">
        <v>8287</v>
      </c>
    </row>
  </sheetData>
  <hyperlinks>
    <hyperlink r:id="rId1" location="gid=567006336" ref="B1"/>
  </hyperlinks>
  <drawing r:id="rId2"/>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2" width="18.25"/>
  </cols>
  <sheetData>
    <row r="1">
      <c r="A1" s="12" t="s">
        <v>8288</v>
      </c>
      <c r="B1" s="12" t="s">
        <v>8289</v>
      </c>
      <c r="C1" s="12" t="s">
        <v>8290</v>
      </c>
      <c r="D1" s="28"/>
      <c r="E1" s="13">
        <v>0.0</v>
      </c>
      <c r="F1" s="13" t="s">
        <v>8291</v>
      </c>
      <c r="G1" s="13">
        <v>119.0</v>
      </c>
      <c r="H1" s="13" t="s">
        <v>8292</v>
      </c>
      <c r="I1" s="13">
        <v>199.0</v>
      </c>
    </row>
    <row r="2">
      <c r="A2" s="54">
        <v>43064.0</v>
      </c>
      <c r="B2" s="54">
        <v>2.06</v>
      </c>
      <c r="C2" s="28">
        <f>E1</f>
        <v>0</v>
      </c>
      <c r="D2" s="12"/>
    </row>
    <row r="3">
      <c r="A3" s="144">
        <v>43077.0</v>
      </c>
      <c r="B3" s="54">
        <v>4.35</v>
      </c>
      <c r="C3" s="28">
        <f t="shared" ref="C3:C39" si="1">$G$1</f>
        <v>119</v>
      </c>
      <c r="D3" s="12"/>
    </row>
    <row r="4">
      <c r="A4" s="144">
        <v>43002.0</v>
      </c>
      <c r="B4" s="54">
        <v>8.15</v>
      </c>
      <c r="C4" s="28">
        <f t="shared" si="1"/>
        <v>119</v>
      </c>
      <c r="D4" s="12"/>
    </row>
    <row r="5">
      <c r="A5" s="144">
        <v>43017.0</v>
      </c>
      <c r="B5" s="54">
        <v>10.97</v>
      </c>
      <c r="C5" s="28">
        <f t="shared" si="1"/>
        <v>119</v>
      </c>
      <c r="D5" s="12"/>
    </row>
    <row r="6">
      <c r="A6" s="144">
        <v>43016.0</v>
      </c>
      <c r="B6" s="54">
        <v>11.22</v>
      </c>
      <c r="C6" s="28">
        <f t="shared" si="1"/>
        <v>119</v>
      </c>
      <c r="D6" s="12"/>
    </row>
    <row r="7">
      <c r="A7" s="144">
        <v>43045.0</v>
      </c>
      <c r="B7" s="54">
        <v>12.0</v>
      </c>
      <c r="C7" s="28">
        <f t="shared" si="1"/>
        <v>119</v>
      </c>
      <c r="D7" s="12"/>
    </row>
    <row r="8">
      <c r="A8" s="144">
        <v>43026.0</v>
      </c>
      <c r="B8" s="54">
        <v>12.08</v>
      </c>
      <c r="C8" s="28">
        <f t="shared" si="1"/>
        <v>119</v>
      </c>
      <c r="D8" s="12"/>
    </row>
    <row r="9">
      <c r="A9" s="144">
        <v>43029.0</v>
      </c>
      <c r="B9" s="54">
        <v>12.17</v>
      </c>
      <c r="C9" s="28">
        <f t="shared" si="1"/>
        <v>119</v>
      </c>
      <c r="D9" s="12"/>
    </row>
    <row r="10">
      <c r="A10" s="144">
        <v>43061.0</v>
      </c>
      <c r="B10" s="54">
        <v>12.99</v>
      </c>
      <c r="C10" s="28">
        <f t="shared" si="1"/>
        <v>119</v>
      </c>
      <c r="D10" s="12"/>
    </row>
    <row r="11">
      <c r="A11" s="144">
        <v>43235.0</v>
      </c>
      <c r="B11" s="54">
        <v>13.46</v>
      </c>
      <c r="C11" s="28">
        <f t="shared" si="1"/>
        <v>119</v>
      </c>
      <c r="D11" s="12"/>
    </row>
    <row r="12">
      <c r="A12" s="144">
        <v>43162.0</v>
      </c>
      <c r="B12" s="54">
        <v>14.6</v>
      </c>
      <c r="C12" s="28">
        <f t="shared" si="1"/>
        <v>119</v>
      </c>
      <c r="D12" s="12"/>
    </row>
    <row r="13">
      <c r="A13" s="144">
        <v>43065.0</v>
      </c>
      <c r="B13" s="54">
        <v>14.77</v>
      </c>
      <c r="C13" s="28">
        <f t="shared" si="1"/>
        <v>119</v>
      </c>
      <c r="D13" s="12"/>
    </row>
    <row r="14">
      <c r="A14" s="144">
        <v>43040.0</v>
      </c>
      <c r="B14" s="54">
        <v>15.62</v>
      </c>
      <c r="C14" s="28">
        <f t="shared" si="1"/>
        <v>119</v>
      </c>
      <c r="D14" s="12"/>
    </row>
    <row r="15">
      <c r="A15" s="144">
        <v>43228.0</v>
      </c>
      <c r="B15" s="54">
        <v>15.85</v>
      </c>
      <c r="C15" s="28">
        <f t="shared" si="1"/>
        <v>119</v>
      </c>
      <c r="D15" s="12"/>
    </row>
    <row r="16">
      <c r="A16" s="144">
        <v>43085.0</v>
      </c>
      <c r="B16" s="54">
        <v>15.92</v>
      </c>
      <c r="C16" s="28">
        <f t="shared" si="1"/>
        <v>119</v>
      </c>
      <c r="D16" s="12"/>
    </row>
    <row r="17">
      <c r="A17" s="144">
        <v>43220.0</v>
      </c>
      <c r="B17" s="54">
        <v>16.2</v>
      </c>
      <c r="C17" s="28">
        <f t="shared" si="1"/>
        <v>119</v>
      </c>
      <c r="D17" s="12"/>
    </row>
    <row r="18">
      <c r="A18" s="144">
        <v>43084.0</v>
      </c>
      <c r="B18" s="54">
        <v>16.27</v>
      </c>
      <c r="C18" s="28">
        <f t="shared" si="1"/>
        <v>119</v>
      </c>
      <c r="D18" s="12"/>
    </row>
    <row r="19">
      <c r="A19" s="144">
        <v>43119.0</v>
      </c>
      <c r="B19" s="54">
        <v>16.68</v>
      </c>
      <c r="C19" s="28">
        <f t="shared" si="1"/>
        <v>119</v>
      </c>
      <c r="D19" s="12"/>
    </row>
    <row r="20">
      <c r="A20" s="144">
        <v>43140.0</v>
      </c>
      <c r="B20" s="54">
        <v>17.75</v>
      </c>
      <c r="C20" s="28">
        <f t="shared" si="1"/>
        <v>119</v>
      </c>
      <c r="D20" s="12"/>
    </row>
    <row r="21">
      <c r="A21" s="144">
        <v>43221.0</v>
      </c>
      <c r="B21" s="54">
        <v>18.24</v>
      </c>
      <c r="C21" s="28">
        <f t="shared" si="1"/>
        <v>119</v>
      </c>
      <c r="D21" s="12"/>
    </row>
    <row r="22">
      <c r="A22" s="144">
        <v>43044.0</v>
      </c>
      <c r="B22" s="54">
        <v>18.49</v>
      </c>
      <c r="C22" s="28">
        <f t="shared" si="1"/>
        <v>119</v>
      </c>
      <c r="D22" s="12"/>
    </row>
    <row r="23">
      <c r="A23" s="144">
        <v>43015.0</v>
      </c>
      <c r="B23" s="54">
        <v>18.52</v>
      </c>
      <c r="C23" s="28">
        <f t="shared" si="1"/>
        <v>119</v>
      </c>
      <c r="D23" s="12"/>
    </row>
    <row r="24">
      <c r="A24" s="144">
        <v>43214.0</v>
      </c>
      <c r="B24" s="54">
        <v>19.12</v>
      </c>
      <c r="C24" s="28">
        <f t="shared" si="1"/>
        <v>119</v>
      </c>
      <c r="D24" s="12"/>
    </row>
    <row r="25">
      <c r="A25" s="144">
        <v>43060.0</v>
      </c>
      <c r="B25" s="54">
        <v>19.25</v>
      </c>
      <c r="C25" s="28">
        <f t="shared" si="1"/>
        <v>119</v>
      </c>
      <c r="D25" s="12"/>
    </row>
    <row r="26">
      <c r="A26" s="144">
        <v>43229.0</v>
      </c>
      <c r="B26" s="54">
        <v>19.25</v>
      </c>
      <c r="C26" s="28">
        <f t="shared" si="1"/>
        <v>119</v>
      </c>
      <c r="D26" s="12"/>
    </row>
    <row r="27">
      <c r="A27" s="144">
        <v>43240.0</v>
      </c>
      <c r="B27" s="54">
        <v>20.94</v>
      </c>
      <c r="C27" s="28">
        <f t="shared" si="1"/>
        <v>119</v>
      </c>
      <c r="D27" s="12"/>
    </row>
    <row r="28">
      <c r="A28" s="144">
        <v>43035.0</v>
      </c>
      <c r="B28" s="54">
        <v>21.07</v>
      </c>
      <c r="C28" s="28">
        <f t="shared" si="1"/>
        <v>119</v>
      </c>
      <c r="D28" s="12"/>
    </row>
    <row r="29">
      <c r="A29" s="144">
        <v>43204.0</v>
      </c>
      <c r="B29" s="54">
        <v>21.1</v>
      </c>
      <c r="C29" s="28">
        <f t="shared" si="1"/>
        <v>119</v>
      </c>
      <c r="D29" s="12"/>
    </row>
    <row r="30">
      <c r="A30" s="144">
        <v>43202.0</v>
      </c>
      <c r="B30" s="54">
        <v>21.34</v>
      </c>
      <c r="C30" s="28">
        <f t="shared" si="1"/>
        <v>119</v>
      </c>
      <c r="D30" s="12"/>
    </row>
    <row r="31">
      <c r="A31" s="144">
        <v>43210.0</v>
      </c>
      <c r="B31" s="54">
        <v>21.86</v>
      </c>
      <c r="C31" s="28">
        <f t="shared" si="1"/>
        <v>119</v>
      </c>
      <c r="D31" s="12"/>
    </row>
    <row r="32">
      <c r="A32" s="144">
        <v>43007.0</v>
      </c>
      <c r="B32" s="54">
        <v>22.21</v>
      </c>
      <c r="C32" s="28">
        <f t="shared" si="1"/>
        <v>119</v>
      </c>
      <c r="D32" s="12"/>
    </row>
    <row r="33">
      <c r="A33" s="144">
        <v>43081.0</v>
      </c>
      <c r="B33" s="54">
        <v>22.58</v>
      </c>
      <c r="C33" s="28">
        <f t="shared" si="1"/>
        <v>119</v>
      </c>
      <c r="D33" s="12"/>
    </row>
    <row r="34">
      <c r="A34" s="144">
        <v>43231.0</v>
      </c>
      <c r="B34" s="54">
        <v>23.47</v>
      </c>
      <c r="C34" s="28">
        <f t="shared" si="1"/>
        <v>119</v>
      </c>
      <c r="D34" s="12"/>
    </row>
    <row r="35">
      <c r="A35" s="144">
        <v>43222.0</v>
      </c>
      <c r="B35" s="54">
        <v>23.48</v>
      </c>
      <c r="C35" s="28">
        <f t="shared" si="1"/>
        <v>119</v>
      </c>
      <c r="D35" s="12"/>
    </row>
    <row r="36">
      <c r="A36" s="144">
        <v>43009.0</v>
      </c>
      <c r="B36" s="54">
        <v>23.6</v>
      </c>
      <c r="C36" s="28">
        <f t="shared" si="1"/>
        <v>119</v>
      </c>
      <c r="D36" s="12"/>
    </row>
    <row r="37">
      <c r="A37" s="144">
        <v>43212.0</v>
      </c>
      <c r="B37" s="54">
        <v>23.86</v>
      </c>
      <c r="C37" s="28">
        <f t="shared" si="1"/>
        <v>119</v>
      </c>
      <c r="D37" s="12"/>
    </row>
    <row r="38">
      <c r="A38" s="144">
        <v>43224.0</v>
      </c>
      <c r="B38" s="54">
        <v>23.97</v>
      </c>
      <c r="C38" s="28">
        <f t="shared" si="1"/>
        <v>119</v>
      </c>
      <c r="D38" s="12"/>
    </row>
    <row r="39">
      <c r="A39" s="144">
        <v>43036.0</v>
      </c>
      <c r="B39" s="54">
        <v>24.44</v>
      </c>
      <c r="C39" s="28">
        <f t="shared" si="1"/>
        <v>119</v>
      </c>
      <c r="D39" s="12"/>
    </row>
    <row r="40">
      <c r="A40" s="144">
        <v>43268.0</v>
      </c>
      <c r="B40" s="54">
        <v>24.5</v>
      </c>
      <c r="C40" s="12">
        <v>119.0</v>
      </c>
      <c r="D40" s="12"/>
    </row>
    <row r="41">
      <c r="A41" s="144">
        <v>43066.0</v>
      </c>
      <c r="B41" s="54">
        <v>24.57</v>
      </c>
      <c r="C41" s="28">
        <f t="shared" ref="C41:C155" si="2">$G$1</f>
        <v>119</v>
      </c>
      <c r="D41" s="12"/>
    </row>
    <row r="42">
      <c r="A42" s="144">
        <v>43215.0</v>
      </c>
      <c r="B42" s="54">
        <v>24.8</v>
      </c>
      <c r="C42" s="28">
        <f t="shared" si="2"/>
        <v>119</v>
      </c>
      <c r="D42" s="12"/>
    </row>
    <row r="43">
      <c r="A43" s="144">
        <v>43082.0</v>
      </c>
      <c r="B43" s="54">
        <v>24.87</v>
      </c>
      <c r="C43" s="28">
        <f t="shared" si="2"/>
        <v>119</v>
      </c>
      <c r="D43" s="12"/>
    </row>
    <row r="44">
      <c r="A44" s="144">
        <v>43032.0</v>
      </c>
      <c r="B44" s="54">
        <v>25.23</v>
      </c>
      <c r="C44" s="28">
        <f t="shared" si="2"/>
        <v>119</v>
      </c>
      <c r="D44" s="12"/>
    </row>
    <row r="45">
      <c r="A45" s="144">
        <v>43223.0</v>
      </c>
      <c r="B45" s="54">
        <v>25.32</v>
      </c>
      <c r="C45" s="28">
        <f t="shared" si="2"/>
        <v>119</v>
      </c>
      <c r="D45" s="12"/>
    </row>
    <row r="46">
      <c r="A46" s="144">
        <v>43211.0</v>
      </c>
      <c r="B46" s="54">
        <v>25.55</v>
      </c>
      <c r="C46" s="28">
        <f t="shared" si="2"/>
        <v>119</v>
      </c>
      <c r="D46" s="12"/>
    </row>
    <row r="47">
      <c r="A47" s="144">
        <v>43123.0</v>
      </c>
      <c r="B47" s="54">
        <v>25.68</v>
      </c>
      <c r="C47" s="28">
        <f t="shared" si="2"/>
        <v>119</v>
      </c>
      <c r="D47" s="12"/>
    </row>
    <row r="48">
      <c r="A48" s="144">
        <v>45369.0</v>
      </c>
      <c r="B48" s="54">
        <v>25.86</v>
      </c>
      <c r="C48" s="28">
        <f t="shared" si="2"/>
        <v>119</v>
      </c>
      <c r="D48" s="12"/>
    </row>
    <row r="49">
      <c r="A49" s="144">
        <v>43047.0</v>
      </c>
      <c r="B49" s="54">
        <v>25.88</v>
      </c>
      <c r="C49" s="28">
        <f t="shared" si="2"/>
        <v>119</v>
      </c>
      <c r="D49" s="12"/>
    </row>
    <row r="50">
      <c r="A50" s="144">
        <v>43230.0</v>
      </c>
      <c r="B50" s="54">
        <v>26.29</v>
      </c>
      <c r="C50" s="28">
        <f t="shared" si="2"/>
        <v>119</v>
      </c>
      <c r="D50" s="12"/>
    </row>
    <row r="51">
      <c r="A51" s="144">
        <v>43126.0</v>
      </c>
      <c r="B51" s="54">
        <v>26.31</v>
      </c>
      <c r="C51" s="28">
        <f t="shared" si="2"/>
        <v>119</v>
      </c>
      <c r="D51" s="12"/>
    </row>
    <row r="52">
      <c r="A52" s="144">
        <v>43201.0</v>
      </c>
      <c r="B52" s="54">
        <v>26.67</v>
      </c>
      <c r="C52" s="28">
        <f t="shared" si="2"/>
        <v>119</v>
      </c>
      <c r="D52" s="12"/>
    </row>
    <row r="53">
      <c r="A53" s="144">
        <v>43344.0</v>
      </c>
      <c r="B53" s="54">
        <v>27.13</v>
      </c>
      <c r="C53" s="28">
        <f t="shared" si="2"/>
        <v>119</v>
      </c>
      <c r="D53" s="12"/>
    </row>
    <row r="54">
      <c r="A54" s="144">
        <v>43206.0</v>
      </c>
      <c r="B54" s="54">
        <v>27.32</v>
      </c>
      <c r="C54" s="28">
        <f t="shared" si="2"/>
        <v>119</v>
      </c>
      <c r="D54" s="12"/>
    </row>
    <row r="55">
      <c r="A55" s="144">
        <v>43205.0</v>
      </c>
      <c r="B55" s="54">
        <v>27.51</v>
      </c>
      <c r="C55" s="28">
        <f t="shared" si="2"/>
        <v>119</v>
      </c>
      <c r="D55" s="12"/>
    </row>
    <row r="56">
      <c r="A56" s="144">
        <v>43336.0</v>
      </c>
      <c r="B56" s="54">
        <v>27.88</v>
      </c>
      <c r="C56" s="28">
        <f t="shared" si="2"/>
        <v>119</v>
      </c>
      <c r="D56" s="12"/>
    </row>
    <row r="57">
      <c r="A57" s="144">
        <v>43218.0</v>
      </c>
      <c r="B57" s="54">
        <v>27.91</v>
      </c>
      <c r="C57" s="28">
        <f t="shared" si="2"/>
        <v>119</v>
      </c>
      <c r="D57" s="12"/>
    </row>
    <row r="58">
      <c r="A58" s="144">
        <v>43067.0</v>
      </c>
      <c r="B58" s="54">
        <v>28.01</v>
      </c>
      <c r="C58" s="28">
        <f t="shared" si="2"/>
        <v>119</v>
      </c>
      <c r="D58" s="12"/>
    </row>
    <row r="59">
      <c r="A59" s="144">
        <v>43342.0</v>
      </c>
      <c r="B59" s="54">
        <v>28.03</v>
      </c>
      <c r="C59" s="28">
        <f t="shared" si="2"/>
        <v>119</v>
      </c>
      <c r="D59" s="12"/>
    </row>
    <row r="60">
      <c r="A60" s="144">
        <v>43203.0</v>
      </c>
      <c r="B60" s="54">
        <v>28.06</v>
      </c>
      <c r="C60" s="28">
        <f t="shared" si="2"/>
        <v>119</v>
      </c>
      <c r="D60" s="12"/>
    </row>
    <row r="61">
      <c r="A61" s="144">
        <v>43054.0</v>
      </c>
      <c r="B61" s="54">
        <v>28.52</v>
      </c>
      <c r="C61" s="28">
        <f t="shared" si="2"/>
        <v>119</v>
      </c>
      <c r="D61" s="12"/>
    </row>
    <row r="62">
      <c r="A62" s="144">
        <v>43117.0</v>
      </c>
      <c r="B62" s="54">
        <v>28.53</v>
      </c>
      <c r="C62" s="28">
        <f t="shared" si="2"/>
        <v>119</v>
      </c>
      <c r="D62" s="12"/>
    </row>
    <row r="63">
      <c r="A63" s="144">
        <v>43003.0</v>
      </c>
      <c r="B63" s="54">
        <v>29.05</v>
      </c>
      <c r="C63" s="28">
        <f t="shared" si="2"/>
        <v>119</v>
      </c>
      <c r="D63" s="12"/>
    </row>
    <row r="64">
      <c r="A64" s="144">
        <v>43010.0</v>
      </c>
      <c r="B64" s="54">
        <v>29.48</v>
      </c>
      <c r="C64" s="28">
        <f t="shared" si="2"/>
        <v>119</v>
      </c>
      <c r="D64" s="12"/>
    </row>
    <row r="65">
      <c r="A65" s="144">
        <v>43151.0</v>
      </c>
      <c r="B65" s="54">
        <v>29.52</v>
      </c>
      <c r="C65" s="28">
        <f t="shared" si="2"/>
        <v>119</v>
      </c>
      <c r="D65" s="12"/>
    </row>
    <row r="66">
      <c r="A66" s="144">
        <v>43021.0</v>
      </c>
      <c r="B66" s="54">
        <v>30.05</v>
      </c>
      <c r="C66" s="28">
        <f t="shared" si="2"/>
        <v>119</v>
      </c>
      <c r="D66" s="12"/>
    </row>
    <row r="67">
      <c r="A67" s="144">
        <v>43209.0</v>
      </c>
      <c r="B67" s="54">
        <v>30.08</v>
      </c>
      <c r="C67" s="28">
        <f t="shared" si="2"/>
        <v>119</v>
      </c>
      <c r="D67" s="12"/>
    </row>
    <row r="68">
      <c r="A68" s="144">
        <v>43207.0</v>
      </c>
      <c r="B68" s="54">
        <v>30.21</v>
      </c>
      <c r="C68" s="28">
        <f t="shared" si="2"/>
        <v>119</v>
      </c>
      <c r="D68" s="12"/>
    </row>
    <row r="69">
      <c r="A69" s="144">
        <v>43078.0</v>
      </c>
      <c r="B69" s="54">
        <v>30.35</v>
      </c>
      <c r="C69" s="28">
        <f t="shared" si="2"/>
        <v>119</v>
      </c>
      <c r="D69" s="12"/>
    </row>
    <row r="70">
      <c r="A70" s="144">
        <v>43219.0</v>
      </c>
      <c r="B70" s="54">
        <v>30.72</v>
      </c>
      <c r="C70" s="28">
        <f t="shared" si="2"/>
        <v>119</v>
      </c>
      <c r="D70" s="12"/>
    </row>
    <row r="71">
      <c r="A71" s="144">
        <v>43356.0</v>
      </c>
      <c r="B71" s="54">
        <v>30.78</v>
      </c>
      <c r="C71" s="28">
        <f t="shared" si="2"/>
        <v>119</v>
      </c>
      <c r="D71" s="12"/>
    </row>
    <row r="72">
      <c r="A72" s="144">
        <v>45368.0</v>
      </c>
      <c r="B72" s="54">
        <v>31.41</v>
      </c>
      <c r="C72" s="28">
        <f t="shared" si="2"/>
        <v>119</v>
      </c>
      <c r="D72" s="12"/>
    </row>
    <row r="73">
      <c r="A73" s="144">
        <v>43146.0</v>
      </c>
      <c r="B73" s="54">
        <v>31.81</v>
      </c>
      <c r="C73" s="28">
        <f t="shared" si="2"/>
        <v>119</v>
      </c>
      <c r="D73" s="12"/>
    </row>
    <row r="74">
      <c r="A74" s="144">
        <v>43319.0</v>
      </c>
      <c r="B74" s="54">
        <v>32.3</v>
      </c>
      <c r="C74" s="28">
        <f t="shared" si="2"/>
        <v>119</v>
      </c>
      <c r="D74" s="12"/>
    </row>
    <row r="75">
      <c r="A75" s="144">
        <v>43213.0</v>
      </c>
      <c r="B75" s="54">
        <v>32.51</v>
      </c>
      <c r="C75" s="28">
        <f t="shared" si="2"/>
        <v>119</v>
      </c>
      <c r="D75" s="12"/>
    </row>
    <row r="76">
      <c r="A76" s="144">
        <v>45503.0</v>
      </c>
      <c r="B76" s="54">
        <v>32.82</v>
      </c>
      <c r="C76" s="28">
        <f t="shared" si="2"/>
        <v>119</v>
      </c>
      <c r="D76" s="12"/>
    </row>
    <row r="77">
      <c r="A77" s="144">
        <v>43360.0</v>
      </c>
      <c r="B77" s="54">
        <v>33.23</v>
      </c>
      <c r="C77" s="28">
        <f t="shared" si="2"/>
        <v>119</v>
      </c>
      <c r="D77" s="12"/>
    </row>
    <row r="78">
      <c r="A78" s="144">
        <v>43074.0</v>
      </c>
      <c r="B78" s="54">
        <v>33.41</v>
      </c>
      <c r="C78" s="28">
        <f t="shared" si="2"/>
        <v>119</v>
      </c>
      <c r="D78" s="12"/>
    </row>
    <row r="79">
      <c r="A79" s="144">
        <v>43004.0</v>
      </c>
      <c r="B79" s="54">
        <v>33.45</v>
      </c>
      <c r="C79" s="28">
        <f t="shared" si="2"/>
        <v>119</v>
      </c>
      <c r="D79" s="12"/>
    </row>
    <row r="80">
      <c r="A80" s="144">
        <v>43227.0</v>
      </c>
      <c r="B80" s="54">
        <v>33.72</v>
      </c>
      <c r="C80" s="28">
        <f t="shared" si="2"/>
        <v>119</v>
      </c>
      <c r="D80" s="12"/>
    </row>
    <row r="81">
      <c r="A81" s="144">
        <v>43358.0</v>
      </c>
      <c r="B81" s="54">
        <v>33.81</v>
      </c>
      <c r="C81" s="28">
        <f t="shared" si="2"/>
        <v>119</v>
      </c>
      <c r="D81" s="12"/>
    </row>
    <row r="82">
      <c r="A82" s="144">
        <v>43153.0</v>
      </c>
      <c r="B82" s="54">
        <v>34.23</v>
      </c>
      <c r="C82" s="28">
        <f t="shared" si="2"/>
        <v>119</v>
      </c>
      <c r="D82" s="12"/>
    </row>
    <row r="83">
      <c r="A83" s="144">
        <v>43143.0</v>
      </c>
      <c r="B83" s="54">
        <v>34.52</v>
      </c>
      <c r="C83" s="28">
        <f t="shared" si="2"/>
        <v>119</v>
      </c>
      <c r="D83" s="12"/>
    </row>
    <row r="84">
      <c r="A84" s="144">
        <v>43232.0</v>
      </c>
      <c r="B84" s="54">
        <v>34.58</v>
      </c>
      <c r="C84" s="28">
        <f t="shared" si="2"/>
        <v>119</v>
      </c>
      <c r="D84" s="12"/>
    </row>
    <row r="85">
      <c r="A85" s="144">
        <v>45505.0</v>
      </c>
      <c r="B85" s="54">
        <v>34.66</v>
      </c>
      <c r="C85" s="28">
        <f t="shared" si="2"/>
        <v>119</v>
      </c>
      <c r="D85" s="12"/>
    </row>
    <row r="86">
      <c r="A86" s="144">
        <v>43357.0</v>
      </c>
      <c r="B86" s="54">
        <v>35.04</v>
      </c>
      <c r="C86" s="28">
        <f t="shared" si="2"/>
        <v>119</v>
      </c>
      <c r="D86" s="12"/>
    </row>
    <row r="87">
      <c r="A87" s="144">
        <v>45501.0</v>
      </c>
      <c r="B87" s="54">
        <v>35.61</v>
      </c>
      <c r="C87" s="28">
        <f t="shared" si="2"/>
        <v>119</v>
      </c>
      <c r="D87" s="12"/>
    </row>
    <row r="88">
      <c r="A88" s="144">
        <v>43137.0</v>
      </c>
      <c r="B88" s="54">
        <v>35.9</v>
      </c>
      <c r="C88" s="28">
        <f t="shared" si="2"/>
        <v>119</v>
      </c>
      <c r="D88" s="12"/>
    </row>
    <row r="89">
      <c r="A89" s="144">
        <v>45372.0</v>
      </c>
      <c r="B89" s="54">
        <v>36.33</v>
      </c>
      <c r="C89" s="28">
        <f t="shared" si="2"/>
        <v>119</v>
      </c>
      <c r="D89" s="12"/>
    </row>
    <row r="90">
      <c r="A90" s="144">
        <v>43068.0</v>
      </c>
      <c r="B90" s="54">
        <v>36.41</v>
      </c>
      <c r="C90" s="28">
        <f t="shared" si="2"/>
        <v>119</v>
      </c>
      <c r="D90" s="12"/>
    </row>
    <row r="91">
      <c r="A91" s="144">
        <v>43109.0</v>
      </c>
      <c r="B91" s="54">
        <v>36.5</v>
      </c>
      <c r="C91" s="28">
        <f t="shared" si="2"/>
        <v>119</v>
      </c>
      <c r="D91" s="12"/>
    </row>
    <row r="92">
      <c r="A92" s="144">
        <v>43106.0</v>
      </c>
      <c r="B92" s="54">
        <v>36.55</v>
      </c>
      <c r="C92" s="28">
        <f t="shared" si="2"/>
        <v>119</v>
      </c>
      <c r="D92" s="12"/>
    </row>
    <row r="93">
      <c r="A93" s="144">
        <v>43217.0</v>
      </c>
      <c r="B93" s="54">
        <v>36.78</v>
      </c>
      <c r="C93" s="28">
        <f t="shared" si="2"/>
        <v>119</v>
      </c>
      <c r="D93" s="12"/>
    </row>
    <row r="94">
      <c r="A94" s="144">
        <v>43322.0</v>
      </c>
      <c r="B94" s="54">
        <v>37.02</v>
      </c>
      <c r="C94" s="28">
        <f t="shared" si="2"/>
        <v>119</v>
      </c>
      <c r="D94" s="12"/>
    </row>
    <row r="95">
      <c r="A95" s="144">
        <v>43315.0</v>
      </c>
      <c r="B95" s="54">
        <v>37.06</v>
      </c>
      <c r="C95" s="28">
        <f t="shared" si="2"/>
        <v>119</v>
      </c>
      <c r="D95" s="12"/>
    </row>
    <row r="96">
      <c r="A96" s="144">
        <v>43125.0</v>
      </c>
      <c r="B96" s="54">
        <v>37.77</v>
      </c>
      <c r="C96" s="28">
        <f t="shared" si="2"/>
        <v>119</v>
      </c>
      <c r="D96" s="12"/>
    </row>
    <row r="97">
      <c r="A97" s="144">
        <v>43116.0</v>
      </c>
      <c r="B97" s="54">
        <v>38.2</v>
      </c>
      <c r="C97" s="28">
        <f t="shared" si="2"/>
        <v>119</v>
      </c>
      <c r="D97" s="12"/>
    </row>
    <row r="98">
      <c r="A98" s="144">
        <v>43031.0</v>
      </c>
      <c r="B98" s="54">
        <v>38.22</v>
      </c>
      <c r="C98" s="28">
        <f t="shared" si="2"/>
        <v>119</v>
      </c>
      <c r="D98" s="12"/>
    </row>
    <row r="99">
      <c r="A99" s="144">
        <v>45506.0</v>
      </c>
      <c r="B99" s="54">
        <v>38.38</v>
      </c>
      <c r="C99" s="28">
        <f t="shared" si="2"/>
        <v>119</v>
      </c>
      <c r="D99" s="12"/>
    </row>
    <row r="100">
      <c r="A100" s="144">
        <v>43072.0</v>
      </c>
      <c r="B100" s="54">
        <v>38.54</v>
      </c>
      <c r="C100" s="28">
        <f t="shared" si="2"/>
        <v>119</v>
      </c>
      <c r="D100" s="12"/>
    </row>
    <row r="101">
      <c r="A101" s="144">
        <v>43332.0</v>
      </c>
      <c r="B101" s="54">
        <v>38.56</v>
      </c>
      <c r="C101" s="28">
        <f t="shared" si="2"/>
        <v>119</v>
      </c>
      <c r="D101" s="12"/>
    </row>
    <row r="102">
      <c r="A102" s="144">
        <v>45502.0</v>
      </c>
      <c r="B102" s="54">
        <v>38.62</v>
      </c>
      <c r="C102" s="28">
        <f t="shared" si="2"/>
        <v>119</v>
      </c>
      <c r="D102" s="12"/>
    </row>
    <row r="103">
      <c r="A103" s="144">
        <v>43311.0</v>
      </c>
      <c r="B103" s="54">
        <v>38.66</v>
      </c>
      <c r="C103" s="28">
        <f t="shared" si="2"/>
        <v>119</v>
      </c>
      <c r="D103" s="12"/>
    </row>
    <row r="104">
      <c r="A104" s="144">
        <v>43340.0</v>
      </c>
      <c r="B104" s="54">
        <v>39.05</v>
      </c>
      <c r="C104" s="28">
        <f t="shared" si="2"/>
        <v>119</v>
      </c>
      <c r="D104" s="12"/>
    </row>
    <row r="105">
      <c r="A105" s="144">
        <v>43302.0</v>
      </c>
      <c r="B105" s="54">
        <v>39.41</v>
      </c>
      <c r="C105" s="28">
        <f t="shared" si="2"/>
        <v>119</v>
      </c>
      <c r="D105" s="12"/>
    </row>
    <row r="106">
      <c r="A106" s="144">
        <v>43062.0</v>
      </c>
      <c r="B106" s="54">
        <v>39.74</v>
      </c>
      <c r="C106" s="28">
        <f t="shared" si="2"/>
        <v>119</v>
      </c>
      <c r="D106" s="12"/>
    </row>
    <row r="107">
      <c r="A107" s="144">
        <v>43001.0</v>
      </c>
      <c r="B107" s="54">
        <v>40.17</v>
      </c>
      <c r="C107" s="28">
        <f t="shared" si="2"/>
        <v>119</v>
      </c>
      <c r="D107" s="12"/>
    </row>
    <row r="108">
      <c r="A108" s="144">
        <v>43128.0</v>
      </c>
      <c r="B108" s="54">
        <v>40.26</v>
      </c>
      <c r="C108" s="28">
        <f t="shared" si="2"/>
        <v>119</v>
      </c>
      <c r="D108" s="12"/>
    </row>
    <row r="109">
      <c r="A109" s="144">
        <v>43345.0</v>
      </c>
      <c r="B109" s="54">
        <v>40.46</v>
      </c>
      <c r="C109" s="28">
        <f t="shared" si="2"/>
        <v>119</v>
      </c>
      <c r="D109" s="12"/>
    </row>
    <row r="110">
      <c r="A110" s="144">
        <v>43147.0</v>
      </c>
      <c r="B110" s="54">
        <v>41.11</v>
      </c>
      <c r="C110" s="28">
        <f t="shared" si="2"/>
        <v>119</v>
      </c>
      <c r="D110" s="12"/>
    </row>
    <row r="111">
      <c r="A111" s="144">
        <v>43013.0</v>
      </c>
      <c r="B111" s="54">
        <v>41.48</v>
      </c>
      <c r="C111" s="28">
        <f t="shared" si="2"/>
        <v>119</v>
      </c>
      <c r="D111" s="12"/>
    </row>
    <row r="112">
      <c r="A112" s="144">
        <v>43136.0</v>
      </c>
      <c r="B112" s="54">
        <v>41.77</v>
      </c>
      <c r="C112" s="28">
        <f t="shared" si="2"/>
        <v>119</v>
      </c>
      <c r="D112" s="12"/>
    </row>
    <row r="113">
      <c r="A113" s="144">
        <v>43110.0</v>
      </c>
      <c r="B113" s="54">
        <v>41.79</v>
      </c>
      <c r="C113" s="28">
        <f t="shared" si="2"/>
        <v>119</v>
      </c>
      <c r="D113" s="12"/>
    </row>
    <row r="114">
      <c r="A114" s="144">
        <v>43334.0</v>
      </c>
      <c r="B114" s="54">
        <v>41.81</v>
      </c>
      <c r="C114" s="28">
        <f t="shared" si="2"/>
        <v>119</v>
      </c>
      <c r="D114" s="12"/>
    </row>
    <row r="115">
      <c r="A115" s="144">
        <v>43347.0</v>
      </c>
      <c r="B115" s="54">
        <v>42.57</v>
      </c>
      <c r="C115" s="28">
        <f t="shared" si="2"/>
        <v>119</v>
      </c>
      <c r="D115" s="12"/>
    </row>
    <row r="116">
      <c r="A116" s="144">
        <v>43341.0</v>
      </c>
      <c r="B116" s="54">
        <v>42.77</v>
      </c>
      <c r="C116" s="28">
        <f t="shared" si="2"/>
        <v>119</v>
      </c>
      <c r="D116" s="12"/>
    </row>
    <row r="117">
      <c r="A117" s="144">
        <v>45314.0</v>
      </c>
      <c r="B117" s="54">
        <v>43.44</v>
      </c>
      <c r="C117" s="28">
        <f t="shared" si="2"/>
        <v>119</v>
      </c>
      <c r="D117" s="12"/>
    </row>
    <row r="118">
      <c r="A118" s="144">
        <v>45316.0</v>
      </c>
      <c r="B118" s="54">
        <v>43.46</v>
      </c>
      <c r="C118" s="28">
        <f t="shared" si="2"/>
        <v>119</v>
      </c>
      <c r="D118" s="12"/>
    </row>
    <row r="119">
      <c r="A119" s="144">
        <v>45504.0</v>
      </c>
      <c r="B119" s="54">
        <v>43.69</v>
      </c>
      <c r="C119" s="28">
        <f t="shared" si="2"/>
        <v>119</v>
      </c>
      <c r="D119" s="12"/>
    </row>
    <row r="120">
      <c r="A120" s="144">
        <v>43103.0</v>
      </c>
      <c r="B120" s="54">
        <v>43.95</v>
      </c>
      <c r="C120" s="28">
        <f t="shared" si="2"/>
        <v>119</v>
      </c>
      <c r="D120" s="12"/>
    </row>
    <row r="121">
      <c r="A121" s="144">
        <v>45317.0</v>
      </c>
      <c r="B121" s="54">
        <v>44.25</v>
      </c>
      <c r="C121" s="28">
        <f t="shared" si="2"/>
        <v>119</v>
      </c>
      <c r="D121" s="12"/>
    </row>
    <row r="122">
      <c r="A122" s="144">
        <v>45389.0</v>
      </c>
      <c r="B122" s="54">
        <v>44.3</v>
      </c>
      <c r="C122" s="28">
        <f t="shared" si="2"/>
        <v>119</v>
      </c>
      <c r="D122" s="12"/>
    </row>
    <row r="123">
      <c r="A123" s="144">
        <v>43023.0</v>
      </c>
      <c r="B123" s="54">
        <v>44.31</v>
      </c>
      <c r="C123" s="28">
        <f t="shared" si="2"/>
        <v>119</v>
      </c>
      <c r="D123" s="12"/>
    </row>
    <row r="124">
      <c r="A124" s="144">
        <v>43018.0</v>
      </c>
      <c r="B124" s="54">
        <v>44.41</v>
      </c>
      <c r="C124" s="28">
        <f t="shared" si="2"/>
        <v>119</v>
      </c>
      <c r="D124" s="12"/>
    </row>
    <row r="125">
      <c r="A125" s="144">
        <v>43350.0</v>
      </c>
      <c r="B125" s="54">
        <v>44.41</v>
      </c>
      <c r="C125" s="28">
        <f t="shared" si="2"/>
        <v>119</v>
      </c>
      <c r="D125" s="12"/>
    </row>
    <row r="126">
      <c r="A126" s="144">
        <v>43324.0</v>
      </c>
      <c r="B126" s="54">
        <v>44.57</v>
      </c>
      <c r="C126" s="28">
        <f t="shared" si="2"/>
        <v>119</v>
      </c>
      <c r="D126" s="12"/>
    </row>
    <row r="127">
      <c r="A127" s="144">
        <v>43070.0</v>
      </c>
      <c r="B127" s="54">
        <v>44.64</v>
      </c>
      <c r="C127" s="28">
        <f t="shared" si="2"/>
        <v>119</v>
      </c>
      <c r="D127" s="12"/>
    </row>
    <row r="128">
      <c r="A128" s="144">
        <v>43142.0</v>
      </c>
      <c r="B128" s="54">
        <v>44.72</v>
      </c>
      <c r="C128" s="28">
        <f t="shared" si="2"/>
        <v>119</v>
      </c>
      <c r="D128" s="12"/>
    </row>
    <row r="129">
      <c r="A129" s="144">
        <v>43011.0</v>
      </c>
      <c r="B129" s="54">
        <v>45.05</v>
      </c>
      <c r="C129" s="28">
        <f t="shared" si="2"/>
        <v>119</v>
      </c>
      <c r="D129" s="12"/>
    </row>
    <row r="130">
      <c r="A130" s="144">
        <v>43321.0</v>
      </c>
      <c r="B130" s="54">
        <v>45.12</v>
      </c>
      <c r="C130" s="28">
        <f t="shared" si="2"/>
        <v>119</v>
      </c>
      <c r="D130" s="12"/>
    </row>
    <row r="131">
      <c r="A131" s="144">
        <v>43314.0</v>
      </c>
      <c r="B131" s="54">
        <v>45.21</v>
      </c>
      <c r="C131" s="28">
        <f t="shared" si="2"/>
        <v>119</v>
      </c>
      <c r="D131" s="12"/>
    </row>
    <row r="132">
      <c r="A132" s="144">
        <v>45326.0</v>
      </c>
      <c r="B132" s="54">
        <v>45.56</v>
      </c>
      <c r="C132" s="28">
        <f t="shared" si="2"/>
        <v>119</v>
      </c>
      <c r="D132" s="12"/>
    </row>
    <row r="133">
      <c r="A133" s="144">
        <v>43145.0</v>
      </c>
      <c r="B133" s="54">
        <v>45.6</v>
      </c>
      <c r="C133" s="28">
        <f t="shared" si="2"/>
        <v>119</v>
      </c>
      <c r="D133" s="12"/>
    </row>
    <row r="134">
      <c r="A134" s="144">
        <v>43164.0</v>
      </c>
      <c r="B134" s="54">
        <v>45.78</v>
      </c>
      <c r="C134" s="28">
        <f t="shared" si="2"/>
        <v>119</v>
      </c>
      <c r="D134" s="12"/>
    </row>
    <row r="135">
      <c r="A135" s="144">
        <v>45319.0</v>
      </c>
      <c r="B135" s="54">
        <v>45.97</v>
      </c>
      <c r="C135" s="28">
        <f t="shared" si="2"/>
        <v>119</v>
      </c>
      <c r="D135" s="12"/>
    </row>
    <row r="136">
      <c r="A136" s="144">
        <v>45323.0</v>
      </c>
      <c r="B136" s="54">
        <v>46.09</v>
      </c>
      <c r="C136" s="28">
        <f t="shared" si="2"/>
        <v>119</v>
      </c>
      <c r="D136" s="12"/>
    </row>
    <row r="137">
      <c r="A137" s="144">
        <v>43112.0</v>
      </c>
      <c r="B137" s="54">
        <v>46.48</v>
      </c>
      <c r="C137" s="28">
        <f t="shared" si="2"/>
        <v>119</v>
      </c>
      <c r="D137" s="12"/>
    </row>
    <row r="138">
      <c r="A138" s="144">
        <v>43326.0</v>
      </c>
      <c r="B138" s="54">
        <v>47.18</v>
      </c>
      <c r="C138" s="28">
        <f t="shared" si="2"/>
        <v>119</v>
      </c>
      <c r="D138" s="12"/>
    </row>
    <row r="139">
      <c r="A139" s="144">
        <v>45312.0</v>
      </c>
      <c r="B139" s="54">
        <v>47.27</v>
      </c>
      <c r="C139" s="28">
        <f t="shared" si="2"/>
        <v>119</v>
      </c>
      <c r="D139" s="12"/>
    </row>
    <row r="140">
      <c r="A140" s="144">
        <v>45387.0</v>
      </c>
      <c r="B140" s="54">
        <v>47.33</v>
      </c>
      <c r="C140" s="28">
        <f t="shared" si="2"/>
        <v>119</v>
      </c>
      <c r="D140" s="12"/>
    </row>
    <row r="141">
      <c r="A141" s="144">
        <v>43320.0</v>
      </c>
      <c r="B141" s="54">
        <v>47.39</v>
      </c>
      <c r="C141" s="28">
        <f t="shared" si="2"/>
        <v>119</v>
      </c>
      <c r="D141" s="12"/>
    </row>
    <row r="142">
      <c r="A142" s="144">
        <v>43318.0</v>
      </c>
      <c r="B142" s="54">
        <v>47.58</v>
      </c>
      <c r="C142" s="28">
        <f t="shared" si="2"/>
        <v>119</v>
      </c>
      <c r="D142" s="12"/>
    </row>
    <row r="143">
      <c r="A143" s="144">
        <v>45341.0</v>
      </c>
      <c r="B143" s="54">
        <v>47.79</v>
      </c>
      <c r="C143" s="28">
        <f t="shared" si="2"/>
        <v>119</v>
      </c>
      <c r="D143" s="12"/>
    </row>
    <row r="144">
      <c r="A144" s="144">
        <v>43027.0</v>
      </c>
      <c r="B144" s="54">
        <v>48.08</v>
      </c>
      <c r="C144" s="28">
        <f t="shared" si="2"/>
        <v>119</v>
      </c>
      <c r="D144" s="12"/>
    </row>
    <row r="145">
      <c r="A145" s="144">
        <v>45349.0</v>
      </c>
      <c r="B145" s="54">
        <v>48.16</v>
      </c>
      <c r="C145" s="28">
        <f t="shared" si="2"/>
        <v>119</v>
      </c>
      <c r="D145" s="12"/>
    </row>
    <row r="146">
      <c r="A146" s="144">
        <v>43337.0</v>
      </c>
      <c r="B146" s="54">
        <v>48.38</v>
      </c>
      <c r="C146" s="28">
        <f t="shared" si="2"/>
        <v>119</v>
      </c>
      <c r="D146" s="12"/>
    </row>
    <row r="147">
      <c r="A147" s="144">
        <v>43160.0</v>
      </c>
      <c r="B147" s="54">
        <v>48.55</v>
      </c>
      <c r="C147" s="28">
        <f t="shared" si="2"/>
        <v>119</v>
      </c>
      <c r="D147" s="12"/>
    </row>
    <row r="148">
      <c r="A148" s="144">
        <v>43348.0</v>
      </c>
      <c r="B148" s="54">
        <v>50.07</v>
      </c>
      <c r="C148" s="28">
        <f t="shared" si="2"/>
        <v>119</v>
      </c>
      <c r="D148" s="12"/>
    </row>
    <row r="149">
      <c r="A149" s="144">
        <v>43033.0</v>
      </c>
      <c r="B149" s="54">
        <v>50.45</v>
      </c>
      <c r="C149" s="28">
        <f t="shared" si="2"/>
        <v>119</v>
      </c>
      <c r="D149" s="12"/>
    </row>
    <row r="150">
      <c r="A150" s="144">
        <v>45335.0</v>
      </c>
      <c r="B150" s="54">
        <v>50.47</v>
      </c>
      <c r="C150" s="28">
        <f t="shared" si="2"/>
        <v>119</v>
      </c>
      <c r="D150" s="12"/>
    </row>
    <row r="151">
      <c r="A151" s="144">
        <v>43105.0</v>
      </c>
      <c r="B151" s="54">
        <v>50.58</v>
      </c>
      <c r="C151" s="28">
        <f t="shared" si="2"/>
        <v>119</v>
      </c>
      <c r="D151" s="12"/>
    </row>
    <row r="152">
      <c r="A152" s="144">
        <v>45344.0</v>
      </c>
      <c r="B152" s="54">
        <v>50.61</v>
      </c>
      <c r="C152" s="28">
        <f t="shared" si="2"/>
        <v>119</v>
      </c>
      <c r="D152" s="12"/>
    </row>
    <row r="153">
      <c r="A153" s="144">
        <v>43113.0</v>
      </c>
      <c r="B153" s="54">
        <v>50.85</v>
      </c>
      <c r="C153" s="28">
        <f t="shared" si="2"/>
        <v>119</v>
      </c>
      <c r="D153" s="12"/>
    </row>
    <row r="154">
      <c r="A154" s="144">
        <v>45307.0</v>
      </c>
      <c r="B154" s="54">
        <v>50.88</v>
      </c>
      <c r="C154" s="28">
        <f t="shared" si="2"/>
        <v>119</v>
      </c>
      <c r="D154" s="12"/>
    </row>
    <row r="155">
      <c r="A155" s="144">
        <v>45324.0</v>
      </c>
      <c r="B155" s="54">
        <v>50.93</v>
      </c>
      <c r="C155" s="28">
        <f t="shared" si="2"/>
        <v>119</v>
      </c>
      <c r="D155" s="12"/>
    </row>
    <row r="156">
      <c r="A156" s="145">
        <v>45384.0</v>
      </c>
      <c r="B156" s="54">
        <v>51.12</v>
      </c>
      <c r="C156" s="28">
        <f t="shared" ref="C156:C1248" si="3">$I$1</f>
        <v>199</v>
      </c>
      <c r="D156" s="28"/>
    </row>
    <row r="157">
      <c r="A157" s="145">
        <v>43310.0</v>
      </c>
      <c r="B157" s="54">
        <v>51.36</v>
      </c>
      <c r="C157" s="28">
        <f t="shared" si="3"/>
        <v>199</v>
      </c>
      <c r="D157" s="28"/>
    </row>
    <row r="158">
      <c r="A158" s="145">
        <v>43317.0</v>
      </c>
      <c r="B158" s="54">
        <v>51.63</v>
      </c>
      <c r="C158" s="28">
        <f t="shared" si="3"/>
        <v>199</v>
      </c>
      <c r="D158" s="28"/>
    </row>
    <row r="159">
      <c r="A159" s="145">
        <v>43333.0</v>
      </c>
      <c r="B159" s="54">
        <v>51.84</v>
      </c>
      <c r="C159" s="28">
        <f t="shared" si="3"/>
        <v>199</v>
      </c>
      <c r="D159" s="28"/>
    </row>
    <row r="160">
      <c r="A160" s="145">
        <v>43115.0</v>
      </c>
      <c r="B160" s="54">
        <v>52.09</v>
      </c>
      <c r="C160" s="28">
        <f t="shared" si="3"/>
        <v>199</v>
      </c>
      <c r="D160" s="28"/>
    </row>
    <row r="161">
      <c r="A161" s="145">
        <v>43080.0</v>
      </c>
      <c r="B161" s="54">
        <v>52.5</v>
      </c>
      <c r="C161" s="28">
        <f t="shared" si="3"/>
        <v>199</v>
      </c>
      <c r="D161" s="28"/>
    </row>
    <row r="162">
      <c r="A162" s="145">
        <v>43325.0</v>
      </c>
      <c r="B162" s="54">
        <v>52.67</v>
      </c>
      <c r="C162" s="28">
        <f t="shared" si="3"/>
        <v>199</v>
      </c>
      <c r="D162" s="28"/>
    </row>
    <row r="163">
      <c r="A163" s="145">
        <v>43331.0</v>
      </c>
      <c r="B163" s="54">
        <v>52.67</v>
      </c>
      <c r="C163" s="28">
        <f t="shared" si="3"/>
        <v>199</v>
      </c>
      <c r="D163" s="28"/>
    </row>
    <row r="164">
      <c r="A164" s="145">
        <v>43346.0</v>
      </c>
      <c r="B164" s="54">
        <v>52.94</v>
      </c>
      <c r="C164" s="28">
        <f t="shared" si="3"/>
        <v>199</v>
      </c>
      <c r="D164" s="28"/>
    </row>
    <row r="165">
      <c r="A165" s="145">
        <v>43025.0</v>
      </c>
      <c r="B165" s="54">
        <v>53.73</v>
      </c>
      <c r="C165" s="28">
        <f t="shared" si="3"/>
        <v>199</v>
      </c>
      <c r="D165" s="28"/>
    </row>
    <row r="166">
      <c r="A166" s="145">
        <v>43046.0</v>
      </c>
      <c r="B166" s="54">
        <v>53.75</v>
      </c>
      <c r="C166" s="28">
        <f t="shared" si="3"/>
        <v>199</v>
      </c>
      <c r="D166" s="28"/>
    </row>
    <row r="167">
      <c r="A167" s="145">
        <v>43050.0</v>
      </c>
      <c r="B167" s="54">
        <v>53.95</v>
      </c>
      <c r="C167" s="28">
        <f t="shared" si="3"/>
        <v>199</v>
      </c>
      <c r="D167" s="28"/>
    </row>
    <row r="168">
      <c r="A168" s="145">
        <v>45353.0</v>
      </c>
      <c r="B168" s="54">
        <v>54.01</v>
      </c>
      <c r="C168" s="28">
        <f t="shared" si="3"/>
        <v>199</v>
      </c>
      <c r="D168" s="28"/>
    </row>
    <row r="169">
      <c r="A169" s="145">
        <v>45166.0</v>
      </c>
      <c r="B169" s="54">
        <v>54.07</v>
      </c>
      <c r="C169" s="28">
        <f t="shared" si="3"/>
        <v>199</v>
      </c>
      <c r="D169" s="28"/>
    </row>
    <row r="170">
      <c r="A170" s="145">
        <v>45356.0</v>
      </c>
      <c r="B170" s="54">
        <v>54.2</v>
      </c>
      <c r="C170" s="28">
        <f t="shared" si="3"/>
        <v>199</v>
      </c>
      <c r="D170" s="28"/>
    </row>
    <row r="171">
      <c r="A171" s="145">
        <v>43343.0</v>
      </c>
      <c r="B171" s="54">
        <v>54.24</v>
      </c>
      <c r="C171" s="28">
        <f t="shared" si="3"/>
        <v>199</v>
      </c>
      <c r="D171" s="28"/>
    </row>
    <row r="172">
      <c r="A172" s="145">
        <v>45169.0</v>
      </c>
      <c r="B172" s="54">
        <v>54.28</v>
      </c>
      <c r="C172" s="28">
        <f t="shared" si="3"/>
        <v>199</v>
      </c>
      <c r="D172" s="28"/>
    </row>
    <row r="173">
      <c r="A173" s="145">
        <v>45424.0</v>
      </c>
      <c r="B173" s="54">
        <v>54.28</v>
      </c>
      <c r="C173" s="28">
        <f t="shared" si="3"/>
        <v>199</v>
      </c>
      <c r="D173" s="28"/>
    </row>
    <row r="174">
      <c r="A174" s="145">
        <v>45385.0</v>
      </c>
      <c r="B174" s="54">
        <v>54.56</v>
      </c>
      <c r="C174" s="28">
        <f t="shared" si="3"/>
        <v>199</v>
      </c>
      <c r="D174" s="28"/>
    </row>
    <row r="175">
      <c r="A175" s="145">
        <v>43323.0</v>
      </c>
      <c r="B175" s="54">
        <v>54.63</v>
      </c>
      <c r="C175" s="28">
        <f t="shared" si="3"/>
        <v>199</v>
      </c>
      <c r="D175" s="28"/>
    </row>
    <row r="176">
      <c r="A176" s="145">
        <v>43338.0</v>
      </c>
      <c r="B176" s="54">
        <v>54.74</v>
      </c>
      <c r="C176" s="28">
        <f t="shared" si="3"/>
        <v>199</v>
      </c>
      <c r="D176" s="28"/>
    </row>
    <row r="177">
      <c r="A177" s="145">
        <v>43154.0</v>
      </c>
      <c r="B177" s="54">
        <v>55.04</v>
      </c>
      <c r="C177" s="28">
        <f t="shared" si="3"/>
        <v>199</v>
      </c>
      <c r="D177" s="28"/>
    </row>
    <row r="178">
      <c r="A178" s="145">
        <v>45373.0</v>
      </c>
      <c r="B178" s="54">
        <v>55.57</v>
      </c>
      <c r="C178" s="28">
        <f t="shared" si="3"/>
        <v>199</v>
      </c>
      <c r="D178" s="28"/>
    </row>
    <row r="179">
      <c r="A179" s="145">
        <v>45836.0</v>
      </c>
      <c r="B179" s="54">
        <v>55.66</v>
      </c>
      <c r="C179" s="28">
        <f t="shared" si="3"/>
        <v>199</v>
      </c>
      <c r="D179" s="28"/>
    </row>
    <row r="180">
      <c r="A180" s="145">
        <v>43008.0</v>
      </c>
      <c r="B180" s="54">
        <v>55.99</v>
      </c>
      <c r="C180" s="28">
        <f t="shared" si="3"/>
        <v>199</v>
      </c>
      <c r="D180" s="28"/>
    </row>
    <row r="181">
      <c r="A181" s="145">
        <v>45164.0</v>
      </c>
      <c r="B181" s="54">
        <v>56.04</v>
      </c>
      <c r="C181" s="28">
        <f t="shared" si="3"/>
        <v>199</v>
      </c>
      <c r="D181" s="28"/>
    </row>
    <row r="182">
      <c r="A182" s="145">
        <v>45870.0</v>
      </c>
      <c r="B182" s="54">
        <v>56.39</v>
      </c>
      <c r="C182" s="28">
        <f t="shared" si="3"/>
        <v>199</v>
      </c>
      <c r="D182" s="28"/>
    </row>
    <row r="183">
      <c r="A183" s="145">
        <v>43330.0</v>
      </c>
      <c r="B183" s="54">
        <v>56.58</v>
      </c>
      <c r="C183" s="28">
        <f t="shared" si="3"/>
        <v>199</v>
      </c>
      <c r="D183" s="28"/>
    </row>
    <row r="184">
      <c r="A184" s="145">
        <v>45365.0</v>
      </c>
      <c r="B184" s="54">
        <v>56.69</v>
      </c>
      <c r="C184" s="28">
        <f t="shared" si="3"/>
        <v>199</v>
      </c>
      <c r="D184" s="28"/>
    </row>
    <row r="185">
      <c r="A185" s="145">
        <v>44849.0</v>
      </c>
      <c r="B185" s="54">
        <v>56.73</v>
      </c>
      <c r="C185" s="28">
        <f t="shared" si="3"/>
        <v>199</v>
      </c>
      <c r="D185" s="28"/>
    </row>
    <row r="186">
      <c r="A186" s="145">
        <v>43055.0</v>
      </c>
      <c r="B186" s="54">
        <v>56.77</v>
      </c>
      <c r="C186" s="28">
        <f t="shared" si="3"/>
        <v>199</v>
      </c>
      <c r="D186" s="28"/>
    </row>
    <row r="187">
      <c r="A187" s="145">
        <v>43148.0</v>
      </c>
      <c r="B187" s="54">
        <v>57.27</v>
      </c>
      <c r="C187" s="28">
        <f t="shared" si="3"/>
        <v>199</v>
      </c>
      <c r="D187" s="28"/>
    </row>
    <row r="188">
      <c r="A188" s="145">
        <v>45843.0</v>
      </c>
      <c r="B188" s="54">
        <v>57.32</v>
      </c>
      <c r="C188" s="28">
        <f t="shared" si="3"/>
        <v>199</v>
      </c>
      <c r="D188" s="28"/>
    </row>
    <row r="189">
      <c r="A189" s="145">
        <v>45433.0</v>
      </c>
      <c r="B189" s="54">
        <v>57.45</v>
      </c>
      <c r="C189" s="28">
        <f t="shared" si="3"/>
        <v>199</v>
      </c>
      <c r="D189" s="28"/>
    </row>
    <row r="190">
      <c r="A190" s="145">
        <v>44833.0</v>
      </c>
      <c r="B190" s="54">
        <v>57.54</v>
      </c>
      <c r="C190" s="28">
        <f t="shared" si="3"/>
        <v>199</v>
      </c>
      <c r="D190" s="28"/>
    </row>
    <row r="191">
      <c r="A191" s="145">
        <v>45835.0</v>
      </c>
      <c r="B191" s="54">
        <v>57.61</v>
      </c>
      <c r="C191" s="28">
        <f t="shared" si="3"/>
        <v>199</v>
      </c>
      <c r="D191" s="28"/>
    </row>
    <row r="192">
      <c r="A192" s="145">
        <v>43056.0</v>
      </c>
      <c r="B192" s="54">
        <v>58.07</v>
      </c>
      <c r="C192" s="28">
        <f t="shared" si="3"/>
        <v>199</v>
      </c>
      <c r="D192" s="28"/>
    </row>
    <row r="193">
      <c r="A193" s="145">
        <v>45334.0</v>
      </c>
      <c r="B193" s="54">
        <v>58.13</v>
      </c>
      <c r="C193" s="28">
        <f t="shared" si="3"/>
        <v>199</v>
      </c>
      <c r="D193" s="28"/>
    </row>
    <row r="194">
      <c r="A194" s="145">
        <v>43037.0</v>
      </c>
      <c r="B194" s="54">
        <v>58.21</v>
      </c>
      <c r="C194" s="28">
        <f t="shared" si="3"/>
        <v>199</v>
      </c>
      <c r="D194" s="28"/>
    </row>
    <row r="195">
      <c r="A195" s="145">
        <v>45431.0</v>
      </c>
      <c r="B195" s="54">
        <v>58.25</v>
      </c>
      <c r="C195" s="28">
        <f t="shared" si="3"/>
        <v>199</v>
      </c>
      <c r="D195" s="28"/>
    </row>
    <row r="196">
      <c r="A196" s="145">
        <v>43130.0</v>
      </c>
      <c r="B196" s="54">
        <v>58.28</v>
      </c>
      <c r="C196" s="28">
        <f t="shared" si="3"/>
        <v>199</v>
      </c>
      <c r="D196" s="28"/>
    </row>
    <row r="197">
      <c r="A197" s="145">
        <v>45628.0</v>
      </c>
      <c r="B197" s="54">
        <v>58.38</v>
      </c>
      <c r="C197" s="28">
        <f t="shared" si="3"/>
        <v>199</v>
      </c>
      <c r="D197" s="28"/>
    </row>
    <row r="198">
      <c r="A198" s="145">
        <v>43157.0</v>
      </c>
      <c r="B198" s="54">
        <v>58.42</v>
      </c>
      <c r="C198" s="28">
        <f t="shared" si="3"/>
        <v>199</v>
      </c>
      <c r="D198" s="28"/>
    </row>
    <row r="199">
      <c r="A199" s="145">
        <v>43351.0</v>
      </c>
      <c r="B199" s="54">
        <v>58.9</v>
      </c>
      <c r="C199" s="28">
        <f t="shared" si="3"/>
        <v>199</v>
      </c>
      <c r="D199" s="28"/>
    </row>
    <row r="200">
      <c r="A200" s="145">
        <v>45360.0</v>
      </c>
      <c r="B200" s="54">
        <v>59.01</v>
      </c>
      <c r="C200" s="28">
        <f t="shared" si="3"/>
        <v>199</v>
      </c>
      <c r="D200" s="28"/>
    </row>
    <row r="201">
      <c r="A201" s="145">
        <v>45371.0</v>
      </c>
      <c r="B201" s="54">
        <v>59.08</v>
      </c>
      <c r="C201" s="28">
        <f t="shared" si="3"/>
        <v>199</v>
      </c>
      <c r="D201" s="28"/>
    </row>
    <row r="202">
      <c r="A202" s="145">
        <v>45810.0</v>
      </c>
      <c r="B202" s="54">
        <v>59.21</v>
      </c>
      <c r="C202" s="28">
        <f t="shared" si="3"/>
        <v>199</v>
      </c>
      <c r="D202" s="28"/>
    </row>
    <row r="203">
      <c r="A203" s="145">
        <v>45434.0</v>
      </c>
      <c r="B203" s="54">
        <v>59.42</v>
      </c>
      <c r="C203" s="28">
        <f t="shared" si="3"/>
        <v>199</v>
      </c>
      <c r="D203" s="28"/>
    </row>
    <row r="204">
      <c r="A204" s="145">
        <v>45897.0</v>
      </c>
      <c r="B204" s="54">
        <v>59.42</v>
      </c>
      <c r="C204" s="28">
        <f t="shared" si="3"/>
        <v>199</v>
      </c>
      <c r="D204" s="28"/>
    </row>
    <row r="205">
      <c r="A205" s="145">
        <v>43030.0</v>
      </c>
      <c r="B205" s="54">
        <v>59.55</v>
      </c>
      <c r="C205" s="28">
        <f t="shared" si="3"/>
        <v>199</v>
      </c>
      <c r="D205" s="28"/>
    </row>
    <row r="206">
      <c r="A206" s="145">
        <v>43019.0</v>
      </c>
      <c r="B206" s="54">
        <v>59.59</v>
      </c>
      <c r="C206" s="28">
        <f t="shared" si="3"/>
        <v>199</v>
      </c>
      <c r="D206" s="28"/>
    </row>
    <row r="207">
      <c r="A207" s="145">
        <v>45432.0</v>
      </c>
      <c r="B207" s="54">
        <v>59.68</v>
      </c>
      <c r="C207" s="28">
        <f t="shared" si="3"/>
        <v>199</v>
      </c>
      <c r="D207" s="28"/>
    </row>
    <row r="208">
      <c r="A208" s="145">
        <v>45135.0</v>
      </c>
      <c r="B208" s="54">
        <v>59.71</v>
      </c>
      <c r="C208" s="28">
        <f t="shared" si="3"/>
        <v>199</v>
      </c>
      <c r="D208" s="28"/>
    </row>
    <row r="209">
      <c r="A209" s="145">
        <v>45404.0</v>
      </c>
      <c r="B209" s="54">
        <v>59.77</v>
      </c>
      <c r="C209" s="28">
        <f t="shared" si="3"/>
        <v>199</v>
      </c>
      <c r="D209" s="28"/>
    </row>
    <row r="210">
      <c r="A210" s="145">
        <v>45123.0</v>
      </c>
      <c r="B210" s="54">
        <v>60.15</v>
      </c>
      <c r="C210" s="28">
        <f t="shared" si="3"/>
        <v>199</v>
      </c>
      <c r="D210" s="28"/>
    </row>
    <row r="211">
      <c r="A211" s="145">
        <v>43005.0</v>
      </c>
      <c r="B211" s="54">
        <v>60.22</v>
      </c>
      <c r="C211" s="28">
        <f t="shared" si="3"/>
        <v>199</v>
      </c>
      <c r="D211" s="28"/>
    </row>
    <row r="212">
      <c r="A212" s="145">
        <v>45301.0</v>
      </c>
      <c r="B212" s="54">
        <v>60.46</v>
      </c>
      <c r="C212" s="28">
        <f t="shared" si="3"/>
        <v>199</v>
      </c>
      <c r="D212" s="28"/>
    </row>
    <row r="213">
      <c r="A213" s="145">
        <v>45340.0</v>
      </c>
      <c r="B213" s="54">
        <v>60.55</v>
      </c>
      <c r="C213" s="28">
        <f t="shared" si="3"/>
        <v>199</v>
      </c>
      <c r="D213" s="28"/>
    </row>
    <row r="214">
      <c r="A214" s="145">
        <v>45403.0</v>
      </c>
      <c r="B214" s="54">
        <v>60.63</v>
      </c>
      <c r="C214" s="28">
        <f t="shared" si="3"/>
        <v>199</v>
      </c>
      <c r="D214" s="28"/>
    </row>
    <row r="215">
      <c r="A215" s="145">
        <v>43156.0</v>
      </c>
      <c r="B215" s="54">
        <v>60.75</v>
      </c>
      <c r="C215" s="28">
        <f t="shared" si="3"/>
        <v>199</v>
      </c>
      <c r="D215" s="28"/>
    </row>
    <row r="216">
      <c r="A216" s="145">
        <v>45896.0</v>
      </c>
      <c r="B216" s="54">
        <v>60.85</v>
      </c>
      <c r="C216" s="28">
        <f t="shared" si="3"/>
        <v>199</v>
      </c>
      <c r="D216" s="28"/>
    </row>
    <row r="217">
      <c r="A217" s="145">
        <v>43022.0</v>
      </c>
      <c r="B217" s="54">
        <v>60.97</v>
      </c>
      <c r="C217" s="28">
        <f t="shared" si="3"/>
        <v>199</v>
      </c>
      <c r="D217" s="28"/>
    </row>
    <row r="218">
      <c r="A218" s="145">
        <v>43071.0</v>
      </c>
      <c r="B218" s="54">
        <v>61.05</v>
      </c>
      <c r="C218" s="28">
        <f t="shared" si="3"/>
        <v>199</v>
      </c>
      <c r="D218" s="28"/>
    </row>
    <row r="219">
      <c r="A219" s="145">
        <v>44820.0</v>
      </c>
      <c r="B219" s="54">
        <v>61.41</v>
      </c>
      <c r="C219" s="28">
        <f t="shared" si="3"/>
        <v>199</v>
      </c>
      <c r="D219" s="28"/>
    </row>
    <row r="220">
      <c r="A220" s="145">
        <v>45333.0</v>
      </c>
      <c r="B220" s="54">
        <v>61.45</v>
      </c>
      <c r="C220" s="28">
        <f t="shared" si="3"/>
        <v>199</v>
      </c>
      <c r="D220" s="28"/>
    </row>
    <row r="221">
      <c r="A221" s="145">
        <v>45377.0</v>
      </c>
      <c r="B221" s="54">
        <v>61.72</v>
      </c>
      <c r="C221" s="28">
        <f t="shared" si="3"/>
        <v>199</v>
      </c>
      <c r="D221" s="28"/>
    </row>
    <row r="222">
      <c r="A222" s="145">
        <v>45859.0</v>
      </c>
      <c r="B222" s="54">
        <v>61.9</v>
      </c>
      <c r="C222" s="28">
        <f t="shared" si="3"/>
        <v>199</v>
      </c>
      <c r="D222" s="28"/>
    </row>
    <row r="223">
      <c r="A223" s="145">
        <v>45414.0</v>
      </c>
      <c r="B223" s="54">
        <v>62.31</v>
      </c>
      <c r="C223" s="28">
        <f t="shared" si="3"/>
        <v>199</v>
      </c>
      <c r="D223" s="28"/>
    </row>
    <row r="224">
      <c r="A224" s="145">
        <v>45423.0</v>
      </c>
      <c r="B224" s="54">
        <v>62.4</v>
      </c>
      <c r="C224" s="28">
        <f t="shared" si="3"/>
        <v>199</v>
      </c>
      <c r="D224" s="28"/>
    </row>
    <row r="225">
      <c r="A225" s="145">
        <v>45132.0</v>
      </c>
      <c r="B225" s="54">
        <v>62.52</v>
      </c>
      <c r="C225" s="28">
        <f t="shared" si="3"/>
        <v>199</v>
      </c>
      <c r="D225" s="28"/>
    </row>
    <row r="226">
      <c r="A226" s="145">
        <v>43102.0</v>
      </c>
      <c r="B226" s="54">
        <v>62.66</v>
      </c>
      <c r="C226" s="28">
        <f t="shared" si="3"/>
        <v>199</v>
      </c>
      <c r="D226" s="28"/>
    </row>
    <row r="227">
      <c r="A227" s="145">
        <v>45402.0</v>
      </c>
      <c r="B227" s="54">
        <v>62.69</v>
      </c>
      <c r="C227" s="28">
        <f t="shared" si="3"/>
        <v>199</v>
      </c>
      <c r="D227" s="28"/>
    </row>
    <row r="228">
      <c r="A228" s="145">
        <v>44856.0</v>
      </c>
      <c r="B228" s="54">
        <v>62.89</v>
      </c>
      <c r="C228" s="28">
        <f t="shared" si="3"/>
        <v>199</v>
      </c>
      <c r="D228" s="28"/>
    </row>
    <row r="229">
      <c r="A229" s="145">
        <v>43150.0</v>
      </c>
      <c r="B229" s="54">
        <v>62.92</v>
      </c>
      <c r="C229" s="28">
        <f t="shared" si="3"/>
        <v>199</v>
      </c>
      <c r="D229" s="28"/>
    </row>
    <row r="230">
      <c r="A230" s="145">
        <v>45400.0</v>
      </c>
      <c r="B230" s="54">
        <v>63.0</v>
      </c>
      <c r="C230" s="28">
        <f t="shared" si="3"/>
        <v>199</v>
      </c>
      <c r="D230" s="28"/>
    </row>
    <row r="231">
      <c r="A231" s="145">
        <v>45408.0</v>
      </c>
      <c r="B231" s="54">
        <v>63.0</v>
      </c>
      <c r="C231" s="28">
        <f t="shared" si="3"/>
        <v>199</v>
      </c>
      <c r="D231" s="28"/>
    </row>
    <row r="232">
      <c r="A232" s="145">
        <v>43155.0</v>
      </c>
      <c r="B232" s="54">
        <v>63.36</v>
      </c>
      <c r="C232" s="28">
        <f t="shared" si="3"/>
        <v>199</v>
      </c>
      <c r="D232" s="28"/>
    </row>
    <row r="233">
      <c r="A233" s="145">
        <v>45884.0</v>
      </c>
      <c r="B233" s="54">
        <v>63.37</v>
      </c>
      <c r="C233" s="28">
        <f t="shared" si="3"/>
        <v>199</v>
      </c>
      <c r="D233" s="28"/>
    </row>
    <row r="234">
      <c r="A234" s="145">
        <v>45177.0</v>
      </c>
      <c r="B234" s="54">
        <v>63.42</v>
      </c>
      <c r="C234" s="28">
        <f t="shared" si="3"/>
        <v>199</v>
      </c>
      <c r="D234" s="28"/>
    </row>
    <row r="235">
      <c r="A235" s="145">
        <v>45420.0</v>
      </c>
      <c r="B235" s="54">
        <v>63.48</v>
      </c>
      <c r="C235" s="28">
        <f t="shared" si="3"/>
        <v>199</v>
      </c>
      <c r="D235" s="28"/>
    </row>
    <row r="236">
      <c r="A236" s="145">
        <v>45850.0</v>
      </c>
      <c r="B236" s="54">
        <v>63.54</v>
      </c>
      <c r="C236" s="28">
        <f t="shared" si="3"/>
        <v>199</v>
      </c>
      <c r="D236" s="28"/>
    </row>
    <row r="237">
      <c r="A237" s="145">
        <v>45306.0</v>
      </c>
      <c r="B237" s="54">
        <v>63.64</v>
      </c>
      <c r="C237" s="28">
        <f t="shared" si="3"/>
        <v>199</v>
      </c>
      <c r="D237" s="28"/>
    </row>
    <row r="238">
      <c r="A238" s="145">
        <v>45812.0</v>
      </c>
      <c r="B238" s="54">
        <v>63.69</v>
      </c>
      <c r="C238" s="28">
        <f t="shared" si="3"/>
        <v>199</v>
      </c>
      <c r="D238" s="28"/>
    </row>
    <row r="239">
      <c r="A239" s="145">
        <v>45405.0</v>
      </c>
      <c r="B239" s="54">
        <v>63.8</v>
      </c>
      <c r="C239" s="28">
        <f t="shared" si="3"/>
        <v>199</v>
      </c>
      <c r="D239" s="28"/>
    </row>
    <row r="240">
      <c r="A240" s="145">
        <v>45430.0</v>
      </c>
      <c r="B240" s="54">
        <v>63.8</v>
      </c>
      <c r="C240" s="28">
        <f t="shared" si="3"/>
        <v>199</v>
      </c>
      <c r="D240" s="28"/>
    </row>
    <row r="241">
      <c r="A241" s="145">
        <v>45814.0</v>
      </c>
      <c r="B241" s="54">
        <v>63.85</v>
      </c>
      <c r="C241" s="28">
        <f t="shared" si="3"/>
        <v>199</v>
      </c>
      <c r="D241" s="28"/>
    </row>
    <row r="242">
      <c r="A242" s="145">
        <v>43076.0</v>
      </c>
      <c r="B242" s="54">
        <v>63.88</v>
      </c>
      <c r="C242" s="28">
        <f t="shared" si="3"/>
        <v>199</v>
      </c>
      <c r="D242" s="28"/>
    </row>
    <row r="243">
      <c r="A243" s="145">
        <v>44881.0</v>
      </c>
      <c r="B243" s="54">
        <v>63.91</v>
      </c>
      <c r="C243" s="28">
        <f t="shared" si="3"/>
        <v>199</v>
      </c>
      <c r="D243" s="28"/>
    </row>
    <row r="244">
      <c r="A244" s="145">
        <v>45370.0</v>
      </c>
      <c r="B244" s="54">
        <v>64.08</v>
      </c>
      <c r="C244" s="28">
        <f t="shared" si="3"/>
        <v>199</v>
      </c>
      <c r="D244" s="28"/>
    </row>
    <row r="245">
      <c r="A245" s="145">
        <v>43359.0</v>
      </c>
      <c r="B245" s="54">
        <v>64.24</v>
      </c>
      <c r="C245" s="28">
        <f t="shared" si="3"/>
        <v>199</v>
      </c>
      <c r="D245" s="28"/>
    </row>
    <row r="246">
      <c r="A246" s="145">
        <v>45415.0</v>
      </c>
      <c r="B246" s="54">
        <v>64.44</v>
      </c>
      <c r="C246" s="28">
        <f t="shared" si="3"/>
        <v>199</v>
      </c>
      <c r="D246" s="28"/>
    </row>
    <row r="247">
      <c r="A247" s="145">
        <v>45406.0</v>
      </c>
      <c r="B247" s="54">
        <v>64.58</v>
      </c>
      <c r="C247" s="28">
        <f t="shared" si="3"/>
        <v>199</v>
      </c>
      <c r="D247" s="28"/>
    </row>
    <row r="248">
      <c r="A248" s="145">
        <v>43163.0</v>
      </c>
      <c r="B248" s="54">
        <v>64.7</v>
      </c>
      <c r="C248" s="28">
        <f t="shared" si="3"/>
        <v>199</v>
      </c>
      <c r="D248" s="28"/>
    </row>
    <row r="249">
      <c r="A249" s="145">
        <v>45410.0</v>
      </c>
      <c r="B249" s="54">
        <v>64.75</v>
      </c>
      <c r="C249" s="28">
        <f t="shared" si="3"/>
        <v>199</v>
      </c>
      <c r="D249" s="28"/>
    </row>
    <row r="250">
      <c r="A250" s="145">
        <v>45644.0</v>
      </c>
      <c r="B250" s="54">
        <v>65.05</v>
      </c>
      <c r="C250" s="28">
        <f t="shared" si="3"/>
        <v>199</v>
      </c>
      <c r="D250" s="28"/>
    </row>
    <row r="251">
      <c r="A251" s="145">
        <v>44882.0</v>
      </c>
      <c r="B251" s="54">
        <v>65.06</v>
      </c>
      <c r="C251" s="28">
        <f t="shared" si="3"/>
        <v>199</v>
      </c>
      <c r="D251" s="28"/>
    </row>
    <row r="252">
      <c r="A252" s="145">
        <v>43830.0</v>
      </c>
      <c r="B252" s="54">
        <v>65.07</v>
      </c>
      <c r="C252" s="28">
        <f t="shared" si="3"/>
        <v>199</v>
      </c>
      <c r="D252" s="28"/>
    </row>
    <row r="253">
      <c r="A253" s="145">
        <v>45469.0</v>
      </c>
      <c r="B253" s="54">
        <v>65.09</v>
      </c>
      <c r="C253" s="28">
        <f t="shared" si="3"/>
        <v>199</v>
      </c>
      <c r="D253" s="28"/>
    </row>
    <row r="254">
      <c r="A254" s="145">
        <v>45867.0</v>
      </c>
      <c r="B254" s="54">
        <v>65.41</v>
      </c>
      <c r="C254" s="28">
        <f t="shared" si="3"/>
        <v>199</v>
      </c>
      <c r="D254" s="28"/>
    </row>
    <row r="255">
      <c r="A255" s="145">
        <v>43101.0</v>
      </c>
      <c r="B255" s="54">
        <v>65.58</v>
      </c>
      <c r="C255" s="28">
        <f t="shared" si="3"/>
        <v>199</v>
      </c>
      <c r="D255" s="28"/>
    </row>
    <row r="256">
      <c r="A256" s="145">
        <v>45841.0</v>
      </c>
      <c r="B256" s="54">
        <v>65.7</v>
      </c>
      <c r="C256" s="28">
        <f t="shared" si="3"/>
        <v>199</v>
      </c>
      <c r="D256" s="28"/>
    </row>
    <row r="257">
      <c r="A257" s="145">
        <v>45315.0</v>
      </c>
      <c r="B257" s="54">
        <v>65.74</v>
      </c>
      <c r="C257" s="28">
        <f t="shared" si="3"/>
        <v>199</v>
      </c>
      <c r="D257" s="28"/>
    </row>
    <row r="258">
      <c r="A258" s="145">
        <v>45428.0</v>
      </c>
      <c r="B258" s="54">
        <v>65.83</v>
      </c>
      <c r="C258" s="28">
        <f t="shared" si="3"/>
        <v>199</v>
      </c>
      <c r="D258" s="28"/>
    </row>
    <row r="259">
      <c r="A259" s="145">
        <v>45409.0</v>
      </c>
      <c r="B259" s="54">
        <v>65.95</v>
      </c>
      <c r="C259" s="28">
        <f t="shared" si="3"/>
        <v>199</v>
      </c>
      <c r="D259" s="28"/>
    </row>
    <row r="260">
      <c r="A260" s="145">
        <v>45479.0</v>
      </c>
      <c r="B260" s="54">
        <v>66.0</v>
      </c>
      <c r="C260" s="28">
        <f t="shared" si="3"/>
        <v>199</v>
      </c>
      <c r="D260" s="28"/>
    </row>
    <row r="261">
      <c r="A261" s="145">
        <v>45440.0</v>
      </c>
      <c r="B261" s="54">
        <v>66.01</v>
      </c>
      <c r="C261" s="28">
        <f t="shared" si="3"/>
        <v>199</v>
      </c>
      <c r="D261" s="28"/>
    </row>
    <row r="262">
      <c r="A262" s="145">
        <v>45363.0</v>
      </c>
      <c r="B262" s="54">
        <v>66.08</v>
      </c>
      <c r="C262" s="28">
        <f t="shared" si="3"/>
        <v>199</v>
      </c>
      <c r="D262" s="28"/>
    </row>
    <row r="263">
      <c r="A263" s="145">
        <v>45439.0</v>
      </c>
      <c r="B263" s="54">
        <v>66.17</v>
      </c>
      <c r="C263" s="28">
        <f t="shared" si="3"/>
        <v>199</v>
      </c>
      <c r="D263" s="28"/>
    </row>
    <row r="264">
      <c r="A264" s="145">
        <v>45322.0</v>
      </c>
      <c r="B264" s="54">
        <v>66.18</v>
      </c>
      <c r="C264" s="28">
        <f t="shared" si="3"/>
        <v>199</v>
      </c>
      <c r="D264" s="28"/>
    </row>
    <row r="265">
      <c r="A265" s="145">
        <v>45419.0</v>
      </c>
      <c r="B265" s="54">
        <v>66.31</v>
      </c>
      <c r="C265" s="28">
        <f t="shared" si="3"/>
        <v>199</v>
      </c>
      <c r="D265" s="28"/>
    </row>
    <row r="266">
      <c r="A266" s="145">
        <v>43739.0</v>
      </c>
      <c r="B266" s="54">
        <v>66.4</v>
      </c>
      <c r="C266" s="28">
        <f t="shared" si="3"/>
        <v>199</v>
      </c>
      <c r="D266" s="28"/>
    </row>
    <row r="267">
      <c r="A267" s="145">
        <v>45888.0</v>
      </c>
      <c r="B267" s="54">
        <v>66.45</v>
      </c>
      <c r="C267" s="28">
        <f t="shared" si="3"/>
        <v>199</v>
      </c>
      <c r="D267" s="28"/>
    </row>
    <row r="268">
      <c r="A268" s="145">
        <v>45416.0</v>
      </c>
      <c r="B268" s="54">
        <v>66.46</v>
      </c>
      <c r="C268" s="28">
        <f t="shared" si="3"/>
        <v>199</v>
      </c>
      <c r="D268" s="28"/>
    </row>
    <row r="269">
      <c r="A269" s="145">
        <v>45032.0</v>
      </c>
      <c r="B269" s="54">
        <v>66.55</v>
      </c>
      <c r="C269" s="28">
        <f t="shared" si="3"/>
        <v>199</v>
      </c>
      <c r="D269" s="28"/>
    </row>
    <row r="270">
      <c r="A270" s="145">
        <v>45681.0</v>
      </c>
      <c r="B270" s="54">
        <v>66.6</v>
      </c>
      <c r="C270" s="28">
        <f t="shared" si="3"/>
        <v>199</v>
      </c>
      <c r="D270" s="28"/>
    </row>
    <row r="271">
      <c r="A271" s="145">
        <v>44813.0</v>
      </c>
      <c r="B271" s="54">
        <v>66.79</v>
      </c>
      <c r="C271" s="28">
        <f t="shared" si="3"/>
        <v>199</v>
      </c>
      <c r="D271" s="28"/>
    </row>
    <row r="272">
      <c r="A272" s="145">
        <v>44825.0</v>
      </c>
      <c r="B272" s="54">
        <v>66.94</v>
      </c>
      <c r="C272" s="28">
        <f t="shared" si="3"/>
        <v>199</v>
      </c>
      <c r="D272" s="28"/>
    </row>
    <row r="273">
      <c r="A273" s="145">
        <v>44827.0</v>
      </c>
      <c r="B273" s="54">
        <v>66.96</v>
      </c>
      <c r="C273" s="28">
        <f t="shared" si="3"/>
        <v>199</v>
      </c>
      <c r="D273" s="28"/>
    </row>
    <row r="274">
      <c r="A274" s="145">
        <v>45418.0</v>
      </c>
      <c r="B274" s="54">
        <v>67.0</v>
      </c>
      <c r="C274" s="28">
        <f t="shared" si="3"/>
        <v>199</v>
      </c>
      <c r="D274" s="28"/>
    </row>
    <row r="275">
      <c r="A275" s="145">
        <v>45429.0</v>
      </c>
      <c r="B275" s="54">
        <v>67.11</v>
      </c>
      <c r="C275" s="28">
        <f t="shared" si="3"/>
        <v>199</v>
      </c>
      <c r="D275" s="28"/>
    </row>
    <row r="276">
      <c r="A276" s="145">
        <v>43721.0</v>
      </c>
      <c r="B276" s="54">
        <v>67.38</v>
      </c>
      <c r="C276" s="28">
        <f t="shared" si="3"/>
        <v>199</v>
      </c>
      <c r="D276" s="28"/>
    </row>
    <row r="277">
      <c r="A277" s="145">
        <v>43843.0</v>
      </c>
      <c r="B277" s="54">
        <v>67.57</v>
      </c>
      <c r="C277" s="28">
        <f t="shared" si="3"/>
        <v>199</v>
      </c>
      <c r="D277" s="28"/>
    </row>
    <row r="278">
      <c r="A278" s="145">
        <v>43028.0</v>
      </c>
      <c r="B278" s="54">
        <v>67.62</v>
      </c>
      <c r="C278" s="28">
        <f t="shared" si="3"/>
        <v>199</v>
      </c>
      <c r="D278" s="28"/>
    </row>
    <row r="279">
      <c r="A279" s="145">
        <v>43135.0</v>
      </c>
      <c r="B279" s="54">
        <v>67.64</v>
      </c>
      <c r="C279" s="28">
        <f t="shared" si="3"/>
        <v>199</v>
      </c>
      <c r="D279" s="28"/>
    </row>
    <row r="280">
      <c r="A280" s="145">
        <v>44904.0</v>
      </c>
      <c r="B280" s="54">
        <v>67.95</v>
      </c>
      <c r="C280" s="28">
        <f t="shared" si="3"/>
        <v>199</v>
      </c>
      <c r="D280" s="28"/>
    </row>
    <row r="281">
      <c r="A281" s="145">
        <v>45417.0</v>
      </c>
      <c r="B281" s="54">
        <v>68.27</v>
      </c>
      <c r="C281" s="28">
        <f t="shared" si="3"/>
        <v>199</v>
      </c>
      <c r="D281" s="28"/>
    </row>
    <row r="282">
      <c r="A282" s="145">
        <v>45068.0</v>
      </c>
      <c r="B282" s="54">
        <v>68.51</v>
      </c>
      <c r="C282" s="28">
        <f t="shared" si="3"/>
        <v>199</v>
      </c>
      <c r="D282" s="28"/>
    </row>
    <row r="283">
      <c r="A283" s="145">
        <v>45302.0</v>
      </c>
      <c r="B283" s="54">
        <v>68.64</v>
      </c>
      <c r="C283" s="28">
        <f t="shared" si="3"/>
        <v>199</v>
      </c>
      <c r="D283" s="28"/>
    </row>
    <row r="284">
      <c r="A284" s="145">
        <v>45336.0</v>
      </c>
      <c r="B284" s="54">
        <v>68.78</v>
      </c>
      <c r="C284" s="28">
        <f t="shared" si="3"/>
        <v>199</v>
      </c>
      <c r="D284" s="28"/>
    </row>
    <row r="285">
      <c r="A285" s="145">
        <v>45854.0</v>
      </c>
      <c r="B285" s="54">
        <v>69.1</v>
      </c>
      <c r="C285" s="28">
        <f t="shared" si="3"/>
        <v>199</v>
      </c>
      <c r="D285" s="28"/>
    </row>
    <row r="286">
      <c r="A286" s="145">
        <v>45383.0</v>
      </c>
      <c r="B286" s="54">
        <v>69.28</v>
      </c>
      <c r="C286" s="28">
        <f t="shared" si="3"/>
        <v>199</v>
      </c>
      <c r="D286" s="28"/>
    </row>
    <row r="287">
      <c r="A287" s="145">
        <v>45612.0</v>
      </c>
      <c r="B287" s="54">
        <v>69.28</v>
      </c>
      <c r="C287" s="28">
        <f t="shared" si="3"/>
        <v>199</v>
      </c>
      <c r="D287" s="28"/>
    </row>
    <row r="288">
      <c r="A288" s="145">
        <v>43740.0</v>
      </c>
      <c r="B288" s="54">
        <v>69.3</v>
      </c>
      <c r="C288" s="28">
        <f t="shared" si="3"/>
        <v>199</v>
      </c>
      <c r="D288" s="28"/>
    </row>
    <row r="289">
      <c r="A289" s="145">
        <v>45449.0</v>
      </c>
      <c r="B289" s="54">
        <v>69.48</v>
      </c>
      <c r="C289" s="28">
        <f t="shared" si="3"/>
        <v>199</v>
      </c>
      <c r="D289" s="28"/>
    </row>
    <row r="290">
      <c r="A290" s="145">
        <v>45305.0</v>
      </c>
      <c r="B290" s="54">
        <v>69.51</v>
      </c>
      <c r="C290" s="28">
        <f t="shared" si="3"/>
        <v>199</v>
      </c>
      <c r="D290" s="28"/>
    </row>
    <row r="291">
      <c r="A291" s="145">
        <v>43107.0</v>
      </c>
      <c r="B291" s="54">
        <v>69.63</v>
      </c>
      <c r="C291" s="28">
        <f t="shared" si="3"/>
        <v>199</v>
      </c>
      <c r="D291" s="28"/>
    </row>
    <row r="292">
      <c r="A292" s="145">
        <v>45113.0</v>
      </c>
      <c r="B292" s="54">
        <v>69.72</v>
      </c>
      <c r="C292" s="28">
        <f t="shared" si="3"/>
        <v>199</v>
      </c>
      <c r="D292" s="28"/>
    </row>
    <row r="293">
      <c r="A293" s="145">
        <v>45895.0</v>
      </c>
      <c r="B293" s="54">
        <v>69.86</v>
      </c>
      <c r="C293" s="28">
        <f t="shared" si="3"/>
        <v>199</v>
      </c>
      <c r="D293" s="28"/>
    </row>
    <row r="294">
      <c r="A294" s="145">
        <v>45459.0</v>
      </c>
      <c r="B294" s="54">
        <v>69.97</v>
      </c>
      <c r="C294" s="28">
        <f t="shared" si="3"/>
        <v>199</v>
      </c>
      <c r="D294" s="28"/>
    </row>
    <row r="295">
      <c r="A295" s="145">
        <v>45804.0</v>
      </c>
      <c r="B295" s="54">
        <v>70.0</v>
      </c>
      <c r="C295" s="28">
        <f t="shared" si="3"/>
        <v>199</v>
      </c>
      <c r="D295" s="28"/>
    </row>
    <row r="296">
      <c r="A296" s="145">
        <v>45427.0</v>
      </c>
      <c r="B296" s="54">
        <v>70.0</v>
      </c>
      <c r="C296" s="28">
        <f t="shared" si="3"/>
        <v>199</v>
      </c>
      <c r="D296" s="28"/>
    </row>
    <row r="297">
      <c r="A297" s="145">
        <v>45426.0</v>
      </c>
      <c r="B297" s="54">
        <v>70.05</v>
      </c>
      <c r="C297" s="28">
        <f t="shared" si="3"/>
        <v>199</v>
      </c>
      <c r="D297" s="28"/>
    </row>
    <row r="298">
      <c r="A298" s="145">
        <v>43822.0</v>
      </c>
      <c r="B298" s="54">
        <v>70.1</v>
      </c>
      <c r="C298" s="28">
        <f t="shared" si="3"/>
        <v>199</v>
      </c>
      <c r="D298" s="28"/>
    </row>
    <row r="299">
      <c r="A299" s="145">
        <v>45601.0</v>
      </c>
      <c r="B299" s="54">
        <v>70.17</v>
      </c>
      <c r="C299" s="28">
        <f t="shared" si="3"/>
        <v>199</v>
      </c>
      <c r="D299" s="28"/>
    </row>
    <row r="300">
      <c r="A300" s="145">
        <v>44907.0</v>
      </c>
      <c r="B300" s="54">
        <v>70.65</v>
      </c>
      <c r="C300" s="28">
        <f t="shared" si="3"/>
        <v>199</v>
      </c>
      <c r="D300" s="28"/>
    </row>
    <row r="301">
      <c r="A301" s="145">
        <v>43149.0</v>
      </c>
      <c r="B301" s="54">
        <v>70.79</v>
      </c>
      <c r="C301" s="28">
        <f t="shared" si="3"/>
        <v>199</v>
      </c>
      <c r="D301" s="28"/>
    </row>
    <row r="302">
      <c r="A302" s="145">
        <v>45354.0</v>
      </c>
      <c r="B302" s="54">
        <v>70.8</v>
      </c>
      <c r="C302" s="28">
        <f t="shared" si="3"/>
        <v>199</v>
      </c>
      <c r="D302" s="28"/>
    </row>
    <row r="303">
      <c r="A303" s="145">
        <v>45309.0</v>
      </c>
      <c r="B303" s="54">
        <v>70.88</v>
      </c>
      <c r="C303" s="28">
        <f t="shared" si="3"/>
        <v>199</v>
      </c>
      <c r="D303" s="28"/>
    </row>
    <row r="304">
      <c r="A304" s="145">
        <v>44854.0</v>
      </c>
      <c r="B304" s="54">
        <v>71.12</v>
      </c>
      <c r="C304" s="28">
        <f t="shared" si="3"/>
        <v>199</v>
      </c>
      <c r="D304" s="28"/>
    </row>
    <row r="305">
      <c r="A305" s="145">
        <v>44844.0</v>
      </c>
      <c r="B305" s="54">
        <v>71.24</v>
      </c>
      <c r="C305" s="28">
        <f t="shared" si="3"/>
        <v>199</v>
      </c>
      <c r="D305" s="28"/>
    </row>
    <row r="306">
      <c r="A306" s="145">
        <v>45435.0</v>
      </c>
      <c r="B306" s="54">
        <v>71.59</v>
      </c>
      <c r="C306" s="28">
        <f t="shared" si="3"/>
        <v>199</v>
      </c>
      <c r="D306" s="28"/>
    </row>
    <row r="307">
      <c r="A307" s="145">
        <v>45054.0</v>
      </c>
      <c r="B307" s="54">
        <v>71.63</v>
      </c>
      <c r="C307" s="28">
        <f t="shared" si="3"/>
        <v>199</v>
      </c>
      <c r="D307" s="28"/>
    </row>
    <row r="308">
      <c r="A308" s="145">
        <v>45871.0</v>
      </c>
      <c r="B308" s="54">
        <v>71.76</v>
      </c>
      <c r="C308" s="28">
        <f t="shared" si="3"/>
        <v>199</v>
      </c>
      <c r="D308" s="28"/>
    </row>
    <row r="309">
      <c r="A309" s="145">
        <v>45146.0</v>
      </c>
      <c r="B309" s="54">
        <v>71.78</v>
      </c>
      <c r="C309" s="28">
        <f t="shared" si="3"/>
        <v>199</v>
      </c>
      <c r="D309" s="28"/>
    </row>
    <row r="310">
      <c r="A310" s="145">
        <v>43316.0</v>
      </c>
      <c r="B310" s="54">
        <v>72.19</v>
      </c>
      <c r="C310" s="28">
        <f t="shared" si="3"/>
        <v>199</v>
      </c>
      <c r="D310" s="28"/>
    </row>
    <row r="311">
      <c r="A311" s="145">
        <v>44902.0</v>
      </c>
      <c r="B311" s="54">
        <v>72.3</v>
      </c>
      <c r="C311" s="28">
        <f t="shared" si="3"/>
        <v>199</v>
      </c>
      <c r="D311" s="28"/>
    </row>
    <row r="312">
      <c r="A312" s="145">
        <v>43014.0</v>
      </c>
      <c r="B312" s="54">
        <v>72.33</v>
      </c>
      <c r="C312" s="28">
        <f t="shared" si="3"/>
        <v>199</v>
      </c>
      <c r="D312" s="28"/>
    </row>
    <row r="313">
      <c r="A313" s="145">
        <v>43746.0</v>
      </c>
      <c r="B313" s="54">
        <v>72.38</v>
      </c>
      <c r="C313" s="28">
        <f t="shared" si="3"/>
        <v>199</v>
      </c>
      <c r="D313" s="28"/>
    </row>
    <row r="314">
      <c r="A314" s="145">
        <v>43748.0</v>
      </c>
      <c r="B314" s="54">
        <v>72.41</v>
      </c>
      <c r="C314" s="28">
        <f t="shared" si="3"/>
        <v>199</v>
      </c>
      <c r="D314" s="28"/>
    </row>
    <row r="315">
      <c r="A315" s="145">
        <v>44901.0</v>
      </c>
      <c r="B315" s="54">
        <v>72.42</v>
      </c>
      <c r="C315" s="28">
        <f t="shared" si="3"/>
        <v>199</v>
      </c>
      <c r="D315" s="28"/>
    </row>
    <row r="316">
      <c r="A316" s="145">
        <v>45458.0</v>
      </c>
      <c r="B316" s="54">
        <v>72.5</v>
      </c>
      <c r="C316" s="28">
        <f t="shared" si="3"/>
        <v>199</v>
      </c>
      <c r="D316" s="28"/>
    </row>
    <row r="317">
      <c r="A317" s="145">
        <v>44887.0</v>
      </c>
      <c r="B317" s="54">
        <v>72.53</v>
      </c>
      <c r="C317" s="28">
        <f t="shared" si="3"/>
        <v>199</v>
      </c>
      <c r="D317" s="28"/>
    </row>
    <row r="318">
      <c r="A318" s="145">
        <v>43760.0</v>
      </c>
      <c r="B318" s="54">
        <v>72.62</v>
      </c>
      <c r="C318" s="28">
        <f t="shared" si="3"/>
        <v>199</v>
      </c>
      <c r="D318" s="28"/>
    </row>
    <row r="319">
      <c r="A319" s="145">
        <v>44843.0</v>
      </c>
      <c r="B319" s="54">
        <v>72.81</v>
      </c>
      <c r="C319" s="28">
        <f t="shared" si="3"/>
        <v>199</v>
      </c>
      <c r="D319" s="28"/>
    </row>
    <row r="320">
      <c r="A320" s="145">
        <v>44906.0</v>
      </c>
      <c r="B320" s="54">
        <v>73.32</v>
      </c>
      <c r="C320" s="28">
        <f t="shared" si="3"/>
        <v>199</v>
      </c>
      <c r="D320" s="28"/>
    </row>
    <row r="321">
      <c r="A321" s="145">
        <v>45840.0</v>
      </c>
      <c r="B321" s="54">
        <v>73.41</v>
      </c>
      <c r="C321" s="28">
        <f t="shared" si="3"/>
        <v>199</v>
      </c>
      <c r="D321" s="28"/>
    </row>
    <row r="322">
      <c r="A322" s="145">
        <v>43783.0</v>
      </c>
      <c r="B322" s="54">
        <v>73.52</v>
      </c>
      <c r="C322" s="28">
        <f t="shared" si="3"/>
        <v>199</v>
      </c>
      <c r="D322" s="28"/>
    </row>
    <row r="323">
      <c r="A323" s="145">
        <v>45342.0</v>
      </c>
      <c r="B323" s="54">
        <v>73.62</v>
      </c>
      <c r="C323" s="28">
        <f t="shared" si="3"/>
        <v>199</v>
      </c>
      <c r="D323" s="28"/>
    </row>
    <row r="324">
      <c r="A324" s="145">
        <v>45148.0</v>
      </c>
      <c r="B324" s="54">
        <v>73.93</v>
      </c>
      <c r="C324" s="28">
        <f t="shared" si="3"/>
        <v>199</v>
      </c>
      <c r="D324" s="28"/>
    </row>
    <row r="325">
      <c r="A325" s="145">
        <v>43138.0</v>
      </c>
      <c r="B325" s="54">
        <v>74.01</v>
      </c>
      <c r="C325" s="28">
        <f t="shared" si="3"/>
        <v>199</v>
      </c>
      <c r="D325" s="28"/>
    </row>
    <row r="326">
      <c r="A326" s="145">
        <v>45881.0</v>
      </c>
      <c r="B326" s="54">
        <v>74.01</v>
      </c>
      <c r="C326" s="28">
        <f t="shared" si="3"/>
        <v>199</v>
      </c>
      <c r="D326" s="28"/>
    </row>
    <row r="327">
      <c r="A327" s="145">
        <v>44905.0</v>
      </c>
      <c r="B327" s="54">
        <v>74.16</v>
      </c>
      <c r="C327" s="28">
        <f t="shared" si="3"/>
        <v>199</v>
      </c>
      <c r="D327" s="28"/>
    </row>
    <row r="328">
      <c r="A328" s="145">
        <v>45159.0</v>
      </c>
      <c r="B328" s="54">
        <v>74.26</v>
      </c>
      <c r="C328" s="28">
        <f t="shared" si="3"/>
        <v>199</v>
      </c>
      <c r="D328" s="28"/>
    </row>
    <row r="329">
      <c r="A329" s="145">
        <v>44822.0</v>
      </c>
      <c r="B329" s="54">
        <v>74.49</v>
      </c>
      <c r="C329" s="28">
        <f t="shared" si="3"/>
        <v>199</v>
      </c>
      <c r="D329" s="28"/>
    </row>
    <row r="330">
      <c r="A330" s="145">
        <v>45133.0</v>
      </c>
      <c r="B330" s="54">
        <v>74.58</v>
      </c>
      <c r="C330" s="28">
        <f t="shared" si="3"/>
        <v>199</v>
      </c>
      <c r="D330" s="28"/>
    </row>
    <row r="331">
      <c r="A331" s="145">
        <v>43842.0</v>
      </c>
      <c r="B331" s="54">
        <v>74.76</v>
      </c>
      <c r="C331" s="28">
        <f t="shared" si="3"/>
        <v>199</v>
      </c>
      <c r="D331" s="28"/>
    </row>
    <row r="332">
      <c r="A332" s="145">
        <v>44875.0</v>
      </c>
      <c r="B332" s="54">
        <v>74.86</v>
      </c>
      <c r="C332" s="28">
        <f t="shared" si="3"/>
        <v>199</v>
      </c>
      <c r="D332" s="28"/>
    </row>
    <row r="333">
      <c r="A333" s="145">
        <v>45345.0</v>
      </c>
      <c r="B333" s="54">
        <v>74.95</v>
      </c>
      <c r="C333" s="28">
        <f t="shared" si="3"/>
        <v>199</v>
      </c>
      <c r="D333" s="28"/>
    </row>
    <row r="334">
      <c r="A334" s="145">
        <v>44807.0</v>
      </c>
      <c r="B334" s="54">
        <v>75.04</v>
      </c>
      <c r="C334" s="28">
        <f t="shared" si="3"/>
        <v>199</v>
      </c>
      <c r="D334" s="28"/>
    </row>
    <row r="335">
      <c r="A335" s="145">
        <v>45388.0</v>
      </c>
      <c r="B335" s="54">
        <v>75.26</v>
      </c>
      <c r="C335" s="28">
        <f t="shared" si="3"/>
        <v>199</v>
      </c>
      <c r="D335" s="28"/>
    </row>
    <row r="336">
      <c r="A336" s="145">
        <v>45361.0</v>
      </c>
      <c r="B336" s="54">
        <v>75.27</v>
      </c>
      <c r="C336" s="28">
        <f t="shared" si="3"/>
        <v>199</v>
      </c>
      <c r="D336" s="28"/>
    </row>
    <row r="337">
      <c r="A337" s="145">
        <v>45865.0</v>
      </c>
      <c r="B337" s="54">
        <v>75.3</v>
      </c>
      <c r="C337" s="28">
        <f t="shared" si="3"/>
        <v>199</v>
      </c>
      <c r="D337" s="28"/>
    </row>
    <row r="338">
      <c r="A338" s="145">
        <v>45378.0</v>
      </c>
      <c r="B338" s="54">
        <v>75.32</v>
      </c>
      <c r="C338" s="28">
        <f t="shared" si="3"/>
        <v>199</v>
      </c>
      <c r="D338" s="28"/>
    </row>
    <row r="339">
      <c r="A339" s="145">
        <v>45806.0</v>
      </c>
      <c r="B339" s="54">
        <v>75.37</v>
      </c>
      <c r="C339" s="28">
        <f t="shared" si="3"/>
        <v>199</v>
      </c>
      <c r="D339" s="28"/>
    </row>
    <row r="340">
      <c r="A340" s="145">
        <v>44818.0</v>
      </c>
      <c r="B340" s="54">
        <v>75.44</v>
      </c>
      <c r="C340" s="28">
        <f t="shared" si="3"/>
        <v>199</v>
      </c>
      <c r="D340" s="28"/>
    </row>
    <row r="341">
      <c r="A341" s="145">
        <v>45801.0</v>
      </c>
      <c r="B341" s="54">
        <v>75.45</v>
      </c>
      <c r="C341" s="28">
        <f t="shared" si="3"/>
        <v>199</v>
      </c>
      <c r="D341" s="28"/>
    </row>
    <row r="342">
      <c r="A342" s="145">
        <v>45808.0</v>
      </c>
      <c r="B342" s="54">
        <v>75.48</v>
      </c>
      <c r="C342" s="28">
        <f t="shared" si="3"/>
        <v>199</v>
      </c>
      <c r="D342" s="28"/>
    </row>
    <row r="343">
      <c r="A343" s="145">
        <v>45107.0</v>
      </c>
      <c r="B343" s="54">
        <v>75.58</v>
      </c>
      <c r="C343" s="28">
        <f t="shared" si="3"/>
        <v>199</v>
      </c>
      <c r="D343" s="28"/>
    </row>
    <row r="344">
      <c r="A344" s="145">
        <v>45624.0</v>
      </c>
      <c r="B344" s="54">
        <v>75.68</v>
      </c>
      <c r="C344" s="28">
        <f t="shared" si="3"/>
        <v>199</v>
      </c>
      <c r="D344" s="28"/>
    </row>
    <row r="345">
      <c r="A345" s="145">
        <v>45339.0</v>
      </c>
      <c r="B345" s="54">
        <v>75.96</v>
      </c>
      <c r="C345" s="28">
        <f t="shared" si="3"/>
        <v>199</v>
      </c>
      <c r="D345" s="28"/>
    </row>
    <row r="346">
      <c r="A346" s="145">
        <v>45845.0</v>
      </c>
      <c r="B346" s="54">
        <v>75.97</v>
      </c>
      <c r="C346" s="28">
        <f t="shared" si="3"/>
        <v>199</v>
      </c>
      <c r="D346" s="28"/>
    </row>
    <row r="347">
      <c r="A347" s="145">
        <v>45359.0</v>
      </c>
      <c r="B347" s="54">
        <v>76.26</v>
      </c>
      <c r="C347" s="28">
        <f t="shared" si="3"/>
        <v>199</v>
      </c>
      <c r="D347" s="28"/>
    </row>
    <row r="348">
      <c r="A348" s="145">
        <v>45337.0</v>
      </c>
      <c r="B348" s="54">
        <v>76.76</v>
      </c>
      <c r="C348" s="28">
        <f t="shared" si="3"/>
        <v>199</v>
      </c>
      <c r="D348" s="28"/>
    </row>
    <row r="349">
      <c r="A349" s="145">
        <v>45338.0</v>
      </c>
      <c r="B349" s="54">
        <v>76.9</v>
      </c>
      <c r="C349" s="28">
        <f t="shared" si="3"/>
        <v>199</v>
      </c>
      <c r="D349" s="28"/>
    </row>
    <row r="350">
      <c r="A350" s="145">
        <v>45817.0</v>
      </c>
      <c r="B350" s="54">
        <v>76.93</v>
      </c>
      <c r="C350" s="28">
        <f t="shared" si="3"/>
        <v>199</v>
      </c>
      <c r="D350" s="28"/>
    </row>
    <row r="351">
      <c r="A351" s="145">
        <v>45869.0</v>
      </c>
      <c r="B351" s="54">
        <v>77.18</v>
      </c>
      <c r="C351" s="28">
        <f t="shared" si="3"/>
        <v>199</v>
      </c>
      <c r="D351" s="28"/>
    </row>
    <row r="352">
      <c r="A352" s="145">
        <v>44853.0</v>
      </c>
      <c r="B352" s="54">
        <v>77.19</v>
      </c>
      <c r="C352" s="28">
        <f t="shared" si="3"/>
        <v>199</v>
      </c>
      <c r="D352" s="28"/>
    </row>
    <row r="353">
      <c r="A353" s="145">
        <v>43152.0</v>
      </c>
      <c r="B353" s="54">
        <v>77.31</v>
      </c>
      <c r="C353" s="28">
        <f t="shared" si="3"/>
        <v>199</v>
      </c>
      <c r="D353" s="28"/>
    </row>
    <row r="354">
      <c r="A354" s="145">
        <v>45819.0</v>
      </c>
      <c r="B354" s="54">
        <v>77.63</v>
      </c>
      <c r="C354" s="28">
        <f t="shared" si="3"/>
        <v>199</v>
      </c>
      <c r="D354" s="28"/>
    </row>
    <row r="355">
      <c r="A355" s="145">
        <v>45890.0</v>
      </c>
      <c r="B355" s="54">
        <v>77.67</v>
      </c>
      <c r="C355" s="28">
        <f t="shared" si="3"/>
        <v>199</v>
      </c>
      <c r="D355" s="28"/>
    </row>
    <row r="356">
      <c r="A356" s="145">
        <v>45617.0</v>
      </c>
      <c r="B356" s="54">
        <v>77.71</v>
      </c>
      <c r="C356" s="28">
        <f t="shared" si="3"/>
        <v>199</v>
      </c>
      <c r="D356" s="28"/>
    </row>
    <row r="357">
      <c r="A357" s="145">
        <v>43821.0</v>
      </c>
      <c r="B357" s="54">
        <v>77.74</v>
      </c>
      <c r="C357" s="28">
        <f t="shared" si="3"/>
        <v>199</v>
      </c>
      <c r="D357" s="28"/>
    </row>
    <row r="358">
      <c r="A358" s="145">
        <v>45380.0</v>
      </c>
      <c r="B358" s="54">
        <v>77.78</v>
      </c>
      <c r="C358" s="28">
        <f t="shared" si="3"/>
        <v>199</v>
      </c>
      <c r="D358" s="28"/>
    </row>
    <row r="359">
      <c r="A359" s="145">
        <v>45816.0</v>
      </c>
      <c r="B359" s="54">
        <v>77.87</v>
      </c>
      <c r="C359" s="28">
        <f t="shared" si="3"/>
        <v>199</v>
      </c>
      <c r="D359" s="28"/>
    </row>
    <row r="360">
      <c r="A360" s="145">
        <v>44865.0</v>
      </c>
      <c r="B360" s="54">
        <v>77.94</v>
      </c>
      <c r="C360" s="28">
        <f t="shared" si="3"/>
        <v>199</v>
      </c>
      <c r="D360" s="28"/>
    </row>
    <row r="361">
      <c r="A361" s="145">
        <v>44628.0</v>
      </c>
      <c r="B361" s="54">
        <v>77.95</v>
      </c>
      <c r="C361" s="28">
        <f t="shared" si="3"/>
        <v>199</v>
      </c>
      <c r="D361" s="28"/>
    </row>
    <row r="362">
      <c r="A362" s="145">
        <v>45805.0</v>
      </c>
      <c r="B362" s="54">
        <v>78.12</v>
      </c>
      <c r="C362" s="28">
        <f t="shared" si="3"/>
        <v>199</v>
      </c>
      <c r="D362" s="28"/>
    </row>
    <row r="363">
      <c r="A363" s="145">
        <v>43738.0</v>
      </c>
      <c r="B363" s="54">
        <v>78.36</v>
      </c>
      <c r="C363" s="28">
        <f t="shared" si="3"/>
        <v>199</v>
      </c>
      <c r="D363" s="28"/>
    </row>
    <row r="364">
      <c r="A364" s="145">
        <v>45358.0</v>
      </c>
      <c r="B364" s="54">
        <v>78.37</v>
      </c>
      <c r="C364" s="28">
        <f t="shared" si="3"/>
        <v>199</v>
      </c>
      <c r="D364" s="28"/>
    </row>
    <row r="365">
      <c r="A365" s="145">
        <v>45152.0</v>
      </c>
      <c r="B365" s="54">
        <v>78.45</v>
      </c>
      <c r="C365" s="28">
        <f t="shared" si="3"/>
        <v>199</v>
      </c>
      <c r="D365" s="28"/>
    </row>
    <row r="366">
      <c r="A366" s="145">
        <v>43811.0</v>
      </c>
      <c r="B366" s="54">
        <v>78.63</v>
      </c>
      <c r="C366" s="28">
        <f t="shared" si="3"/>
        <v>199</v>
      </c>
      <c r="D366" s="28"/>
    </row>
    <row r="367">
      <c r="A367" s="145">
        <v>45142.0</v>
      </c>
      <c r="B367" s="54">
        <v>78.7</v>
      </c>
      <c r="C367" s="28">
        <f t="shared" si="3"/>
        <v>199</v>
      </c>
      <c r="D367" s="28"/>
    </row>
    <row r="368">
      <c r="A368" s="145">
        <v>45820.0</v>
      </c>
      <c r="B368" s="54">
        <v>78.74</v>
      </c>
      <c r="C368" s="28">
        <f t="shared" si="3"/>
        <v>199</v>
      </c>
      <c r="D368" s="28"/>
    </row>
    <row r="369">
      <c r="A369" s="145">
        <v>44903.0</v>
      </c>
      <c r="B369" s="54">
        <v>78.79</v>
      </c>
      <c r="C369" s="28">
        <f t="shared" si="3"/>
        <v>199</v>
      </c>
      <c r="D369" s="28"/>
    </row>
    <row r="370">
      <c r="A370" s="145">
        <v>45036.0</v>
      </c>
      <c r="B370" s="54">
        <v>79.08</v>
      </c>
      <c r="C370" s="28">
        <f t="shared" si="3"/>
        <v>199</v>
      </c>
      <c r="D370" s="28"/>
    </row>
    <row r="371">
      <c r="A371" s="145">
        <v>44867.0</v>
      </c>
      <c r="B371" s="54">
        <v>79.39</v>
      </c>
      <c r="C371" s="28">
        <f t="shared" si="3"/>
        <v>199</v>
      </c>
      <c r="D371" s="28"/>
    </row>
    <row r="372">
      <c r="A372" s="145">
        <v>45647.0</v>
      </c>
      <c r="B372" s="54">
        <v>79.51</v>
      </c>
      <c r="C372" s="28">
        <f t="shared" si="3"/>
        <v>199</v>
      </c>
      <c r="D372" s="28"/>
    </row>
    <row r="373">
      <c r="A373" s="145">
        <v>45327.0</v>
      </c>
      <c r="B373" s="54">
        <v>79.53</v>
      </c>
      <c r="C373" s="28">
        <f t="shared" si="3"/>
        <v>199</v>
      </c>
      <c r="D373" s="28"/>
    </row>
    <row r="374">
      <c r="A374" s="145">
        <v>45066.0</v>
      </c>
      <c r="B374" s="54">
        <v>79.57</v>
      </c>
      <c r="C374" s="28">
        <f t="shared" si="3"/>
        <v>199</v>
      </c>
      <c r="D374" s="28"/>
    </row>
    <row r="375">
      <c r="A375" s="145">
        <v>43791.0</v>
      </c>
      <c r="B375" s="54">
        <v>79.66</v>
      </c>
      <c r="C375" s="28">
        <f t="shared" si="3"/>
        <v>199</v>
      </c>
      <c r="D375" s="28"/>
    </row>
    <row r="376">
      <c r="A376" s="145">
        <v>43735.0</v>
      </c>
      <c r="B376" s="54">
        <v>79.67</v>
      </c>
      <c r="C376" s="28">
        <f t="shared" si="3"/>
        <v>199</v>
      </c>
      <c r="D376" s="28"/>
    </row>
    <row r="377">
      <c r="A377" s="145">
        <v>44802.0</v>
      </c>
      <c r="B377" s="54">
        <v>79.87</v>
      </c>
      <c r="C377" s="28">
        <f t="shared" si="3"/>
        <v>199</v>
      </c>
      <c r="D377" s="28"/>
    </row>
    <row r="378">
      <c r="A378" s="145">
        <v>44850.0</v>
      </c>
      <c r="B378" s="54">
        <v>80.21</v>
      </c>
      <c r="C378" s="28">
        <f t="shared" si="3"/>
        <v>199</v>
      </c>
      <c r="D378" s="28"/>
    </row>
    <row r="379">
      <c r="A379" s="145">
        <v>45673.0</v>
      </c>
      <c r="B379" s="54">
        <v>80.21</v>
      </c>
      <c r="C379" s="28">
        <f t="shared" si="3"/>
        <v>199</v>
      </c>
      <c r="D379" s="28"/>
    </row>
    <row r="380">
      <c r="A380" s="145">
        <v>45005.0</v>
      </c>
      <c r="B380" s="54">
        <v>80.22</v>
      </c>
      <c r="C380" s="28">
        <f t="shared" si="3"/>
        <v>199</v>
      </c>
      <c r="D380" s="28"/>
    </row>
    <row r="381">
      <c r="A381" s="145">
        <v>43158.0</v>
      </c>
      <c r="B381" s="54">
        <v>80.36</v>
      </c>
      <c r="C381" s="28">
        <f t="shared" si="3"/>
        <v>199</v>
      </c>
      <c r="D381" s="28"/>
    </row>
    <row r="382">
      <c r="A382" s="145">
        <v>43127.0</v>
      </c>
      <c r="B382" s="54">
        <v>80.55</v>
      </c>
      <c r="C382" s="28">
        <f t="shared" si="3"/>
        <v>199</v>
      </c>
      <c r="D382" s="28"/>
    </row>
    <row r="383">
      <c r="A383" s="145">
        <v>45318.0</v>
      </c>
      <c r="B383" s="54">
        <v>80.65</v>
      </c>
      <c r="C383" s="28">
        <f t="shared" si="3"/>
        <v>199</v>
      </c>
      <c r="D383" s="28"/>
    </row>
    <row r="384">
      <c r="A384" s="145">
        <v>45826.0</v>
      </c>
      <c r="B384" s="54">
        <v>80.66</v>
      </c>
      <c r="C384" s="28">
        <f t="shared" si="3"/>
        <v>199</v>
      </c>
      <c r="D384" s="28"/>
    </row>
    <row r="385">
      <c r="A385" s="145">
        <v>43844.0</v>
      </c>
      <c r="B385" s="54">
        <v>80.85</v>
      </c>
      <c r="C385" s="28">
        <f t="shared" si="3"/>
        <v>199</v>
      </c>
      <c r="D385" s="28"/>
    </row>
    <row r="386">
      <c r="A386" s="145">
        <v>45885.0</v>
      </c>
      <c r="B386" s="54">
        <v>80.94</v>
      </c>
      <c r="C386" s="28">
        <f t="shared" si="3"/>
        <v>199</v>
      </c>
      <c r="D386" s="28"/>
    </row>
    <row r="387">
      <c r="A387" s="145">
        <v>45325.0</v>
      </c>
      <c r="B387" s="54">
        <v>81.0</v>
      </c>
      <c r="C387" s="28">
        <f t="shared" si="3"/>
        <v>199</v>
      </c>
      <c r="D387" s="28"/>
    </row>
    <row r="388">
      <c r="A388" s="145">
        <v>45065.0</v>
      </c>
      <c r="B388" s="54">
        <v>81.11</v>
      </c>
      <c r="C388" s="28">
        <f t="shared" si="3"/>
        <v>199</v>
      </c>
      <c r="D388" s="28"/>
    </row>
    <row r="389">
      <c r="A389" s="145">
        <v>45807.0</v>
      </c>
      <c r="B389" s="54">
        <v>81.69</v>
      </c>
      <c r="C389" s="28">
        <f t="shared" si="3"/>
        <v>199</v>
      </c>
      <c r="D389" s="28"/>
    </row>
    <row r="390">
      <c r="A390" s="145">
        <v>43764.0</v>
      </c>
      <c r="B390" s="54">
        <v>82.12</v>
      </c>
      <c r="C390" s="28">
        <f t="shared" si="3"/>
        <v>199</v>
      </c>
      <c r="D390" s="28"/>
    </row>
    <row r="391">
      <c r="A391" s="145">
        <v>44637.0</v>
      </c>
      <c r="B391" s="54">
        <v>82.17</v>
      </c>
      <c r="C391" s="28">
        <f t="shared" si="3"/>
        <v>199</v>
      </c>
      <c r="D391" s="28"/>
    </row>
    <row r="392">
      <c r="A392" s="145">
        <v>45162.0</v>
      </c>
      <c r="B392" s="54">
        <v>82.22</v>
      </c>
      <c r="C392" s="28">
        <f t="shared" si="3"/>
        <v>199</v>
      </c>
      <c r="D392" s="28"/>
    </row>
    <row r="393">
      <c r="A393" s="145">
        <v>45304.0</v>
      </c>
      <c r="B393" s="54">
        <v>82.51</v>
      </c>
      <c r="C393" s="28">
        <f t="shared" si="3"/>
        <v>199</v>
      </c>
      <c r="D393" s="28"/>
    </row>
    <row r="394">
      <c r="A394" s="145">
        <v>45118.0</v>
      </c>
      <c r="B394" s="54">
        <v>82.54</v>
      </c>
      <c r="C394" s="28">
        <f t="shared" si="3"/>
        <v>199</v>
      </c>
      <c r="D394" s="28"/>
    </row>
    <row r="395">
      <c r="A395" s="145">
        <v>45877.0</v>
      </c>
      <c r="B395" s="54">
        <v>82.6</v>
      </c>
      <c r="C395" s="28">
        <f t="shared" si="3"/>
        <v>199</v>
      </c>
      <c r="D395" s="28"/>
    </row>
    <row r="396">
      <c r="A396" s="145">
        <v>44809.0</v>
      </c>
      <c r="B396" s="54">
        <v>82.78</v>
      </c>
      <c r="C396" s="28">
        <f t="shared" si="3"/>
        <v>199</v>
      </c>
      <c r="D396" s="28"/>
    </row>
    <row r="397">
      <c r="A397" s="145">
        <v>44883.0</v>
      </c>
      <c r="B397" s="54">
        <v>82.8</v>
      </c>
      <c r="C397" s="28">
        <f t="shared" si="3"/>
        <v>199</v>
      </c>
      <c r="D397" s="28"/>
    </row>
    <row r="398">
      <c r="A398" s="145">
        <v>45172.0</v>
      </c>
      <c r="B398" s="54">
        <v>82.8</v>
      </c>
      <c r="C398" s="28">
        <f t="shared" si="3"/>
        <v>199</v>
      </c>
      <c r="D398" s="28"/>
    </row>
    <row r="399">
      <c r="A399" s="145">
        <v>45034.0</v>
      </c>
      <c r="B399" s="54">
        <v>83.0</v>
      </c>
      <c r="C399" s="28">
        <f t="shared" si="3"/>
        <v>199</v>
      </c>
      <c r="D399" s="28"/>
    </row>
    <row r="400">
      <c r="A400" s="145">
        <v>43006.0</v>
      </c>
      <c r="B400" s="54">
        <v>83.02</v>
      </c>
      <c r="C400" s="28">
        <f t="shared" si="3"/>
        <v>199</v>
      </c>
      <c r="D400" s="28"/>
    </row>
    <row r="401">
      <c r="A401" s="145">
        <v>45809.0</v>
      </c>
      <c r="B401" s="54">
        <v>83.23</v>
      </c>
      <c r="C401" s="28">
        <f t="shared" si="3"/>
        <v>199</v>
      </c>
      <c r="D401" s="28"/>
    </row>
    <row r="402">
      <c r="A402" s="145">
        <v>45868.0</v>
      </c>
      <c r="B402" s="54">
        <v>83.37</v>
      </c>
      <c r="C402" s="28">
        <f t="shared" si="3"/>
        <v>199</v>
      </c>
      <c r="D402" s="28"/>
    </row>
    <row r="403">
      <c r="A403" s="145">
        <v>45860.0</v>
      </c>
      <c r="B403" s="54">
        <v>83.39</v>
      </c>
      <c r="C403" s="28">
        <f t="shared" si="3"/>
        <v>199</v>
      </c>
      <c r="D403" s="28"/>
    </row>
    <row r="404">
      <c r="A404" s="145">
        <v>45382.0</v>
      </c>
      <c r="B404" s="54">
        <v>83.55</v>
      </c>
      <c r="C404" s="28">
        <f t="shared" si="3"/>
        <v>199</v>
      </c>
      <c r="D404" s="28"/>
    </row>
    <row r="405">
      <c r="A405" s="145">
        <v>43777.0</v>
      </c>
      <c r="B405" s="54">
        <v>83.57</v>
      </c>
      <c r="C405" s="28">
        <f t="shared" si="3"/>
        <v>199</v>
      </c>
      <c r="D405" s="28"/>
    </row>
    <row r="406">
      <c r="A406" s="145">
        <v>44864.0</v>
      </c>
      <c r="B406" s="54">
        <v>83.62</v>
      </c>
      <c r="C406" s="28">
        <f t="shared" si="3"/>
        <v>199</v>
      </c>
      <c r="D406" s="28"/>
    </row>
    <row r="407">
      <c r="A407" s="145">
        <v>45039.0</v>
      </c>
      <c r="B407" s="54">
        <v>83.85</v>
      </c>
      <c r="C407" s="28">
        <f t="shared" si="3"/>
        <v>199</v>
      </c>
      <c r="D407" s="28"/>
    </row>
    <row r="408">
      <c r="A408" s="145">
        <v>44890.0</v>
      </c>
      <c r="B408" s="54">
        <v>83.91</v>
      </c>
      <c r="C408" s="28">
        <f t="shared" si="3"/>
        <v>199</v>
      </c>
      <c r="D408" s="28"/>
    </row>
    <row r="409">
      <c r="A409" s="145">
        <v>45889.0</v>
      </c>
      <c r="B409" s="54">
        <v>83.99</v>
      </c>
      <c r="C409" s="28">
        <f t="shared" si="3"/>
        <v>199</v>
      </c>
      <c r="D409" s="28"/>
    </row>
    <row r="410">
      <c r="A410" s="145">
        <v>45830.0</v>
      </c>
      <c r="B410" s="54">
        <v>84.0</v>
      </c>
      <c r="C410" s="28">
        <f t="shared" si="3"/>
        <v>199</v>
      </c>
      <c r="D410" s="28"/>
    </row>
    <row r="411">
      <c r="A411" s="145">
        <v>45042.0</v>
      </c>
      <c r="B411" s="54">
        <v>84.08</v>
      </c>
      <c r="C411" s="28">
        <f t="shared" si="3"/>
        <v>199</v>
      </c>
      <c r="D411" s="28"/>
    </row>
    <row r="412">
      <c r="A412" s="145">
        <v>44838.0</v>
      </c>
      <c r="B412" s="54">
        <v>84.21</v>
      </c>
      <c r="C412" s="28">
        <f t="shared" si="3"/>
        <v>199</v>
      </c>
      <c r="D412" s="28"/>
    </row>
    <row r="413">
      <c r="A413" s="145">
        <v>45893.0</v>
      </c>
      <c r="B413" s="54">
        <v>84.42</v>
      </c>
      <c r="C413" s="28">
        <f t="shared" si="3"/>
        <v>199</v>
      </c>
      <c r="D413" s="28"/>
    </row>
    <row r="414">
      <c r="A414" s="145">
        <v>45350.0</v>
      </c>
      <c r="B414" s="54">
        <v>84.8</v>
      </c>
      <c r="C414" s="28">
        <f t="shared" si="3"/>
        <v>199</v>
      </c>
      <c r="D414" s="28"/>
    </row>
    <row r="415">
      <c r="A415" s="145">
        <v>45308.0</v>
      </c>
      <c r="B415" s="54">
        <v>85.0</v>
      </c>
      <c r="C415" s="28">
        <f t="shared" si="3"/>
        <v>199</v>
      </c>
      <c r="D415" s="28"/>
    </row>
    <row r="416">
      <c r="A416" s="145">
        <v>45866.0</v>
      </c>
      <c r="B416" s="54">
        <v>85.02</v>
      </c>
      <c r="C416" s="28">
        <f t="shared" si="3"/>
        <v>199</v>
      </c>
      <c r="D416" s="28"/>
    </row>
    <row r="417">
      <c r="A417" s="145">
        <v>45690.0</v>
      </c>
      <c r="B417" s="54">
        <v>85.15</v>
      </c>
      <c r="C417" s="28">
        <f t="shared" si="3"/>
        <v>199</v>
      </c>
      <c r="D417" s="28"/>
    </row>
    <row r="418">
      <c r="A418" s="145">
        <v>43111.0</v>
      </c>
      <c r="B418" s="54">
        <v>85.38</v>
      </c>
      <c r="C418" s="28">
        <f t="shared" si="3"/>
        <v>199</v>
      </c>
      <c r="D418" s="28"/>
    </row>
    <row r="419">
      <c r="A419" s="145">
        <v>45122.0</v>
      </c>
      <c r="B419" s="54">
        <v>85.44</v>
      </c>
      <c r="C419" s="28">
        <f t="shared" si="3"/>
        <v>199</v>
      </c>
      <c r="D419" s="28"/>
    </row>
    <row r="420">
      <c r="A420" s="145">
        <v>45646.0</v>
      </c>
      <c r="B420" s="54">
        <v>85.65</v>
      </c>
      <c r="C420" s="28">
        <f t="shared" si="3"/>
        <v>199</v>
      </c>
      <c r="D420" s="28"/>
    </row>
    <row r="421">
      <c r="A421" s="145">
        <v>45381.0</v>
      </c>
      <c r="B421" s="54">
        <v>85.86</v>
      </c>
      <c r="C421" s="28">
        <f t="shared" si="3"/>
        <v>199</v>
      </c>
      <c r="D421" s="28"/>
    </row>
    <row r="422">
      <c r="A422" s="145">
        <v>44830.0</v>
      </c>
      <c r="B422" s="54">
        <v>85.98</v>
      </c>
      <c r="C422" s="28">
        <f t="shared" si="3"/>
        <v>199</v>
      </c>
      <c r="D422" s="28"/>
    </row>
    <row r="423">
      <c r="A423" s="145">
        <v>45764.0</v>
      </c>
      <c r="B423" s="54">
        <v>86.01</v>
      </c>
      <c r="C423" s="28">
        <f t="shared" si="3"/>
        <v>199</v>
      </c>
      <c r="D423" s="28"/>
    </row>
    <row r="424">
      <c r="A424" s="145">
        <v>45321.0</v>
      </c>
      <c r="B424" s="54">
        <v>86.17</v>
      </c>
      <c r="C424" s="28">
        <f t="shared" si="3"/>
        <v>199</v>
      </c>
      <c r="D424" s="28"/>
    </row>
    <row r="425">
      <c r="A425" s="145">
        <v>43802.0</v>
      </c>
      <c r="B425" s="54">
        <v>86.37</v>
      </c>
      <c r="C425" s="28">
        <f t="shared" si="3"/>
        <v>199</v>
      </c>
      <c r="D425" s="28"/>
    </row>
    <row r="426">
      <c r="A426" s="145">
        <v>45155.0</v>
      </c>
      <c r="B426" s="54">
        <v>86.39</v>
      </c>
      <c r="C426" s="28">
        <f t="shared" si="3"/>
        <v>199</v>
      </c>
      <c r="D426" s="28"/>
    </row>
    <row r="427">
      <c r="A427" s="145">
        <v>44836.0</v>
      </c>
      <c r="B427" s="54">
        <v>86.5</v>
      </c>
      <c r="C427" s="28">
        <f t="shared" si="3"/>
        <v>199</v>
      </c>
      <c r="D427" s="28"/>
    </row>
    <row r="428">
      <c r="A428" s="145">
        <v>43766.0</v>
      </c>
      <c r="B428" s="54">
        <v>86.68</v>
      </c>
      <c r="C428" s="28">
        <f t="shared" si="3"/>
        <v>199</v>
      </c>
      <c r="D428" s="28"/>
    </row>
    <row r="429">
      <c r="A429" s="145">
        <v>45328.0</v>
      </c>
      <c r="B429" s="54">
        <v>86.75</v>
      </c>
      <c r="C429" s="28">
        <f t="shared" si="3"/>
        <v>199</v>
      </c>
      <c r="D429" s="28"/>
    </row>
    <row r="430">
      <c r="A430" s="145">
        <v>44878.0</v>
      </c>
      <c r="B430" s="54">
        <v>86.78</v>
      </c>
      <c r="C430" s="28">
        <f t="shared" si="3"/>
        <v>199</v>
      </c>
      <c r="D430" s="28"/>
    </row>
    <row r="431">
      <c r="A431" s="145">
        <v>43761.0</v>
      </c>
      <c r="B431" s="54">
        <v>86.9</v>
      </c>
      <c r="C431" s="28">
        <f t="shared" si="3"/>
        <v>199</v>
      </c>
      <c r="D431" s="28"/>
    </row>
    <row r="432">
      <c r="A432" s="145">
        <v>45872.0</v>
      </c>
      <c r="B432" s="54">
        <v>87.17</v>
      </c>
      <c r="C432" s="28">
        <f t="shared" si="3"/>
        <v>199</v>
      </c>
      <c r="D432" s="28"/>
    </row>
    <row r="433">
      <c r="A433" s="145">
        <v>45351.0</v>
      </c>
      <c r="B433" s="54">
        <v>87.22</v>
      </c>
      <c r="C433" s="28">
        <f t="shared" si="3"/>
        <v>199</v>
      </c>
      <c r="D433" s="28"/>
    </row>
    <row r="434">
      <c r="A434" s="145">
        <v>45654.0</v>
      </c>
      <c r="B434" s="54">
        <v>87.3</v>
      </c>
      <c r="C434" s="28">
        <f t="shared" si="3"/>
        <v>199</v>
      </c>
      <c r="D434" s="28"/>
    </row>
    <row r="435">
      <c r="A435" s="145">
        <v>43782.0</v>
      </c>
      <c r="B435" s="54">
        <v>87.5</v>
      </c>
      <c r="C435" s="28">
        <f t="shared" si="3"/>
        <v>199</v>
      </c>
      <c r="D435" s="28"/>
    </row>
    <row r="436">
      <c r="A436" s="145">
        <v>43701.0</v>
      </c>
      <c r="B436" s="54">
        <v>87.54</v>
      </c>
      <c r="C436" s="28">
        <f t="shared" si="3"/>
        <v>199</v>
      </c>
      <c r="D436" s="28"/>
    </row>
    <row r="437">
      <c r="A437" s="145">
        <v>45660.0</v>
      </c>
      <c r="B437" s="54">
        <v>87.61</v>
      </c>
      <c r="C437" s="28">
        <f t="shared" si="3"/>
        <v>199</v>
      </c>
      <c r="D437" s="28"/>
    </row>
    <row r="438">
      <c r="A438" s="145">
        <v>43812.0</v>
      </c>
      <c r="B438" s="54">
        <v>87.66</v>
      </c>
      <c r="C438" s="28">
        <f t="shared" si="3"/>
        <v>199</v>
      </c>
      <c r="D438" s="28"/>
    </row>
    <row r="439">
      <c r="A439" s="145">
        <v>44804.0</v>
      </c>
      <c r="B439" s="54">
        <v>87.87</v>
      </c>
      <c r="C439" s="28">
        <f t="shared" si="3"/>
        <v>199</v>
      </c>
      <c r="D439" s="28"/>
    </row>
    <row r="440">
      <c r="A440" s="145">
        <v>45158.0</v>
      </c>
      <c r="B440" s="54">
        <v>87.87</v>
      </c>
      <c r="C440" s="28">
        <f t="shared" si="3"/>
        <v>199</v>
      </c>
      <c r="D440" s="28"/>
    </row>
    <row r="441">
      <c r="A441" s="145">
        <v>45672.0</v>
      </c>
      <c r="B441" s="54">
        <v>87.9</v>
      </c>
      <c r="C441" s="28">
        <f t="shared" si="3"/>
        <v>199</v>
      </c>
      <c r="D441" s="28"/>
    </row>
    <row r="442">
      <c r="A442" s="145">
        <v>45044.0</v>
      </c>
      <c r="B442" s="54">
        <v>88.03</v>
      </c>
      <c r="C442" s="28">
        <f t="shared" si="3"/>
        <v>199</v>
      </c>
      <c r="D442" s="28"/>
    </row>
    <row r="443">
      <c r="A443" s="145">
        <v>45622.0</v>
      </c>
      <c r="B443" s="54">
        <v>88.25</v>
      </c>
      <c r="C443" s="28">
        <f t="shared" si="3"/>
        <v>199</v>
      </c>
      <c r="D443" s="28"/>
    </row>
    <row r="444">
      <c r="A444" s="145">
        <v>43731.0</v>
      </c>
      <c r="B444" s="54">
        <v>88.67</v>
      </c>
      <c r="C444" s="28">
        <f t="shared" si="3"/>
        <v>199</v>
      </c>
      <c r="D444" s="28"/>
    </row>
    <row r="445">
      <c r="A445" s="145">
        <v>44840.0</v>
      </c>
      <c r="B445" s="54">
        <v>88.7</v>
      </c>
      <c r="C445" s="28">
        <f t="shared" si="3"/>
        <v>199</v>
      </c>
      <c r="D445" s="28"/>
    </row>
    <row r="446">
      <c r="A446" s="145">
        <v>44855.0</v>
      </c>
      <c r="B446" s="54">
        <v>88.72</v>
      </c>
      <c r="C446" s="28">
        <f t="shared" si="3"/>
        <v>199</v>
      </c>
      <c r="D446" s="28"/>
    </row>
    <row r="447">
      <c r="A447" s="145">
        <v>45320.0</v>
      </c>
      <c r="B447" s="54">
        <v>88.73</v>
      </c>
      <c r="C447" s="28">
        <f t="shared" si="3"/>
        <v>199</v>
      </c>
      <c r="D447" s="28"/>
    </row>
    <row r="448">
      <c r="A448" s="145">
        <v>44811.0</v>
      </c>
      <c r="B448" s="54">
        <v>88.92</v>
      </c>
      <c r="C448" s="28">
        <f t="shared" si="3"/>
        <v>199</v>
      </c>
      <c r="D448" s="28"/>
    </row>
    <row r="449">
      <c r="A449" s="145">
        <v>45887.0</v>
      </c>
      <c r="B449" s="54">
        <v>88.97</v>
      </c>
      <c r="C449" s="28">
        <f t="shared" si="3"/>
        <v>199</v>
      </c>
      <c r="D449" s="28"/>
    </row>
    <row r="450">
      <c r="A450" s="145">
        <v>45822.0</v>
      </c>
      <c r="B450" s="54">
        <v>89.04</v>
      </c>
      <c r="C450" s="28">
        <f t="shared" si="3"/>
        <v>199</v>
      </c>
      <c r="D450" s="28"/>
    </row>
    <row r="451">
      <c r="A451" s="145">
        <v>45716.0</v>
      </c>
      <c r="B451" s="54">
        <v>89.09</v>
      </c>
      <c r="C451" s="28">
        <f t="shared" si="3"/>
        <v>199</v>
      </c>
      <c r="D451" s="28"/>
    </row>
    <row r="452">
      <c r="A452" s="145">
        <v>45249.0</v>
      </c>
      <c r="B452" s="54">
        <v>89.12</v>
      </c>
      <c r="C452" s="28">
        <f t="shared" si="3"/>
        <v>199</v>
      </c>
      <c r="D452" s="28"/>
    </row>
    <row r="453">
      <c r="A453" s="145">
        <v>45331.0</v>
      </c>
      <c r="B453" s="54">
        <v>89.28</v>
      </c>
      <c r="C453" s="28">
        <f t="shared" si="3"/>
        <v>199</v>
      </c>
      <c r="D453" s="28"/>
    </row>
    <row r="454">
      <c r="A454" s="145">
        <v>43734.0</v>
      </c>
      <c r="B454" s="54">
        <v>89.33</v>
      </c>
      <c r="C454" s="28">
        <f t="shared" si="3"/>
        <v>199</v>
      </c>
      <c r="D454" s="28"/>
    </row>
    <row r="455">
      <c r="A455" s="145">
        <v>45050.0</v>
      </c>
      <c r="B455" s="54">
        <v>89.59</v>
      </c>
      <c r="C455" s="28">
        <f t="shared" si="3"/>
        <v>199</v>
      </c>
      <c r="D455" s="28"/>
    </row>
    <row r="456">
      <c r="A456" s="145">
        <v>45883.0</v>
      </c>
      <c r="B456" s="54">
        <v>89.67</v>
      </c>
      <c r="C456" s="28">
        <f t="shared" si="3"/>
        <v>199</v>
      </c>
      <c r="D456" s="28"/>
    </row>
    <row r="457">
      <c r="A457" s="145">
        <v>45642.0</v>
      </c>
      <c r="B457" s="54">
        <v>89.84</v>
      </c>
      <c r="C457" s="28">
        <f t="shared" si="3"/>
        <v>199</v>
      </c>
      <c r="D457" s="28"/>
    </row>
    <row r="458">
      <c r="A458" s="145">
        <v>45330.0</v>
      </c>
      <c r="B458" s="54">
        <v>89.87</v>
      </c>
      <c r="C458" s="28">
        <f t="shared" si="3"/>
        <v>199</v>
      </c>
      <c r="D458" s="28"/>
    </row>
    <row r="459">
      <c r="A459" s="145">
        <v>43413.0</v>
      </c>
      <c r="B459" s="54">
        <v>90.01</v>
      </c>
      <c r="C459" s="28">
        <f t="shared" si="3"/>
        <v>199</v>
      </c>
      <c r="D459" s="28"/>
    </row>
    <row r="460">
      <c r="A460" s="145">
        <v>43410.0</v>
      </c>
      <c r="B460" s="54">
        <v>90.29</v>
      </c>
      <c r="C460" s="28">
        <f t="shared" si="3"/>
        <v>199</v>
      </c>
      <c r="D460" s="28"/>
    </row>
    <row r="461">
      <c r="A461" s="145">
        <v>43767.0</v>
      </c>
      <c r="B461" s="54">
        <v>90.4</v>
      </c>
      <c r="C461" s="28">
        <f t="shared" si="3"/>
        <v>199</v>
      </c>
      <c r="D461" s="28"/>
    </row>
    <row r="462">
      <c r="A462" s="145">
        <v>44861.0</v>
      </c>
      <c r="B462" s="54">
        <v>90.7</v>
      </c>
      <c r="C462" s="28">
        <f t="shared" si="3"/>
        <v>199</v>
      </c>
      <c r="D462" s="28"/>
    </row>
    <row r="463">
      <c r="A463" s="145">
        <v>44828.0</v>
      </c>
      <c r="B463" s="54">
        <v>90.79</v>
      </c>
      <c r="C463" s="28">
        <f t="shared" si="3"/>
        <v>199</v>
      </c>
      <c r="D463" s="28"/>
    </row>
    <row r="464">
      <c r="A464" s="145">
        <v>45679.0</v>
      </c>
      <c r="B464" s="54">
        <v>90.86</v>
      </c>
      <c r="C464" s="28">
        <f t="shared" si="3"/>
        <v>199</v>
      </c>
      <c r="D464" s="28"/>
    </row>
    <row r="465">
      <c r="A465" s="145">
        <v>44874.0</v>
      </c>
      <c r="B465" s="54">
        <v>91.11</v>
      </c>
      <c r="C465" s="28">
        <f t="shared" si="3"/>
        <v>199</v>
      </c>
      <c r="D465" s="28"/>
    </row>
    <row r="466">
      <c r="A466" s="145">
        <v>43529.0</v>
      </c>
      <c r="B466" s="54">
        <v>91.33</v>
      </c>
      <c r="C466" s="28">
        <f t="shared" si="3"/>
        <v>199</v>
      </c>
      <c r="D466" s="28"/>
    </row>
    <row r="467">
      <c r="A467" s="145">
        <v>45613.0</v>
      </c>
      <c r="B467" s="54">
        <v>91.36</v>
      </c>
      <c r="C467" s="28">
        <f t="shared" si="3"/>
        <v>199</v>
      </c>
      <c r="D467" s="28"/>
    </row>
    <row r="468">
      <c r="A468" s="145">
        <v>45875.0</v>
      </c>
      <c r="B468" s="54">
        <v>91.39</v>
      </c>
      <c r="C468" s="28">
        <f t="shared" si="3"/>
        <v>199</v>
      </c>
      <c r="D468" s="28"/>
    </row>
    <row r="469">
      <c r="A469" s="145">
        <v>44842.0</v>
      </c>
      <c r="B469" s="54">
        <v>91.41</v>
      </c>
      <c r="C469" s="28">
        <f t="shared" si="3"/>
        <v>199</v>
      </c>
      <c r="D469" s="28"/>
    </row>
    <row r="470">
      <c r="A470" s="145">
        <v>44661.0</v>
      </c>
      <c r="B470" s="54">
        <v>91.6</v>
      </c>
      <c r="C470" s="28">
        <f t="shared" si="3"/>
        <v>199</v>
      </c>
      <c r="D470" s="28"/>
    </row>
    <row r="471">
      <c r="A471" s="145">
        <v>45347.0</v>
      </c>
      <c r="B471" s="54">
        <v>91.63</v>
      </c>
      <c r="C471" s="28">
        <f t="shared" si="3"/>
        <v>199</v>
      </c>
      <c r="D471" s="28"/>
    </row>
    <row r="472">
      <c r="A472" s="145">
        <v>44815.0</v>
      </c>
      <c r="B472" s="54">
        <v>91.68</v>
      </c>
      <c r="C472" s="28">
        <f t="shared" si="3"/>
        <v>199</v>
      </c>
      <c r="D472" s="28"/>
    </row>
    <row r="473">
      <c r="A473" s="145">
        <v>43771.0</v>
      </c>
      <c r="B473" s="54">
        <v>91.69</v>
      </c>
      <c r="C473" s="28">
        <f t="shared" si="3"/>
        <v>199</v>
      </c>
      <c r="D473" s="28"/>
    </row>
    <row r="474">
      <c r="A474" s="145">
        <v>45154.0</v>
      </c>
      <c r="B474" s="54">
        <v>91.78</v>
      </c>
      <c r="C474" s="28">
        <f t="shared" si="3"/>
        <v>199</v>
      </c>
      <c r="D474" s="28"/>
    </row>
    <row r="475">
      <c r="A475" s="145">
        <v>43437.0</v>
      </c>
      <c r="B475" s="54">
        <v>92.06</v>
      </c>
      <c r="C475" s="28">
        <f t="shared" si="3"/>
        <v>199</v>
      </c>
      <c r="D475" s="28"/>
    </row>
    <row r="476">
      <c r="A476" s="145">
        <v>44837.0</v>
      </c>
      <c r="B476" s="54">
        <v>92.07</v>
      </c>
      <c r="C476" s="28">
        <f t="shared" si="3"/>
        <v>199</v>
      </c>
      <c r="D476" s="28"/>
    </row>
    <row r="477">
      <c r="A477" s="145">
        <v>44866.0</v>
      </c>
      <c r="B477" s="54">
        <v>92.12</v>
      </c>
      <c r="C477" s="28">
        <f t="shared" si="3"/>
        <v>199</v>
      </c>
      <c r="D477" s="28"/>
    </row>
    <row r="478">
      <c r="A478" s="145">
        <v>45176.0</v>
      </c>
      <c r="B478" s="54">
        <v>92.17</v>
      </c>
      <c r="C478" s="28">
        <f t="shared" si="3"/>
        <v>199</v>
      </c>
      <c r="D478" s="28"/>
    </row>
    <row r="479">
      <c r="A479" s="145">
        <v>45171.0</v>
      </c>
      <c r="B479" s="54">
        <v>92.19</v>
      </c>
      <c r="C479" s="28">
        <f t="shared" si="3"/>
        <v>199</v>
      </c>
      <c r="D479" s="28"/>
    </row>
    <row r="480">
      <c r="A480" s="145">
        <v>45853.0</v>
      </c>
      <c r="B480" s="54">
        <v>92.22</v>
      </c>
      <c r="C480" s="28">
        <f t="shared" si="3"/>
        <v>199</v>
      </c>
      <c r="D480" s="28"/>
    </row>
    <row r="481">
      <c r="A481" s="145">
        <v>44805.0</v>
      </c>
      <c r="B481" s="54">
        <v>92.48</v>
      </c>
      <c r="C481" s="28">
        <f t="shared" si="3"/>
        <v>199</v>
      </c>
      <c r="D481" s="28"/>
    </row>
    <row r="482">
      <c r="A482" s="145">
        <v>44847.0</v>
      </c>
      <c r="B482" s="54">
        <v>92.79</v>
      </c>
      <c r="C482" s="28">
        <f t="shared" si="3"/>
        <v>199</v>
      </c>
      <c r="D482" s="28"/>
    </row>
    <row r="483">
      <c r="A483" s="145">
        <v>44841.0</v>
      </c>
      <c r="B483" s="54">
        <v>92.85</v>
      </c>
      <c r="C483" s="28">
        <f t="shared" si="3"/>
        <v>199</v>
      </c>
      <c r="D483" s="28"/>
    </row>
    <row r="484">
      <c r="A484" s="145">
        <v>45858.0</v>
      </c>
      <c r="B484" s="54">
        <v>93.0</v>
      </c>
      <c r="C484" s="28">
        <f t="shared" si="3"/>
        <v>199</v>
      </c>
      <c r="D484" s="28"/>
    </row>
    <row r="485">
      <c r="A485" s="145">
        <v>45661.0</v>
      </c>
      <c r="B485" s="54">
        <v>93.18</v>
      </c>
      <c r="C485" s="28">
        <f t="shared" si="3"/>
        <v>199</v>
      </c>
      <c r="D485" s="28"/>
    </row>
    <row r="486">
      <c r="A486" s="145">
        <v>45828.0</v>
      </c>
      <c r="B486" s="54">
        <v>93.32</v>
      </c>
      <c r="C486" s="28">
        <f t="shared" si="3"/>
        <v>199</v>
      </c>
      <c r="D486" s="28"/>
    </row>
    <row r="487">
      <c r="A487" s="145">
        <v>45241.0</v>
      </c>
      <c r="B487" s="54">
        <v>93.33</v>
      </c>
      <c r="C487" s="28">
        <f t="shared" si="3"/>
        <v>199</v>
      </c>
      <c r="D487" s="28"/>
    </row>
    <row r="488">
      <c r="A488" s="145">
        <v>45242.0</v>
      </c>
      <c r="B488" s="54">
        <v>93.37</v>
      </c>
      <c r="C488" s="28">
        <f t="shared" si="3"/>
        <v>199</v>
      </c>
      <c r="D488" s="28"/>
    </row>
    <row r="489">
      <c r="A489" s="145">
        <v>45067.0</v>
      </c>
      <c r="B489" s="54">
        <v>93.42</v>
      </c>
      <c r="C489" s="28">
        <f t="shared" si="3"/>
        <v>199</v>
      </c>
      <c r="D489" s="28"/>
    </row>
    <row r="490">
      <c r="A490" s="145">
        <v>43451.0</v>
      </c>
      <c r="B490" s="54">
        <v>93.47</v>
      </c>
      <c r="C490" s="28">
        <f t="shared" si="3"/>
        <v>199</v>
      </c>
      <c r="D490" s="28"/>
    </row>
    <row r="491">
      <c r="A491" s="145">
        <v>43407.0</v>
      </c>
      <c r="B491" s="54">
        <v>93.54</v>
      </c>
      <c r="C491" s="28">
        <f t="shared" si="3"/>
        <v>199</v>
      </c>
      <c r="D491" s="28"/>
    </row>
    <row r="492">
      <c r="A492" s="145">
        <v>45352.0</v>
      </c>
      <c r="B492" s="54">
        <v>93.6</v>
      </c>
      <c r="C492" s="28">
        <f t="shared" si="3"/>
        <v>199</v>
      </c>
      <c r="D492" s="28"/>
    </row>
    <row r="493">
      <c r="A493" s="145">
        <v>45346.0</v>
      </c>
      <c r="B493" s="54">
        <v>93.89</v>
      </c>
      <c r="C493" s="28">
        <f t="shared" si="3"/>
        <v>199</v>
      </c>
      <c r="D493" s="28"/>
    </row>
    <row r="494">
      <c r="A494" s="145">
        <v>45160.0</v>
      </c>
      <c r="B494" s="54">
        <v>93.92</v>
      </c>
      <c r="C494" s="28">
        <f t="shared" si="3"/>
        <v>199</v>
      </c>
      <c r="D494" s="28"/>
    </row>
    <row r="495">
      <c r="A495" s="145">
        <v>45862.0</v>
      </c>
      <c r="B495" s="54">
        <v>93.94</v>
      </c>
      <c r="C495" s="28">
        <f t="shared" si="3"/>
        <v>199</v>
      </c>
      <c r="D495" s="28"/>
    </row>
    <row r="496">
      <c r="A496" s="145">
        <v>43836.0</v>
      </c>
      <c r="B496" s="54">
        <v>93.97</v>
      </c>
      <c r="C496" s="28">
        <f t="shared" si="3"/>
        <v>199</v>
      </c>
      <c r="D496" s="28"/>
    </row>
    <row r="497">
      <c r="A497" s="145">
        <v>45848.0</v>
      </c>
      <c r="B497" s="54">
        <v>94.02</v>
      </c>
      <c r="C497" s="28">
        <f t="shared" si="3"/>
        <v>199</v>
      </c>
      <c r="D497" s="28"/>
    </row>
    <row r="498">
      <c r="A498" s="145">
        <v>43730.0</v>
      </c>
      <c r="B498" s="54">
        <v>94.06</v>
      </c>
      <c r="C498" s="28">
        <f t="shared" si="3"/>
        <v>199</v>
      </c>
      <c r="D498" s="28"/>
    </row>
    <row r="499">
      <c r="A499" s="145">
        <v>43720.0</v>
      </c>
      <c r="B499" s="54">
        <v>94.1</v>
      </c>
      <c r="C499" s="28">
        <f t="shared" si="3"/>
        <v>199</v>
      </c>
      <c r="D499" s="28"/>
    </row>
    <row r="500">
      <c r="A500" s="145">
        <v>45844.0</v>
      </c>
      <c r="B500" s="54">
        <v>94.1</v>
      </c>
      <c r="C500" s="28">
        <f t="shared" si="3"/>
        <v>199</v>
      </c>
      <c r="D500" s="28"/>
    </row>
    <row r="501">
      <c r="A501" s="145">
        <v>45310.0</v>
      </c>
      <c r="B501" s="54">
        <v>94.12</v>
      </c>
      <c r="C501" s="28">
        <f t="shared" si="3"/>
        <v>199</v>
      </c>
      <c r="D501" s="28"/>
    </row>
    <row r="502">
      <c r="A502" s="145">
        <v>43144.0</v>
      </c>
      <c r="B502" s="54">
        <v>94.26</v>
      </c>
      <c r="C502" s="28">
        <f t="shared" si="3"/>
        <v>199</v>
      </c>
      <c r="D502" s="28"/>
    </row>
    <row r="503">
      <c r="A503" s="145">
        <v>44857.0</v>
      </c>
      <c r="B503" s="54">
        <v>94.5</v>
      </c>
      <c r="C503" s="28">
        <f t="shared" si="3"/>
        <v>199</v>
      </c>
      <c r="D503" s="28"/>
    </row>
    <row r="504">
      <c r="A504" s="145">
        <v>43457.0</v>
      </c>
      <c r="B504" s="54">
        <v>94.51</v>
      </c>
      <c r="C504" s="28">
        <f t="shared" si="3"/>
        <v>199</v>
      </c>
      <c r="D504" s="28"/>
    </row>
    <row r="505">
      <c r="A505" s="145">
        <v>45815.0</v>
      </c>
      <c r="B505" s="54">
        <v>94.52</v>
      </c>
      <c r="C505" s="28">
        <f t="shared" si="3"/>
        <v>199</v>
      </c>
      <c r="D505" s="28"/>
    </row>
    <row r="506">
      <c r="A506" s="145">
        <v>45719.0</v>
      </c>
      <c r="B506" s="54">
        <v>94.73</v>
      </c>
      <c r="C506" s="28">
        <f t="shared" si="3"/>
        <v>199</v>
      </c>
      <c r="D506" s="28"/>
    </row>
    <row r="507">
      <c r="A507" s="145">
        <v>45856.0</v>
      </c>
      <c r="B507" s="54">
        <v>94.76</v>
      </c>
      <c r="C507" s="28">
        <f t="shared" si="3"/>
        <v>199</v>
      </c>
      <c r="D507" s="28"/>
    </row>
    <row r="508">
      <c r="A508" s="145">
        <v>45838.0</v>
      </c>
      <c r="B508" s="54">
        <v>94.9</v>
      </c>
      <c r="C508" s="28">
        <f t="shared" si="3"/>
        <v>199</v>
      </c>
      <c r="D508" s="28"/>
    </row>
    <row r="509">
      <c r="A509" s="145">
        <v>45780.0</v>
      </c>
      <c r="B509" s="54">
        <v>94.91</v>
      </c>
      <c r="C509" s="28">
        <f t="shared" si="3"/>
        <v>199</v>
      </c>
      <c r="D509" s="28"/>
    </row>
    <row r="510">
      <c r="A510" s="145">
        <v>45070.0</v>
      </c>
      <c r="B510" s="54">
        <v>94.93</v>
      </c>
      <c r="C510" s="28">
        <f t="shared" si="3"/>
        <v>199</v>
      </c>
      <c r="D510" s="28"/>
    </row>
    <row r="511">
      <c r="A511" s="145">
        <v>44654.0</v>
      </c>
      <c r="B511" s="54">
        <v>94.94</v>
      </c>
      <c r="C511" s="28">
        <f t="shared" si="3"/>
        <v>199</v>
      </c>
      <c r="D511" s="28"/>
    </row>
    <row r="512">
      <c r="A512" s="145">
        <v>43727.0</v>
      </c>
      <c r="B512" s="54">
        <v>95.02</v>
      </c>
      <c r="C512" s="28">
        <f t="shared" si="3"/>
        <v>199</v>
      </c>
      <c r="D512" s="28"/>
    </row>
    <row r="513">
      <c r="A513" s="145">
        <v>45332.0</v>
      </c>
      <c r="B513" s="54">
        <v>95.31</v>
      </c>
      <c r="C513" s="28">
        <f t="shared" si="3"/>
        <v>199</v>
      </c>
      <c r="D513" s="28"/>
    </row>
    <row r="514">
      <c r="A514" s="145">
        <v>45833.0</v>
      </c>
      <c r="B514" s="54">
        <v>95.38</v>
      </c>
      <c r="C514" s="28">
        <f t="shared" si="3"/>
        <v>199</v>
      </c>
      <c r="D514" s="28"/>
    </row>
    <row r="515">
      <c r="A515" s="145">
        <v>44611.0</v>
      </c>
      <c r="B515" s="54">
        <v>95.42</v>
      </c>
      <c r="C515" s="28">
        <f t="shared" si="3"/>
        <v>199</v>
      </c>
      <c r="D515" s="28"/>
    </row>
    <row r="516">
      <c r="A516" s="145">
        <v>45697.0</v>
      </c>
      <c r="B516" s="54">
        <v>95.42</v>
      </c>
      <c r="C516" s="28">
        <f t="shared" si="3"/>
        <v>199</v>
      </c>
      <c r="D516" s="28"/>
    </row>
    <row r="517">
      <c r="A517" s="145">
        <v>43467.0</v>
      </c>
      <c r="B517" s="54">
        <v>95.51</v>
      </c>
      <c r="C517" s="28">
        <f t="shared" si="3"/>
        <v>199</v>
      </c>
      <c r="D517" s="28"/>
    </row>
    <row r="518">
      <c r="A518" s="145">
        <v>44817.0</v>
      </c>
      <c r="B518" s="54">
        <v>95.58</v>
      </c>
      <c r="C518" s="28">
        <f t="shared" si="3"/>
        <v>199</v>
      </c>
      <c r="D518" s="28"/>
    </row>
    <row r="519">
      <c r="A519" s="145">
        <v>45236.0</v>
      </c>
      <c r="B519" s="54">
        <v>95.58</v>
      </c>
      <c r="C519" s="28">
        <f t="shared" si="3"/>
        <v>199</v>
      </c>
      <c r="D519" s="28"/>
    </row>
    <row r="520">
      <c r="A520" s="145">
        <v>43462.0</v>
      </c>
      <c r="B520" s="54">
        <v>95.61</v>
      </c>
      <c r="C520" s="28">
        <f t="shared" si="3"/>
        <v>199</v>
      </c>
      <c r="D520" s="28"/>
    </row>
    <row r="521">
      <c r="A521" s="145">
        <v>45040.0</v>
      </c>
      <c r="B521" s="54">
        <v>95.64</v>
      </c>
      <c r="C521" s="28">
        <f t="shared" si="3"/>
        <v>199</v>
      </c>
      <c r="D521" s="28"/>
    </row>
    <row r="522">
      <c r="A522" s="145">
        <v>45894.0</v>
      </c>
      <c r="B522" s="54">
        <v>95.86</v>
      </c>
      <c r="C522" s="28">
        <f t="shared" si="3"/>
        <v>199</v>
      </c>
      <c r="D522" s="28"/>
    </row>
    <row r="523">
      <c r="A523" s="145">
        <v>44287.0</v>
      </c>
      <c r="B523" s="54">
        <v>96.03</v>
      </c>
      <c r="C523" s="28">
        <f t="shared" si="3"/>
        <v>199</v>
      </c>
      <c r="D523" s="28"/>
    </row>
    <row r="524">
      <c r="A524" s="145">
        <v>45348.0</v>
      </c>
      <c r="B524" s="54">
        <v>96.03</v>
      </c>
      <c r="C524" s="28">
        <f t="shared" si="3"/>
        <v>199</v>
      </c>
      <c r="D524" s="28"/>
    </row>
    <row r="525">
      <c r="A525" s="145">
        <v>45055.0</v>
      </c>
      <c r="B525" s="54">
        <v>96.05</v>
      </c>
      <c r="C525" s="28">
        <f t="shared" si="3"/>
        <v>199</v>
      </c>
      <c r="D525" s="28"/>
    </row>
    <row r="526">
      <c r="A526" s="145">
        <v>43824.0</v>
      </c>
      <c r="B526" s="54">
        <v>96.47</v>
      </c>
      <c r="C526" s="28">
        <f t="shared" si="3"/>
        <v>199</v>
      </c>
      <c r="D526" s="28"/>
    </row>
    <row r="527">
      <c r="A527" s="145">
        <v>45692.0</v>
      </c>
      <c r="B527" s="54">
        <v>96.63</v>
      </c>
      <c r="C527" s="28">
        <f t="shared" si="3"/>
        <v>199</v>
      </c>
      <c r="D527" s="28"/>
    </row>
    <row r="528">
      <c r="A528" s="145">
        <v>45069.0</v>
      </c>
      <c r="B528" s="54">
        <v>96.77</v>
      </c>
      <c r="C528" s="28">
        <f t="shared" si="3"/>
        <v>199</v>
      </c>
      <c r="D528" s="28"/>
    </row>
    <row r="529">
      <c r="A529" s="145">
        <v>45147.0</v>
      </c>
      <c r="B529" s="54">
        <v>96.8</v>
      </c>
      <c r="C529" s="28">
        <f t="shared" si="3"/>
        <v>199</v>
      </c>
      <c r="D529" s="28"/>
    </row>
    <row r="530">
      <c r="A530" s="145">
        <v>43845.0</v>
      </c>
      <c r="B530" s="54">
        <v>96.85</v>
      </c>
      <c r="C530" s="28">
        <f t="shared" si="3"/>
        <v>199</v>
      </c>
      <c r="D530" s="28"/>
    </row>
    <row r="531">
      <c r="A531" s="145">
        <v>44638.0</v>
      </c>
      <c r="B531" s="54">
        <v>96.9</v>
      </c>
      <c r="C531" s="28">
        <f t="shared" si="3"/>
        <v>199</v>
      </c>
      <c r="D531" s="28"/>
    </row>
    <row r="532">
      <c r="A532" s="145">
        <v>45243.0</v>
      </c>
      <c r="B532" s="54">
        <v>96.91</v>
      </c>
      <c r="C532" s="28">
        <f t="shared" si="3"/>
        <v>199</v>
      </c>
      <c r="D532" s="28"/>
    </row>
    <row r="533">
      <c r="A533" s="145">
        <v>45651.0</v>
      </c>
      <c r="B533" s="54">
        <v>96.99</v>
      </c>
      <c r="C533" s="28">
        <f t="shared" si="3"/>
        <v>199</v>
      </c>
      <c r="D533" s="28"/>
    </row>
    <row r="534">
      <c r="A534" s="145">
        <v>43805.0</v>
      </c>
      <c r="B534" s="54">
        <v>97.02</v>
      </c>
      <c r="C534" s="28">
        <f t="shared" si="3"/>
        <v>199</v>
      </c>
      <c r="D534" s="28"/>
    </row>
    <row r="535">
      <c r="A535" s="145">
        <v>45740.0</v>
      </c>
      <c r="B535" s="54">
        <v>97.12</v>
      </c>
      <c r="C535" s="28">
        <f t="shared" si="3"/>
        <v>199</v>
      </c>
      <c r="D535" s="28"/>
    </row>
    <row r="536">
      <c r="A536" s="145">
        <v>45311.0</v>
      </c>
      <c r="B536" s="54">
        <v>97.19</v>
      </c>
      <c r="C536" s="28">
        <f t="shared" si="3"/>
        <v>199</v>
      </c>
      <c r="D536" s="28"/>
    </row>
    <row r="537">
      <c r="A537" s="145">
        <v>43762.0</v>
      </c>
      <c r="B537" s="54">
        <v>97.21</v>
      </c>
      <c r="C537" s="28">
        <f t="shared" si="3"/>
        <v>199</v>
      </c>
      <c r="D537" s="28"/>
    </row>
    <row r="538">
      <c r="A538" s="145">
        <v>45876.0</v>
      </c>
      <c r="B538" s="54">
        <v>97.24</v>
      </c>
      <c r="C538" s="28">
        <f t="shared" si="3"/>
        <v>199</v>
      </c>
      <c r="D538" s="28"/>
    </row>
    <row r="539">
      <c r="A539" s="145">
        <v>45766.0</v>
      </c>
      <c r="B539" s="54">
        <v>97.36</v>
      </c>
      <c r="C539" s="28">
        <f t="shared" si="3"/>
        <v>199</v>
      </c>
      <c r="D539" s="28"/>
    </row>
    <row r="540">
      <c r="A540" s="145">
        <v>45846.0</v>
      </c>
      <c r="B540" s="54">
        <v>97.37</v>
      </c>
      <c r="C540" s="28">
        <f t="shared" si="3"/>
        <v>199</v>
      </c>
      <c r="D540" s="28"/>
    </row>
    <row r="541">
      <c r="A541" s="145">
        <v>45621.0</v>
      </c>
      <c r="B541" s="54">
        <v>97.49</v>
      </c>
      <c r="C541" s="28">
        <f t="shared" si="3"/>
        <v>199</v>
      </c>
      <c r="D541" s="28"/>
    </row>
    <row r="542">
      <c r="A542" s="145">
        <v>45882.0</v>
      </c>
      <c r="B542" s="54">
        <v>97.53</v>
      </c>
      <c r="C542" s="28">
        <f t="shared" si="3"/>
        <v>199</v>
      </c>
      <c r="D542" s="28"/>
    </row>
    <row r="543">
      <c r="A543" s="145">
        <v>44691.0</v>
      </c>
      <c r="B543" s="54">
        <v>97.61</v>
      </c>
      <c r="C543" s="28">
        <f t="shared" si="3"/>
        <v>199</v>
      </c>
      <c r="D543" s="28"/>
    </row>
    <row r="544">
      <c r="A544" s="145">
        <v>43435.0</v>
      </c>
      <c r="B544" s="54">
        <v>97.62</v>
      </c>
      <c r="C544" s="28">
        <f t="shared" si="3"/>
        <v>199</v>
      </c>
      <c r="D544" s="28"/>
    </row>
    <row r="545">
      <c r="A545" s="145">
        <v>45761.0</v>
      </c>
      <c r="B545" s="54">
        <v>97.65</v>
      </c>
      <c r="C545" s="28">
        <f t="shared" si="3"/>
        <v>199</v>
      </c>
      <c r="D545" s="28"/>
    </row>
    <row r="546">
      <c r="A546" s="145">
        <v>45827.0</v>
      </c>
      <c r="B546" s="54">
        <v>97.89</v>
      </c>
      <c r="C546" s="28">
        <f t="shared" si="3"/>
        <v>199</v>
      </c>
      <c r="D546" s="28"/>
    </row>
    <row r="547">
      <c r="A547" s="145">
        <v>45782.0</v>
      </c>
      <c r="B547" s="54">
        <v>97.99</v>
      </c>
      <c r="C547" s="28">
        <f t="shared" si="3"/>
        <v>199</v>
      </c>
      <c r="D547" s="28"/>
    </row>
    <row r="548">
      <c r="A548" s="145">
        <v>45698.0</v>
      </c>
      <c r="B548" s="54">
        <v>98.17</v>
      </c>
      <c r="C548" s="28">
        <f t="shared" si="3"/>
        <v>199</v>
      </c>
      <c r="D548" s="28"/>
    </row>
    <row r="549">
      <c r="A549" s="145">
        <v>45140.0</v>
      </c>
      <c r="B549" s="54">
        <v>98.18</v>
      </c>
      <c r="C549" s="28">
        <f t="shared" si="3"/>
        <v>199</v>
      </c>
      <c r="D549" s="28"/>
    </row>
    <row r="550">
      <c r="A550" s="145">
        <v>45648.0</v>
      </c>
      <c r="B550" s="54">
        <v>98.22</v>
      </c>
      <c r="C550" s="28">
        <f t="shared" si="3"/>
        <v>199</v>
      </c>
      <c r="D550" s="28"/>
    </row>
    <row r="551">
      <c r="A551" s="145">
        <v>45111.0</v>
      </c>
      <c r="B551" s="54">
        <v>98.24</v>
      </c>
      <c r="C551" s="28">
        <f t="shared" si="3"/>
        <v>199</v>
      </c>
      <c r="D551" s="28"/>
    </row>
    <row r="552">
      <c r="A552" s="145">
        <v>45618.0</v>
      </c>
      <c r="B552" s="54">
        <v>98.41</v>
      </c>
      <c r="C552" s="28">
        <f t="shared" si="3"/>
        <v>199</v>
      </c>
      <c r="D552" s="28"/>
    </row>
    <row r="553">
      <c r="A553" s="145">
        <v>43511.0</v>
      </c>
      <c r="B553" s="54">
        <v>98.65</v>
      </c>
      <c r="C553" s="28">
        <f t="shared" si="3"/>
        <v>199</v>
      </c>
      <c r="D553" s="28"/>
    </row>
    <row r="554">
      <c r="A554" s="145">
        <v>43466.0</v>
      </c>
      <c r="B554" s="54">
        <v>98.74</v>
      </c>
      <c r="C554" s="28">
        <f t="shared" si="3"/>
        <v>199</v>
      </c>
      <c r="D554" s="28"/>
    </row>
    <row r="555">
      <c r="A555" s="145">
        <v>44859.0</v>
      </c>
      <c r="B555" s="54">
        <v>98.86</v>
      </c>
      <c r="C555" s="28">
        <f t="shared" si="3"/>
        <v>199</v>
      </c>
      <c r="D555" s="28"/>
    </row>
    <row r="556">
      <c r="A556" s="145">
        <v>43403.0</v>
      </c>
      <c r="B556" s="54">
        <v>99.14</v>
      </c>
      <c r="C556" s="28">
        <f t="shared" si="3"/>
        <v>199</v>
      </c>
      <c r="D556" s="28"/>
    </row>
    <row r="557">
      <c r="A557" s="145">
        <v>43464.0</v>
      </c>
      <c r="B557" s="54">
        <v>99.14</v>
      </c>
      <c r="C557" s="28">
        <f t="shared" si="3"/>
        <v>199</v>
      </c>
      <c r="D557" s="28"/>
    </row>
    <row r="558">
      <c r="A558" s="145">
        <v>45863.0</v>
      </c>
      <c r="B558" s="54">
        <v>99.22</v>
      </c>
      <c r="C558" s="28">
        <f t="shared" si="3"/>
        <v>199</v>
      </c>
      <c r="D558" s="28"/>
    </row>
    <row r="559">
      <c r="A559" s="145">
        <v>45168.0</v>
      </c>
      <c r="B559" s="54">
        <v>99.34</v>
      </c>
      <c r="C559" s="28">
        <f t="shared" si="3"/>
        <v>199</v>
      </c>
      <c r="D559" s="28"/>
    </row>
    <row r="560">
      <c r="A560" s="145">
        <v>44880.0</v>
      </c>
      <c r="B560" s="54">
        <v>99.52</v>
      </c>
      <c r="C560" s="28">
        <f t="shared" si="3"/>
        <v>199</v>
      </c>
      <c r="D560" s="28"/>
    </row>
    <row r="561">
      <c r="A561" s="145">
        <v>45209.0</v>
      </c>
      <c r="B561" s="54">
        <v>99.79</v>
      </c>
      <c r="C561" s="28">
        <f t="shared" si="3"/>
        <v>199</v>
      </c>
      <c r="D561" s="28"/>
    </row>
    <row r="562">
      <c r="A562" s="145">
        <v>45640.0</v>
      </c>
      <c r="B562" s="54">
        <v>99.8</v>
      </c>
      <c r="C562" s="28">
        <f t="shared" si="3"/>
        <v>199</v>
      </c>
      <c r="D562" s="28"/>
    </row>
    <row r="563">
      <c r="A563" s="145">
        <v>45303.0</v>
      </c>
      <c r="B563" s="54">
        <v>99.84</v>
      </c>
      <c r="C563" s="28">
        <f t="shared" si="3"/>
        <v>199</v>
      </c>
      <c r="D563" s="28"/>
    </row>
    <row r="564">
      <c r="A564" s="145">
        <v>43758.0</v>
      </c>
      <c r="B564" s="54">
        <v>99.86</v>
      </c>
      <c r="C564" s="28">
        <f t="shared" si="3"/>
        <v>199</v>
      </c>
      <c r="D564" s="28"/>
    </row>
    <row r="565">
      <c r="A565" s="145">
        <v>43420.0</v>
      </c>
      <c r="B565" s="54">
        <v>99.97</v>
      </c>
      <c r="C565" s="28">
        <f t="shared" si="3"/>
        <v>199</v>
      </c>
      <c r="D565" s="28"/>
    </row>
    <row r="566">
      <c r="A566" s="145">
        <v>45227.0</v>
      </c>
      <c r="B566" s="54">
        <v>99.98</v>
      </c>
      <c r="C566" s="28">
        <f t="shared" si="3"/>
        <v>199</v>
      </c>
      <c r="D566" s="28"/>
    </row>
    <row r="567">
      <c r="A567" s="145">
        <v>45213.0</v>
      </c>
      <c r="B567" s="54">
        <v>100.04</v>
      </c>
      <c r="C567" s="28">
        <f t="shared" si="3"/>
        <v>199</v>
      </c>
      <c r="D567" s="28"/>
    </row>
    <row r="568">
      <c r="A568" s="145">
        <v>45634.0</v>
      </c>
      <c r="B568" s="54">
        <v>100.38</v>
      </c>
      <c r="C568" s="28">
        <f t="shared" si="3"/>
        <v>199</v>
      </c>
      <c r="D568" s="28"/>
    </row>
    <row r="569">
      <c r="A569" s="145">
        <v>44676.0</v>
      </c>
      <c r="B569" s="54">
        <v>100.46</v>
      </c>
      <c r="C569" s="28">
        <f t="shared" si="3"/>
        <v>199</v>
      </c>
      <c r="D569" s="28"/>
    </row>
    <row r="570">
      <c r="A570" s="145">
        <v>44851.0</v>
      </c>
      <c r="B570" s="54">
        <v>100.57</v>
      </c>
      <c r="C570" s="28">
        <f t="shared" si="3"/>
        <v>199</v>
      </c>
      <c r="D570" s="28"/>
    </row>
    <row r="571">
      <c r="A571" s="145">
        <v>45212.0</v>
      </c>
      <c r="B571" s="54">
        <v>100.73</v>
      </c>
      <c r="C571" s="28">
        <f t="shared" si="3"/>
        <v>199</v>
      </c>
      <c r="D571" s="28"/>
    </row>
    <row r="572">
      <c r="A572" s="145">
        <v>44824.0</v>
      </c>
      <c r="B572" s="54">
        <v>100.83</v>
      </c>
      <c r="C572" s="28">
        <f t="shared" si="3"/>
        <v>199</v>
      </c>
      <c r="D572" s="28"/>
    </row>
    <row r="573">
      <c r="A573" s="145">
        <v>45701.0</v>
      </c>
      <c r="B573" s="54">
        <v>100.9</v>
      </c>
      <c r="C573" s="28">
        <f t="shared" si="3"/>
        <v>199</v>
      </c>
      <c r="D573" s="28"/>
    </row>
    <row r="574">
      <c r="A574" s="145">
        <v>45699.0</v>
      </c>
      <c r="B574" s="54">
        <v>101.0</v>
      </c>
      <c r="C574" s="28">
        <f t="shared" si="3"/>
        <v>199</v>
      </c>
      <c r="D574" s="28"/>
    </row>
    <row r="575">
      <c r="A575" s="145">
        <v>45064.0</v>
      </c>
      <c r="B575" s="54">
        <v>101.16</v>
      </c>
      <c r="C575" s="28">
        <f t="shared" si="3"/>
        <v>199</v>
      </c>
      <c r="D575" s="28"/>
    </row>
    <row r="576">
      <c r="A576" s="145">
        <v>45174.0</v>
      </c>
      <c r="B576" s="54">
        <v>101.27</v>
      </c>
      <c r="C576" s="28">
        <f t="shared" si="3"/>
        <v>199</v>
      </c>
      <c r="D576" s="28"/>
    </row>
    <row r="577">
      <c r="A577" s="145">
        <v>45864.0</v>
      </c>
      <c r="B577" s="54">
        <v>101.33</v>
      </c>
      <c r="C577" s="28">
        <f t="shared" si="3"/>
        <v>199</v>
      </c>
      <c r="D577" s="28"/>
    </row>
    <row r="578">
      <c r="A578" s="145">
        <v>45150.0</v>
      </c>
      <c r="B578" s="54">
        <v>101.51</v>
      </c>
      <c r="C578" s="28">
        <f t="shared" si="3"/>
        <v>199</v>
      </c>
      <c r="D578" s="28"/>
    </row>
    <row r="579">
      <c r="A579" s="145">
        <v>43541.0</v>
      </c>
      <c r="B579" s="54">
        <v>101.63</v>
      </c>
      <c r="C579" s="28">
        <f t="shared" si="3"/>
        <v>199</v>
      </c>
      <c r="D579" s="28"/>
    </row>
    <row r="580">
      <c r="A580" s="145">
        <v>45062.0</v>
      </c>
      <c r="B580" s="54">
        <v>101.97</v>
      </c>
      <c r="C580" s="28">
        <f t="shared" si="3"/>
        <v>199</v>
      </c>
      <c r="D580" s="28"/>
    </row>
    <row r="581">
      <c r="A581" s="145">
        <v>43516.0</v>
      </c>
      <c r="B581" s="54">
        <v>102.15</v>
      </c>
      <c r="C581" s="28">
        <f t="shared" si="3"/>
        <v>199</v>
      </c>
      <c r="D581" s="28"/>
    </row>
    <row r="582">
      <c r="A582" s="145">
        <v>45246.0</v>
      </c>
      <c r="B582" s="54">
        <v>102.25</v>
      </c>
      <c r="C582" s="28">
        <f t="shared" si="3"/>
        <v>199</v>
      </c>
      <c r="D582" s="28"/>
    </row>
    <row r="583">
      <c r="A583" s="145">
        <v>45207.0</v>
      </c>
      <c r="B583" s="54">
        <v>102.3</v>
      </c>
      <c r="C583" s="28">
        <f t="shared" si="3"/>
        <v>199</v>
      </c>
      <c r="D583" s="28"/>
    </row>
    <row r="584">
      <c r="A584" s="145">
        <v>44235.0</v>
      </c>
      <c r="B584" s="54">
        <v>102.35</v>
      </c>
      <c r="C584" s="28">
        <f t="shared" si="3"/>
        <v>199</v>
      </c>
      <c r="D584" s="28"/>
    </row>
    <row r="585">
      <c r="A585" s="145">
        <v>43431.0</v>
      </c>
      <c r="B585" s="54">
        <v>102.38</v>
      </c>
      <c r="C585" s="28">
        <f t="shared" si="3"/>
        <v>199</v>
      </c>
      <c r="D585" s="28"/>
    </row>
    <row r="586">
      <c r="A586" s="145">
        <v>43804.0</v>
      </c>
      <c r="B586" s="54">
        <v>102.42</v>
      </c>
      <c r="C586" s="28">
        <f t="shared" si="3"/>
        <v>199</v>
      </c>
      <c r="D586" s="28"/>
    </row>
    <row r="587">
      <c r="A587" s="145">
        <v>45732.0</v>
      </c>
      <c r="B587" s="54">
        <v>102.48</v>
      </c>
      <c r="C587" s="28">
        <f t="shared" si="3"/>
        <v>199</v>
      </c>
      <c r="D587" s="28"/>
    </row>
    <row r="588">
      <c r="A588" s="145">
        <v>44214.0</v>
      </c>
      <c r="B588" s="54">
        <v>102.54</v>
      </c>
      <c r="C588" s="28">
        <f t="shared" si="3"/>
        <v>199</v>
      </c>
      <c r="D588" s="28"/>
    </row>
    <row r="589">
      <c r="A589" s="145">
        <v>45015.0</v>
      </c>
      <c r="B589" s="54">
        <v>102.76</v>
      </c>
      <c r="C589" s="28">
        <f t="shared" si="3"/>
        <v>199</v>
      </c>
      <c r="D589" s="28"/>
    </row>
    <row r="590">
      <c r="A590" s="145">
        <v>44846.0</v>
      </c>
      <c r="B590" s="54">
        <v>102.84</v>
      </c>
      <c r="C590" s="28">
        <f t="shared" si="3"/>
        <v>199</v>
      </c>
      <c r="D590" s="28"/>
    </row>
    <row r="591">
      <c r="A591" s="145">
        <v>43402.0</v>
      </c>
      <c r="B591" s="54">
        <v>102.9</v>
      </c>
      <c r="C591" s="28">
        <f t="shared" si="3"/>
        <v>199</v>
      </c>
      <c r="D591" s="28"/>
    </row>
    <row r="592">
      <c r="A592" s="145">
        <v>45226.0</v>
      </c>
      <c r="B592" s="54">
        <v>102.94</v>
      </c>
      <c r="C592" s="28">
        <f t="shared" si="3"/>
        <v>199</v>
      </c>
      <c r="D592" s="28"/>
    </row>
    <row r="593">
      <c r="A593" s="145">
        <v>43569.0</v>
      </c>
      <c r="B593" s="54">
        <v>102.95</v>
      </c>
      <c r="C593" s="28">
        <f t="shared" si="3"/>
        <v>199</v>
      </c>
      <c r="D593" s="28"/>
    </row>
    <row r="594">
      <c r="A594" s="145">
        <v>45208.0</v>
      </c>
      <c r="B594" s="54">
        <v>102.96</v>
      </c>
      <c r="C594" s="28">
        <f t="shared" si="3"/>
        <v>199</v>
      </c>
      <c r="D594" s="28"/>
    </row>
    <row r="595">
      <c r="A595" s="145">
        <v>45362.0</v>
      </c>
      <c r="B595" s="54">
        <v>102.99</v>
      </c>
      <c r="C595" s="28">
        <f t="shared" si="3"/>
        <v>199</v>
      </c>
      <c r="D595" s="28"/>
    </row>
    <row r="596">
      <c r="A596" s="145">
        <v>45115.0</v>
      </c>
      <c r="B596" s="54">
        <v>103.29</v>
      </c>
      <c r="C596" s="28">
        <f t="shared" si="3"/>
        <v>199</v>
      </c>
      <c r="D596" s="28"/>
    </row>
    <row r="597">
      <c r="A597" s="145">
        <v>45390.0</v>
      </c>
      <c r="B597" s="54">
        <v>103.49</v>
      </c>
      <c r="C597" s="28">
        <f t="shared" si="3"/>
        <v>199</v>
      </c>
      <c r="D597" s="28"/>
    </row>
    <row r="598">
      <c r="A598" s="145">
        <v>43406.0</v>
      </c>
      <c r="B598" s="54">
        <v>103.55</v>
      </c>
      <c r="C598" s="28">
        <f t="shared" si="3"/>
        <v>199</v>
      </c>
      <c r="D598" s="28"/>
    </row>
    <row r="599">
      <c r="A599" s="145">
        <v>45831.0</v>
      </c>
      <c r="B599" s="54">
        <v>103.82</v>
      </c>
      <c r="C599" s="28">
        <f t="shared" si="3"/>
        <v>199</v>
      </c>
      <c r="D599" s="28"/>
    </row>
    <row r="600">
      <c r="A600" s="145">
        <v>45011.0</v>
      </c>
      <c r="B600" s="54">
        <v>103.91</v>
      </c>
      <c r="C600" s="28">
        <f t="shared" si="3"/>
        <v>199</v>
      </c>
      <c r="D600" s="28"/>
    </row>
    <row r="601">
      <c r="A601" s="145">
        <v>45003.0</v>
      </c>
      <c r="B601" s="54">
        <v>103.97</v>
      </c>
      <c r="C601" s="28">
        <f t="shared" si="3"/>
        <v>199</v>
      </c>
      <c r="D601" s="28"/>
    </row>
    <row r="602">
      <c r="A602" s="145">
        <v>45267.0</v>
      </c>
      <c r="B602" s="54">
        <v>104.01</v>
      </c>
      <c r="C602" s="28">
        <f t="shared" si="3"/>
        <v>199</v>
      </c>
      <c r="D602" s="28"/>
    </row>
    <row r="603">
      <c r="A603" s="145">
        <v>43414.0</v>
      </c>
      <c r="B603" s="54">
        <v>104.08</v>
      </c>
      <c r="C603" s="28">
        <f t="shared" si="3"/>
        <v>199</v>
      </c>
      <c r="D603" s="28"/>
    </row>
    <row r="604">
      <c r="A604" s="145">
        <v>43832.0</v>
      </c>
      <c r="B604" s="54">
        <v>104.22</v>
      </c>
      <c r="C604" s="28">
        <f t="shared" si="3"/>
        <v>199</v>
      </c>
      <c r="D604" s="28"/>
    </row>
    <row r="605">
      <c r="A605" s="145">
        <v>45891.0</v>
      </c>
      <c r="B605" s="54">
        <v>104.22</v>
      </c>
      <c r="C605" s="28">
        <f t="shared" si="3"/>
        <v>199</v>
      </c>
      <c r="D605" s="28"/>
    </row>
    <row r="606">
      <c r="A606" s="145">
        <v>43524.0</v>
      </c>
      <c r="B606" s="54">
        <v>104.28</v>
      </c>
      <c r="C606" s="28">
        <f t="shared" si="3"/>
        <v>199</v>
      </c>
      <c r="D606" s="28"/>
    </row>
    <row r="607">
      <c r="A607" s="145">
        <v>45206.0</v>
      </c>
      <c r="B607" s="54">
        <v>104.5</v>
      </c>
      <c r="C607" s="28">
        <f t="shared" si="3"/>
        <v>199</v>
      </c>
      <c r="D607" s="28"/>
    </row>
    <row r="608">
      <c r="A608" s="145">
        <v>44870.0</v>
      </c>
      <c r="B608" s="54">
        <v>104.63</v>
      </c>
      <c r="C608" s="28">
        <f t="shared" si="3"/>
        <v>199</v>
      </c>
      <c r="D608" s="28"/>
    </row>
    <row r="609">
      <c r="A609" s="145">
        <v>43450.0</v>
      </c>
      <c r="B609" s="54">
        <v>104.73</v>
      </c>
      <c r="C609" s="28">
        <f t="shared" si="3"/>
        <v>199</v>
      </c>
      <c r="D609" s="28"/>
    </row>
    <row r="610">
      <c r="A610" s="145">
        <v>43442.0</v>
      </c>
      <c r="B610" s="54">
        <v>104.75</v>
      </c>
      <c r="C610" s="28">
        <f t="shared" si="3"/>
        <v>199</v>
      </c>
      <c r="D610" s="28"/>
    </row>
    <row r="611">
      <c r="A611" s="145">
        <v>45874.0</v>
      </c>
      <c r="B611" s="54">
        <v>104.75</v>
      </c>
      <c r="C611" s="28">
        <f t="shared" si="3"/>
        <v>199</v>
      </c>
      <c r="D611" s="28"/>
    </row>
    <row r="612">
      <c r="A612" s="145">
        <v>45898.0</v>
      </c>
      <c r="B612" s="54">
        <v>104.84</v>
      </c>
      <c r="C612" s="28">
        <f t="shared" si="3"/>
        <v>199</v>
      </c>
      <c r="D612" s="28"/>
    </row>
    <row r="613">
      <c r="A613" s="145">
        <v>45235.0</v>
      </c>
      <c r="B613" s="54">
        <v>105.0</v>
      </c>
      <c r="C613" s="28">
        <f t="shared" si="3"/>
        <v>199</v>
      </c>
      <c r="D613" s="28"/>
    </row>
    <row r="614">
      <c r="A614" s="145">
        <v>45219.0</v>
      </c>
      <c r="B614" s="54">
        <v>105.1</v>
      </c>
      <c r="C614" s="28">
        <f t="shared" si="3"/>
        <v>199</v>
      </c>
      <c r="D614" s="28"/>
    </row>
    <row r="615">
      <c r="A615" s="145">
        <v>45215.0</v>
      </c>
      <c r="B615" s="54">
        <v>105.14</v>
      </c>
      <c r="C615" s="28">
        <f t="shared" si="3"/>
        <v>199</v>
      </c>
      <c r="D615" s="28"/>
    </row>
    <row r="616">
      <c r="A616" s="145">
        <v>45130.0</v>
      </c>
      <c r="B616" s="54">
        <v>105.24</v>
      </c>
      <c r="C616" s="28">
        <f t="shared" si="3"/>
        <v>199</v>
      </c>
      <c r="D616" s="28"/>
    </row>
    <row r="617">
      <c r="A617" s="145">
        <v>44814.0</v>
      </c>
      <c r="B617" s="54">
        <v>105.57</v>
      </c>
      <c r="C617" s="28">
        <f t="shared" si="3"/>
        <v>199</v>
      </c>
      <c r="D617" s="28"/>
    </row>
    <row r="618">
      <c r="A618" s="145">
        <v>45240.0</v>
      </c>
      <c r="B618" s="54">
        <v>105.8</v>
      </c>
      <c r="C618" s="28">
        <f t="shared" si="3"/>
        <v>199</v>
      </c>
      <c r="D618" s="28"/>
    </row>
    <row r="619">
      <c r="A619" s="145">
        <v>44217.0</v>
      </c>
      <c r="B619" s="54">
        <v>105.95</v>
      </c>
      <c r="C619" s="28">
        <f t="shared" si="3"/>
        <v>199</v>
      </c>
      <c r="D619" s="28"/>
    </row>
    <row r="620">
      <c r="A620" s="145">
        <v>45121.0</v>
      </c>
      <c r="B620" s="54">
        <v>105.98</v>
      </c>
      <c r="C620" s="28">
        <f t="shared" si="3"/>
        <v>199</v>
      </c>
      <c r="D620" s="28"/>
    </row>
    <row r="621">
      <c r="A621" s="145">
        <v>45653.0</v>
      </c>
      <c r="B621" s="54">
        <v>106.02</v>
      </c>
      <c r="C621" s="28">
        <f t="shared" si="3"/>
        <v>199</v>
      </c>
      <c r="D621" s="28"/>
    </row>
    <row r="622">
      <c r="A622" s="145">
        <v>44254.0</v>
      </c>
      <c r="B622" s="54">
        <v>106.15</v>
      </c>
      <c r="C622" s="28">
        <f t="shared" si="3"/>
        <v>199</v>
      </c>
      <c r="D622" s="28"/>
    </row>
    <row r="623">
      <c r="A623" s="145">
        <v>43565.0</v>
      </c>
      <c r="B623" s="54">
        <v>106.16</v>
      </c>
      <c r="C623" s="28">
        <f t="shared" si="3"/>
        <v>199</v>
      </c>
      <c r="D623" s="28"/>
    </row>
    <row r="624">
      <c r="A624" s="145">
        <v>45202.0</v>
      </c>
      <c r="B624" s="54">
        <v>106.28</v>
      </c>
      <c r="C624" s="28">
        <f t="shared" si="3"/>
        <v>199</v>
      </c>
      <c r="D624" s="28"/>
    </row>
    <row r="625">
      <c r="A625" s="145">
        <v>45119.0</v>
      </c>
      <c r="B625" s="54">
        <v>106.64</v>
      </c>
      <c r="C625" s="28">
        <f t="shared" si="3"/>
        <v>199</v>
      </c>
      <c r="D625" s="28"/>
    </row>
    <row r="626">
      <c r="A626" s="145">
        <v>44839.0</v>
      </c>
      <c r="B626" s="54">
        <v>106.9</v>
      </c>
      <c r="C626" s="28">
        <f t="shared" si="3"/>
        <v>199</v>
      </c>
      <c r="D626" s="28"/>
    </row>
    <row r="627">
      <c r="A627" s="145">
        <v>45218.0</v>
      </c>
      <c r="B627" s="54">
        <v>106.96</v>
      </c>
      <c r="C627" s="28">
        <f t="shared" si="3"/>
        <v>199</v>
      </c>
      <c r="D627" s="28"/>
    </row>
    <row r="628">
      <c r="A628" s="145">
        <v>43548.0</v>
      </c>
      <c r="B628" s="54">
        <v>107.13</v>
      </c>
      <c r="C628" s="28">
        <f t="shared" si="3"/>
        <v>199</v>
      </c>
      <c r="D628" s="28"/>
    </row>
    <row r="629">
      <c r="A629" s="145">
        <v>45216.0</v>
      </c>
      <c r="B629" s="54">
        <v>107.22</v>
      </c>
      <c r="C629" s="28">
        <f t="shared" si="3"/>
        <v>199</v>
      </c>
      <c r="D629" s="28"/>
    </row>
    <row r="630">
      <c r="A630" s="145">
        <v>45671.0</v>
      </c>
      <c r="B630" s="54">
        <v>107.25</v>
      </c>
      <c r="C630" s="28">
        <f t="shared" si="3"/>
        <v>199</v>
      </c>
      <c r="D630" s="28"/>
    </row>
    <row r="631">
      <c r="A631" s="145">
        <v>45014.0</v>
      </c>
      <c r="B631" s="54">
        <v>107.4</v>
      </c>
      <c r="C631" s="28">
        <f t="shared" si="3"/>
        <v>199</v>
      </c>
      <c r="D631" s="28"/>
    </row>
    <row r="632">
      <c r="A632" s="145">
        <v>43469.0</v>
      </c>
      <c r="B632" s="54">
        <v>107.56</v>
      </c>
      <c r="C632" s="28">
        <f t="shared" si="3"/>
        <v>199</v>
      </c>
      <c r="D632" s="28"/>
    </row>
    <row r="633">
      <c r="A633" s="145">
        <v>45849.0</v>
      </c>
      <c r="B633" s="54">
        <v>107.7</v>
      </c>
      <c r="C633" s="28">
        <f t="shared" si="3"/>
        <v>199</v>
      </c>
      <c r="D633" s="28"/>
    </row>
    <row r="634">
      <c r="A634" s="145">
        <v>43723.0</v>
      </c>
      <c r="B634" s="54">
        <v>107.86</v>
      </c>
      <c r="C634" s="28">
        <f t="shared" si="3"/>
        <v>199</v>
      </c>
      <c r="D634" s="28"/>
    </row>
    <row r="635">
      <c r="A635" s="145">
        <v>43837.0</v>
      </c>
      <c r="B635" s="54">
        <v>107.93</v>
      </c>
      <c r="C635" s="28">
        <f t="shared" si="3"/>
        <v>199</v>
      </c>
      <c r="D635" s="28"/>
    </row>
    <row r="636">
      <c r="A636" s="145">
        <v>45685.0</v>
      </c>
      <c r="B636" s="54">
        <v>107.93</v>
      </c>
      <c r="C636" s="28">
        <f t="shared" si="3"/>
        <v>199</v>
      </c>
      <c r="D636" s="28"/>
    </row>
    <row r="637">
      <c r="A637" s="145">
        <v>45244.0</v>
      </c>
      <c r="B637" s="54">
        <v>107.95</v>
      </c>
      <c r="C637" s="28">
        <f t="shared" si="3"/>
        <v>199</v>
      </c>
      <c r="D637" s="28"/>
    </row>
    <row r="638">
      <c r="A638" s="145">
        <v>44251.0</v>
      </c>
      <c r="B638" s="54">
        <v>107.96</v>
      </c>
      <c r="C638" s="28">
        <f t="shared" si="3"/>
        <v>199</v>
      </c>
      <c r="D638" s="28"/>
    </row>
    <row r="639">
      <c r="A639" s="145">
        <v>45103.0</v>
      </c>
      <c r="B639" s="54">
        <v>108.0</v>
      </c>
      <c r="C639" s="28">
        <f t="shared" si="3"/>
        <v>199</v>
      </c>
      <c r="D639" s="28"/>
    </row>
    <row r="640">
      <c r="A640" s="145">
        <v>45228.0</v>
      </c>
      <c r="B640" s="54">
        <v>108.0</v>
      </c>
      <c r="C640" s="28">
        <f t="shared" si="3"/>
        <v>199</v>
      </c>
      <c r="D640" s="28"/>
    </row>
    <row r="641">
      <c r="A641" s="145">
        <v>43732.0</v>
      </c>
      <c r="B641" s="54">
        <v>108.01</v>
      </c>
      <c r="C641" s="28">
        <f t="shared" si="3"/>
        <v>199</v>
      </c>
      <c r="D641" s="28"/>
    </row>
    <row r="642">
      <c r="A642" s="145">
        <v>45013.0</v>
      </c>
      <c r="B642" s="54">
        <v>108.01</v>
      </c>
      <c r="C642" s="28">
        <f t="shared" si="3"/>
        <v>199</v>
      </c>
      <c r="D642" s="28"/>
    </row>
    <row r="643">
      <c r="A643" s="145">
        <v>45222.0</v>
      </c>
      <c r="B643" s="54">
        <v>108.2</v>
      </c>
      <c r="C643" s="28">
        <f t="shared" si="3"/>
        <v>199</v>
      </c>
      <c r="D643" s="28"/>
    </row>
    <row r="644">
      <c r="A644" s="145">
        <v>45245.0</v>
      </c>
      <c r="B644" s="54">
        <v>108.27</v>
      </c>
      <c r="C644" s="28">
        <f t="shared" si="3"/>
        <v>199</v>
      </c>
      <c r="D644" s="28"/>
    </row>
    <row r="645">
      <c r="A645" s="145">
        <v>45255.0</v>
      </c>
      <c r="B645" s="54">
        <v>108.37</v>
      </c>
      <c r="C645" s="28">
        <f t="shared" si="3"/>
        <v>199</v>
      </c>
      <c r="D645" s="28"/>
    </row>
    <row r="646">
      <c r="A646" s="145">
        <v>44275.0</v>
      </c>
      <c r="B646" s="54">
        <v>108.46</v>
      </c>
      <c r="C646" s="28">
        <f t="shared" si="3"/>
        <v>199</v>
      </c>
      <c r="D646" s="28"/>
    </row>
    <row r="647">
      <c r="A647" s="145">
        <v>43525.0</v>
      </c>
      <c r="B647" s="54">
        <v>108.48</v>
      </c>
      <c r="C647" s="28">
        <f t="shared" si="3"/>
        <v>199</v>
      </c>
      <c r="D647" s="28"/>
    </row>
    <row r="648">
      <c r="A648" s="145">
        <v>45711.0</v>
      </c>
      <c r="B648" s="54">
        <v>108.52</v>
      </c>
      <c r="C648" s="28">
        <f t="shared" si="3"/>
        <v>199</v>
      </c>
      <c r="D648" s="28"/>
    </row>
    <row r="649">
      <c r="A649" s="145">
        <v>45105.0</v>
      </c>
      <c r="B649" s="54">
        <v>108.55</v>
      </c>
      <c r="C649" s="28">
        <f t="shared" si="3"/>
        <v>199</v>
      </c>
      <c r="D649" s="28"/>
    </row>
    <row r="650">
      <c r="A650" s="145">
        <v>43527.0</v>
      </c>
      <c r="B650" s="54">
        <v>108.58</v>
      </c>
      <c r="C650" s="28">
        <f t="shared" si="3"/>
        <v>199</v>
      </c>
      <c r="D650" s="28"/>
    </row>
    <row r="651">
      <c r="A651" s="145">
        <v>45237.0</v>
      </c>
      <c r="B651" s="54">
        <v>108.61</v>
      </c>
      <c r="C651" s="28">
        <f t="shared" si="3"/>
        <v>199</v>
      </c>
      <c r="D651" s="28"/>
    </row>
    <row r="652">
      <c r="A652" s="145">
        <v>43725.0</v>
      </c>
      <c r="B652" s="54">
        <v>108.8</v>
      </c>
      <c r="C652" s="28">
        <f t="shared" si="3"/>
        <v>199</v>
      </c>
      <c r="D652" s="28"/>
    </row>
    <row r="653">
      <c r="A653" s="145">
        <v>43416.0</v>
      </c>
      <c r="B653" s="54">
        <v>108.83</v>
      </c>
      <c r="C653" s="28">
        <f t="shared" si="3"/>
        <v>199</v>
      </c>
      <c r="D653" s="28"/>
    </row>
    <row r="654">
      <c r="A654" s="145">
        <v>44677.0</v>
      </c>
      <c r="B654" s="54">
        <v>108.96</v>
      </c>
      <c r="C654" s="28">
        <f t="shared" si="3"/>
        <v>199</v>
      </c>
      <c r="D654" s="28"/>
    </row>
    <row r="655">
      <c r="A655" s="145">
        <v>43840.0</v>
      </c>
      <c r="B655" s="54">
        <v>109.04</v>
      </c>
      <c r="C655" s="28">
        <f t="shared" si="3"/>
        <v>199</v>
      </c>
      <c r="D655" s="28"/>
    </row>
    <row r="656">
      <c r="A656" s="145">
        <v>45167.0</v>
      </c>
      <c r="B656" s="54">
        <v>109.3</v>
      </c>
      <c r="C656" s="28">
        <f t="shared" si="3"/>
        <v>199</v>
      </c>
      <c r="D656" s="28"/>
    </row>
    <row r="657">
      <c r="A657" s="145">
        <v>45224.0</v>
      </c>
      <c r="B657" s="54">
        <v>109.61</v>
      </c>
      <c r="C657" s="28">
        <f t="shared" si="3"/>
        <v>199</v>
      </c>
      <c r="D657" s="28"/>
    </row>
    <row r="658">
      <c r="A658" s="145">
        <v>44687.0</v>
      </c>
      <c r="B658" s="54">
        <v>109.72</v>
      </c>
      <c r="C658" s="28">
        <f t="shared" si="3"/>
        <v>199</v>
      </c>
      <c r="D658" s="28"/>
    </row>
    <row r="659">
      <c r="A659" s="145">
        <v>43534.0</v>
      </c>
      <c r="B659" s="54">
        <v>109.76</v>
      </c>
      <c r="C659" s="28">
        <f t="shared" si="3"/>
        <v>199</v>
      </c>
      <c r="D659" s="28"/>
    </row>
    <row r="660">
      <c r="A660" s="145">
        <v>45652.0</v>
      </c>
      <c r="B660" s="54">
        <v>109.96</v>
      </c>
      <c r="C660" s="28">
        <f t="shared" si="3"/>
        <v>199</v>
      </c>
      <c r="D660" s="28"/>
    </row>
    <row r="661">
      <c r="A661" s="145">
        <v>45656.0</v>
      </c>
      <c r="B661" s="54">
        <v>109.96</v>
      </c>
      <c r="C661" s="28">
        <f t="shared" si="3"/>
        <v>199</v>
      </c>
      <c r="D661" s="28"/>
    </row>
    <row r="662">
      <c r="A662" s="145">
        <v>44090.0</v>
      </c>
      <c r="B662" s="54">
        <v>109.99</v>
      </c>
      <c r="C662" s="28">
        <f t="shared" si="3"/>
        <v>199</v>
      </c>
      <c r="D662" s="28"/>
    </row>
    <row r="663">
      <c r="A663" s="145">
        <v>45899.0</v>
      </c>
      <c r="B663" s="54">
        <v>110.0</v>
      </c>
      <c r="C663" s="28">
        <f t="shared" si="3"/>
        <v>199</v>
      </c>
      <c r="D663" s="28"/>
    </row>
    <row r="664">
      <c r="A664" s="145">
        <v>43551.0</v>
      </c>
      <c r="B664" s="54">
        <v>110.2</v>
      </c>
      <c r="C664" s="28">
        <f t="shared" si="3"/>
        <v>199</v>
      </c>
      <c r="D664" s="28"/>
    </row>
    <row r="665">
      <c r="A665" s="145">
        <v>45056.0</v>
      </c>
      <c r="B665" s="54">
        <v>110.35</v>
      </c>
      <c r="C665" s="28">
        <f t="shared" si="3"/>
        <v>199</v>
      </c>
      <c r="D665" s="28"/>
    </row>
    <row r="666">
      <c r="A666" s="145">
        <v>44606.0</v>
      </c>
      <c r="B666" s="54">
        <v>110.37</v>
      </c>
      <c r="C666" s="28">
        <f t="shared" si="3"/>
        <v>199</v>
      </c>
      <c r="D666" s="28"/>
    </row>
    <row r="667">
      <c r="A667" s="145">
        <v>45231.0</v>
      </c>
      <c r="B667" s="54">
        <v>110.43</v>
      </c>
      <c r="C667" s="28">
        <f t="shared" si="3"/>
        <v>199</v>
      </c>
      <c r="D667" s="28"/>
    </row>
    <row r="668">
      <c r="A668" s="145">
        <v>45229.0</v>
      </c>
      <c r="B668" s="54">
        <v>110.69</v>
      </c>
      <c r="C668" s="28">
        <f t="shared" si="3"/>
        <v>199</v>
      </c>
      <c r="D668" s="28"/>
    </row>
    <row r="669">
      <c r="A669" s="145">
        <v>45662.0</v>
      </c>
      <c r="B669" s="54">
        <v>110.78</v>
      </c>
      <c r="C669" s="28">
        <f t="shared" si="3"/>
        <v>199</v>
      </c>
      <c r="D669" s="28"/>
    </row>
    <row r="670">
      <c r="A670" s="145">
        <v>43535.0</v>
      </c>
      <c r="B670" s="54">
        <v>110.79</v>
      </c>
      <c r="C670" s="28">
        <f t="shared" si="3"/>
        <v>199</v>
      </c>
      <c r="D670" s="28"/>
    </row>
    <row r="671">
      <c r="A671" s="145">
        <v>43756.0</v>
      </c>
      <c r="B671" s="54">
        <v>110.83</v>
      </c>
      <c r="C671" s="28">
        <f t="shared" si="3"/>
        <v>199</v>
      </c>
      <c r="D671" s="28"/>
    </row>
    <row r="672">
      <c r="A672" s="145">
        <v>44276.0</v>
      </c>
      <c r="B672" s="54">
        <v>110.89</v>
      </c>
      <c r="C672" s="28">
        <f t="shared" si="3"/>
        <v>199</v>
      </c>
      <c r="D672" s="28"/>
    </row>
    <row r="673">
      <c r="A673" s="145">
        <v>45217.0</v>
      </c>
      <c r="B673" s="54">
        <v>110.9</v>
      </c>
      <c r="C673" s="28">
        <f t="shared" si="3"/>
        <v>199</v>
      </c>
      <c r="D673" s="28"/>
    </row>
    <row r="674">
      <c r="A674" s="145">
        <v>45861.0</v>
      </c>
      <c r="B674" s="54">
        <v>111.12</v>
      </c>
      <c r="C674" s="28">
        <f t="shared" si="3"/>
        <v>199</v>
      </c>
      <c r="D674" s="28"/>
    </row>
    <row r="675">
      <c r="A675" s="145">
        <v>45251.0</v>
      </c>
      <c r="B675" s="54">
        <v>111.2</v>
      </c>
      <c r="C675" s="28">
        <f t="shared" si="3"/>
        <v>199</v>
      </c>
      <c r="D675" s="28"/>
    </row>
    <row r="676">
      <c r="A676" s="145">
        <v>45776.0</v>
      </c>
      <c r="B676" s="54">
        <v>111.22</v>
      </c>
      <c r="C676" s="28">
        <f t="shared" si="3"/>
        <v>199</v>
      </c>
      <c r="D676" s="28"/>
    </row>
    <row r="677">
      <c r="A677" s="145">
        <v>45873.0</v>
      </c>
      <c r="B677" s="54">
        <v>111.23</v>
      </c>
      <c r="C677" s="28">
        <f t="shared" si="3"/>
        <v>199</v>
      </c>
      <c r="D677" s="28"/>
    </row>
    <row r="678">
      <c r="A678" s="145">
        <v>45232.0</v>
      </c>
      <c r="B678" s="54">
        <v>111.35</v>
      </c>
      <c r="C678" s="28">
        <f t="shared" si="3"/>
        <v>199</v>
      </c>
      <c r="D678" s="28"/>
    </row>
    <row r="679">
      <c r="A679" s="145">
        <v>45710.0</v>
      </c>
      <c r="B679" s="54">
        <v>111.45</v>
      </c>
      <c r="C679" s="28">
        <f t="shared" si="3"/>
        <v>199</v>
      </c>
      <c r="D679" s="28"/>
    </row>
    <row r="680">
      <c r="A680" s="145">
        <v>43443.0</v>
      </c>
      <c r="B680" s="54">
        <v>111.51</v>
      </c>
      <c r="C680" s="28">
        <f t="shared" si="3"/>
        <v>199</v>
      </c>
      <c r="D680" s="28"/>
    </row>
    <row r="681">
      <c r="A681" s="145">
        <v>45220.0</v>
      </c>
      <c r="B681" s="54">
        <v>111.7</v>
      </c>
      <c r="C681" s="28">
        <f t="shared" si="3"/>
        <v>199</v>
      </c>
      <c r="D681" s="28"/>
    </row>
    <row r="682">
      <c r="A682" s="145">
        <v>43722.0</v>
      </c>
      <c r="B682" s="54">
        <v>111.72</v>
      </c>
      <c r="C682" s="28">
        <f t="shared" si="3"/>
        <v>199</v>
      </c>
      <c r="D682" s="28"/>
    </row>
    <row r="683">
      <c r="A683" s="145">
        <v>43522.0</v>
      </c>
      <c r="B683" s="54">
        <v>111.75</v>
      </c>
      <c r="C683" s="28">
        <f t="shared" si="3"/>
        <v>199</v>
      </c>
      <c r="D683" s="28"/>
    </row>
    <row r="684">
      <c r="A684" s="145">
        <v>43452.0</v>
      </c>
      <c r="B684" s="54">
        <v>111.97</v>
      </c>
      <c r="C684" s="28">
        <f t="shared" si="3"/>
        <v>199</v>
      </c>
      <c r="D684" s="28"/>
    </row>
    <row r="685">
      <c r="A685" s="145">
        <v>45252.0</v>
      </c>
      <c r="B685" s="54">
        <v>112.06</v>
      </c>
      <c r="C685" s="28">
        <f t="shared" si="3"/>
        <v>199</v>
      </c>
      <c r="D685" s="28"/>
    </row>
    <row r="686">
      <c r="A686" s="145">
        <v>43433.0</v>
      </c>
      <c r="B686" s="54">
        <v>112.07</v>
      </c>
      <c r="C686" s="28">
        <f t="shared" si="3"/>
        <v>199</v>
      </c>
      <c r="D686" s="28"/>
    </row>
    <row r="687">
      <c r="A687" s="145">
        <v>43733.0</v>
      </c>
      <c r="B687" s="54">
        <v>112.16</v>
      </c>
      <c r="C687" s="28">
        <f t="shared" si="3"/>
        <v>199</v>
      </c>
      <c r="D687" s="28"/>
    </row>
    <row r="688">
      <c r="A688" s="145">
        <v>43449.0</v>
      </c>
      <c r="B688" s="54">
        <v>112.24</v>
      </c>
      <c r="C688" s="28">
        <f t="shared" si="3"/>
        <v>199</v>
      </c>
      <c r="D688" s="28"/>
    </row>
    <row r="689">
      <c r="A689" s="145">
        <v>43458.0</v>
      </c>
      <c r="B689" s="54">
        <v>112.31</v>
      </c>
      <c r="C689" s="28">
        <f t="shared" si="3"/>
        <v>199</v>
      </c>
      <c r="D689" s="28"/>
    </row>
    <row r="690">
      <c r="A690" s="145">
        <v>44273.0</v>
      </c>
      <c r="B690" s="54">
        <v>112.31</v>
      </c>
      <c r="C690" s="28">
        <f t="shared" si="3"/>
        <v>199</v>
      </c>
      <c r="D690" s="28"/>
    </row>
    <row r="691">
      <c r="A691" s="145">
        <v>44681.0</v>
      </c>
      <c r="B691" s="54">
        <v>112.31</v>
      </c>
      <c r="C691" s="28">
        <f t="shared" si="3"/>
        <v>199</v>
      </c>
      <c r="D691" s="28"/>
    </row>
    <row r="692">
      <c r="A692" s="145">
        <v>44610.0</v>
      </c>
      <c r="B692" s="54">
        <v>112.38</v>
      </c>
      <c r="C692" s="28">
        <f t="shared" si="3"/>
        <v>199</v>
      </c>
      <c r="D692" s="28"/>
    </row>
    <row r="693">
      <c r="A693" s="145">
        <v>43750.0</v>
      </c>
      <c r="B693" s="54">
        <v>112.43</v>
      </c>
      <c r="C693" s="28">
        <f t="shared" si="3"/>
        <v>199</v>
      </c>
      <c r="D693" s="28"/>
    </row>
    <row r="694">
      <c r="A694" s="145">
        <v>43768.0</v>
      </c>
      <c r="B694" s="54">
        <v>112.63</v>
      </c>
      <c r="C694" s="28">
        <f t="shared" si="3"/>
        <v>199</v>
      </c>
      <c r="D694" s="28"/>
    </row>
    <row r="695">
      <c r="A695" s="145">
        <v>45131.0</v>
      </c>
      <c r="B695" s="54">
        <v>112.95</v>
      </c>
      <c r="C695" s="28">
        <f t="shared" si="3"/>
        <v>199</v>
      </c>
      <c r="D695" s="28"/>
    </row>
    <row r="696">
      <c r="A696" s="145">
        <v>45144.0</v>
      </c>
      <c r="B696" s="54">
        <v>113.0</v>
      </c>
      <c r="C696" s="28">
        <f t="shared" si="3"/>
        <v>199</v>
      </c>
      <c r="D696" s="28"/>
    </row>
    <row r="697">
      <c r="A697" s="145">
        <v>45735.0</v>
      </c>
      <c r="B697" s="54">
        <v>113.02</v>
      </c>
      <c r="C697" s="28">
        <f t="shared" si="3"/>
        <v>199</v>
      </c>
      <c r="D697" s="28"/>
    </row>
    <row r="698">
      <c r="A698" s="145">
        <v>45230.0</v>
      </c>
      <c r="B698" s="54">
        <v>113.03</v>
      </c>
      <c r="C698" s="28">
        <f t="shared" si="3"/>
        <v>199</v>
      </c>
      <c r="D698" s="28"/>
    </row>
    <row r="699">
      <c r="A699" s="145">
        <v>44627.0</v>
      </c>
      <c r="B699" s="54">
        <v>113.05</v>
      </c>
      <c r="C699" s="28">
        <f t="shared" si="3"/>
        <v>199</v>
      </c>
      <c r="D699" s="28"/>
    </row>
    <row r="700">
      <c r="A700" s="145">
        <v>44215.0</v>
      </c>
      <c r="B700" s="54">
        <v>113.12</v>
      </c>
      <c r="C700" s="28">
        <f t="shared" si="3"/>
        <v>199</v>
      </c>
      <c r="D700" s="28"/>
    </row>
    <row r="701">
      <c r="A701" s="145">
        <v>45223.0</v>
      </c>
      <c r="B701" s="54">
        <v>113.19</v>
      </c>
      <c r="C701" s="28">
        <f t="shared" si="3"/>
        <v>199</v>
      </c>
      <c r="D701" s="28"/>
    </row>
    <row r="702">
      <c r="A702" s="145">
        <v>45832.0</v>
      </c>
      <c r="B702" s="54">
        <v>113.21</v>
      </c>
      <c r="C702" s="28">
        <f t="shared" si="3"/>
        <v>199</v>
      </c>
      <c r="D702" s="28"/>
    </row>
    <row r="703">
      <c r="A703" s="145">
        <v>43463.0</v>
      </c>
      <c r="B703" s="54">
        <v>113.23</v>
      </c>
      <c r="C703" s="28">
        <f t="shared" si="3"/>
        <v>199</v>
      </c>
      <c r="D703" s="28"/>
    </row>
    <row r="704">
      <c r="A704" s="145">
        <v>44889.0</v>
      </c>
      <c r="B704" s="54">
        <v>113.29</v>
      </c>
      <c r="C704" s="28">
        <f t="shared" si="3"/>
        <v>199</v>
      </c>
      <c r="D704" s="28"/>
    </row>
    <row r="705">
      <c r="A705" s="145">
        <v>43430.0</v>
      </c>
      <c r="B705" s="54">
        <v>113.3</v>
      </c>
      <c r="C705" s="28">
        <f t="shared" si="3"/>
        <v>199</v>
      </c>
      <c r="D705" s="28"/>
    </row>
    <row r="706">
      <c r="A706" s="145">
        <v>44629.0</v>
      </c>
      <c r="B706" s="54">
        <v>113.32</v>
      </c>
      <c r="C706" s="28">
        <f t="shared" si="3"/>
        <v>199</v>
      </c>
      <c r="D706" s="28"/>
    </row>
    <row r="707">
      <c r="A707" s="145">
        <v>43523.0</v>
      </c>
      <c r="B707" s="54">
        <v>113.49</v>
      </c>
      <c r="C707" s="28">
        <f t="shared" si="3"/>
        <v>199</v>
      </c>
      <c r="D707" s="28"/>
    </row>
    <row r="708">
      <c r="A708" s="145">
        <v>45886.0</v>
      </c>
      <c r="B708" s="54">
        <v>113.5</v>
      </c>
      <c r="C708" s="28">
        <f t="shared" si="3"/>
        <v>199</v>
      </c>
      <c r="D708" s="28"/>
    </row>
    <row r="709">
      <c r="A709" s="145">
        <v>44253.0</v>
      </c>
      <c r="B709" s="54">
        <v>113.59</v>
      </c>
      <c r="C709" s="28">
        <f t="shared" si="3"/>
        <v>199</v>
      </c>
      <c r="D709" s="28"/>
    </row>
    <row r="710">
      <c r="A710" s="145">
        <v>44633.0</v>
      </c>
      <c r="B710" s="54">
        <v>113.84</v>
      </c>
      <c r="C710" s="28">
        <f t="shared" si="3"/>
        <v>199</v>
      </c>
      <c r="D710" s="28"/>
    </row>
    <row r="711">
      <c r="A711" s="145">
        <v>45657.0</v>
      </c>
      <c r="B711" s="54">
        <v>113.95</v>
      </c>
      <c r="C711" s="28">
        <f t="shared" si="3"/>
        <v>199</v>
      </c>
      <c r="D711" s="28"/>
    </row>
    <row r="712">
      <c r="A712" s="145">
        <v>43772.0</v>
      </c>
      <c r="B712" s="54">
        <v>113.99</v>
      </c>
      <c r="C712" s="28">
        <f t="shared" si="3"/>
        <v>199</v>
      </c>
      <c r="D712" s="28"/>
    </row>
    <row r="713">
      <c r="A713" s="145">
        <v>45686.0</v>
      </c>
      <c r="B713" s="54">
        <v>114.04</v>
      </c>
      <c r="C713" s="28">
        <f t="shared" si="3"/>
        <v>199</v>
      </c>
      <c r="D713" s="28"/>
    </row>
    <row r="714">
      <c r="A714" s="145">
        <v>45120.0</v>
      </c>
      <c r="B714" s="54">
        <v>114.07</v>
      </c>
      <c r="C714" s="28">
        <f t="shared" si="3"/>
        <v>199</v>
      </c>
      <c r="D714" s="28"/>
    </row>
    <row r="715">
      <c r="A715" s="145">
        <v>43432.0</v>
      </c>
      <c r="B715" s="54">
        <v>114.1</v>
      </c>
      <c r="C715" s="28">
        <f t="shared" si="3"/>
        <v>199</v>
      </c>
      <c r="D715" s="28"/>
    </row>
    <row r="716">
      <c r="A716" s="145">
        <v>44826.0</v>
      </c>
      <c r="B716" s="54">
        <v>114.29</v>
      </c>
      <c r="C716" s="28">
        <f t="shared" si="3"/>
        <v>199</v>
      </c>
      <c r="D716" s="28"/>
    </row>
    <row r="717">
      <c r="A717" s="145">
        <v>44667.0</v>
      </c>
      <c r="B717" s="54">
        <v>114.33</v>
      </c>
      <c r="C717" s="28">
        <f t="shared" si="3"/>
        <v>199</v>
      </c>
      <c r="D717" s="28"/>
    </row>
    <row r="718">
      <c r="A718" s="145">
        <v>45247.0</v>
      </c>
      <c r="B718" s="54">
        <v>114.46</v>
      </c>
      <c r="C718" s="28">
        <f t="shared" si="3"/>
        <v>199</v>
      </c>
      <c r="D718" s="28"/>
    </row>
    <row r="719">
      <c r="A719" s="145">
        <v>43755.0</v>
      </c>
      <c r="B719" s="54">
        <v>114.47</v>
      </c>
      <c r="C719" s="28">
        <f t="shared" si="3"/>
        <v>199</v>
      </c>
      <c r="D719" s="28"/>
    </row>
    <row r="720">
      <c r="A720" s="145">
        <v>43445.0</v>
      </c>
      <c r="B720" s="54">
        <v>114.51</v>
      </c>
      <c r="C720" s="28">
        <f t="shared" si="3"/>
        <v>199</v>
      </c>
      <c r="D720" s="28"/>
    </row>
    <row r="721">
      <c r="A721" s="145">
        <v>45225.0</v>
      </c>
      <c r="B721" s="54">
        <v>114.7</v>
      </c>
      <c r="C721" s="28">
        <f t="shared" si="3"/>
        <v>199</v>
      </c>
      <c r="D721" s="28"/>
    </row>
    <row r="722">
      <c r="A722" s="145">
        <v>45214.0</v>
      </c>
      <c r="B722" s="54">
        <v>114.74</v>
      </c>
      <c r="C722" s="28">
        <f t="shared" si="3"/>
        <v>199</v>
      </c>
      <c r="D722" s="28"/>
    </row>
    <row r="723">
      <c r="A723" s="145">
        <v>44270.0</v>
      </c>
      <c r="B723" s="54">
        <v>114.82</v>
      </c>
      <c r="C723" s="28">
        <f t="shared" si="3"/>
        <v>199</v>
      </c>
      <c r="D723" s="28"/>
    </row>
    <row r="724">
      <c r="A724" s="145">
        <v>45778.0</v>
      </c>
      <c r="B724" s="54">
        <v>114.85</v>
      </c>
      <c r="C724" s="28">
        <f t="shared" si="3"/>
        <v>199</v>
      </c>
      <c r="D724" s="28"/>
    </row>
    <row r="725">
      <c r="A725" s="145">
        <v>43711.0</v>
      </c>
      <c r="B725" s="54">
        <v>114.87</v>
      </c>
      <c r="C725" s="28">
        <f t="shared" si="3"/>
        <v>199</v>
      </c>
      <c r="D725" s="28"/>
    </row>
    <row r="726">
      <c r="A726" s="145">
        <v>43447.0</v>
      </c>
      <c r="B726" s="54">
        <v>114.94</v>
      </c>
      <c r="C726" s="28">
        <f t="shared" si="3"/>
        <v>199</v>
      </c>
      <c r="D726" s="28"/>
    </row>
    <row r="727">
      <c r="A727" s="145">
        <v>45674.0</v>
      </c>
      <c r="B727" s="54">
        <v>114.94</v>
      </c>
      <c r="C727" s="28">
        <f t="shared" si="3"/>
        <v>199</v>
      </c>
      <c r="D727" s="28"/>
    </row>
    <row r="728">
      <c r="A728" s="145">
        <v>45102.0</v>
      </c>
      <c r="B728" s="54">
        <v>115.06</v>
      </c>
      <c r="C728" s="28">
        <f t="shared" si="3"/>
        <v>199</v>
      </c>
      <c r="D728" s="28"/>
    </row>
    <row r="729">
      <c r="A729" s="145">
        <v>43460.0</v>
      </c>
      <c r="B729" s="54">
        <v>115.21</v>
      </c>
      <c r="C729" s="28">
        <f t="shared" si="3"/>
        <v>199</v>
      </c>
      <c r="D729" s="28"/>
    </row>
    <row r="730">
      <c r="A730" s="145">
        <v>45239.0</v>
      </c>
      <c r="B730" s="54">
        <v>115.25</v>
      </c>
      <c r="C730" s="28">
        <f t="shared" si="3"/>
        <v>199</v>
      </c>
      <c r="D730" s="28"/>
    </row>
    <row r="731">
      <c r="A731" s="145">
        <v>43537.0</v>
      </c>
      <c r="B731" s="54">
        <v>115.3</v>
      </c>
      <c r="C731" s="28">
        <f t="shared" si="3"/>
        <v>199</v>
      </c>
      <c r="D731" s="28"/>
    </row>
    <row r="732">
      <c r="A732" s="145">
        <v>44659.0</v>
      </c>
      <c r="B732" s="54">
        <v>115.31</v>
      </c>
      <c r="C732" s="28">
        <f t="shared" si="3"/>
        <v>199</v>
      </c>
      <c r="D732" s="28"/>
    </row>
    <row r="733">
      <c r="A733" s="145">
        <v>45201.0</v>
      </c>
      <c r="B733" s="54">
        <v>115.45</v>
      </c>
      <c r="C733" s="28">
        <f t="shared" si="3"/>
        <v>199</v>
      </c>
      <c r="D733" s="28"/>
    </row>
    <row r="734">
      <c r="A734" s="145">
        <v>45663.0</v>
      </c>
      <c r="B734" s="54">
        <v>115.58</v>
      </c>
      <c r="C734" s="28">
        <f t="shared" si="3"/>
        <v>199</v>
      </c>
      <c r="D734" s="28"/>
    </row>
    <row r="735">
      <c r="A735" s="145">
        <v>45203.0</v>
      </c>
      <c r="B735" s="54">
        <v>115.7</v>
      </c>
      <c r="C735" s="28">
        <f t="shared" si="3"/>
        <v>199</v>
      </c>
      <c r="D735" s="28"/>
    </row>
    <row r="736">
      <c r="A736" s="145">
        <v>43439.0</v>
      </c>
      <c r="B736" s="54">
        <v>115.72</v>
      </c>
      <c r="C736" s="28">
        <f t="shared" si="3"/>
        <v>199</v>
      </c>
      <c r="D736" s="28"/>
    </row>
    <row r="737">
      <c r="A737" s="145">
        <v>45234.0</v>
      </c>
      <c r="B737" s="54">
        <v>116.0</v>
      </c>
      <c r="C737" s="28">
        <f t="shared" si="3"/>
        <v>199</v>
      </c>
      <c r="D737" s="28"/>
    </row>
    <row r="738">
      <c r="A738" s="145">
        <v>45101.0</v>
      </c>
      <c r="B738" s="54">
        <v>116.15</v>
      </c>
      <c r="C738" s="28">
        <f t="shared" si="3"/>
        <v>199</v>
      </c>
      <c r="D738" s="28"/>
    </row>
    <row r="739">
      <c r="A739" s="145">
        <v>43465.0</v>
      </c>
      <c r="B739" s="54">
        <v>116.45</v>
      </c>
      <c r="C739" s="28">
        <f t="shared" si="3"/>
        <v>199</v>
      </c>
      <c r="D739" s="28"/>
    </row>
    <row r="740">
      <c r="A740" s="145">
        <v>45851.0</v>
      </c>
      <c r="B740" s="54">
        <v>116.51</v>
      </c>
      <c r="C740" s="28">
        <f t="shared" si="3"/>
        <v>199</v>
      </c>
      <c r="D740" s="28"/>
    </row>
    <row r="741">
      <c r="A741" s="145">
        <v>45041.0</v>
      </c>
      <c r="B741" s="54">
        <v>116.56</v>
      </c>
      <c r="C741" s="28">
        <f t="shared" si="3"/>
        <v>199</v>
      </c>
      <c r="D741" s="28"/>
    </row>
    <row r="742">
      <c r="A742" s="145">
        <v>45682.0</v>
      </c>
      <c r="B742" s="54">
        <v>116.63</v>
      </c>
      <c r="C742" s="28">
        <f t="shared" si="3"/>
        <v>199</v>
      </c>
      <c r="D742" s="28"/>
    </row>
    <row r="743">
      <c r="A743" s="145">
        <v>44682.0</v>
      </c>
      <c r="B743" s="54">
        <v>116.74</v>
      </c>
      <c r="C743" s="28">
        <f t="shared" si="3"/>
        <v>199</v>
      </c>
      <c r="D743" s="28"/>
    </row>
    <row r="744">
      <c r="A744" s="145">
        <v>43408.0</v>
      </c>
      <c r="B744" s="54">
        <v>116.87</v>
      </c>
      <c r="C744" s="28">
        <f t="shared" si="3"/>
        <v>199</v>
      </c>
      <c r="D744" s="28"/>
    </row>
    <row r="745">
      <c r="A745" s="145">
        <v>43440.0</v>
      </c>
      <c r="B745" s="54">
        <v>117.0</v>
      </c>
      <c r="C745" s="28">
        <f t="shared" si="3"/>
        <v>199</v>
      </c>
      <c r="D745" s="28"/>
    </row>
    <row r="746">
      <c r="A746" s="145">
        <v>44050.0</v>
      </c>
      <c r="B746" s="54">
        <v>117.07</v>
      </c>
      <c r="C746" s="28">
        <f t="shared" si="3"/>
        <v>199</v>
      </c>
      <c r="D746" s="28"/>
    </row>
    <row r="747">
      <c r="A747" s="145">
        <v>43728.0</v>
      </c>
      <c r="B747" s="54">
        <v>117.13</v>
      </c>
      <c r="C747" s="28">
        <f t="shared" si="3"/>
        <v>199</v>
      </c>
      <c r="D747" s="28"/>
    </row>
    <row r="748">
      <c r="A748" s="145">
        <v>45211.0</v>
      </c>
      <c r="B748" s="54">
        <v>117.13</v>
      </c>
      <c r="C748" s="28">
        <f t="shared" si="3"/>
        <v>199</v>
      </c>
      <c r="D748" s="28"/>
    </row>
    <row r="749">
      <c r="A749" s="145">
        <v>43571.0</v>
      </c>
      <c r="B749" s="54">
        <v>117.31</v>
      </c>
      <c r="C749" s="28">
        <f t="shared" si="3"/>
        <v>199</v>
      </c>
      <c r="D749" s="28"/>
    </row>
    <row r="750">
      <c r="A750" s="145">
        <v>44281.0</v>
      </c>
      <c r="B750" s="54">
        <v>117.43</v>
      </c>
      <c r="C750" s="28">
        <f t="shared" si="3"/>
        <v>199</v>
      </c>
      <c r="D750" s="28"/>
    </row>
    <row r="751">
      <c r="A751" s="145">
        <v>44660.0</v>
      </c>
      <c r="B751" s="54">
        <v>117.43</v>
      </c>
      <c r="C751" s="28">
        <f t="shared" si="3"/>
        <v>199</v>
      </c>
      <c r="D751" s="28"/>
    </row>
    <row r="752">
      <c r="A752" s="145">
        <v>43780.0</v>
      </c>
      <c r="B752" s="54">
        <v>117.46</v>
      </c>
      <c r="C752" s="28">
        <f t="shared" si="3"/>
        <v>199</v>
      </c>
      <c r="D752" s="28"/>
    </row>
    <row r="753">
      <c r="A753" s="145">
        <v>43614.0</v>
      </c>
      <c r="B753" s="54">
        <v>117.72</v>
      </c>
      <c r="C753" s="28">
        <f t="shared" si="3"/>
        <v>199</v>
      </c>
      <c r="D753" s="28"/>
    </row>
    <row r="754">
      <c r="A754" s="145">
        <v>44074.0</v>
      </c>
      <c r="B754" s="54">
        <v>117.75</v>
      </c>
      <c r="C754" s="28">
        <f t="shared" si="3"/>
        <v>199</v>
      </c>
      <c r="D754" s="28"/>
    </row>
    <row r="755">
      <c r="A755" s="145">
        <v>45204.0</v>
      </c>
      <c r="B755" s="54">
        <v>117.9</v>
      </c>
      <c r="C755" s="28">
        <f t="shared" si="3"/>
        <v>199</v>
      </c>
      <c r="D755" s="28"/>
    </row>
    <row r="756">
      <c r="A756" s="145">
        <v>44256.0</v>
      </c>
      <c r="B756" s="54">
        <v>117.96</v>
      </c>
      <c r="C756" s="28">
        <f t="shared" si="3"/>
        <v>199</v>
      </c>
      <c r="D756" s="28"/>
    </row>
    <row r="757">
      <c r="A757" s="145">
        <v>44618.0</v>
      </c>
      <c r="B757" s="54">
        <v>117.96</v>
      </c>
      <c r="C757" s="28">
        <f t="shared" si="3"/>
        <v>199</v>
      </c>
      <c r="D757" s="28"/>
    </row>
    <row r="758">
      <c r="A758" s="145">
        <v>44645.0</v>
      </c>
      <c r="B758" s="54">
        <v>117.97</v>
      </c>
      <c r="C758" s="28">
        <f t="shared" si="3"/>
        <v>199</v>
      </c>
      <c r="D758" s="28"/>
    </row>
    <row r="759">
      <c r="A759" s="145">
        <v>44049.0</v>
      </c>
      <c r="B759" s="54">
        <v>118.07</v>
      </c>
      <c r="C759" s="28">
        <f t="shared" si="3"/>
        <v>199</v>
      </c>
      <c r="D759" s="28"/>
    </row>
    <row r="760">
      <c r="A760" s="145">
        <v>45630.0</v>
      </c>
      <c r="B760" s="54">
        <v>118.19</v>
      </c>
      <c r="C760" s="28">
        <f t="shared" si="3"/>
        <v>199</v>
      </c>
      <c r="D760" s="28"/>
    </row>
    <row r="761">
      <c r="A761" s="145">
        <v>43512.0</v>
      </c>
      <c r="B761" s="54">
        <v>118.3</v>
      </c>
      <c r="C761" s="28">
        <f t="shared" si="3"/>
        <v>199</v>
      </c>
      <c r="D761" s="28"/>
    </row>
    <row r="762">
      <c r="A762" s="145">
        <v>43547.0</v>
      </c>
      <c r="B762" s="54">
        <v>118.36</v>
      </c>
      <c r="C762" s="28">
        <f t="shared" si="3"/>
        <v>199</v>
      </c>
      <c r="D762" s="28"/>
    </row>
    <row r="763">
      <c r="A763" s="145">
        <v>43619.0</v>
      </c>
      <c r="B763" s="54">
        <v>118.44</v>
      </c>
      <c r="C763" s="28">
        <f t="shared" si="3"/>
        <v>199</v>
      </c>
      <c r="D763" s="28"/>
    </row>
    <row r="764">
      <c r="A764" s="145">
        <v>43778.0</v>
      </c>
      <c r="B764" s="54">
        <v>118.51</v>
      </c>
      <c r="C764" s="28">
        <f t="shared" si="3"/>
        <v>199</v>
      </c>
      <c r="D764" s="28"/>
    </row>
    <row r="765">
      <c r="A765" s="145">
        <v>43787.0</v>
      </c>
      <c r="B765" s="54">
        <v>118.54</v>
      </c>
      <c r="C765" s="28">
        <f t="shared" si="3"/>
        <v>199</v>
      </c>
      <c r="D765" s="28"/>
    </row>
    <row r="766">
      <c r="A766" s="145">
        <v>43468.0</v>
      </c>
      <c r="B766" s="54">
        <v>118.57</v>
      </c>
      <c r="C766" s="28">
        <f t="shared" si="3"/>
        <v>199</v>
      </c>
      <c r="D766" s="28"/>
    </row>
    <row r="767">
      <c r="A767" s="145">
        <v>45157.0</v>
      </c>
      <c r="B767" s="54">
        <v>118.63</v>
      </c>
      <c r="C767" s="28">
        <f t="shared" si="3"/>
        <v>199</v>
      </c>
      <c r="D767" s="28"/>
    </row>
    <row r="768">
      <c r="A768" s="145">
        <v>43412.0</v>
      </c>
      <c r="B768" s="54">
        <v>118.67</v>
      </c>
      <c r="C768" s="28">
        <f t="shared" si="3"/>
        <v>199</v>
      </c>
      <c r="D768" s="28"/>
    </row>
    <row r="769">
      <c r="A769" s="145">
        <v>43609.0</v>
      </c>
      <c r="B769" s="54">
        <v>118.67</v>
      </c>
      <c r="C769" s="28">
        <f t="shared" si="3"/>
        <v>199</v>
      </c>
      <c r="D769" s="28"/>
    </row>
    <row r="770">
      <c r="A770" s="145">
        <v>43566.0</v>
      </c>
      <c r="B770" s="54">
        <v>118.72</v>
      </c>
      <c r="C770" s="28">
        <f t="shared" si="3"/>
        <v>199</v>
      </c>
      <c r="D770" s="28"/>
    </row>
    <row r="771">
      <c r="A771" s="145">
        <v>45715.0</v>
      </c>
      <c r="B771" s="54">
        <v>118.76</v>
      </c>
      <c r="C771" s="28">
        <f t="shared" si="3"/>
        <v>199</v>
      </c>
      <c r="D771" s="28"/>
    </row>
    <row r="772">
      <c r="A772" s="145">
        <v>45769.0</v>
      </c>
      <c r="B772" s="54">
        <v>118.88</v>
      </c>
      <c r="C772" s="28">
        <f t="shared" si="3"/>
        <v>199</v>
      </c>
      <c r="D772" s="28"/>
    </row>
    <row r="773">
      <c r="A773" s="145">
        <v>43604.0</v>
      </c>
      <c r="B773" s="54">
        <v>118.9</v>
      </c>
      <c r="C773" s="28">
        <f t="shared" si="3"/>
        <v>199</v>
      </c>
      <c r="D773" s="28"/>
    </row>
    <row r="774">
      <c r="A774" s="145">
        <v>45205.0</v>
      </c>
      <c r="B774" s="54">
        <v>118.95</v>
      </c>
      <c r="C774" s="28">
        <f t="shared" si="3"/>
        <v>199</v>
      </c>
      <c r="D774" s="28"/>
    </row>
    <row r="775">
      <c r="A775" s="145">
        <v>45677.0</v>
      </c>
      <c r="B775" s="54">
        <v>119.07</v>
      </c>
      <c r="C775" s="28">
        <f t="shared" si="3"/>
        <v>199</v>
      </c>
      <c r="D775" s="28"/>
    </row>
    <row r="776">
      <c r="A776" s="145">
        <v>44044.0</v>
      </c>
      <c r="B776" s="54">
        <v>119.13</v>
      </c>
      <c r="C776" s="28">
        <f t="shared" si="3"/>
        <v>199</v>
      </c>
      <c r="D776" s="28"/>
    </row>
    <row r="777">
      <c r="A777" s="145">
        <v>45248.0</v>
      </c>
      <c r="B777" s="54">
        <v>119.17</v>
      </c>
      <c r="C777" s="28">
        <f t="shared" si="3"/>
        <v>199</v>
      </c>
      <c r="D777" s="28"/>
    </row>
    <row r="778">
      <c r="A778" s="145">
        <v>45723.0</v>
      </c>
      <c r="B778" s="54">
        <v>119.23</v>
      </c>
      <c r="C778" s="28">
        <f t="shared" si="3"/>
        <v>199</v>
      </c>
      <c r="D778" s="28"/>
    </row>
    <row r="779">
      <c r="A779" s="145">
        <v>45238.0</v>
      </c>
      <c r="B779" s="54">
        <v>119.39</v>
      </c>
      <c r="C779" s="28">
        <f t="shared" si="3"/>
        <v>199</v>
      </c>
      <c r="D779" s="28"/>
    </row>
    <row r="780">
      <c r="A780" s="145">
        <v>43542.0</v>
      </c>
      <c r="B780" s="54">
        <v>119.4</v>
      </c>
      <c r="C780" s="28">
        <f t="shared" si="3"/>
        <v>199</v>
      </c>
      <c r="D780" s="28"/>
    </row>
    <row r="781">
      <c r="A781" s="145">
        <v>45106.0</v>
      </c>
      <c r="B781" s="54">
        <v>119.65</v>
      </c>
      <c r="C781" s="28">
        <f t="shared" si="3"/>
        <v>199</v>
      </c>
      <c r="D781" s="28"/>
    </row>
    <row r="782">
      <c r="A782" s="145">
        <v>44683.0</v>
      </c>
      <c r="B782" s="54">
        <v>119.75</v>
      </c>
      <c r="C782" s="28">
        <f t="shared" si="3"/>
        <v>199</v>
      </c>
      <c r="D782" s="28"/>
    </row>
    <row r="783">
      <c r="A783" s="145">
        <v>45855.0</v>
      </c>
      <c r="B783" s="54">
        <v>119.84</v>
      </c>
      <c r="C783" s="28">
        <f t="shared" si="3"/>
        <v>199</v>
      </c>
      <c r="D783" s="28"/>
    </row>
    <row r="784">
      <c r="A784" s="145">
        <v>45724.0</v>
      </c>
      <c r="B784" s="54">
        <v>119.98</v>
      </c>
      <c r="C784" s="28">
        <f t="shared" si="3"/>
        <v>199</v>
      </c>
      <c r="D784" s="28"/>
    </row>
    <row r="785">
      <c r="A785" s="145">
        <v>43605.0</v>
      </c>
      <c r="B785" s="54">
        <v>120.23</v>
      </c>
      <c r="C785" s="28">
        <f t="shared" si="3"/>
        <v>199</v>
      </c>
      <c r="D785" s="28"/>
    </row>
    <row r="786">
      <c r="A786" s="145">
        <v>45002.0</v>
      </c>
      <c r="B786" s="54">
        <v>120.24</v>
      </c>
      <c r="C786" s="28">
        <f t="shared" si="3"/>
        <v>199</v>
      </c>
      <c r="D786" s="28"/>
    </row>
    <row r="787">
      <c r="A787" s="145">
        <v>43607.0</v>
      </c>
      <c r="B787" s="54">
        <v>120.42</v>
      </c>
      <c r="C787" s="28">
        <f t="shared" si="3"/>
        <v>199</v>
      </c>
      <c r="D787" s="28"/>
    </row>
    <row r="788">
      <c r="A788" s="145">
        <v>43510.0</v>
      </c>
      <c r="B788" s="54">
        <v>120.52</v>
      </c>
      <c r="C788" s="28">
        <f t="shared" si="3"/>
        <v>199</v>
      </c>
      <c r="D788" s="28"/>
    </row>
    <row r="789">
      <c r="A789" s="145">
        <v>44689.0</v>
      </c>
      <c r="B789" s="54">
        <v>120.52</v>
      </c>
      <c r="C789" s="28">
        <f t="shared" si="3"/>
        <v>199</v>
      </c>
      <c r="D789" s="28"/>
    </row>
    <row r="790">
      <c r="A790" s="145">
        <v>45614.0</v>
      </c>
      <c r="B790" s="54">
        <v>120.52</v>
      </c>
      <c r="C790" s="28">
        <f t="shared" si="3"/>
        <v>199</v>
      </c>
      <c r="D790" s="28"/>
    </row>
    <row r="791">
      <c r="A791" s="145">
        <v>44663.0</v>
      </c>
      <c r="B791" s="54">
        <v>120.61</v>
      </c>
      <c r="C791" s="28">
        <f t="shared" si="3"/>
        <v>199</v>
      </c>
      <c r="D791" s="28"/>
    </row>
    <row r="792">
      <c r="A792" s="145">
        <v>43717.0</v>
      </c>
      <c r="B792" s="54">
        <v>120.67</v>
      </c>
      <c r="C792" s="28">
        <f t="shared" si="3"/>
        <v>199</v>
      </c>
      <c r="D792" s="28"/>
    </row>
    <row r="793">
      <c r="A793" s="145">
        <v>43610.0</v>
      </c>
      <c r="B793" s="54">
        <v>120.68</v>
      </c>
      <c r="C793" s="28">
        <f t="shared" si="3"/>
        <v>199</v>
      </c>
      <c r="D793" s="28"/>
    </row>
    <row r="794">
      <c r="A794" s="145">
        <v>45879.0</v>
      </c>
      <c r="B794" s="54">
        <v>120.69</v>
      </c>
      <c r="C794" s="28">
        <f t="shared" si="3"/>
        <v>199</v>
      </c>
      <c r="D794" s="28"/>
    </row>
    <row r="795">
      <c r="A795" s="145">
        <v>43620.0</v>
      </c>
      <c r="B795" s="54">
        <v>120.7</v>
      </c>
      <c r="C795" s="28">
        <f t="shared" si="3"/>
        <v>199</v>
      </c>
      <c r="D795" s="28"/>
    </row>
    <row r="796">
      <c r="A796" s="145">
        <v>45695.0</v>
      </c>
      <c r="B796" s="54">
        <v>120.9</v>
      </c>
      <c r="C796" s="28">
        <f t="shared" si="3"/>
        <v>199</v>
      </c>
      <c r="D796" s="28"/>
    </row>
    <row r="797">
      <c r="A797" s="145">
        <v>44274.0</v>
      </c>
      <c r="B797" s="54">
        <v>120.92</v>
      </c>
      <c r="C797" s="28">
        <f t="shared" si="3"/>
        <v>199</v>
      </c>
      <c r="D797" s="28"/>
    </row>
    <row r="798">
      <c r="A798" s="145">
        <v>44690.0</v>
      </c>
      <c r="B798" s="54">
        <v>121.0</v>
      </c>
      <c r="C798" s="28">
        <f t="shared" si="3"/>
        <v>199</v>
      </c>
      <c r="D798" s="28"/>
    </row>
    <row r="799">
      <c r="A799" s="145">
        <v>45783.0</v>
      </c>
      <c r="B799" s="54">
        <v>121.21</v>
      </c>
      <c r="C799" s="28">
        <f t="shared" si="3"/>
        <v>199</v>
      </c>
      <c r="D799" s="28"/>
    </row>
    <row r="800">
      <c r="A800" s="145">
        <v>45033.0</v>
      </c>
      <c r="B800" s="54">
        <v>121.28</v>
      </c>
      <c r="C800" s="28">
        <f t="shared" si="3"/>
        <v>199</v>
      </c>
      <c r="D800" s="28"/>
    </row>
    <row r="801">
      <c r="A801" s="145">
        <v>43615.0</v>
      </c>
      <c r="B801" s="54">
        <v>121.33</v>
      </c>
      <c r="C801" s="28">
        <f t="shared" si="3"/>
        <v>199</v>
      </c>
      <c r="D801" s="28"/>
    </row>
    <row r="802">
      <c r="A802" s="145">
        <v>43528.0</v>
      </c>
      <c r="B802" s="54">
        <v>121.36</v>
      </c>
      <c r="C802" s="28">
        <f t="shared" si="3"/>
        <v>199</v>
      </c>
      <c r="D802" s="28"/>
    </row>
    <row r="803">
      <c r="A803" s="145">
        <v>44647.0</v>
      </c>
      <c r="B803" s="54">
        <v>121.36</v>
      </c>
      <c r="C803" s="28">
        <f t="shared" si="3"/>
        <v>199</v>
      </c>
      <c r="D803" s="28"/>
    </row>
    <row r="804">
      <c r="A804" s="145">
        <v>45233.0</v>
      </c>
      <c r="B804" s="54">
        <v>121.38</v>
      </c>
      <c r="C804" s="28">
        <f t="shared" si="3"/>
        <v>199</v>
      </c>
      <c r="D804" s="28"/>
    </row>
    <row r="805">
      <c r="A805" s="145">
        <v>43779.0</v>
      </c>
      <c r="B805" s="54">
        <v>121.47</v>
      </c>
      <c r="C805" s="28">
        <f t="shared" si="3"/>
        <v>199</v>
      </c>
      <c r="D805" s="28"/>
    </row>
    <row r="806">
      <c r="A806" s="145">
        <v>43749.0</v>
      </c>
      <c r="B806" s="54">
        <v>121.5</v>
      </c>
      <c r="C806" s="28">
        <f t="shared" si="3"/>
        <v>199</v>
      </c>
      <c r="D806" s="28"/>
    </row>
    <row r="807">
      <c r="A807" s="145">
        <v>44280.0</v>
      </c>
      <c r="B807" s="54">
        <v>121.73</v>
      </c>
      <c r="C807" s="28">
        <f t="shared" si="3"/>
        <v>199</v>
      </c>
      <c r="D807" s="28"/>
    </row>
    <row r="808">
      <c r="A808" s="145">
        <v>44666.0</v>
      </c>
      <c r="B808" s="54">
        <v>121.74</v>
      </c>
      <c r="C808" s="28">
        <f t="shared" si="3"/>
        <v>199</v>
      </c>
      <c r="D808" s="28"/>
    </row>
    <row r="809">
      <c r="A809" s="145">
        <v>43530.0</v>
      </c>
      <c r="B809" s="54">
        <v>121.77</v>
      </c>
      <c r="C809" s="28">
        <f t="shared" si="3"/>
        <v>199</v>
      </c>
      <c r="D809" s="28"/>
    </row>
    <row r="810">
      <c r="A810" s="145">
        <v>44653.0</v>
      </c>
      <c r="B810" s="54">
        <v>121.9</v>
      </c>
      <c r="C810" s="28">
        <f t="shared" si="3"/>
        <v>199</v>
      </c>
      <c r="D810" s="28"/>
    </row>
    <row r="811">
      <c r="A811" s="145">
        <v>44699.0</v>
      </c>
      <c r="B811" s="54">
        <v>121.92</v>
      </c>
      <c r="C811" s="28">
        <f t="shared" si="3"/>
        <v>199</v>
      </c>
      <c r="D811" s="28"/>
    </row>
    <row r="812">
      <c r="A812" s="145">
        <v>45694.0</v>
      </c>
      <c r="B812" s="54">
        <v>121.97</v>
      </c>
      <c r="C812" s="28">
        <f t="shared" si="3"/>
        <v>199</v>
      </c>
      <c r="D812" s="28"/>
    </row>
    <row r="813">
      <c r="A813" s="145">
        <v>44621.0</v>
      </c>
      <c r="B813" s="54">
        <v>122.24</v>
      </c>
      <c r="C813" s="28">
        <f t="shared" si="3"/>
        <v>199</v>
      </c>
      <c r="D813" s="28"/>
    </row>
    <row r="814">
      <c r="A814" s="145">
        <v>45741.0</v>
      </c>
      <c r="B814" s="54">
        <v>122.39</v>
      </c>
      <c r="C814" s="28">
        <f t="shared" si="3"/>
        <v>199</v>
      </c>
      <c r="D814" s="28"/>
    </row>
    <row r="815">
      <c r="A815" s="145">
        <v>44608.0</v>
      </c>
      <c r="B815" s="54">
        <v>122.49</v>
      </c>
      <c r="C815" s="28">
        <f t="shared" si="3"/>
        <v>199</v>
      </c>
      <c r="D815" s="28"/>
    </row>
    <row r="816">
      <c r="A816" s="145">
        <v>43617.0</v>
      </c>
      <c r="B816" s="54">
        <v>122.74</v>
      </c>
      <c r="C816" s="28">
        <f t="shared" si="3"/>
        <v>199</v>
      </c>
      <c r="D816" s="28"/>
    </row>
    <row r="817">
      <c r="A817" s="145">
        <v>44089.0</v>
      </c>
      <c r="B817" s="54">
        <v>122.8</v>
      </c>
      <c r="C817" s="28">
        <f t="shared" si="3"/>
        <v>199</v>
      </c>
      <c r="D817" s="28"/>
    </row>
    <row r="818">
      <c r="A818" s="145">
        <v>44203.0</v>
      </c>
      <c r="B818" s="54">
        <v>122.84</v>
      </c>
      <c r="C818" s="28">
        <f t="shared" si="3"/>
        <v>199</v>
      </c>
      <c r="D818" s="28"/>
    </row>
    <row r="819">
      <c r="A819" s="145">
        <v>43532.0</v>
      </c>
      <c r="B819" s="54">
        <v>122.88</v>
      </c>
      <c r="C819" s="28">
        <f t="shared" si="3"/>
        <v>199</v>
      </c>
      <c r="D819" s="28"/>
    </row>
    <row r="820">
      <c r="A820" s="145">
        <v>45051.0</v>
      </c>
      <c r="B820" s="54">
        <v>122.89</v>
      </c>
      <c r="C820" s="28">
        <f t="shared" si="3"/>
        <v>199</v>
      </c>
      <c r="D820" s="28"/>
    </row>
    <row r="821">
      <c r="A821" s="145">
        <v>45775.0</v>
      </c>
      <c r="B821" s="54">
        <v>122.97</v>
      </c>
      <c r="C821" s="28">
        <f t="shared" si="3"/>
        <v>199</v>
      </c>
      <c r="D821" s="28"/>
    </row>
    <row r="822">
      <c r="A822" s="145">
        <v>43456.0</v>
      </c>
      <c r="B822" s="54">
        <v>123.11</v>
      </c>
      <c r="C822" s="28">
        <f t="shared" si="3"/>
        <v>199</v>
      </c>
      <c r="D822" s="28"/>
    </row>
    <row r="823">
      <c r="A823" s="145">
        <v>45030.0</v>
      </c>
      <c r="B823" s="54">
        <v>123.11</v>
      </c>
      <c r="C823" s="28">
        <f t="shared" si="3"/>
        <v>199</v>
      </c>
      <c r="D823" s="28"/>
    </row>
    <row r="824">
      <c r="A824" s="145">
        <v>43608.0</v>
      </c>
      <c r="B824" s="54">
        <v>123.46</v>
      </c>
      <c r="C824" s="28">
        <f t="shared" si="3"/>
        <v>199</v>
      </c>
      <c r="D824" s="28"/>
    </row>
    <row r="825">
      <c r="A825" s="145">
        <v>44624.0</v>
      </c>
      <c r="B825" s="54">
        <v>123.49</v>
      </c>
      <c r="C825" s="28">
        <f t="shared" si="3"/>
        <v>199</v>
      </c>
      <c r="D825" s="28"/>
    </row>
    <row r="826">
      <c r="A826" s="145">
        <v>43545.0</v>
      </c>
      <c r="B826" s="54">
        <v>123.52</v>
      </c>
      <c r="C826" s="28">
        <f t="shared" si="3"/>
        <v>199</v>
      </c>
      <c r="D826" s="28"/>
    </row>
    <row r="827">
      <c r="A827" s="145">
        <v>45616.0</v>
      </c>
      <c r="B827" s="54">
        <v>123.76</v>
      </c>
      <c r="C827" s="28">
        <f t="shared" si="3"/>
        <v>199</v>
      </c>
      <c r="D827" s="28"/>
    </row>
    <row r="828">
      <c r="A828" s="145">
        <v>45880.0</v>
      </c>
      <c r="B828" s="54">
        <v>124.15</v>
      </c>
      <c r="C828" s="28">
        <f t="shared" si="3"/>
        <v>199</v>
      </c>
      <c r="D828" s="28"/>
    </row>
    <row r="829">
      <c r="A829" s="145">
        <v>43613.0</v>
      </c>
      <c r="B829" s="54">
        <v>124.16</v>
      </c>
      <c r="C829" s="28">
        <f t="shared" si="3"/>
        <v>199</v>
      </c>
      <c r="D829" s="28"/>
    </row>
    <row r="830">
      <c r="A830" s="145">
        <v>44614.0</v>
      </c>
      <c r="B830" s="54">
        <v>124.19</v>
      </c>
      <c r="C830" s="28">
        <f t="shared" si="3"/>
        <v>199</v>
      </c>
      <c r="D830" s="28"/>
    </row>
    <row r="831">
      <c r="A831" s="145">
        <v>43736.0</v>
      </c>
      <c r="B831" s="54">
        <v>124.21</v>
      </c>
      <c r="C831" s="28">
        <f t="shared" si="3"/>
        <v>199</v>
      </c>
      <c r="D831" s="28"/>
    </row>
    <row r="832">
      <c r="A832" s="145">
        <v>45053.0</v>
      </c>
      <c r="B832" s="54">
        <v>124.21</v>
      </c>
      <c r="C832" s="28">
        <f t="shared" si="3"/>
        <v>199</v>
      </c>
      <c r="D832" s="28"/>
    </row>
    <row r="833">
      <c r="A833" s="145">
        <v>45720.0</v>
      </c>
      <c r="B833" s="54">
        <v>124.41</v>
      </c>
      <c r="C833" s="28">
        <f t="shared" si="3"/>
        <v>199</v>
      </c>
      <c r="D833" s="28"/>
    </row>
    <row r="834">
      <c r="A834" s="145">
        <v>45658.0</v>
      </c>
      <c r="B834" s="54">
        <v>124.42</v>
      </c>
      <c r="C834" s="28">
        <f t="shared" si="3"/>
        <v>199</v>
      </c>
      <c r="D834" s="28"/>
    </row>
    <row r="835">
      <c r="A835" s="145">
        <v>43773.0</v>
      </c>
      <c r="B835" s="54">
        <v>124.43</v>
      </c>
      <c r="C835" s="28">
        <f t="shared" si="3"/>
        <v>199</v>
      </c>
      <c r="D835" s="28"/>
    </row>
    <row r="836">
      <c r="A836" s="145">
        <v>43434.0</v>
      </c>
      <c r="B836" s="54">
        <v>124.44</v>
      </c>
      <c r="C836" s="28">
        <f t="shared" si="3"/>
        <v>199</v>
      </c>
      <c r="D836" s="28"/>
    </row>
    <row r="837">
      <c r="A837" s="145">
        <v>45153.0</v>
      </c>
      <c r="B837" s="54">
        <v>124.48</v>
      </c>
      <c r="C837" s="28">
        <f t="shared" si="3"/>
        <v>199</v>
      </c>
      <c r="D837" s="28"/>
    </row>
    <row r="838">
      <c r="A838" s="145">
        <v>45779.0</v>
      </c>
      <c r="B838" s="54">
        <v>124.66</v>
      </c>
      <c r="C838" s="28">
        <f t="shared" si="3"/>
        <v>199</v>
      </c>
      <c r="D838" s="28"/>
    </row>
    <row r="839">
      <c r="A839" s="145">
        <v>45784.0</v>
      </c>
      <c r="B839" s="54">
        <v>124.74</v>
      </c>
      <c r="C839" s="28">
        <f t="shared" si="3"/>
        <v>199</v>
      </c>
      <c r="D839" s="28"/>
    </row>
    <row r="840">
      <c r="A840" s="145">
        <v>43606.0</v>
      </c>
      <c r="B840" s="54">
        <v>124.79</v>
      </c>
      <c r="C840" s="28">
        <f t="shared" si="3"/>
        <v>199</v>
      </c>
      <c r="D840" s="28"/>
    </row>
    <row r="841">
      <c r="A841" s="145">
        <v>43616.0</v>
      </c>
      <c r="B841" s="54">
        <v>124.79</v>
      </c>
      <c r="C841" s="28">
        <f t="shared" si="3"/>
        <v>199</v>
      </c>
      <c r="D841" s="28"/>
    </row>
    <row r="842">
      <c r="A842" s="145">
        <v>45001.0</v>
      </c>
      <c r="B842" s="54">
        <v>124.94</v>
      </c>
      <c r="C842" s="28">
        <f t="shared" si="3"/>
        <v>199</v>
      </c>
      <c r="D842" s="28"/>
    </row>
    <row r="843">
      <c r="A843" s="145">
        <v>45739.0</v>
      </c>
      <c r="B843" s="54">
        <v>125.0</v>
      </c>
      <c r="C843" s="28">
        <f t="shared" si="3"/>
        <v>199</v>
      </c>
      <c r="D843" s="28"/>
    </row>
    <row r="844">
      <c r="A844" s="145">
        <v>44035.0</v>
      </c>
      <c r="B844" s="54">
        <v>125.1</v>
      </c>
      <c r="C844" s="28">
        <f t="shared" si="3"/>
        <v>199</v>
      </c>
      <c r="D844" s="28"/>
    </row>
    <row r="845">
      <c r="A845" s="145">
        <v>43560.0</v>
      </c>
      <c r="B845" s="54">
        <v>125.2</v>
      </c>
      <c r="C845" s="28">
        <f t="shared" si="3"/>
        <v>199</v>
      </c>
      <c r="D845" s="28"/>
    </row>
    <row r="846">
      <c r="A846" s="145">
        <v>43973.0</v>
      </c>
      <c r="B846" s="54">
        <v>125.33</v>
      </c>
      <c r="C846" s="28">
        <f t="shared" si="3"/>
        <v>199</v>
      </c>
      <c r="D846" s="28"/>
    </row>
    <row r="847">
      <c r="A847" s="145">
        <v>44613.0</v>
      </c>
      <c r="B847" s="54">
        <v>125.34</v>
      </c>
      <c r="C847" s="28">
        <f t="shared" si="3"/>
        <v>199</v>
      </c>
      <c r="D847" s="28"/>
    </row>
    <row r="848">
      <c r="A848" s="145">
        <v>43612.0</v>
      </c>
      <c r="B848" s="54">
        <v>125.49</v>
      </c>
      <c r="C848" s="28">
        <f t="shared" si="3"/>
        <v>199</v>
      </c>
      <c r="D848" s="28"/>
    </row>
    <row r="849">
      <c r="A849" s="145">
        <v>44321.0</v>
      </c>
      <c r="B849" s="54">
        <v>125.52</v>
      </c>
      <c r="C849" s="28">
        <f t="shared" si="3"/>
        <v>199</v>
      </c>
      <c r="D849" s="28"/>
    </row>
    <row r="850">
      <c r="A850" s="145">
        <v>44622.0</v>
      </c>
      <c r="B850" s="54">
        <v>125.55</v>
      </c>
      <c r="C850" s="28">
        <f t="shared" si="3"/>
        <v>199</v>
      </c>
      <c r="D850" s="28"/>
    </row>
    <row r="851">
      <c r="A851" s="145">
        <v>43623.0</v>
      </c>
      <c r="B851" s="54">
        <v>125.57</v>
      </c>
      <c r="C851" s="28">
        <f t="shared" si="3"/>
        <v>199</v>
      </c>
      <c r="D851" s="28"/>
    </row>
    <row r="852">
      <c r="A852" s="145">
        <v>45629.0</v>
      </c>
      <c r="B852" s="54">
        <v>125.59</v>
      </c>
      <c r="C852" s="28">
        <f t="shared" si="3"/>
        <v>199</v>
      </c>
      <c r="D852" s="28"/>
    </row>
    <row r="853">
      <c r="A853" s="145">
        <v>43446.0</v>
      </c>
      <c r="B853" s="54">
        <v>125.73</v>
      </c>
      <c r="C853" s="28">
        <f t="shared" si="3"/>
        <v>199</v>
      </c>
      <c r="D853" s="28"/>
    </row>
    <row r="854">
      <c r="A854" s="145">
        <v>44001.0</v>
      </c>
      <c r="B854" s="54">
        <v>125.82</v>
      </c>
      <c r="C854" s="28">
        <f t="shared" si="3"/>
        <v>199</v>
      </c>
      <c r="D854" s="28"/>
    </row>
    <row r="855">
      <c r="A855" s="145">
        <v>45760.0</v>
      </c>
      <c r="B855" s="54">
        <v>126.15</v>
      </c>
      <c r="C855" s="28">
        <f t="shared" si="3"/>
        <v>199</v>
      </c>
      <c r="D855" s="28"/>
    </row>
    <row r="856">
      <c r="A856" s="145">
        <v>45684.0</v>
      </c>
      <c r="B856" s="54">
        <v>126.21</v>
      </c>
      <c r="C856" s="28">
        <f t="shared" si="3"/>
        <v>199</v>
      </c>
      <c r="D856" s="28"/>
    </row>
    <row r="857">
      <c r="A857" s="145">
        <v>44028.0</v>
      </c>
      <c r="B857" s="54">
        <v>126.22</v>
      </c>
      <c r="C857" s="28">
        <f t="shared" si="3"/>
        <v>199</v>
      </c>
      <c r="D857" s="28"/>
    </row>
    <row r="858">
      <c r="A858" s="145">
        <v>44230.0</v>
      </c>
      <c r="B858" s="54">
        <v>126.3</v>
      </c>
      <c r="C858" s="28">
        <f t="shared" si="3"/>
        <v>199</v>
      </c>
      <c r="D858" s="28"/>
    </row>
    <row r="859">
      <c r="A859" s="145">
        <v>44646.0</v>
      </c>
      <c r="B859" s="54">
        <v>126.31</v>
      </c>
      <c r="C859" s="28">
        <f t="shared" si="3"/>
        <v>199</v>
      </c>
      <c r="D859" s="28"/>
    </row>
    <row r="860">
      <c r="A860" s="145">
        <v>44212.0</v>
      </c>
      <c r="B860" s="54">
        <v>126.64</v>
      </c>
      <c r="C860" s="28">
        <f t="shared" si="3"/>
        <v>199</v>
      </c>
      <c r="D860" s="28"/>
    </row>
    <row r="861">
      <c r="A861" s="145">
        <v>43611.0</v>
      </c>
      <c r="B861" s="54">
        <v>126.66</v>
      </c>
      <c r="C861" s="28">
        <f t="shared" si="3"/>
        <v>199</v>
      </c>
      <c r="D861" s="28"/>
    </row>
    <row r="862">
      <c r="A862" s="145">
        <v>44320.0</v>
      </c>
      <c r="B862" s="54">
        <v>127.09</v>
      </c>
      <c r="C862" s="28">
        <f t="shared" si="3"/>
        <v>199</v>
      </c>
      <c r="D862" s="28"/>
    </row>
    <row r="863">
      <c r="A863" s="145">
        <v>45693.0</v>
      </c>
      <c r="B863" s="54">
        <v>127.1</v>
      </c>
      <c r="C863" s="28">
        <f t="shared" si="3"/>
        <v>199</v>
      </c>
      <c r="D863" s="28"/>
    </row>
    <row r="864">
      <c r="A864" s="145">
        <v>45052.0</v>
      </c>
      <c r="B864" s="54">
        <v>127.23</v>
      </c>
      <c r="C864" s="28">
        <f t="shared" si="3"/>
        <v>199</v>
      </c>
      <c r="D864" s="28"/>
    </row>
    <row r="865">
      <c r="A865" s="145">
        <v>44233.0</v>
      </c>
      <c r="B865" s="54">
        <v>127.41</v>
      </c>
      <c r="C865" s="28">
        <f t="shared" si="3"/>
        <v>199</v>
      </c>
      <c r="D865" s="28"/>
    </row>
    <row r="866">
      <c r="A866" s="145">
        <v>43724.0</v>
      </c>
      <c r="B866" s="54">
        <v>127.54</v>
      </c>
      <c r="C866" s="28">
        <f t="shared" si="3"/>
        <v>199</v>
      </c>
      <c r="D866" s="28"/>
    </row>
    <row r="867">
      <c r="A867" s="145">
        <v>45156.0</v>
      </c>
      <c r="B867" s="54">
        <v>127.56</v>
      </c>
      <c r="C867" s="28">
        <f t="shared" si="3"/>
        <v>199</v>
      </c>
      <c r="D867" s="28"/>
    </row>
    <row r="868">
      <c r="A868" s="145">
        <v>44333.0</v>
      </c>
      <c r="B868" s="54">
        <v>127.58</v>
      </c>
      <c r="C868" s="28">
        <f t="shared" si="3"/>
        <v>199</v>
      </c>
      <c r="D868" s="28"/>
    </row>
    <row r="869">
      <c r="A869" s="145">
        <v>44039.0</v>
      </c>
      <c r="B869" s="54">
        <v>127.88</v>
      </c>
      <c r="C869" s="28">
        <f t="shared" si="3"/>
        <v>199</v>
      </c>
      <c r="D869" s="28"/>
    </row>
    <row r="870">
      <c r="A870" s="145">
        <v>45742.0</v>
      </c>
      <c r="B870" s="54">
        <v>127.94</v>
      </c>
      <c r="C870" s="28">
        <f t="shared" si="3"/>
        <v>199</v>
      </c>
      <c r="D870" s="28"/>
    </row>
    <row r="871">
      <c r="A871" s="145">
        <v>45721.0</v>
      </c>
      <c r="B871" s="54">
        <v>128.0</v>
      </c>
      <c r="C871" s="28">
        <f t="shared" si="3"/>
        <v>199</v>
      </c>
      <c r="D871" s="28"/>
    </row>
    <row r="872">
      <c r="A872" s="145">
        <v>45631.0</v>
      </c>
      <c r="B872" s="54">
        <v>128.08</v>
      </c>
      <c r="C872" s="28">
        <f t="shared" si="3"/>
        <v>199</v>
      </c>
      <c r="D872" s="28"/>
    </row>
    <row r="873">
      <c r="A873" s="145">
        <v>44314.0</v>
      </c>
      <c r="B873" s="54">
        <v>128.09</v>
      </c>
      <c r="C873" s="28">
        <f t="shared" si="3"/>
        <v>199</v>
      </c>
      <c r="D873" s="28"/>
    </row>
    <row r="874">
      <c r="A874" s="145">
        <v>43519.0</v>
      </c>
      <c r="B874" s="54">
        <v>128.11</v>
      </c>
      <c r="C874" s="28">
        <f t="shared" si="3"/>
        <v>199</v>
      </c>
      <c r="D874" s="28"/>
    </row>
    <row r="875">
      <c r="A875" s="145">
        <v>44053.0</v>
      </c>
      <c r="B875" s="54">
        <v>128.31</v>
      </c>
      <c r="C875" s="28">
        <f t="shared" si="3"/>
        <v>199</v>
      </c>
      <c r="D875" s="28"/>
    </row>
    <row r="876">
      <c r="A876" s="145">
        <v>44639.0</v>
      </c>
      <c r="B876" s="54">
        <v>128.52</v>
      </c>
      <c r="C876" s="28">
        <f t="shared" si="3"/>
        <v>199</v>
      </c>
      <c r="D876" s="28"/>
    </row>
    <row r="877">
      <c r="A877" s="145">
        <v>44286.0</v>
      </c>
      <c r="B877" s="54">
        <v>128.65</v>
      </c>
      <c r="C877" s="28">
        <f t="shared" si="3"/>
        <v>199</v>
      </c>
      <c r="D877" s="28"/>
    </row>
    <row r="878">
      <c r="A878" s="145">
        <v>45650.0</v>
      </c>
      <c r="B878" s="54">
        <v>128.83</v>
      </c>
      <c r="C878" s="28">
        <f t="shared" si="3"/>
        <v>199</v>
      </c>
      <c r="D878" s="28"/>
    </row>
    <row r="879">
      <c r="A879" s="145">
        <v>44313.0</v>
      </c>
      <c r="B879" s="54">
        <v>128.84</v>
      </c>
      <c r="C879" s="28">
        <f t="shared" si="3"/>
        <v>199</v>
      </c>
      <c r="D879" s="28"/>
    </row>
    <row r="880">
      <c r="A880" s="145">
        <v>44662.0</v>
      </c>
      <c r="B880" s="54">
        <v>128.87</v>
      </c>
      <c r="C880" s="28">
        <f t="shared" si="3"/>
        <v>199</v>
      </c>
      <c r="D880" s="28"/>
    </row>
    <row r="881">
      <c r="A881" s="145">
        <v>45659.0</v>
      </c>
      <c r="B881" s="54">
        <v>128.92</v>
      </c>
      <c r="C881" s="28">
        <f t="shared" si="3"/>
        <v>199</v>
      </c>
      <c r="D881" s="28"/>
    </row>
    <row r="882">
      <c r="A882" s="145">
        <v>44675.0</v>
      </c>
      <c r="B882" s="54">
        <v>129.13</v>
      </c>
      <c r="C882" s="28">
        <f t="shared" si="3"/>
        <v>199</v>
      </c>
      <c r="D882" s="28"/>
    </row>
    <row r="883">
      <c r="A883" s="145">
        <v>44301.0</v>
      </c>
      <c r="B883" s="54">
        <v>129.15</v>
      </c>
      <c r="C883" s="28">
        <f t="shared" si="3"/>
        <v>199</v>
      </c>
      <c r="D883" s="28"/>
    </row>
    <row r="884">
      <c r="A884" s="145">
        <v>45821.0</v>
      </c>
      <c r="B884" s="54">
        <v>129.32</v>
      </c>
      <c r="C884" s="28">
        <f t="shared" si="3"/>
        <v>199</v>
      </c>
      <c r="D884" s="28"/>
    </row>
    <row r="885">
      <c r="A885" s="145">
        <v>43558.0</v>
      </c>
      <c r="B885" s="54">
        <v>129.36</v>
      </c>
      <c r="C885" s="28">
        <f t="shared" si="3"/>
        <v>199</v>
      </c>
      <c r="D885" s="28"/>
    </row>
    <row r="886">
      <c r="A886" s="145">
        <v>45772.0</v>
      </c>
      <c r="B886" s="54">
        <v>129.36</v>
      </c>
      <c r="C886" s="28">
        <f t="shared" si="3"/>
        <v>199</v>
      </c>
      <c r="D886" s="28"/>
    </row>
    <row r="887">
      <c r="A887" s="145">
        <v>45786.0</v>
      </c>
      <c r="B887" s="54">
        <v>129.4</v>
      </c>
      <c r="C887" s="28">
        <f t="shared" si="3"/>
        <v>199</v>
      </c>
      <c r="D887" s="28"/>
    </row>
    <row r="888">
      <c r="A888" s="145">
        <v>43504.0</v>
      </c>
      <c r="B888" s="54">
        <v>129.51</v>
      </c>
      <c r="C888" s="28">
        <f t="shared" si="3"/>
        <v>199</v>
      </c>
      <c r="D888" s="28"/>
    </row>
    <row r="889">
      <c r="A889" s="145">
        <v>43555.0</v>
      </c>
      <c r="B889" s="54">
        <v>129.53</v>
      </c>
      <c r="C889" s="28">
        <f t="shared" si="3"/>
        <v>199</v>
      </c>
      <c r="D889" s="28"/>
    </row>
    <row r="890">
      <c r="A890" s="145">
        <v>45688.0</v>
      </c>
      <c r="B890" s="54">
        <v>129.55</v>
      </c>
      <c r="C890" s="28">
        <f t="shared" si="3"/>
        <v>199</v>
      </c>
      <c r="D890" s="28"/>
    </row>
    <row r="891">
      <c r="A891" s="145">
        <v>45636.0</v>
      </c>
      <c r="B891" s="54">
        <v>129.6</v>
      </c>
      <c r="C891" s="28">
        <f t="shared" si="3"/>
        <v>199</v>
      </c>
      <c r="D891" s="28"/>
    </row>
    <row r="892">
      <c r="A892" s="145">
        <v>44680.0</v>
      </c>
      <c r="B892" s="54">
        <v>129.67</v>
      </c>
      <c r="C892" s="28">
        <f t="shared" si="3"/>
        <v>199</v>
      </c>
      <c r="D892" s="28"/>
    </row>
    <row r="893">
      <c r="A893" s="145">
        <v>44307.0</v>
      </c>
      <c r="B893" s="54">
        <v>129.75</v>
      </c>
      <c r="C893" s="28">
        <f t="shared" si="3"/>
        <v>199</v>
      </c>
      <c r="D893" s="28"/>
    </row>
    <row r="894">
      <c r="A894" s="145">
        <v>44311.0</v>
      </c>
      <c r="B894" s="54">
        <v>129.93</v>
      </c>
      <c r="C894" s="28">
        <f t="shared" si="3"/>
        <v>199</v>
      </c>
      <c r="D894" s="28"/>
    </row>
    <row r="895">
      <c r="A895" s="145">
        <v>45729.0</v>
      </c>
      <c r="B895" s="54">
        <v>129.96</v>
      </c>
      <c r="C895" s="28">
        <f t="shared" si="3"/>
        <v>199</v>
      </c>
      <c r="D895" s="28"/>
    </row>
    <row r="896">
      <c r="A896" s="145">
        <v>44136.0</v>
      </c>
      <c r="B896" s="54">
        <v>129.99</v>
      </c>
      <c r="C896" s="28">
        <f t="shared" si="3"/>
        <v>199</v>
      </c>
      <c r="D896" s="28"/>
    </row>
    <row r="897">
      <c r="A897" s="145">
        <v>44322.0</v>
      </c>
      <c r="B897" s="54">
        <v>130.0</v>
      </c>
      <c r="C897" s="28">
        <f t="shared" si="3"/>
        <v>199</v>
      </c>
      <c r="D897" s="28"/>
    </row>
    <row r="898">
      <c r="A898" s="145">
        <v>43549.0</v>
      </c>
      <c r="B898" s="54">
        <v>130.11</v>
      </c>
      <c r="C898" s="28">
        <f t="shared" si="3"/>
        <v>199</v>
      </c>
      <c r="D898" s="28"/>
    </row>
    <row r="899">
      <c r="A899" s="145">
        <v>44706.0</v>
      </c>
      <c r="B899" s="54">
        <v>130.24</v>
      </c>
      <c r="C899" s="28">
        <f t="shared" si="3"/>
        <v>199</v>
      </c>
      <c r="D899" s="28"/>
    </row>
    <row r="900">
      <c r="A900" s="145">
        <v>44718.0</v>
      </c>
      <c r="B900" s="54">
        <v>130.27</v>
      </c>
      <c r="C900" s="28">
        <f t="shared" si="3"/>
        <v>199</v>
      </c>
      <c r="D900" s="28"/>
    </row>
    <row r="901">
      <c r="A901" s="145">
        <v>43788.0</v>
      </c>
      <c r="B901" s="54">
        <v>130.6</v>
      </c>
      <c r="C901" s="28">
        <f t="shared" si="3"/>
        <v>199</v>
      </c>
      <c r="D901" s="28"/>
    </row>
    <row r="902">
      <c r="A902" s="145">
        <v>44695.0</v>
      </c>
      <c r="B902" s="54">
        <v>130.8</v>
      </c>
      <c r="C902" s="28">
        <f t="shared" si="3"/>
        <v>199</v>
      </c>
      <c r="D902" s="28"/>
    </row>
    <row r="903">
      <c r="A903" s="145">
        <v>43983.0</v>
      </c>
      <c r="B903" s="54">
        <v>130.93</v>
      </c>
      <c r="C903" s="28">
        <f t="shared" si="3"/>
        <v>199</v>
      </c>
      <c r="D903" s="28"/>
    </row>
    <row r="904">
      <c r="A904" s="145">
        <v>44055.0</v>
      </c>
      <c r="B904" s="54">
        <v>130.93</v>
      </c>
      <c r="C904" s="28">
        <f t="shared" si="3"/>
        <v>199</v>
      </c>
      <c r="D904" s="28"/>
    </row>
    <row r="905">
      <c r="A905" s="145">
        <v>44216.0</v>
      </c>
      <c r="B905" s="54">
        <v>131.09</v>
      </c>
      <c r="C905" s="28">
        <f t="shared" si="3"/>
        <v>199</v>
      </c>
      <c r="D905" s="28"/>
    </row>
    <row r="906">
      <c r="A906" s="145">
        <v>45813.0</v>
      </c>
      <c r="B906" s="54">
        <v>131.13</v>
      </c>
      <c r="C906" s="28">
        <f t="shared" si="3"/>
        <v>199</v>
      </c>
      <c r="D906" s="28"/>
    </row>
    <row r="907">
      <c r="A907" s="145">
        <v>43553.0</v>
      </c>
      <c r="B907" s="54">
        <v>131.17</v>
      </c>
      <c r="C907" s="28">
        <f t="shared" si="3"/>
        <v>199</v>
      </c>
      <c r="D907" s="28"/>
    </row>
    <row r="908">
      <c r="A908" s="145">
        <v>44306.0</v>
      </c>
      <c r="B908" s="54">
        <v>131.25</v>
      </c>
      <c r="C908" s="28">
        <f t="shared" si="3"/>
        <v>199</v>
      </c>
      <c r="D908" s="28"/>
    </row>
    <row r="909">
      <c r="A909" s="145">
        <v>44710.0</v>
      </c>
      <c r="B909" s="54">
        <v>131.25</v>
      </c>
      <c r="C909" s="28">
        <f t="shared" si="3"/>
        <v>199</v>
      </c>
      <c r="D909" s="28"/>
    </row>
    <row r="910">
      <c r="A910" s="145">
        <v>44308.0</v>
      </c>
      <c r="B910" s="54">
        <v>131.47</v>
      </c>
      <c r="C910" s="28">
        <f t="shared" si="3"/>
        <v>199</v>
      </c>
      <c r="D910" s="28"/>
    </row>
    <row r="911">
      <c r="A911" s="145">
        <v>44302.0</v>
      </c>
      <c r="B911" s="54">
        <v>131.51</v>
      </c>
      <c r="C911" s="28">
        <f t="shared" si="3"/>
        <v>199</v>
      </c>
      <c r="D911" s="28"/>
    </row>
    <row r="912">
      <c r="A912" s="145">
        <v>44319.0</v>
      </c>
      <c r="B912" s="54">
        <v>131.53</v>
      </c>
      <c r="C912" s="28">
        <f t="shared" si="3"/>
        <v>199</v>
      </c>
      <c r="D912" s="28"/>
    </row>
    <row r="913">
      <c r="A913" s="145">
        <v>44325.0</v>
      </c>
      <c r="B913" s="54">
        <v>131.55</v>
      </c>
      <c r="C913" s="28">
        <f t="shared" si="3"/>
        <v>199</v>
      </c>
      <c r="D913" s="28"/>
    </row>
    <row r="914">
      <c r="A914" s="145">
        <v>45727.0</v>
      </c>
      <c r="B914" s="54">
        <v>131.69</v>
      </c>
      <c r="C914" s="28">
        <f t="shared" si="3"/>
        <v>199</v>
      </c>
      <c r="D914" s="28"/>
    </row>
    <row r="915">
      <c r="A915" s="145">
        <v>45743.0</v>
      </c>
      <c r="B915" s="54">
        <v>131.98</v>
      </c>
      <c r="C915" s="28">
        <f t="shared" si="3"/>
        <v>199</v>
      </c>
      <c r="D915" s="28"/>
    </row>
    <row r="916">
      <c r="A916" s="145">
        <v>45112.0</v>
      </c>
      <c r="B916" s="54">
        <v>132.03</v>
      </c>
      <c r="C916" s="28">
        <f t="shared" si="3"/>
        <v>199</v>
      </c>
      <c r="D916" s="28"/>
    </row>
    <row r="917">
      <c r="A917" s="145">
        <v>45620.0</v>
      </c>
      <c r="B917" s="54">
        <v>132.05</v>
      </c>
      <c r="C917" s="28">
        <f t="shared" si="3"/>
        <v>199</v>
      </c>
      <c r="D917" s="28"/>
    </row>
    <row r="918">
      <c r="A918" s="145">
        <v>44656.0</v>
      </c>
      <c r="B918" s="54">
        <v>132.11</v>
      </c>
      <c r="C918" s="28">
        <f t="shared" si="3"/>
        <v>199</v>
      </c>
      <c r="D918" s="28"/>
    </row>
    <row r="919">
      <c r="A919" s="145">
        <v>45771.0</v>
      </c>
      <c r="B919" s="54">
        <v>132.13</v>
      </c>
      <c r="C919" s="28">
        <f t="shared" si="3"/>
        <v>199</v>
      </c>
      <c r="D919" s="28"/>
    </row>
    <row r="920">
      <c r="A920" s="145">
        <v>44304.0</v>
      </c>
      <c r="B920" s="54">
        <v>132.2</v>
      </c>
      <c r="C920" s="28">
        <f t="shared" si="3"/>
        <v>199</v>
      </c>
      <c r="D920" s="28"/>
    </row>
    <row r="921">
      <c r="A921" s="145">
        <v>44149.0</v>
      </c>
      <c r="B921" s="54">
        <v>132.62</v>
      </c>
      <c r="C921" s="28">
        <f t="shared" si="3"/>
        <v>199</v>
      </c>
      <c r="D921" s="28"/>
    </row>
    <row r="922">
      <c r="A922" s="145">
        <v>43557.0</v>
      </c>
      <c r="B922" s="54">
        <v>132.79</v>
      </c>
      <c r="C922" s="28">
        <f t="shared" si="3"/>
        <v>199</v>
      </c>
      <c r="D922" s="28"/>
    </row>
    <row r="923">
      <c r="A923" s="145">
        <v>43759.0</v>
      </c>
      <c r="B923" s="54">
        <v>132.84</v>
      </c>
      <c r="C923" s="28">
        <f t="shared" si="3"/>
        <v>199</v>
      </c>
      <c r="D923" s="28"/>
    </row>
    <row r="924">
      <c r="A924" s="145">
        <v>44312.0</v>
      </c>
      <c r="B924" s="54">
        <v>132.98</v>
      </c>
      <c r="C924" s="28">
        <f t="shared" si="3"/>
        <v>199</v>
      </c>
      <c r="D924" s="28"/>
    </row>
    <row r="925">
      <c r="A925" s="145">
        <v>44303.0</v>
      </c>
      <c r="B925" s="54">
        <v>133.08</v>
      </c>
      <c r="C925" s="28">
        <f t="shared" si="3"/>
        <v>199</v>
      </c>
      <c r="D925" s="28"/>
    </row>
    <row r="926">
      <c r="A926" s="145">
        <v>44052.0</v>
      </c>
      <c r="B926" s="54">
        <v>133.12</v>
      </c>
      <c r="C926" s="28">
        <f t="shared" si="3"/>
        <v>199</v>
      </c>
      <c r="D926" s="28"/>
    </row>
    <row r="927">
      <c r="A927" s="145">
        <v>43786.0</v>
      </c>
      <c r="B927" s="54">
        <v>133.22</v>
      </c>
      <c r="C927" s="28">
        <f t="shared" si="3"/>
        <v>199</v>
      </c>
      <c r="D927" s="28"/>
    </row>
    <row r="928">
      <c r="A928" s="145">
        <v>44133.0</v>
      </c>
      <c r="B928" s="54">
        <v>133.32</v>
      </c>
      <c r="C928" s="28">
        <f t="shared" si="3"/>
        <v>199</v>
      </c>
      <c r="D928" s="28"/>
    </row>
    <row r="929">
      <c r="A929" s="145">
        <v>44708.0</v>
      </c>
      <c r="B929" s="54">
        <v>133.39</v>
      </c>
      <c r="C929" s="28">
        <f t="shared" si="3"/>
        <v>199</v>
      </c>
      <c r="D929" s="28"/>
    </row>
    <row r="930">
      <c r="A930" s="145">
        <v>43713.0</v>
      </c>
      <c r="B930" s="54">
        <v>133.44</v>
      </c>
      <c r="C930" s="28">
        <f t="shared" si="3"/>
        <v>199</v>
      </c>
      <c r="D930" s="28"/>
    </row>
    <row r="931">
      <c r="A931" s="145">
        <v>44264.0</v>
      </c>
      <c r="B931" s="54">
        <v>133.56</v>
      </c>
      <c r="C931" s="28">
        <f t="shared" si="3"/>
        <v>199</v>
      </c>
      <c r="D931" s="28"/>
    </row>
    <row r="932">
      <c r="A932" s="145">
        <v>44678.0</v>
      </c>
      <c r="B932" s="54">
        <v>133.64</v>
      </c>
      <c r="C932" s="28">
        <f t="shared" si="3"/>
        <v>199</v>
      </c>
      <c r="D932" s="28"/>
    </row>
    <row r="933">
      <c r="A933" s="145">
        <v>44310.0</v>
      </c>
      <c r="B933" s="54">
        <v>133.69</v>
      </c>
      <c r="C933" s="28">
        <f t="shared" si="3"/>
        <v>199</v>
      </c>
      <c r="D933" s="28"/>
    </row>
    <row r="934">
      <c r="A934" s="145">
        <v>44011.0</v>
      </c>
      <c r="B934" s="54">
        <v>133.77</v>
      </c>
      <c r="C934" s="28">
        <f t="shared" si="3"/>
        <v>199</v>
      </c>
      <c r="D934" s="28"/>
    </row>
    <row r="935">
      <c r="A935" s="145">
        <v>44223.0</v>
      </c>
      <c r="B935" s="54">
        <v>133.89</v>
      </c>
      <c r="C935" s="28">
        <f t="shared" si="3"/>
        <v>199</v>
      </c>
      <c r="D935" s="28"/>
    </row>
    <row r="936">
      <c r="A936" s="145">
        <v>43601.0</v>
      </c>
      <c r="B936" s="54">
        <v>134.0</v>
      </c>
      <c r="C936" s="28">
        <f t="shared" si="3"/>
        <v>199</v>
      </c>
      <c r="D936" s="28"/>
    </row>
    <row r="937">
      <c r="A937" s="145">
        <v>44702.0</v>
      </c>
      <c r="B937" s="54">
        <v>134.05</v>
      </c>
      <c r="C937" s="28">
        <f t="shared" si="3"/>
        <v>199</v>
      </c>
      <c r="D937" s="28"/>
    </row>
    <row r="938">
      <c r="A938" s="145">
        <v>43520.0</v>
      </c>
      <c r="B938" s="54">
        <v>134.09</v>
      </c>
      <c r="C938" s="28">
        <f t="shared" si="3"/>
        <v>199</v>
      </c>
      <c r="D938" s="28"/>
    </row>
    <row r="939">
      <c r="A939" s="145">
        <v>44612.0</v>
      </c>
      <c r="B939" s="54">
        <v>134.25</v>
      </c>
      <c r="C939" s="28">
        <f t="shared" si="3"/>
        <v>199</v>
      </c>
      <c r="D939" s="28"/>
    </row>
    <row r="940">
      <c r="A940" s="145">
        <v>44305.0</v>
      </c>
      <c r="B940" s="54">
        <v>134.26</v>
      </c>
      <c r="C940" s="28">
        <f t="shared" si="3"/>
        <v>199</v>
      </c>
      <c r="D940" s="28"/>
    </row>
    <row r="941">
      <c r="A941" s="145">
        <v>45714.0</v>
      </c>
      <c r="B941" s="54">
        <v>134.3</v>
      </c>
      <c r="C941" s="28">
        <f t="shared" si="3"/>
        <v>199</v>
      </c>
      <c r="D941" s="28"/>
    </row>
    <row r="942">
      <c r="A942" s="145">
        <v>44250.0</v>
      </c>
      <c r="B942" s="54">
        <v>134.32</v>
      </c>
      <c r="C942" s="28">
        <f t="shared" si="3"/>
        <v>199</v>
      </c>
      <c r="D942" s="28"/>
    </row>
    <row r="943">
      <c r="A943" s="145">
        <v>43506.0</v>
      </c>
      <c r="B943" s="54">
        <v>134.35</v>
      </c>
      <c r="C943" s="28">
        <f t="shared" si="3"/>
        <v>199</v>
      </c>
      <c r="D943" s="28"/>
    </row>
    <row r="944">
      <c r="A944" s="145">
        <v>43556.0</v>
      </c>
      <c r="B944" s="54">
        <v>134.43</v>
      </c>
      <c r="C944" s="28">
        <f t="shared" si="3"/>
        <v>199</v>
      </c>
      <c r="D944" s="28"/>
    </row>
    <row r="945">
      <c r="A945" s="145">
        <v>45746.0</v>
      </c>
      <c r="B945" s="54">
        <v>134.63</v>
      </c>
      <c r="C945" s="28">
        <f t="shared" si="3"/>
        <v>199</v>
      </c>
      <c r="D945" s="28"/>
    </row>
    <row r="946">
      <c r="A946" s="145">
        <v>44693.0</v>
      </c>
      <c r="B946" s="54">
        <v>134.84</v>
      </c>
      <c r="C946" s="28">
        <f t="shared" si="3"/>
        <v>199</v>
      </c>
      <c r="D946" s="28"/>
    </row>
    <row r="947">
      <c r="A947" s="145">
        <v>44703.0</v>
      </c>
      <c r="B947" s="54">
        <v>135.17</v>
      </c>
      <c r="C947" s="28">
        <f t="shared" si="3"/>
        <v>199</v>
      </c>
      <c r="D947" s="28"/>
    </row>
    <row r="948">
      <c r="A948" s="145">
        <v>43540.0</v>
      </c>
      <c r="B948" s="54">
        <v>135.29</v>
      </c>
      <c r="C948" s="28">
        <f t="shared" si="3"/>
        <v>199</v>
      </c>
      <c r="D948" s="28"/>
    </row>
    <row r="949">
      <c r="A949" s="145">
        <v>44141.0</v>
      </c>
      <c r="B949" s="54">
        <v>135.45</v>
      </c>
      <c r="C949" s="28">
        <f t="shared" si="3"/>
        <v>199</v>
      </c>
      <c r="D949" s="28"/>
    </row>
    <row r="950">
      <c r="A950" s="145">
        <v>44704.0</v>
      </c>
      <c r="B950" s="54">
        <v>135.52</v>
      </c>
      <c r="C950" s="28">
        <f t="shared" si="3"/>
        <v>199</v>
      </c>
      <c r="D950" s="28"/>
    </row>
    <row r="951">
      <c r="A951" s="145">
        <v>45623.0</v>
      </c>
      <c r="B951" s="54">
        <v>135.53</v>
      </c>
      <c r="C951" s="28">
        <f t="shared" si="3"/>
        <v>199</v>
      </c>
      <c r="D951" s="28"/>
    </row>
    <row r="952">
      <c r="A952" s="145">
        <v>43988.0</v>
      </c>
      <c r="B952" s="54">
        <v>135.82</v>
      </c>
      <c r="C952" s="28">
        <f t="shared" si="3"/>
        <v>199</v>
      </c>
      <c r="D952" s="28"/>
    </row>
    <row r="953">
      <c r="A953" s="145">
        <v>44054.0</v>
      </c>
      <c r="B953" s="54">
        <v>135.83</v>
      </c>
      <c r="C953" s="28">
        <f t="shared" si="3"/>
        <v>199</v>
      </c>
      <c r="D953" s="28"/>
    </row>
    <row r="954">
      <c r="A954" s="145">
        <v>44697.0</v>
      </c>
      <c r="B954" s="54">
        <v>135.91</v>
      </c>
      <c r="C954" s="28">
        <f t="shared" si="3"/>
        <v>199</v>
      </c>
      <c r="D954" s="28"/>
    </row>
    <row r="955">
      <c r="A955" s="145">
        <v>43618.0</v>
      </c>
      <c r="B955" s="54">
        <v>136.0</v>
      </c>
      <c r="C955" s="28">
        <f t="shared" si="3"/>
        <v>199</v>
      </c>
      <c r="D955" s="28"/>
    </row>
    <row r="956">
      <c r="A956" s="145">
        <v>44626.0</v>
      </c>
      <c r="B956" s="54">
        <v>136.07</v>
      </c>
      <c r="C956" s="28">
        <f t="shared" si="3"/>
        <v>199</v>
      </c>
      <c r="D956" s="28"/>
    </row>
    <row r="957">
      <c r="A957" s="145">
        <v>44012.0</v>
      </c>
      <c r="B957" s="54">
        <v>136.09</v>
      </c>
      <c r="C957" s="28">
        <f t="shared" si="3"/>
        <v>199</v>
      </c>
      <c r="D957" s="28"/>
    </row>
    <row r="958">
      <c r="A958" s="145">
        <v>43515.0</v>
      </c>
      <c r="B958" s="54">
        <v>136.11</v>
      </c>
      <c r="C958" s="28">
        <f t="shared" si="3"/>
        <v>199</v>
      </c>
      <c r="D958" s="28"/>
    </row>
    <row r="959">
      <c r="A959" s="145">
        <v>44017.0</v>
      </c>
      <c r="B959" s="54">
        <v>136.17</v>
      </c>
      <c r="C959" s="28">
        <f t="shared" si="3"/>
        <v>199</v>
      </c>
      <c r="D959" s="28"/>
    </row>
    <row r="960">
      <c r="A960" s="145">
        <v>43502.0</v>
      </c>
      <c r="B960" s="54">
        <v>136.27</v>
      </c>
      <c r="C960" s="28">
        <f t="shared" si="3"/>
        <v>199</v>
      </c>
      <c r="D960" s="28"/>
    </row>
    <row r="961">
      <c r="A961" s="145">
        <v>43985.0</v>
      </c>
      <c r="B961" s="54">
        <v>136.32</v>
      </c>
      <c r="C961" s="28">
        <f t="shared" si="3"/>
        <v>199</v>
      </c>
      <c r="D961" s="28"/>
    </row>
    <row r="962">
      <c r="A962" s="145">
        <v>44142.0</v>
      </c>
      <c r="B962" s="54">
        <v>136.33</v>
      </c>
      <c r="C962" s="28">
        <f t="shared" si="3"/>
        <v>199</v>
      </c>
      <c r="D962" s="28"/>
    </row>
    <row r="963">
      <c r="A963" s="145">
        <v>44221.0</v>
      </c>
      <c r="B963" s="54">
        <v>136.43</v>
      </c>
      <c r="C963" s="28">
        <f t="shared" si="3"/>
        <v>199</v>
      </c>
      <c r="D963" s="28"/>
    </row>
    <row r="964">
      <c r="A964" s="145">
        <v>44707.0</v>
      </c>
      <c r="B964" s="54">
        <v>136.51</v>
      </c>
      <c r="C964" s="28">
        <f t="shared" si="3"/>
        <v>199</v>
      </c>
      <c r="D964" s="28"/>
    </row>
    <row r="965">
      <c r="A965" s="145">
        <v>44130.0</v>
      </c>
      <c r="B965" s="54">
        <v>136.56</v>
      </c>
      <c r="C965" s="28">
        <f t="shared" si="3"/>
        <v>199</v>
      </c>
      <c r="D965" s="28"/>
    </row>
    <row r="966">
      <c r="A966" s="145">
        <v>44232.0</v>
      </c>
      <c r="B966" s="54">
        <v>136.61</v>
      </c>
      <c r="C966" s="28">
        <f t="shared" si="3"/>
        <v>199</v>
      </c>
      <c r="D966" s="28"/>
    </row>
    <row r="967">
      <c r="A967" s="145">
        <v>43754.0</v>
      </c>
      <c r="B967" s="54">
        <v>136.95</v>
      </c>
      <c r="C967" s="28">
        <f t="shared" si="3"/>
        <v>199</v>
      </c>
      <c r="D967" s="28"/>
    </row>
    <row r="968">
      <c r="A968" s="145">
        <v>44620.0</v>
      </c>
      <c r="B968" s="54">
        <v>137.1</v>
      </c>
      <c r="C968" s="28">
        <f t="shared" si="3"/>
        <v>199</v>
      </c>
      <c r="D968" s="28"/>
    </row>
    <row r="969">
      <c r="A969" s="145">
        <v>43719.0</v>
      </c>
      <c r="B969" s="54">
        <v>137.15</v>
      </c>
      <c r="C969" s="28">
        <f t="shared" si="3"/>
        <v>199</v>
      </c>
      <c r="D969" s="28"/>
    </row>
    <row r="970">
      <c r="A970" s="145">
        <v>45770.0</v>
      </c>
      <c r="B970" s="54">
        <v>137.21</v>
      </c>
      <c r="C970" s="28">
        <f t="shared" si="3"/>
        <v>199</v>
      </c>
      <c r="D970" s="28"/>
    </row>
    <row r="971">
      <c r="A971" s="145">
        <v>44709.0</v>
      </c>
      <c r="B971" s="54">
        <v>137.4</v>
      </c>
      <c r="C971" s="28">
        <f t="shared" si="3"/>
        <v>199</v>
      </c>
      <c r="D971" s="28"/>
    </row>
    <row r="972">
      <c r="A972" s="145">
        <v>43536.0</v>
      </c>
      <c r="B972" s="54">
        <v>137.59</v>
      </c>
      <c r="C972" s="28">
        <f t="shared" si="3"/>
        <v>199</v>
      </c>
      <c r="D972" s="28"/>
    </row>
    <row r="973">
      <c r="A973" s="145">
        <v>44278.0</v>
      </c>
      <c r="B973" s="54">
        <v>137.61</v>
      </c>
      <c r="C973" s="28">
        <f t="shared" si="3"/>
        <v>199</v>
      </c>
      <c r="D973" s="28"/>
    </row>
    <row r="974">
      <c r="A974" s="145">
        <v>44260.0</v>
      </c>
      <c r="B974" s="54">
        <v>137.88</v>
      </c>
      <c r="C974" s="28">
        <f t="shared" si="3"/>
        <v>199</v>
      </c>
      <c r="D974" s="28"/>
    </row>
    <row r="975">
      <c r="A975" s="145">
        <v>44730.0</v>
      </c>
      <c r="B975" s="54">
        <v>138.39</v>
      </c>
      <c r="C975" s="28">
        <f t="shared" si="3"/>
        <v>199</v>
      </c>
      <c r="D975" s="28"/>
    </row>
    <row r="976">
      <c r="A976" s="145">
        <v>44135.0</v>
      </c>
      <c r="B976" s="54">
        <v>138.43</v>
      </c>
      <c r="C976" s="28">
        <f t="shared" si="3"/>
        <v>199</v>
      </c>
      <c r="D976" s="28"/>
    </row>
    <row r="977">
      <c r="A977" s="145">
        <v>44147.0</v>
      </c>
      <c r="B977" s="54">
        <v>138.5</v>
      </c>
      <c r="C977" s="28">
        <f t="shared" si="3"/>
        <v>199</v>
      </c>
      <c r="D977" s="28"/>
    </row>
    <row r="978">
      <c r="A978" s="145">
        <v>45696.0</v>
      </c>
      <c r="B978" s="54">
        <v>138.59</v>
      </c>
      <c r="C978" s="28">
        <f t="shared" si="3"/>
        <v>199</v>
      </c>
      <c r="D978" s="28"/>
    </row>
    <row r="979">
      <c r="A979" s="145">
        <v>44671.0</v>
      </c>
      <c r="B979" s="54">
        <v>138.67</v>
      </c>
      <c r="C979" s="28">
        <f t="shared" si="3"/>
        <v>199</v>
      </c>
      <c r="D979" s="28"/>
    </row>
    <row r="980">
      <c r="A980" s="145">
        <v>43718.0</v>
      </c>
      <c r="B980" s="54">
        <v>138.74</v>
      </c>
      <c r="C980" s="28">
        <f t="shared" si="3"/>
        <v>199</v>
      </c>
      <c r="D980" s="28"/>
    </row>
    <row r="981">
      <c r="A981" s="145">
        <v>44705.0</v>
      </c>
      <c r="B981" s="54">
        <v>138.79</v>
      </c>
      <c r="C981" s="28">
        <f t="shared" si="3"/>
        <v>199</v>
      </c>
      <c r="D981" s="28"/>
    </row>
    <row r="982">
      <c r="A982" s="145">
        <v>44056.0</v>
      </c>
      <c r="B982" s="54">
        <v>138.87</v>
      </c>
      <c r="C982" s="28">
        <f t="shared" si="3"/>
        <v>199</v>
      </c>
      <c r="D982" s="28"/>
    </row>
    <row r="983">
      <c r="A983" s="145">
        <v>44262.0</v>
      </c>
      <c r="B983" s="54">
        <v>138.97</v>
      </c>
      <c r="C983" s="28">
        <f t="shared" si="3"/>
        <v>199</v>
      </c>
      <c r="D983" s="28"/>
    </row>
    <row r="984">
      <c r="A984" s="145">
        <v>43951.0</v>
      </c>
      <c r="B984" s="54">
        <v>139.0</v>
      </c>
      <c r="C984" s="28">
        <f t="shared" si="3"/>
        <v>199</v>
      </c>
      <c r="D984" s="28"/>
    </row>
    <row r="985">
      <c r="A985" s="145">
        <v>44138.0</v>
      </c>
      <c r="B985" s="54">
        <v>139.24</v>
      </c>
      <c r="C985" s="28">
        <f t="shared" si="3"/>
        <v>199</v>
      </c>
      <c r="D985" s="28"/>
    </row>
    <row r="986">
      <c r="A986" s="145">
        <v>45678.0</v>
      </c>
      <c r="B986" s="54">
        <v>139.26</v>
      </c>
      <c r="C986" s="28">
        <f t="shared" si="3"/>
        <v>199</v>
      </c>
      <c r="D986" s="28"/>
    </row>
    <row r="987">
      <c r="A987" s="145">
        <v>44129.0</v>
      </c>
      <c r="B987" s="54">
        <v>139.34</v>
      </c>
      <c r="C987" s="28">
        <f t="shared" si="3"/>
        <v>199</v>
      </c>
      <c r="D987" s="28"/>
    </row>
    <row r="988">
      <c r="A988" s="145">
        <v>45638.0</v>
      </c>
      <c r="B988" s="54">
        <v>139.52</v>
      </c>
      <c r="C988" s="28">
        <f t="shared" si="3"/>
        <v>199</v>
      </c>
      <c r="D988" s="28"/>
    </row>
    <row r="989">
      <c r="A989" s="145">
        <v>44714.0</v>
      </c>
      <c r="B989" s="54">
        <v>139.57</v>
      </c>
      <c r="C989" s="28">
        <f t="shared" si="3"/>
        <v>199</v>
      </c>
      <c r="D989" s="28"/>
    </row>
    <row r="990">
      <c r="A990" s="145">
        <v>44685.0</v>
      </c>
      <c r="B990" s="54">
        <v>139.68</v>
      </c>
      <c r="C990" s="28">
        <f t="shared" si="3"/>
        <v>199</v>
      </c>
      <c r="D990" s="28"/>
    </row>
    <row r="991">
      <c r="A991" s="145">
        <v>44067.0</v>
      </c>
      <c r="B991" s="54">
        <v>139.85</v>
      </c>
      <c r="C991" s="28">
        <f t="shared" si="3"/>
        <v>199</v>
      </c>
      <c r="D991" s="28"/>
    </row>
    <row r="992">
      <c r="A992" s="145">
        <v>43972.0</v>
      </c>
      <c r="B992" s="54">
        <v>140.31</v>
      </c>
      <c r="C992" s="28">
        <f t="shared" si="3"/>
        <v>199</v>
      </c>
      <c r="D992" s="28"/>
    </row>
    <row r="993">
      <c r="A993" s="145">
        <v>44224.0</v>
      </c>
      <c r="B993" s="54">
        <v>140.49</v>
      </c>
      <c r="C993" s="28">
        <f t="shared" si="3"/>
        <v>199</v>
      </c>
      <c r="D993" s="28"/>
    </row>
    <row r="994">
      <c r="A994" s="145">
        <v>44111.0</v>
      </c>
      <c r="B994" s="54">
        <v>140.87</v>
      </c>
      <c r="C994" s="28">
        <f t="shared" si="3"/>
        <v>199</v>
      </c>
      <c r="D994" s="28"/>
    </row>
    <row r="995">
      <c r="A995" s="145">
        <v>44720.0</v>
      </c>
      <c r="B995" s="54">
        <v>140.96</v>
      </c>
      <c r="C995" s="28">
        <f t="shared" si="3"/>
        <v>199</v>
      </c>
      <c r="D995" s="28"/>
    </row>
    <row r="996">
      <c r="A996" s="145">
        <v>43526.0</v>
      </c>
      <c r="B996" s="54">
        <v>141.28</v>
      </c>
      <c r="C996" s="28">
        <f t="shared" si="3"/>
        <v>199</v>
      </c>
      <c r="D996" s="28"/>
    </row>
    <row r="997">
      <c r="A997" s="145">
        <v>44630.0</v>
      </c>
      <c r="B997" s="54">
        <v>141.46</v>
      </c>
      <c r="C997" s="28">
        <f t="shared" si="3"/>
        <v>199</v>
      </c>
      <c r="D997" s="28"/>
    </row>
    <row r="998">
      <c r="A998" s="145">
        <v>43986.0</v>
      </c>
      <c r="B998" s="54">
        <v>141.64</v>
      </c>
      <c r="C998" s="28">
        <f t="shared" si="3"/>
        <v>199</v>
      </c>
      <c r="D998" s="28"/>
    </row>
    <row r="999">
      <c r="A999" s="145">
        <v>44144.0</v>
      </c>
      <c r="B999" s="54">
        <v>141.7</v>
      </c>
      <c r="C999" s="28">
        <f t="shared" si="3"/>
        <v>199</v>
      </c>
      <c r="D999" s="28"/>
    </row>
    <row r="1000">
      <c r="A1000" s="145">
        <v>44240.0</v>
      </c>
      <c r="B1000" s="54">
        <v>141.81</v>
      </c>
      <c r="C1000" s="28">
        <f t="shared" si="3"/>
        <v>199</v>
      </c>
      <c r="D1000" s="28"/>
    </row>
    <row r="1001">
      <c r="A1001" s="145">
        <v>43977.0</v>
      </c>
      <c r="B1001" s="54">
        <v>141.93</v>
      </c>
      <c r="C1001" s="28">
        <f t="shared" si="3"/>
        <v>199</v>
      </c>
      <c r="D1001" s="28"/>
    </row>
    <row r="1002">
      <c r="A1002" s="145">
        <v>44688.0</v>
      </c>
      <c r="B1002" s="54">
        <v>142.2</v>
      </c>
      <c r="C1002" s="28">
        <f t="shared" si="3"/>
        <v>199</v>
      </c>
      <c r="D1002" s="28"/>
    </row>
    <row r="1003">
      <c r="A1003" s="145">
        <v>44126.0</v>
      </c>
      <c r="B1003" s="54">
        <v>142.33</v>
      </c>
      <c r="C1003" s="28">
        <f t="shared" si="3"/>
        <v>199</v>
      </c>
      <c r="D1003" s="28"/>
    </row>
    <row r="1004">
      <c r="A1004" s="145">
        <v>44087.0</v>
      </c>
      <c r="B1004" s="54">
        <v>142.34</v>
      </c>
      <c r="C1004" s="28">
        <f t="shared" si="3"/>
        <v>199</v>
      </c>
      <c r="D1004" s="28"/>
    </row>
    <row r="1005">
      <c r="A1005" s="145">
        <v>45745.0</v>
      </c>
      <c r="B1005" s="54">
        <v>142.51</v>
      </c>
      <c r="C1005" s="28">
        <f t="shared" si="3"/>
        <v>199</v>
      </c>
      <c r="D1005" s="28"/>
    </row>
    <row r="1006">
      <c r="A1006" s="145">
        <v>44107.0</v>
      </c>
      <c r="B1006" s="54">
        <v>142.61</v>
      </c>
      <c r="C1006" s="28">
        <f t="shared" si="3"/>
        <v>199</v>
      </c>
      <c r="D1006" s="28"/>
    </row>
    <row r="1007">
      <c r="A1007" s="145">
        <v>43907.0</v>
      </c>
      <c r="B1007" s="54">
        <v>142.76</v>
      </c>
      <c r="C1007" s="28">
        <f t="shared" si="3"/>
        <v>199</v>
      </c>
      <c r="D1007" s="28"/>
    </row>
    <row r="1008">
      <c r="A1008" s="54">
        <v>44670.0</v>
      </c>
      <c r="B1008" s="54">
        <v>143.0</v>
      </c>
      <c r="C1008" s="28">
        <f t="shared" si="3"/>
        <v>199</v>
      </c>
      <c r="D1008" s="28"/>
    </row>
    <row r="1009">
      <c r="A1009" s="145">
        <v>44146.0</v>
      </c>
      <c r="B1009" s="54">
        <v>143.2</v>
      </c>
      <c r="C1009" s="28">
        <f t="shared" si="3"/>
        <v>199</v>
      </c>
      <c r="D1009" s="28"/>
    </row>
    <row r="1010">
      <c r="A1010" s="145">
        <v>44070.0</v>
      </c>
      <c r="B1010" s="54">
        <v>143.23</v>
      </c>
      <c r="C1010" s="28">
        <f t="shared" si="3"/>
        <v>199</v>
      </c>
      <c r="D1010" s="28"/>
    </row>
    <row r="1011">
      <c r="A1011" s="145">
        <v>43950.0</v>
      </c>
      <c r="B1011" s="54">
        <v>143.39</v>
      </c>
      <c r="C1011" s="28">
        <f t="shared" si="3"/>
        <v>199</v>
      </c>
      <c r="D1011" s="28"/>
    </row>
    <row r="1012">
      <c r="A1012" s="145">
        <v>44131.0</v>
      </c>
      <c r="B1012" s="54">
        <v>143.4</v>
      </c>
      <c r="C1012" s="28">
        <f t="shared" si="3"/>
        <v>199</v>
      </c>
      <c r="D1012" s="28"/>
    </row>
    <row r="1013">
      <c r="A1013" s="145">
        <v>44236.0</v>
      </c>
      <c r="B1013" s="54">
        <v>143.75</v>
      </c>
      <c r="C1013" s="28">
        <f t="shared" si="3"/>
        <v>199</v>
      </c>
      <c r="D1013" s="28"/>
    </row>
    <row r="1014">
      <c r="A1014" s="145">
        <v>44641.0</v>
      </c>
      <c r="B1014" s="54">
        <v>143.81</v>
      </c>
      <c r="C1014" s="28">
        <f t="shared" si="3"/>
        <v>199</v>
      </c>
      <c r="D1014" s="28"/>
    </row>
    <row r="1015">
      <c r="A1015" s="145">
        <v>43967.0</v>
      </c>
      <c r="B1015" s="54">
        <v>143.83</v>
      </c>
      <c r="C1015" s="28">
        <f t="shared" si="3"/>
        <v>199</v>
      </c>
      <c r="D1015" s="28"/>
    </row>
    <row r="1016">
      <c r="A1016" s="145">
        <v>45734.0</v>
      </c>
      <c r="B1016" s="54">
        <v>143.87</v>
      </c>
      <c r="C1016" s="28">
        <f t="shared" si="3"/>
        <v>199</v>
      </c>
      <c r="D1016" s="28"/>
    </row>
    <row r="1017">
      <c r="A1017" s="145">
        <v>44125.0</v>
      </c>
      <c r="B1017" s="54">
        <v>143.89</v>
      </c>
      <c r="C1017" s="28">
        <f t="shared" si="3"/>
        <v>199</v>
      </c>
      <c r="D1017" s="28"/>
    </row>
    <row r="1018">
      <c r="A1018" s="145">
        <v>43533.0</v>
      </c>
      <c r="B1018" s="54">
        <v>144.08</v>
      </c>
      <c r="C1018" s="28">
        <f t="shared" si="3"/>
        <v>199</v>
      </c>
      <c r="D1018" s="28"/>
    </row>
    <row r="1019">
      <c r="A1019" s="145">
        <v>43567.0</v>
      </c>
      <c r="B1019" s="54">
        <v>144.38</v>
      </c>
      <c r="C1019" s="28">
        <f t="shared" si="3"/>
        <v>199</v>
      </c>
      <c r="D1019" s="28"/>
    </row>
    <row r="1020">
      <c r="A1020" s="145">
        <v>44116.0</v>
      </c>
      <c r="B1020" s="54">
        <v>144.53</v>
      </c>
      <c r="C1020" s="28">
        <f t="shared" si="3"/>
        <v>199</v>
      </c>
      <c r="D1020" s="28"/>
    </row>
    <row r="1021">
      <c r="A1021" s="145">
        <v>44243.0</v>
      </c>
      <c r="B1021" s="54">
        <v>144.71</v>
      </c>
      <c r="C1021" s="28">
        <f t="shared" si="3"/>
        <v>199</v>
      </c>
      <c r="D1021" s="28"/>
    </row>
    <row r="1022">
      <c r="A1022" s="145">
        <v>44109.0</v>
      </c>
      <c r="B1022" s="54">
        <v>144.81</v>
      </c>
      <c r="C1022" s="28">
        <f t="shared" si="3"/>
        <v>199</v>
      </c>
      <c r="D1022" s="28"/>
    </row>
    <row r="1023">
      <c r="A1023" s="145">
        <v>44145.0</v>
      </c>
      <c r="B1023" s="54">
        <v>144.97</v>
      </c>
      <c r="C1023" s="28">
        <f t="shared" si="3"/>
        <v>199</v>
      </c>
      <c r="D1023" s="28"/>
    </row>
    <row r="1024">
      <c r="A1024" s="145">
        <v>44631.0</v>
      </c>
      <c r="B1024" s="54">
        <v>145.0</v>
      </c>
      <c r="C1024" s="28">
        <f t="shared" si="3"/>
        <v>199</v>
      </c>
      <c r="D1024" s="28"/>
    </row>
    <row r="1025">
      <c r="A1025" s="145">
        <v>44134.0</v>
      </c>
      <c r="B1025" s="54">
        <v>145.1</v>
      </c>
      <c r="C1025" s="28">
        <f t="shared" si="3"/>
        <v>199</v>
      </c>
      <c r="D1025" s="28"/>
    </row>
    <row r="1026">
      <c r="A1026" s="145">
        <v>44669.0</v>
      </c>
      <c r="B1026" s="54">
        <v>145.12</v>
      </c>
      <c r="C1026" s="28">
        <f t="shared" si="3"/>
        <v>199</v>
      </c>
      <c r="D1026" s="28"/>
    </row>
    <row r="1027">
      <c r="A1027" s="145">
        <v>44643.0</v>
      </c>
      <c r="B1027" s="54">
        <v>145.43</v>
      </c>
      <c r="C1027" s="28">
        <f t="shared" si="3"/>
        <v>199</v>
      </c>
      <c r="D1027" s="28"/>
    </row>
    <row r="1028">
      <c r="A1028" s="145">
        <v>44102.0</v>
      </c>
      <c r="B1028" s="54">
        <v>145.44</v>
      </c>
      <c r="C1028" s="28">
        <f t="shared" si="3"/>
        <v>199</v>
      </c>
      <c r="D1028" s="28"/>
    </row>
    <row r="1029">
      <c r="A1029" s="145">
        <v>43747.0</v>
      </c>
      <c r="B1029" s="54">
        <v>145.58</v>
      </c>
      <c r="C1029" s="28">
        <f t="shared" si="3"/>
        <v>199</v>
      </c>
      <c r="D1029" s="28"/>
    </row>
    <row r="1030">
      <c r="A1030" s="145">
        <v>44632.0</v>
      </c>
      <c r="B1030" s="54">
        <v>145.6</v>
      </c>
      <c r="C1030" s="28">
        <f t="shared" si="3"/>
        <v>199</v>
      </c>
      <c r="D1030" s="28"/>
    </row>
    <row r="1031">
      <c r="A1031" s="145">
        <v>44615.0</v>
      </c>
      <c r="B1031" s="54">
        <v>145.73</v>
      </c>
      <c r="C1031" s="28">
        <f t="shared" si="3"/>
        <v>199</v>
      </c>
      <c r="D1031" s="28"/>
    </row>
    <row r="1032">
      <c r="A1032" s="145">
        <v>45645.0</v>
      </c>
      <c r="B1032" s="54">
        <v>145.86</v>
      </c>
      <c r="C1032" s="28">
        <f t="shared" si="3"/>
        <v>199</v>
      </c>
      <c r="D1032" s="28"/>
    </row>
    <row r="1033">
      <c r="A1033" s="145">
        <v>44137.0</v>
      </c>
      <c r="B1033" s="54">
        <v>146.02</v>
      </c>
      <c r="C1033" s="28">
        <f t="shared" si="3"/>
        <v>199</v>
      </c>
      <c r="D1033" s="28"/>
    </row>
    <row r="1034">
      <c r="A1034" s="145">
        <v>43570.0</v>
      </c>
      <c r="B1034" s="54">
        <v>146.08</v>
      </c>
      <c r="C1034" s="28">
        <f t="shared" si="3"/>
        <v>199</v>
      </c>
      <c r="D1034" s="28"/>
    </row>
    <row r="1035">
      <c r="A1035" s="145">
        <v>44105.0</v>
      </c>
      <c r="B1035" s="54">
        <v>146.09</v>
      </c>
      <c r="C1035" s="28">
        <f t="shared" si="3"/>
        <v>199</v>
      </c>
      <c r="D1035" s="28"/>
    </row>
    <row r="1036">
      <c r="A1036" s="145">
        <v>44652.0</v>
      </c>
      <c r="B1036" s="54">
        <v>146.13</v>
      </c>
      <c r="C1036" s="28">
        <f t="shared" si="3"/>
        <v>199</v>
      </c>
      <c r="D1036" s="28"/>
    </row>
    <row r="1037">
      <c r="A1037" s="145">
        <v>44721.0</v>
      </c>
      <c r="B1037" s="54">
        <v>146.19</v>
      </c>
      <c r="C1037" s="28">
        <f t="shared" si="3"/>
        <v>199</v>
      </c>
      <c r="D1037" s="28"/>
    </row>
    <row r="1038">
      <c r="A1038" s="145">
        <v>44139.0</v>
      </c>
      <c r="B1038" s="54">
        <v>146.57</v>
      </c>
      <c r="C1038" s="28">
        <f t="shared" si="3"/>
        <v>199</v>
      </c>
      <c r="D1038" s="28"/>
    </row>
    <row r="1039">
      <c r="A1039" s="145">
        <v>43505.0</v>
      </c>
      <c r="B1039" s="54">
        <v>146.76</v>
      </c>
      <c r="C1039" s="28">
        <f t="shared" si="3"/>
        <v>199</v>
      </c>
      <c r="D1039" s="28"/>
    </row>
    <row r="1040">
      <c r="A1040" s="145">
        <v>43928.0</v>
      </c>
      <c r="B1040" s="54">
        <v>146.81</v>
      </c>
      <c r="C1040" s="28">
        <f t="shared" si="3"/>
        <v>199</v>
      </c>
      <c r="D1040" s="28"/>
    </row>
    <row r="1041">
      <c r="A1041" s="145">
        <v>43981.0</v>
      </c>
      <c r="B1041" s="54">
        <v>146.81</v>
      </c>
      <c r="C1041" s="28">
        <f t="shared" si="3"/>
        <v>199</v>
      </c>
      <c r="D1041" s="28"/>
    </row>
    <row r="1042">
      <c r="A1042" s="145">
        <v>45669.0</v>
      </c>
      <c r="B1042" s="54">
        <v>146.93</v>
      </c>
      <c r="C1042" s="28">
        <f t="shared" si="3"/>
        <v>199</v>
      </c>
      <c r="D1042" s="28"/>
    </row>
    <row r="1043">
      <c r="A1043" s="145">
        <v>44113.0</v>
      </c>
      <c r="B1043" s="54">
        <v>147.08</v>
      </c>
      <c r="C1043" s="28">
        <f t="shared" si="3"/>
        <v>199</v>
      </c>
      <c r="D1043" s="28"/>
    </row>
    <row r="1044">
      <c r="A1044" s="145">
        <v>44127.0</v>
      </c>
      <c r="B1044" s="54">
        <v>147.1</v>
      </c>
      <c r="C1044" s="28">
        <f t="shared" si="3"/>
        <v>199</v>
      </c>
      <c r="D1044" s="28"/>
    </row>
    <row r="1045">
      <c r="A1045" s="145">
        <v>43905.0</v>
      </c>
      <c r="B1045" s="54">
        <v>147.2</v>
      </c>
      <c r="C1045" s="28">
        <f t="shared" si="3"/>
        <v>199</v>
      </c>
      <c r="D1045" s="28"/>
    </row>
    <row r="1046">
      <c r="A1046" s="145">
        <v>44128.0</v>
      </c>
      <c r="B1046" s="54">
        <v>147.5</v>
      </c>
      <c r="C1046" s="28">
        <f t="shared" si="3"/>
        <v>199</v>
      </c>
      <c r="D1046" s="28"/>
    </row>
    <row r="1047">
      <c r="A1047" s="145">
        <v>45750.0</v>
      </c>
      <c r="B1047" s="54">
        <v>147.76</v>
      </c>
      <c r="C1047" s="28">
        <f t="shared" si="3"/>
        <v>199</v>
      </c>
      <c r="D1047" s="28"/>
    </row>
    <row r="1048">
      <c r="A1048" s="145">
        <v>44101.0</v>
      </c>
      <c r="B1048" s="54">
        <v>148.08</v>
      </c>
      <c r="C1048" s="28">
        <f t="shared" si="3"/>
        <v>199</v>
      </c>
      <c r="D1048" s="28"/>
    </row>
    <row r="1049">
      <c r="A1049" s="145">
        <v>44644.0</v>
      </c>
      <c r="B1049" s="54">
        <v>148.18</v>
      </c>
      <c r="C1049" s="28">
        <f t="shared" si="3"/>
        <v>199</v>
      </c>
      <c r="D1049" s="28"/>
    </row>
    <row r="1050">
      <c r="A1050" s="145">
        <v>43554.0</v>
      </c>
      <c r="B1050" s="54">
        <v>148.23</v>
      </c>
      <c r="C1050" s="28">
        <f t="shared" si="3"/>
        <v>199</v>
      </c>
      <c r="D1050" s="28"/>
    </row>
    <row r="1051">
      <c r="A1051" s="145">
        <v>43903.0</v>
      </c>
      <c r="B1051" s="54">
        <v>148.4</v>
      </c>
      <c r="C1051" s="28">
        <f t="shared" si="3"/>
        <v>199</v>
      </c>
      <c r="D1051" s="28"/>
    </row>
    <row r="1052">
      <c r="A1052" s="145">
        <v>45680.0</v>
      </c>
      <c r="B1052" s="54">
        <v>148.54</v>
      </c>
      <c r="C1052" s="28">
        <f t="shared" si="3"/>
        <v>199</v>
      </c>
      <c r="D1052" s="28"/>
    </row>
    <row r="1053">
      <c r="A1053" s="145">
        <v>45744.0</v>
      </c>
      <c r="B1053" s="54">
        <v>148.58</v>
      </c>
      <c r="C1053" s="28">
        <f t="shared" si="3"/>
        <v>199</v>
      </c>
      <c r="D1053" s="28"/>
    </row>
    <row r="1054">
      <c r="A1054" s="145">
        <v>43793.0</v>
      </c>
      <c r="B1054" s="54">
        <v>148.94</v>
      </c>
      <c r="C1054" s="28">
        <f t="shared" si="3"/>
        <v>199</v>
      </c>
      <c r="D1054" s="28"/>
    </row>
    <row r="1055">
      <c r="A1055" s="145">
        <v>44115.0</v>
      </c>
      <c r="B1055" s="54">
        <v>149.04</v>
      </c>
      <c r="C1055" s="28">
        <f t="shared" si="3"/>
        <v>199</v>
      </c>
      <c r="D1055" s="28"/>
    </row>
    <row r="1056">
      <c r="A1056" s="145">
        <v>43933.0</v>
      </c>
      <c r="B1056" s="54">
        <v>149.1</v>
      </c>
      <c r="C1056" s="28">
        <f t="shared" si="3"/>
        <v>199</v>
      </c>
      <c r="D1056" s="28"/>
    </row>
    <row r="1057">
      <c r="A1057" s="145">
        <v>43909.0</v>
      </c>
      <c r="B1057" s="54">
        <v>149.16</v>
      </c>
      <c r="C1057" s="28">
        <f t="shared" si="3"/>
        <v>199</v>
      </c>
      <c r="D1057" s="28"/>
    </row>
    <row r="1058">
      <c r="A1058" s="145">
        <v>43531.0</v>
      </c>
      <c r="B1058" s="54">
        <v>149.27</v>
      </c>
      <c r="C1058" s="28">
        <f t="shared" si="3"/>
        <v>199</v>
      </c>
      <c r="D1058" s="28"/>
    </row>
    <row r="1059">
      <c r="A1059" s="145">
        <v>44104.0</v>
      </c>
      <c r="B1059" s="54">
        <v>149.29</v>
      </c>
      <c r="C1059" s="28">
        <f t="shared" si="3"/>
        <v>199</v>
      </c>
      <c r="D1059" s="28"/>
    </row>
    <row r="1060">
      <c r="A1060" s="145">
        <v>43940.0</v>
      </c>
      <c r="B1060" s="54">
        <v>149.34</v>
      </c>
      <c r="C1060" s="28">
        <f t="shared" si="3"/>
        <v>199</v>
      </c>
      <c r="D1060" s="28"/>
    </row>
    <row r="1061">
      <c r="A1061" s="145">
        <v>44201.0</v>
      </c>
      <c r="B1061" s="54">
        <v>149.34</v>
      </c>
      <c r="C1061" s="28">
        <f t="shared" si="3"/>
        <v>199</v>
      </c>
      <c r="D1061" s="28"/>
    </row>
    <row r="1062">
      <c r="A1062" s="145">
        <v>44140.0</v>
      </c>
      <c r="B1062" s="54">
        <v>149.54</v>
      </c>
      <c r="C1062" s="28">
        <f t="shared" si="3"/>
        <v>199</v>
      </c>
      <c r="D1062" s="28"/>
    </row>
    <row r="1063">
      <c r="A1063" s="145">
        <v>44114.0</v>
      </c>
      <c r="B1063" s="54">
        <v>149.68</v>
      </c>
      <c r="C1063" s="28">
        <f t="shared" si="3"/>
        <v>199</v>
      </c>
      <c r="D1063" s="28"/>
    </row>
    <row r="1064">
      <c r="A1064" s="145">
        <v>44241.0</v>
      </c>
      <c r="B1064" s="54">
        <v>149.75</v>
      </c>
      <c r="C1064" s="28">
        <f t="shared" si="3"/>
        <v>199</v>
      </c>
      <c r="D1064" s="28"/>
    </row>
    <row r="1065">
      <c r="A1065" s="145">
        <v>43517.0</v>
      </c>
      <c r="B1065" s="54">
        <v>150.37</v>
      </c>
      <c r="C1065" s="28">
        <f t="shared" si="3"/>
        <v>199</v>
      </c>
      <c r="D1065" s="28"/>
    </row>
    <row r="1066">
      <c r="A1066" s="145">
        <v>44122.0</v>
      </c>
      <c r="B1066" s="54">
        <v>150.39</v>
      </c>
      <c r="C1066" s="28">
        <f t="shared" si="3"/>
        <v>199</v>
      </c>
      <c r="D1066" s="28"/>
    </row>
    <row r="1067">
      <c r="A1067" s="145">
        <v>44103.0</v>
      </c>
      <c r="B1067" s="54">
        <v>150.84</v>
      </c>
      <c r="C1067" s="28">
        <f t="shared" si="3"/>
        <v>199</v>
      </c>
      <c r="D1067" s="28"/>
    </row>
    <row r="1068">
      <c r="A1068" s="145">
        <v>44601.0</v>
      </c>
      <c r="B1068" s="54">
        <v>151.4</v>
      </c>
      <c r="C1068" s="28">
        <f t="shared" si="3"/>
        <v>199</v>
      </c>
      <c r="D1068" s="28"/>
    </row>
    <row r="1069">
      <c r="A1069" s="145">
        <v>44657.0</v>
      </c>
      <c r="B1069" s="54">
        <v>151.41</v>
      </c>
      <c r="C1069" s="28">
        <f t="shared" si="3"/>
        <v>199</v>
      </c>
      <c r="D1069" s="28"/>
    </row>
    <row r="1070">
      <c r="A1070" s="145">
        <v>44106.0</v>
      </c>
      <c r="B1070" s="54">
        <v>151.58</v>
      </c>
      <c r="C1070" s="28">
        <f t="shared" si="3"/>
        <v>199</v>
      </c>
      <c r="D1070" s="28"/>
    </row>
    <row r="1071">
      <c r="A1071" s="145">
        <v>44202.0</v>
      </c>
      <c r="B1071" s="54">
        <v>151.59</v>
      </c>
      <c r="C1071" s="28">
        <f t="shared" si="3"/>
        <v>199</v>
      </c>
      <c r="D1071" s="28"/>
    </row>
    <row r="1072">
      <c r="A1072" s="145">
        <v>43906.0</v>
      </c>
      <c r="B1072" s="54">
        <v>151.61</v>
      </c>
      <c r="C1072" s="28">
        <f t="shared" si="3"/>
        <v>199</v>
      </c>
      <c r="D1072" s="28"/>
    </row>
    <row r="1073">
      <c r="A1073" s="145">
        <v>43974.0</v>
      </c>
      <c r="B1073" s="54">
        <v>151.64</v>
      </c>
      <c r="C1073" s="28">
        <f t="shared" si="3"/>
        <v>199</v>
      </c>
      <c r="D1073" s="28"/>
    </row>
    <row r="1074">
      <c r="A1074" s="145">
        <v>44640.0</v>
      </c>
      <c r="B1074" s="54">
        <v>151.81</v>
      </c>
      <c r="C1074" s="28">
        <f t="shared" si="3"/>
        <v>199</v>
      </c>
      <c r="D1074" s="28"/>
    </row>
    <row r="1075">
      <c r="A1075" s="145">
        <v>44266.0</v>
      </c>
      <c r="B1075" s="54">
        <v>151.86</v>
      </c>
      <c r="C1075" s="28">
        <f t="shared" si="3"/>
        <v>199</v>
      </c>
      <c r="D1075" s="28"/>
    </row>
    <row r="1076">
      <c r="A1076" s="145">
        <v>44634.0</v>
      </c>
      <c r="B1076" s="54">
        <v>152.15</v>
      </c>
      <c r="C1076" s="28">
        <f t="shared" si="3"/>
        <v>199</v>
      </c>
      <c r="D1076" s="28"/>
    </row>
    <row r="1077">
      <c r="A1077" s="145">
        <v>44120.0</v>
      </c>
      <c r="B1077" s="54">
        <v>152.18</v>
      </c>
      <c r="C1077" s="28">
        <f t="shared" si="3"/>
        <v>199</v>
      </c>
      <c r="D1077" s="28"/>
    </row>
    <row r="1078">
      <c r="A1078" s="145">
        <v>43501.0</v>
      </c>
      <c r="B1078" s="54">
        <v>152.31</v>
      </c>
      <c r="C1078" s="28">
        <f t="shared" si="3"/>
        <v>199</v>
      </c>
      <c r="D1078" s="28"/>
    </row>
    <row r="1079">
      <c r="A1079" s="145">
        <v>45788.0</v>
      </c>
      <c r="B1079" s="54">
        <v>152.39</v>
      </c>
      <c r="C1079" s="28">
        <f t="shared" si="3"/>
        <v>199</v>
      </c>
      <c r="D1079" s="28"/>
    </row>
    <row r="1080">
      <c r="A1080" s="145">
        <v>44272.0</v>
      </c>
      <c r="B1080" s="54">
        <v>152.49</v>
      </c>
      <c r="C1080" s="28">
        <f t="shared" si="3"/>
        <v>199</v>
      </c>
      <c r="D1080" s="28"/>
    </row>
    <row r="1081">
      <c r="A1081" s="145">
        <v>43902.0</v>
      </c>
      <c r="B1081" s="54">
        <v>152.86</v>
      </c>
      <c r="C1081" s="28">
        <f t="shared" si="3"/>
        <v>199</v>
      </c>
      <c r="D1081" s="28"/>
    </row>
    <row r="1082">
      <c r="A1082" s="145">
        <v>43939.0</v>
      </c>
      <c r="B1082" s="54">
        <v>152.97</v>
      </c>
      <c r="C1082" s="28">
        <f t="shared" si="3"/>
        <v>199</v>
      </c>
      <c r="D1082" s="28"/>
    </row>
    <row r="1083">
      <c r="A1083" s="145">
        <v>44124.0</v>
      </c>
      <c r="B1083" s="54">
        <v>153.3</v>
      </c>
      <c r="C1083" s="28">
        <f t="shared" si="3"/>
        <v>199</v>
      </c>
      <c r="D1083" s="28"/>
    </row>
    <row r="1084">
      <c r="A1084" s="145">
        <v>43934.0</v>
      </c>
      <c r="B1084" s="54">
        <v>153.33</v>
      </c>
      <c r="C1084" s="28">
        <f t="shared" si="3"/>
        <v>199</v>
      </c>
      <c r="D1084" s="28"/>
    </row>
    <row r="1085">
      <c r="A1085" s="145">
        <v>43925.0</v>
      </c>
      <c r="B1085" s="54">
        <v>153.93</v>
      </c>
      <c r="C1085" s="28">
        <f t="shared" si="3"/>
        <v>199</v>
      </c>
      <c r="D1085" s="28"/>
    </row>
    <row r="1086">
      <c r="A1086" s="145">
        <v>44108.0</v>
      </c>
      <c r="B1086" s="54">
        <v>153.94</v>
      </c>
      <c r="C1086" s="28">
        <f t="shared" si="3"/>
        <v>199</v>
      </c>
      <c r="D1086" s="28"/>
    </row>
    <row r="1087">
      <c r="A1087" s="145">
        <v>44022.0</v>
      </c>
      <c r="B1087" s="54">
        <v>154.36</v>
      </c>
      <c r="C1087" s="28">
        <f t="shared" si="3"/>
        <v>199</v>
      </c>
      <c r="D1087" s="28"/>
    </row>
    <row r="1088">
      <c r="A1088" s="145">
        <v>43901.0</v>
      </c>
      <c r="B1088" s="54">
        <v>154.78</v>
      </c>
      <c r="C1088" s="28">
        <f t="shared" si="3"/>
        <v>199</v>
      </c>
      <c r="D1088" s="28"/>
    </row>
    <row r="1089">
      <c r="A1089" s="145">
        <v>44625.0</v>
      </c>
      <c r="B1089" s="54">
        <v>154.79</v>
      </c>
      <c r="C1089" s="28">
        <f t="shared" si="3"/>
        <v>199</v>
      </c>
      <c r="D1089" s="28"/>
    </row>
    <row r="1090">
      <c r="A1090" s="145">
        <v>43716.0</v>
      </c>
      <c r="B1090" s="54">
        <v>154.81</v>
      </c>
      <c r="C1090" s="28">
        <f t="shared" si="3"/>
        <v>199</v>
      </c>
      <c r="D1090" s="28"/>
    </row>
    <row r="1091">
      <c r="A1091" s="145">
        <v>44607.0</v>
      </c>
      <c r="B1091" s="54">
        <v>155.08</v>
      </c>
      <c r="C1091" s="28">
        <f t="shared" si="3"/>
        <v>199</v>
      </c>
      <c r="D1091" s="28"/>
    </row>
    <row r="1092">
      <c r="A1092" s="145">
        <v>43976.0</v>
      </c>
      <c r="B1092" s="54">
        <v>155.44</v>
      </c>
      <c r="C1092" s="28">
        <f t="shared" si="3"/>
        <v>199</v>
      </c>
      <c r="D1092" s="28"/>
    </row>
    <row r="1093">
      <c r="A1093" s="145">
        <v>44143.0</v>
      </c>
      <c r="B1093" s="54">
        <v>155.51</v>
      </c>
      <c r="C1093" s="28">
        <f t="shared" si="3"/>
        <v>199</v>
      </c>
      <c r="D1093" s="28"/>
    </row>
    <row r="1094">
      <c r="A1094" s="145">
        <v>43914.0</v>
      </c>
      <c r="B1094" s="54">
        <v>155.8</v>
      </c>
      <c r="C1094" s="28">
        <f t="shared" si="3"/>
        <v>199</v>
      </c>
      <c r="D1094" s="28"/>
    </row>
    <row r="1095">
      <c r="A1095" s="145">
        <v>44118.0</v>
      </c>
      <c r="B1095" s="54">
        <v>155.85</v>
      </c>
      <c r="C1095" s="28">
        <f t="shared" si="3"/>
        <v>199</v>
      </c>
      <c r="D1095" s="28"/>
    </row>
    <row r="1096">
      <c r="A1096" s="145">
        <v>44665.0</v>
      </c>
      <c r="B1096" s="54">
        <v>155.92</v>
      </c>
      <c r="C1096" s="28">
        <f t="shared" si="3"/>
        <v>199</v>
      </c>
      <c r="D1096" s="28"/>
    </row>
    <row r="1097">
      <c r="A1097" s="145">
        <v>43521.0</v>
      </c>
      <c r="B1097" s="54">
        <v>156.04</v>
      </c>
      <c r="C1097" s="28">
        <f t="shared" si="3"/>
        <v>199</v>
      </c>
      <c r="D1097" s="28"/>
    </row>
    <row r="1098">
      <c r="A1098" s="145">
        <v>44121.0</v>
      </c>
      <c r="B1098" s="54">
        <v>156.06</v>
      </c>
      <c r="C1098" s="28">
        <f t="shared" si="3"/>
        <v>199</v>
      </c>
      <c r="D1098" s="28"/>
    </row>
    <row r="1099">
      <c r="A1099" s="145">
        <v>43912.0</v>
      </c>
      <c r="B1099" s="54">
        <v>156.1</v>
      </c>
      <c r="C1099" s="28">
        <f t="shared" si="3"/>
        <v>199</v>
      </c>
      <c r="D1099" s="28"/>
    </row>
    <row r="1100">
      <c r="A1100" s="145">
        <v>44112.0</v>
      </c>
      <c r="B1100" s="54">
        <v>156.11</v>
      </c>
      <c r="C1100" s="28">
        <f t="shared" si="3"/>
        <v>199</v>
      </c>
      <c r="D1100" s="28"/>
    </row>
    <row r="1101">
      <c r="A1101" s="145">
        <v>44040.0</v>
      </c>
      <c r="B1101" s="54">
        <v>156.27</v>
      </c>
      <c r="C1101" s="28">
        <f t="shared" si="3"/>
        <v>199</v>
      </c>
      <c r="D1101" s="28"/>
    </row>
    <row r="1102">
      <c r="A1102" s="145">
        <v>43935.0</v>
      </c>
      <c r="B1102" s="54">
        <v>156.29</v>
      </c>
      <c r="C1102" s="28">
        <f t="shared" si="3"/>
        <v>199</v>
      </c>
      <c r="D1102" s="28"/>
    </row>
    <row r="1103">
      <c r="A1103" s="145">
        <v>44110.0</v>
      </c>
      <c r="B1103" s="54">
        <v>156.56</v>
      </c>
      <c r="C1103" s="28">
        <f t="shared" si="3"/>
        <v>199</v>
      </c>
      <c r="D1103" s="28"/>
    </row>
    <row r="1104">
      <c r="A1104" s="145">
        <v>44072.0</v>
      </c>
      <c r="B1104" s="54">
        <v>157.35</v>
      </c>
      <c r="C1104" s="28">
        <f t="shared" si="3"/>
        <v>199</v>
      </c>
      <c r="D1104" s="28"/>
    </row>
    <row r="1105">
      <c r="A1105" s="145">
        <v>43917.0</v>
      </c>
      <c r="B1105" s="54">
        <v>157.69</v>
      </c>
      <c r="C1105" s="28">
        <f t="shared" si="3"/>
        <v>199</v>
      </c>
      <c r="D1105" s="28"/>
    </row>
    <row r="1106">
      <c r="A1106" s="145">
        <v>43971.0</v>
      </c>
      <c r="B1106" s="54">
        <v>157.71</v>
      </c>
      <c r="C1106" s="28">
        <f t="shared" si="3"/>
        <v>199</v>
      </c>
      <c r="D1106" s="28"/>
    </row>
    <row r="1107">
      <c r="A1107" s="145">
        <v>43915.0</v>
      </c>
      <c r="B1107" s="54">
        <v>157.77</v>
      </c>
      <c r="C1107" s="28">
        <f t="shared" si="3"/>
        <v>199</v>
      </c>
      <c r="D1107" s="28"/>
    </row>
    <row r="1108">
      <c r="A1108" s="145">
        <v>45619.0</v>
      </c>
      <c r="B1108" s="54">
        <v>157.77</v>
      </c>
      <c r="C1108" s="28">
        <f t="shared" si="3"/>
        <v>199</v>
      </c>
      <c r="D1108" s="28"/>
    </row>
    <row r="1109">
      <c r="A1109" s="145">
        <v>43908.0</v>
      </c>
      <c r="B1109" s="54">
        <v>157.83</v>
      </c>
      <c r="C1109" s="28">
        <f t="shared" si="3"/>
        <v>199</v>
      </c>
      <c r="D1109" s="28"/>
    </row>
    <row r="1110">
      <c r="A1110" s="145">
        <v>44412.0</v>
      </c>
      <c r="B1110" s="54">
        <v>158.04</v>
      </c>
      <c r="C1110" s="28">
        <f t="shared" si="3"/>
        <v>199</v>
      </c>
      <c r="D1110" s="28"/>
    </row>
    <row r="1111">
      <c r="A1111" s="145">
        <v>44672.0</v>
      </c>
      <c r="B1111" s="54">
        <v>158.14</v>
      </c>
      <c r="C1111" s="28">
        <f t="shared" si="3"/>
        <v>199</v>
      </c>
      <c r="D1111" s="28"/>
    </row>
    <row r="1112">
      <c r="A1112" s="145">
        <v>44285.0</v>
      </c>
      <c r="B1112" s="54">
        <v>158.29</v>
      </c>
      <c r="C1112" s="28">
        <f t="shared" si="3"/>
        <v>199</v>
      </c>
      <c r="D1112" s="28"/>
    </row>
    <row r="1113">
      <c r="A1113" s="145">
        <v>44119.0</v>
      </c>
      <c r="B1113" s="54">
        <v>158.38</v>
      </c>
      <c r="C1113" s="28">
        <f t="shared" si="3"/>
        <v>199</v>
      </c>
      <c r="D1113" s="28"/>
    </row>
    <row r="1114">
      <c r="A1114" s="145">
        <v>43518.0</v>
      </c>
      <c r="B1114" s="54">
        <v>158.49</v>
      </c>
      <c r="C1114" s="28">
        <f t="shared" si="3"/>
        <v>199</v>
      </c>
      <c r="D1114" s="28"/>
    </row>
    <row r="1115">
      <c r="A1115" s="145">
        <v>43963.0</v>
      </c>
      <c r="B1115" s="54">
        <v>158.85</v>
      </c>
      <c r="C1115" s="28">
        <f t="shared" si="3"/>
        <v>199</v>
      </c>
      <c r="D1115" s="28"/>
    </row>
    <row r="1116">
      <c r="A1116" s="145">
        <v>44651.0</v>
      </c>
      <c r="B1116" s="54">
        <v>158.92</v>
      </c>
      <c r="C1116" s="28">
        <f t="shared" si="3"/>
        <v>199</v>
      </c>
      <c r="D1116" s="28"/>
    </row>
    <row r="1117">
      <c r="A1117" s="145">
        <v>43910.0</v>
      </c>
      <c r="B1117" s="54">
        <v>159.0</v>
      </c>
      <c r="C1117" s="28">
        <f t="shared" si="3"/>
        <v>199</v>
      </c>
      <c r="D1117" s="28"/>
    </row>
    <row r="1118">
      <c r="A1118" s="145">
        <v>44255.0</v>
      </c>
      <c r="B1118" s="54">
        <v>159.05</v>
      </c>
      <c r="C1118" s="28">
        <f t="shared" si="3"/>
        <v>199</v>
      </c>
      <c r="D1118" s="28"/>
    </row>
    <row r="1119">
      <c r="A1119" s="145">
        <v>44026.0</v>
      </c>
      <c r="B1119" s="54">
        <v>159.34</v>
      </c>
      <c r="C1119" s="28">
        <f t="shared" si="3"/>
        <v>199</v>
      </c>
      <c r="D1119" s="28"/>
    </row>
    <row r="1120">
      <c r="A1120" s="145">
        <v>44427.0</v>
      </c>
      <c r="B1120" s="54">
        <v>159.53</v>
      </c>
      <c r="C1120" s="28">
        <f t="shared" si="3"/>
        <v>199</v>
      </c>
      <c r="D1120" s="28"/>
    </row>
    <row r="1121">
      <c r="A1121" s="145">
        <v>44609.0</v>
      </c>
      <c r="B1121" s="54">
        <v>159.73</v>
      </c>
      <c r="C1121" s="28">
        <f t="shared" si="3"/>
        <v>199</v>
      </c>
      <c r="D1121" s="28"/>
    </row>
    <row r="1122">
      <c r="A1122" s="145">
        <v>44117.0</v>
      </c>
      <c r="B1122" s="54">
        <v>159.86</v>
      </c>
      <c r="C1122" s="28">
        <f t="shared" si="3"/>
        <v>199</v>
      </c>
      <c r="D1122" s="28"/>
    </row>
    <row r="1123">
      <c r="A1123" s="145">
        <v>44288.0</v>
      </c>
      <c r="B1123" s="54">
        <v>159.91</v>
      </c>
      <c r="C1123" s="28">
        <f t="shared" si="3"/>
        <v>199</v>
      </c>
      <c r="D1123" s="28"/>
    </row>
    <row r="1124">
      <c r="A1124" s="145">
        <v>44429.0</v>
      </c>
      <c r="B1124" s="54">
        <v>159.94</v>
      </c>
      <c r="C1124" s="28">
        <f t="shared" si="3"/>
        <v>199</v>
      </c>
      <c r="D1124" s="28"/>
    </row>
    <row r="1125">
      <c r="A1125" s="145">
        <v>43947.0</v>
      </c>
      <c r="B1125" s="54">
        <v>159.98</v>
      </c>
      <c r="C1125" s="28">
        <f t="shared" si="3"/>
        <v>199</v>
      </c>
      <c r="D1125" s="28"/>
    </row>
    <row r="1126">
      <c r="A1126" s="145">
        <v>44123.0</v>
      </c>
      <c r="B1126" s="54">
        <v>160.28</v>
      </c>
      <c r="C1126" s="28">
        <f t="shared" si="3"/>
        <v>199</v>
      </c>
      <c r="D1126" s="28"/>
    </row>
    <row r="1127">
      <c r="A1127" s="145">
        <v>43932.0</v>
      </c>
      <c r="B1127" s="54">
        <v>160.29</v>
      </c>
      <c r="C1127" s="28">
        <f t="shared" si="3"/>
        <v>199</v>
      </c>
      <c r="D1127" s="28"/>
    </row>
    <row r="1128">
      <c r="A1128" s="145">
        <v>43942.0</v>
      </c>
      <c r="B1128" s="54">
        <v>160.34</v>
      </c>
      <c r="C1128" s="28">
        <f t="shared" si="3"/>
        <v>199</v>
      </c>
      <c r="D1128" s="28"/>
    </row>
    <row r="1129">
      <c r="A1129" s="145">
        <v>43946.0</v>
      </c>
      <c r="B1129" s="54">
        <v>160.51</v>
      </c>
      <c r="C1129" s="28">
        <f t="shared" si="3"/>
        <v>199</v>
      </c>
      <c r="D1129" s="28"/>
    </row>
    <row r="1130">
      <c r="A1130" s="145">
        <v>44023.0</v>
      </c>
      <c r="B1130" s="54">
        <v>160.67</v>
      </c>
      <c r="C1130" s="28">
        <f t="shared" si="3"/>
        <v>199</v>
      </c>
      <c r="D1130" s="28"/>
    </row>
    <row r="1131">
      <c r="A1131" s="145">
        <v>44423.0</v>
      </c>
      <c r="B1131" s="54">
        <v>160.71</v>
      </c>
      <c r="C1131" s="28">
        <f t="shared" si="3"/>
        <v>199</v>
      </c>
      <c r="D1131" s="28"/>
    </row>
    <row r="1132">
      <c r="A1132" s="145">
        <v>44411.0</v>
      </c>
      <c r="B1132" s="54">
        <v>160.74</v>
      </c>
      <c r="C1132" s="28">
        <f t="shared" si="3"/>
        <v>199</v>
      </c>
      <c r="D1132" s="28"/>
    </row>
    <row r="1133">
      <c r="A1133" s="145">
        <v>44132.0</v>
      </c>
      <c r="B1133" s="54">
        <v>161.11</v>
      </c>
      <c r="C1133" s="28">
        <f t="shared" si="3"/>
        <v>199</v>
      </c>
      <c r="D1133" s="28"/>
    </row>
    <row r="1134">
      <c r="A1134" s="145">
        <v>44493.0</v>
      </c>
      <c r="B1134" s="54">
        <v>161.15</v>
      </c>
      <c r="C1134" s="28">
        <f t="shared" si="3"/>
        <v>199</v>
      </c>
      <c r="D1134" s="28"/>
    </row>
    <row r="1135">
      <c r="A1135" s="145">
        <v>43948.0</v>
      </c>
      <c r="B1135" s="54">
        <v>161.64</v>
      </c>
      <c r="C1135" s="28">
        <f t="shared" si="3"/>
        <v>199</v>
      </c>
      <c r="D1135" s="28"/>
    </row>
    <row r="1136">
      <c r="A1136" s="145">
        <v>45767.0</v>
      </c>
      <c r="B1136" s="54">
        <v>162.12</v>
      </c>
      <c r="C1136" s="28">
        <f t="shared" si="3"/>
        <v>199</v>
      </c>
      <c r="D1136" s="28"/>
    </row>
    <row r="1137">
      <c r="A1137" s="145">
        <v>44092.0</v>
      </c>
      <c r="B1137" s="54">
        <v>162.15</v>
      </c>
      <c r="C1137" s="28">
        <f t="shared" si="3"/>
        <v>199</v>
      </c>
      <c r="D1137" s="28"/>
    </row>
    <row r="1138">
      <c r="A1138" s="145">
        <v>44234.0</v>
      </c>
      <c r="B1138" s="54">
        <v>162.3</v>
      </c>
      <c r="C1138" s="28">
        <f t="shared" si="3"/>
        <v>199</v>
      </c>
      <c r="D1138" s="28"/>
    </row>
    <row r="1139">
      <c r="A1139" s="145">
        <v>44449.0</v>
      </c>
      <c r="B1139" s="54">
        <v>162.31</v>
      </c>
      <c r="C1139" s="28">
        <f t="shared" si="3"/>
        <v>199</v>
      </c>
      <c r="D1139" s="28"/>
    </row>
    <row r="1140">
      <c r="A1140" s="145">
        <v>43953.0</v>
      </c>
      <c r="B1140" s="54">
        <v>163.83</v>
      </c>
      <c r="C1140" s="28">
        <f t="shared" si="3"/>
        <v>199</v>
      </c>
      <c r="D1140" s="28"/>
    </row>
    <row r="1141">
      <c r="A1141" s="145">
        <v>44094.0</v>
      </c>
      <c r="B1141" s="54">
        <v>163.97</v>
      </c>
      <c r="C1141" s="28">
        <f t="shared" si="3"/>
        <v>199</v>
      </c>
      <c r="D1141" s="28"/>
    </row>
    <row r="1142">
      <c r="A1142" s="145">
        <v>44095.0</v>
      </c>
      <c r="B1142" s="54">
        <v>164.08</v>
      </c>
      <c r="C1142" s="28">
        <f t="shared" si="3"/>
        <v>199</v>
      </c>
      <c r="D1142" s="28"/>
    </row>
    <row r="1143">
      <c r="A1143" s="145">
        <v>43962.0</v>
      </c>
      <c r="B1143" s="54">
        <v>164.11</v>
      </c>
      <c r="C1143" s="28">
        <f t="shared" si="3"/>
        <v>199</v>
      </c>
      <c r="D1143" s="28"/>
    </row>
    <row r="1144">
      <c r="A1144" s="145">
        <v>44444.0</v>
      </c>
      <c r="B1144" s="54">
        <v>164.27</v>
      </c>
      <c r="C1144" s="28">
        <f t="shared" si="3"/>
        <v>199</v>
      </c>
      <c r="D1144" s="28"/>
    </row>
    <row r="1145">
      <c r="A1145" s="145">
        <v>45773.0</v>
      </c>
      <c r="B1145" s="54">
        <v>164.58</v>
      </c>
      <c r="C1145" s="28">
        <f t="shared" si="3"/>
        <v>199</v>
      </c>
      <c r="D1145" s="28"/>
    </row>
    <row r="1146">
      <c r="A1146" s="145">
        <v>45768.0</v>
      </c>
      <c r="B1146" s="54">
        <v>165.08</v>
      </c>
      <c r="C1146" s="28">
        <f t="shared" si="3"/>
        <v>199</v>
      </c>
      <c r="D1146" s="28"/>
    </row>
    <row r="1147">
      <c r="A1147" s="145">
        <v>43930.0</v>
      </c>
      <c r="B1147" s="54">
        <v>165.53</v>
      </c>
      <c r="C1147" s="28">
        <f t="shared" si="3"/>
        <v>199</v>
      </c>
      <c r="D1147" s="28"/>
    </row>
    <row r="1148">
      <c r="A1148" s="145">
        <v>43943.0</v>
      </c>
      <c r="B1148" s="54">
        <v>165.6</v>
      </c>
      <c r="C1148" s="28">
        <f t="shared" si="3"/>
        <v>199</v>
      </c>
      <c r="D1148" s="28"/>
    </row>
    <row r="1149">
      <c r="A1149" s="145">
        <v>44065.0</v>
      </c>
      <c r="B1149" s="54">
        <v>165.85</v>
      </c>
      <c r="C1149" s="28">
        <f t="shared" si="3"/>
        <v>199</v>
      </c>
      <c r="D1149" s="28"/>
    </row>
    <row r="1150">
      <c r="A1150" s="145">
        <v>44451.0</v>
      </c>
      <c r="B1150" s="54">
        <v>166.3</v>
      </c>
      <c r="C1150" s="28">
        <f t="shared" si="3"/>
        <v>199</v>
      </c>
      <c r="D1150" s="28"/>
    </row>
    <row r="1151">
      <c r="A1151" s="145">
        <v>44401.0</v>
      </c>
      <c r="B1151" s="54">
        <v>166.72</v>
      </c>
      <c r="C1151" s="28">
        <f t="shared" si="3"/>
        <v>199</v>
      </c>
      <c r="D1151" s="28"/>
    </row>
    <row r="1152">
      <c r="A1152" s="145">
        <v>44231.0</v>
      </c>
      <c r="B1152" s="54">
        <v>167.31</v>
      </c>
      <c r="C1152" s="28">
        <f t="shared" si="3"/>
        <v>199</v>
      </c>
      <c r="D1152" s="28"/>
    </row>
    <row r="1153">
      <c r="A1153" s="145">
        <v>43913.0</v>
      </c>
      <c r="B1153" s="54">
        <v>167.44</v>
      </c>
      <c r="C1153" s="28">
        <f t="shared" si="3"/>
        <v>199</v>
      </c>
      <c r="D1153" s="28"/>
    </row>
    <row r="1154">
      <c r="A1154" s="145">
        <v>44024.0</v>
      </c>
      <c r="B1154" s="54">
        <v>167.52</v>
      </c>
      <c r="C1154" s="28">
        <f t="shared" si="3"/>
        <v>199</v>
      </c>
      <c r="D1154" s="28"/>
    </row>
    <row r="1155">
      <c r="A1155" s="145">
        <v>43944.0</v>
      </c>
      <c r="B1155" s="54">
        <v>167.73</v>
      </c>
      <c r="C1155" s="28">
        <f t="shared" si="3"/>
        <v>199</v>
      </c>
      <c r="D1155" s="28"/>
    </row>
    <row r="1156">
      <c r="A1156" s="145">
        <v>45789.0</v>
      </c>
      <c r="B1156" s="54">
        <v>168.15</v>
      </c>
      <c r="C1156" s="28">
        <f t="shared" si="3"/>
        <v>199</v>
      </c>
      <c r="D1156" s="28"/>
    </row>
    <row r="1157">
      <c r="A1157" s="145">
        <v>43945.0</v>
      </c>
      <c r="B1157" s="54">
        <v>168.46</v>
      </c>
      <c r="C1157" s="28">
        <f t="shared" si="3"/>
        <v>199</v>
      </c>
      <c r="D1157" s="28"/>
    </row>
    <row r="1158">
      <c r="A1158" s="145">
        <v>44619.0</v>
      </c>
      <c r="B1158" s="54">
        <v>169.07</v>
      </c>
      <c r="C1158" s="28">
        <f t="shared" si="3"/>
        <v>199</v>
      </c>
      <c r="D1158" s="28"/>
    </row>
    <row r="1159">
      <c r="A1159" s="145">
        <v>44021.0</v>
      </c>
      <c r="B1159" s="54">
        <v>169.08</v>
      </c>
      <c r="C1159" s="28">
        <f t="shared" si="3"/>
        <v>199</v>
      </c>
      <c r="D1159" s="28"/>
    </row>
    <row r="1160">
      <c r="A1160" s="145">
        <v>44430.0</v>
      </c>
      <c r="B1160" s="54">
        <v>169.2</v>
      </c>
      <c r="C1160" s="28">
        <f t="shared" si="3"/>
        <v>199</v>
      </c>
      <c r="D1160" s="28"/>
    </row>
    <row r="1161">
      <c r="A1161" s="145">
        <v>43543.0</v>
      </c>
      <c r="B1161" s="54">
        <v>169.84</v>
      </c>
      <c r="C1161" s="28">
        <f t="shared" si="3"/>
        <v>199</v>
      </c>
      <c r="D1161" s="28"/>
    </row>
    <row r="1162">
      <c r="A1162" s="145">
        <v>44470.0</v>
      </c>
      <c r="B1162" s="54">
        <v>170.43</v>
      </c>
      <c r="C1162" s="28">
        <f t="shared" si="3"/>
        <v>199</v>
      </c>
      <c r="D1162" s="28"/>
    </row>
    <row r="1163">
      <c r="A1163" s="145">
        <v>44415.0</v>
      </c>
      <c r="B1163" s="54">
        <v>170.44</v>
      </c>
      <c r="C1163" s="28">
        <f t="shared" si="3"/>
        <v>199</v>
      </c>
      <c r="D1163" s="28"/>
    </row>
    <row r="1164">
      <c r="A1164" s="145">
        <v>44485.0</v>
      </c>
      <c r="B1164" s="54">
        <v>170.45</v>
      </c>
      <c r="C1164" s="28">
        <f t="shared" si="3"/>
        <v>199</v>
      </c>
      <c r="D1164" s="28"/>
    </row>
    <row r="1165">
      <c r="A1165" s="145">
        <v>44080.0</v>
      </c>
      <c r="B1165" s="54">
        <v>170.54</v>
      </c>
      <c r="C1165" s="28">
        <f t="shared" si="3"/>
        <v>199</v>
      </c>
      <c r="D1165" s="28"/>
    </row>
    <row r="1166">
      <c r="A1166" s="145">
        <v>44432.0</v>
      </c>
      <c r="B1166" s="54">
        <v>170.58</v>
      </c>
      <c r="C1166" s="28">
        <f t="shared" si="3"/>
        <v>199</v>
      </c>
      <c r="D1166" s="28"/>
    </row>
    <row r="1167">
      <c r="A1167" s="145">
        <v>43952.0</v>
      </c>
      <c r="B1167" s="54">
        <v>170.59</v>
      </c>
      <c r="C1167" s="28">
        <f t="shared" si="3"/>
        <v>199</v>
      </c>
      <c r="D1167" s="28"/>
    </row>
    <row r="1168">
      <c r="A1168" s="145">
        <v>44431.0</v>
      </c>
      <c r="B1168" s="54">
        <v>170.6</v>
      </c>
      <c r="C1168" s="28">
        <f t="shared" si="3"/>
        <v>199</v>
      </c>
      <c r="D1168" s="28"/>
    </row>
    <row r="1169">
      <c r="A1169" s="145">
        <v>43938.0</v>
      </c>
      <c r="B1169" s="54">
        <v>170.64</v>
      </c>
      <c r="C1169" s="28">
        <f t="shared" si="3"/>
        <v>199</v>
      </c>
      <c r="D1169" s="28"/>
    </row>
    <row r="1170">
      <c r="A1170" s="145">
        <v>44060.0</v>
      </c>
      <c r="B1170" s="54">
        <v>170.73</v>
      </c>
      <c r="C1170" s="28">
        <f t="shared" si="3"/>
        <v>199</v>
      </c>
      <c r="D1170" s="28"/>
    </row>
    <row r="1171">
      <c r="A1171" s="145">
        <v>44460.0</v>
      </c>
      <c r="B1171" s="54">
        <v>171.24</v>
      </c>
      <c r="C1171" s="28">
        <f t="shared" si="3"/>
        <v>199</v>
      </c>
      <c r="D1171" s="28"/>
    </row>
    <row r="1172">
      <c r="A1172" s="145">
        <v>44481.0</v>
      </c>
      <c r="B1172" s="54">
        <v>172.6</v>
      </c>
      <c r="C1172" s="28">
        <f t="shared" si="3"/>
        <v>199</v>
      </c>
      <c r="D1172" s="28"/>
    </row>
    <row r="1173">
      <c r="A1173" s="145">
        <v>44077.0</v>
      </c>
      <c r="B1173" s="54">
        <v>173.21</v>
      </c>
      <c r="C1173" s="28">
        <f t="shared" si="3"/>
        <v>199</v>
      </c>
      <c r="D1173" s="28"/>
    </row>
    <row r="1174">
      <c r="A1174" s="145">
        <v>44515.0</v>
      </c>
      <c r="B1174" s="54">
        <v>173.23</v>
      </c>
      <c r="C1174" s="28">
        <f t="shared" si="3"/>
        <v>199</v>
      </c>
      <c r="D1174" s="28"/>
    </row>
    <row r="1175">
      <c r="A1175" s="145">
        <v>44440.0</v>
      </c>
      <c r="B1175" s="54">
        <v>173.27</v>
      </c>
      <c r="C1175" s="28">
        <f t="shared" si="3"/>
        <v>199</v>
      </c>
      <c r="D1175" s="28"/>
    </row>
    <row r="1176">
      <c r="A1176" s="145">
        <v>44406.0</v>
      </c>
      <c r="B1176" s="54">
        <v>174.0</v>
      </c>
      <c r="C1176" s="28">
        <f t="shared" si="3"/>
        <v>199</v>
      </c>
      <c r="D1176" s="28"/>
    </row>
    <row r="1177">
      <c r="A1177" s="145">
        <v>44483.0</v>
      </c>
      <c r="B1177" s="54">
        <v>175.29</v>
      </c>
      <c r="C1177" s="28">
        <f t="shared" si="3"/>
        <v>199</v>
      </c>
      <c r="D1177" s="28"/>
    </row>
    <row r="1178">
      <c r="A1178" s="145">
        <v>44446.0</v>
      </c>
      <c r="B1178" s="54">
        <v>175.7</v>
      </c>
      <c r="C1178" s="28">
        <f t="shared" si="3"/>
        <v>199</v>
      </c>
      <c r="D1178" s="28"/>
    </row>
    <row r="1179">
      <c r="A1179" s="145">
        <v>44045.0</v>
      </c>
      <c r="B1179" s="54">
        <v>175.86</v>
      </c>
      <c r="C1179" s="28">
        <f t="shared" si="3"/>
        <v>199</v>
      </c>
      <c r="D1179" s="28"/>
    </row>
    <row r="1180">
      <c r="A1180" s="145">
        <v>44509.0</v>
      </c>
      <c r="B1180" s="54">
        <v>175.9</v>
      </c>
      <c r="C1180" s="28">
        <f t="shared" si="3"/>
        <v>199</v>
      </c>
      <c r="D1180" s="28"/>
    </row>
    <row r="1181">
      <c r="A1181" s="145">
        <v>44437.0</v>
      </c>
      <c r="B1181" s="54">
        <v>176.05</v>
      </c>
      <c r="C1181" s="28">
        <f t="shared" si="3"/>
        <v>199</v>
      </c>
      <c r="D1181" s="28"/>
    </row>
    <row r="1182">
      <c r="A1182" s="145">
        <v>44491.0</v>
      </c>
      <c r="B1182" s="54">
        <v>176.16</v>
      </c>
      <c r="C1182" s="28">
        <f t="shared" si="3"/>
        <v>199</v>
      </c>
      <c r="D1182" s="28"/>
    </row>
    <row r="1183">
      <c r="A1183" s="145">
        <v>43964.0</v>
      </c>
      <c r="B1183" s="54">
        <v>176.73</v>
      </c>
      <c r="C1183" s="28">
        <f t="shared" si="3"/>
        <v>199</v>
      </c>
      <c r="D1183" s="28"/>
    </row>
    <row r="1184">
      <c r="A1184" s="145">
        <v>43968.0</v>
      </c>
      <c r="B1184" s="54">
        <v>177.72</v>
      </c>
      <c r="C1184" s="28">
        <f t="shared" si="3"/>
        <v>199</v>
      </c>
      <c r="D1184" s="28"/>
    </row>
    <row r="1185">
      <c r="A1185" s="145">
        <v>44504.0</v>
      </c>
      <c r="B1185" s="54">
        <v>178.07</v>
      </c>
      <c r="C1185" s="28">
        <f t="shared" si="3"/>
        <v>199</v>
      </c>
      <c r="D1185" s="28"/>
    </row>
    <row r="1186">
      <c r="A1186" s="145">
        <v>44511.0</v>
      </c>
      <c r="B1186" s="54">
        <v>178.16</v>
      </c>
      <c r="C1186" s="28">
        <f t="shared" si="3"/>
        <v>199</v>
      </c>
      <c r="D1186" s="28"/>
    </row>
    <row r="1187">
      <c r="A1187" s="145">
        <v>44510.0</v>
      </c>
      <c r="B1187" s="54">
        <v>178.25</v>
      </c>
      <c r="C1187" s="28">
        <f t="shared" si="3"/>
        <v>199</v>
      </c>
      <c r="D1187" s="28"/>
    </row>
    <row r="1188">
      <c r="A1188" s="145">
        <v>44555.0</v>
      </c>
      <c r="B1188" s="54">
        <v>178.47</v>
      </c>
      <c r="C1188" s="28">
        <f t="shared" si="3"/>
        <v>199</v>
      </c>
      <c r="D1188" s="28"/>
    </row>
    <row r="1189">
      <c r="A1189" s="145">
        <v>44455.0</v>
      </c>
      <c r="B1189" s="54">
        <v>178.52</v>
      </c>
      <c r="C1189" s="28">
        <f t="shared" si="3"/>
        <v>199</v>
      </c>
      <c r="D1189" s="28"/>
    </row>
    <row r="1190">
      <c r="A1190" s="145">
        <v>44503.0</v>
      </c>
      <c r="B1190" s="54">
        <v>178.72</v>
      </c>
      <c r="C1190" s="28">
        <f t="shared" si="3"/>
        <v>199</v>
      </c>
      <c r="D1190" s="28"/>
    </row>
    <row r="1191">
      <c r="A1191" s="145">
        <v>44507.0</v>
      </c>
      <c r="B1191" s="54">
        <v>179.15</v>
      </c>
      <c r="C1191" s="28">
        <f t="shared" si="3"/>
        <v>199</v>
      </c>
      <c r="D1191" s="28"/>
    </row>
    <row r="1192">
      <c r="A1192" s="145">
        <v>44490.0</v>
      </c>
      <c r="B1192" s="54">
        <v>179.21</v>
      </c>
      <c r="C1192" s="28">
        <f t="shared" si="3"/>
        <v>199</v>
      </c>
      <c r="D1192" s="28"/>
    </row>
    <row r="1193">
      <c r="A1193" s="145">
        <v>44506.0</v>
      </c>
      <c r="B1193" s="54">
        <v>179.6</v>
      </c>
      <c r="C1193" s="28">
        <f t="shared" si="3"/>
        <v>199</v>
      </c>
      <c r="D1193" s="28"/>
    </row>
    <row r="1194">
      <c r="A1194" s="145">
        <v>44502.0</v>
      </c>
      <c r="B1194" s="54">
        <v>179.73</v>
      </c>
      <c r="C1194" s="28">
        <f t="shared" si="3"/>
        <v>199</v>
      </c>
      <c r="D1194" s="28"/>
    </row>
    <row r="1195">
      <c r="A1195" s="145">
        <v>44420.0</v>
      </c>
      <c r="B1195" s="54">
        <v>179.96</v>
      </c>
      <c r="C1195" s="28">
        <f t="shared" si="3"/>
        <v>199</v>
      </c>
      <c r="D1195" s="28"/>
    </row>
    <row r="1196">
      <c r="A1196" s="145">
        <v>44062.0</v>
      </c>
      <c r="B1196" s="54">
        <v>180.25</v>
      </c>
      <c r="C1196" s="28">
        <f t="shared" si="3"/>
        <v>199</v>
      </c>
      <c r="D1196" s="28"/>
    </row>
    <row r="1197">
      <c r="A1197" s="145">
        <v>44441.0</v>
      </c>
      <c r="B1197" s="54">
        <v>180.43</v>
      </c>
      <c r="C1197" s="28">
        <f t="shared" si="3"/>
        <v>199</v>
      </c>
      <c r="D1197" s="28"/>
    </row>
    <row r="1198">
      <c r="A1198" s="145">
        <v>44081.0</v>
      </c>
      <c r="B1198" s="54">
        <v>180.8</v>
      </c>
      <c r="C1198" s="28">
        <f t="shared" si="3"/>
        <v>199</v>
      </c>
      <c r="D1198" s="28"/>
    </row>
    <row r="1199">
      <c r="A1199" s="145">
        <v>43920.0</v>
      </c>
      <c r="B1199" s="54">
        <v>181.29</v>
      </c>
      <c r="C1199" s="28">
        <f t="shared" si="3"/>
        <v>199</v>
      </c>
      <c r="D1199" s="28"/>
    </row>
    <row r="1200">
      <c r="A1200" s="145">
        <v>44046.0</v>
      </c>
      <c r="B1200" s="54">
        <v>181.44</v>
      </c>
      <c r="C1200" s="28">
        <f t="shared" si="3"/>
        <v>199</v>
      </c>
      <c r="D1200" s="28"/>
    </row>
    <row r="1201">
      <c r="A1201" s="145">
        <v>44505.0</v>
      </c>
      <c r="B1201" s="54">
        <v>181.44</v>
      </c>
      <c r="C1201" s="28">
        <f t="shared" si="3"/>
        <v>199</v>
      </c>
      <c r="D1201" s="28"/>
    </row>
    <row r="1202">
      <c r="A1202" s="145">
        <v>44439.0</v>
      </c>
      <c r="B1202" s="54">
        <v>181.8</v>
      </c>
      <c r="C1202" s="28">
        <f t="shared" si="3"/>
        <v>199</v>
      </c>
      <c r="D1202" s="28"/>
    </row>
    <row r="1203">
      <c r="A1203" s="145">
        <v>44405.0</v>
      </c>
      <c r="B1203" s="54">
        <v>182.05</v>
      </c>
      <c r="C1203" s="28">
        <f t="shared" si="3"/>
        <v>199</v>
      </c>
      <c r="D1203" s="28"/>
    </row>
    <row r="1204">
      <c r="A1204" s="145">
        <v>44402.0</v>
      </c>
      <c r="B1204" s="54">
        <v>182.25</v>
      </c>
      <c r="C1204" s="28">
        <f t="shared" si="3"/>
        <v>199</v>
      </c>
      <c r="D1204" s="28"/>
    </row>
    <row r="1205">
      <c r="A1205" s="145">
        <v>44512.0</v>
      </c>
      <c r="B1205" s="54">
        <v>183.09</v>
      </c>
      <c r="C1205" s="28">
        <f t="shared" si="3"/>
        <v>199</v>
      </c>
      <c r="D1205" s="28"/>
    </row>
    <row r="1206">
      <c r="A1206" s="145">
        <v>44471.0</v>
      </c>
      <c r="B1206" s="54">
        <v>183.1</v>
      </c>
      <c r="C1206" s="28">
        <f t="shared" si="3"/>
        <v>199</v>
      </c>
      <c r="D1206" s="28"/>
    </row>
    <row r="1207">
      <c r="A1207" s="145">
        <v>44410.0</v>
      </c>
      <c r="B1207" s="54">
        <v>183.17</v>
      </c>
      <c r="C1207" s="28">
        <f t="shared" si="3"/>
        <v>199</v>
      </c>
      <c r="D1207" s="28"/>
    </row>
    <row r="1208">
      <c r="A1208" s="145">
        <v>44057.0</v>
      </c>
      <c r="B1208" s="54">
        <v>183.73</v>
      </c>
      <c r="C1208" s="28">
        <f t="shared" si="3"/>
        <v>199</v>
      </c>
      <c r="D1208" s="28"/>
    </row>
    <row r="1209">
      <c r="A1209" s="145">
        <v>44425.0</v>
      </c>
      <c r="B1209" s="54">
        <v>183.82</v>
      </c>
      <c r="C1209" s="28">
        <f t="shared" si="3"/>
        <v>199</v>
      </c>
      <c r="D1209" s="28"/>
    </row>
    <row r="1210">
      <c r="A1210" s="145">
        <v>44484.0</v>
      </c>
      <c r="B1210" s="54">
        <v>183.96</v>
      </c>
      <c r="C1210" s="28">
        <f t="shared" si="3"/>
        <v>199</v>
      </c>
      <c r="D1210" s="28"/>
    </row>
    <row r="1211">
      <c r="A1211" s="145">
        <v>44086.0</v>
      </c>
      <c r="B1211" s="54">
        <v>184.79</v>
      </c>
      <c r="C1211" s="28">
        <f t="shared" si="3"/>
        <v>199</v>
      </c>
      <c r="D1211" s="28"/>
    </row>
    <row r="1212">
      <c r="A1212" s="145">
        <v>44099.0</v>
      </c>
      <c r="B1212" s="54">
        <v>185.16</v>
      </c>
      <c r="C1212" s="28">
        <f t="shared" si="3"/>
        <v>199</v>
      </c>
      <c r="D1212" s="28"/>
    </row>
    <row r="1213">
      <c r="A1213" s="145">
        <v>43931.0</v>
      </c>
      <c r="B1213" s="54">
        <v>185.2</v>
      </c>
      <c r="C1213" s="28">
        <f t="shared" si="3"/>
        <v>199</v>
      </c>
      <c r="D1213" s="28"/>
    </row>
    <row r="1214">
      <c r="A1214" s="145">
        <v>44473.0</v>
      </c>
      <c r="B1214" s="54">
        <v>185.52</v>
      </c>
      <c r="C1214" s="28">
        <f t="shared" si="3"/>
        <v>199</v>
      </c>
      <c r="D1214" s="28"/>
    </row>
    <row r="1215">
      <c r="A1215" s="145">
        <v>44452.0</v>
      </c>
      <c r="B1215" s="54">
        <v>185.76</v>
      </c>
      <c r="C1215" s="28">
        <f t="shared" si="3"/>
        <v>199</v>
      </c>
      <c r="D1215" s="28"/>
    </row>
    <row r="1216">
      <c r="A1216" s="145">
        <v>43961.0</v>
      </c>
      <c r="B1216" s="54">
        <v>186.81</v>
      </c>
      <c r="C1216" s="28">
        <f t="shared" si="3"/>
        <v>199</v>
      </c>
      <c r="D1216" s="28"/>
    </row>
    <row r="1217">
      <c r="A1217" s="145">
        <v>44450.0</v>
      </c>
      <c r="B1217" s="54">
        <v>186.92</v>
      </c>
      <c r="C1217" s="28">
        <f t="shared" si="3"/>
        <v>199</v>
      </c>
      <c r="D1217" s="28"/>
    </row>
    <row r="1218">
      <c r="A1218" s="145">
        <v>44514.0</v>
      </c>
      <c r="B1218" s="54">
        <v>186.92</v>
      </c>
      <c r="C1218" s="28">
        <f t="shared" si="3"/>
        <v>199</v>
      </c>
      <c r="D1218" s="28"/>
    </row>
    <row r="1219">
      <c r="A1219" s="145">
        <v>44436.0</v>
      </c>
      <c r="B1219" s="54">
        <v>187.4</v>
      </c>
      <c r="C1219" s="28">
        <f t="shared" si="3"/>
        <v>199</v>
      </c>
      <c r="D1219" s="28"/>
    </row>
    <row r="1220">
      <c r="A1220" s="145">
        <v>44064.0</v>
      </c>
      <c r="B1220" s="54">
        <v>187.5</v>
      </c>
      <c r="C1220" s="28">
        <f t="shared" si="3"/>
        <v>199</v>
      </c>
      <c r="D1220" s="28"/>
    </row>
    <row r="1221">
      <c r="A1221" s="145">
        <v>43926.0</v>
      </c>
      <c r="B1221" s="54">
        <v>187.87</v>
      </c>
      <c r="C1221" s="28">
        <f t="shared" si="3"/>
        <v>199</v>
      </c>
      <c r="D1221" s="28"/>
    </row>
    <row r="1222">
      <c r="A1222" s="145">
        <v>44403.0</v>
      </c>
      <c r="B1222" s="54">
        <v>188.04</v>
      </c>
      <c r="C1222" s="28">
        <f t="shared" si="3"/>
        <v>199</v>
      </c>
      <c r="D1222" s="28"/>
    </row>
    <row r="1223">
      <c r="A1223" s="145">
        <v>44041.0</v>
      </c>
      <c r="B1223" s="54">
        <v>188.9</v>
      </c>
      <c r="C1223" s="28">
        <f t="shared" si="3"/>
        <v>199</v>
      </c>
      <c r="D1223" s="28"/>
    </row>
    <row r="1224">
      <c r="A1224" s="145">
        <v>44443.0</v>
      </c>
      <c r="B1224" s="54">
        <v>189.17</v>
      </c>
      <c r="C1224" s="28">
        <f t="shared" si="3"/>
        <v>199</v>
      </c>
      <c r="D1224" s="28"/>
    </row>
    <row r="1225">
      <c r="A1225" s="145">
        <v>44408.0</v>
      </c>
      <c r="B1225" s="54">
        <v>189.76</v>
      </c>
      <c r="C1225" s="28">
        <f t="shared" si="3"/>
        <v>199</v>
      </c>
      <c r="D1225" s="28"/>
    </row>
    <row r="1226">
      <c r="A1226" s="145">
        <v>44076.0</v>
      </c>
      <c r="B1226" s="54">
        <v>190.37</v>
      </c>
      <c r="C1226" s="28">
        <f t="shared" si="3"/>
        <v>199</v>
      </c>
      <c r="D1226" s="28"/>
    </row>
    <row r="1227">
      <c r="A1227" s="145">
        <v>44442.0</v>
      </c>
      <c r="B1227" s="54">
        <v>190.44</v>
      </c>
      <c r="C1227" s="28">
        <f t="shared" si="3"/>
        <v>199</v>
      </c>
      <c r="D1227" s="28"/>
    </row>
    <row r="1228">
      <c r="A1228" s="145">
        <v>44438.0</v>
      </c>
      <c r="B1228" s="54">
        <v>190.68</v>
      </c>
      <c r="C1228" s="28">
        <f t="shared" si="3"/>
        <v>199</v>
      </c>
      <c r="D1228" s="28"/>
    </row>
    <row r="1229">
      <c r="A1229" s="145">
        <v>44084.0</v>
      </c>
      <c r="B1229" s="54">
        <v>192.21</v>
      </c>
      <c r="C1229" s="28">
        <f t="shared" si="3"/>
        <v>199</v>
      </c>
      <c r="D1229" s="28"/>
    </row>
    <row r="1230">
      <c r="A1230" s="145">
        <v>44424.0</v>
      </c>
      <c r="B1230" s="54">
        <v>192.46</v>
      </c>
      <c r="C1230" s="28">
        <f t="shared" si="3"/>
        <v>199</v>
      </c>
      <c r="D1230" s="28"/>
    </row>
    <row r="1231">
      <c r="A1231" s="145">
        <v>44445.0</v>
      </c>
      <c r="B1231" s="54">
        <v>192.85</v>
      </c>
      <c r="C1231" s="28">
        <f t="shared" si="3"/>
        <v>199</v>
      </c>
      <c r="D1231" s="28"/>
    </row>
    <row r="1232">
      <c r="A1232" s="145">
        <v>44454.0</v>
      </c>
      <c r="B1232" s="54">
        <v>192.96</v>
      </c>
      <c r="C1232" s="28">
        <f t="shared" si="3"/>
        <v>199</v>
      </c>
      <c r="D1232" s="28"/>
    </row>
    <row r="1233">
      <c r="A1233" s="145">
        <v>44404.0</v>
      </c>
      <c r="B1233" s="54">
        <v>194.08</v>
      </c>
      <c r="C1233" s="28">
        <f t="shared" si="3"/>
        <v>199</v>
      </c>
      <c r="D1233" s="28"/>
    </row>
    <row r="1234">
      <c r="A1234" s="145">
        <v>44418.0</v>
      </c>
      <c r="B1234" s="54">
        <v>194.1</v>
      </c>
      <c r="C1234" s="28">
        <f t="shared" si="3"/>
        <v>199</v>
      </c>
      <c r="D1234" s="28"/>
    </row>
    <row r="1235">
      <c r="A1235" s="145">
        <v>44413.0</v>
      </c>
      <c r="B1235" s="54">
        <v>194.39</v>
      </c>
      <c r="C1235" s="28">
        <f t="shared" si="3"/>
        <v>199</v>
      </c>
      <c r="D1235" s="28"/>
    </row>
    <row r="1236">
      <c r="A1236" s="145">
        <v>44085.0</v>
      </c>
      <c r="B1236" s="54">
        <v>195.8</v>
      </c>
      <c r="C1236" s="28">
        <f t="shared" si="3"/>
        <v>199</v>
      </c>
      <c r="D1236" s="12"/>
    </row>
    <row r="1237">
      <c r="A1237" s="54">
        <v>44010.0</v>
      </c>
      <c r="B1237" s="54">
        <v>196.04</v>
      </c>
      <c r="C1237" s="28">
        <f t="shared" si="3"/>
        <v>199</v>
      </c>
      <c r="D1237" s="12"/>
    </row>
    <row r="1238">
      <c r="A1238" s="53">
        <v>44417.0</v>
      </c>
      <c r="B1238" s="53">
        <v>197.37</v>
      </c>
      <c r="C1238" s="28">
        <f t="shared" si="3"/>
        <v>199</v>
      </c>
      <c r="D1238" s="12"/>
    </row>
    <row r="1239">
      <c r="A1239" s="53">
        <v>44004.0</v>
      </c>
      <c r="B1239" s="53">
        <v>200.01</v>
      </c>
      <c r="C1239" s="28">
        <f t="shared" si="3"/>
        <v>199</v>
      </c>
      <c r="D1239" s="12"/>
    </row>
    <row r="1240">
      <c r="A1240" s="53">
        <v>44428.0</v>
      </c>
      <c r="B1240" s="53">
        <v>201.15</v>
      </c>
      <c r="C1240" s="28">
        <f t="shared" si="3"/>
        <v>199</v>
      </c>
      <c r="D1240" s="12"/>
    </row>
    <row r="1241">
      <c r="A1241" s="53">
        <v>44047.0</v>
      </c>
      <c r="B1241" s="53">
        <v>202.19</v>
      </c>
      <c r="C1241" s="28">
        <f t="shared" si="3"/>
        <v>199</v>
      </c>
      <c r="D1241" s="12"/>
    </row>
    <row r="1242">
      <c r="A1242" s="53">
        <v>44068.0</v>
      </c>
      <c r="B1242" s="53">
        <v>207.69</v>
      </c>
      <c r="C1242" s="28">
        <f t="shared" si="3"/>
        <v>199</v>
      </c>
      <c r="D1242" s="12"/>
    </row>
    <row r="1243">
      <c r="A1243" s="53">
        <v>44048.0</v>
      </c>
      <c r="B1243" s="53">
        <v>208.85</v>
      </c>
      <c r="C1243" s="28">
        <f t="shared" si="3"/>
        <v>199</v>
      </c>
      <c r="D1243" s="12"/>
    </row>
    <row r="1244">
      <c r="A1244" s="53">
        <v>44093.0</v>
      </c>
      <c r="B1244" s="53">
        <v>208.88</v>
      </c>
      <c r="C1244" s="28">
        <f t="shared" si="3"/>
        <v>199</v>
      </c>
      <c r="D1244" s="12"/>
    </row>
    <row r="1245">
      <c r="A1245" s="53">
        <v>44030.0</v>
      </c>
      <c r="B1245" s="53">
        <v>211.95</v>
      </c>
      <c r="C1245" s="28">
        <f t="shared" si="3"/>
        <v>199</v>
      </c>
      <c r="D1245" s="12"/>
    </row>
    <row r="1246">
      <c r="A1246" s="53">
        <v>44032.0</v>
      </c>
      <c r="B1246" s="53">
        <v>212.35</v>
      </c>
      <c r="C1246" s="28">
        <f t="shared" si="3"/>
        <v>199</v>
      </c>
      <c r="D1246" s="12"/>
    </row>
    <row r="1247">
      <c r="A1247" s="53">
        <v>44082.0</v>
      </c>
      <c r="B1247" s="53">
        <v>213.1</v>
      </c>
      <c r="C1247" s="28">
        <f t="shared" si="3"/>
        <v>199</v>
      </c>
      <c r="D1247" s="12"/>
    </row>
    <row r="1248">
      <c r="A1248" s="53">
        <v>44003.0</v>
      </c>
      <c r="B1248" s="53">
        <v>221.73</v>
      </c>
      <c r="C1248" s="28">
        <f t="shared" si="3"/>
        <v>199</v>
      </c>
      <c r="D1248" s="12"/>
    </row>
    <row r="1249">
      <c r="A1249" s="53">
        <v>43436.0</v>
      </c>
      <c r="B1249" s="42" t="s">
        <v>8293</v>
      </c>
      <c r="C1249" s="28"/>
      <c r="D1249" s="12"/>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3" t="s">
        <v>8294</v>
      </c>
      <c r="B1" s="13" t="s">
        <v>8295</v>
      </c>
    </row>
    <row r="2">
      <c r="A2" s="13" t="s">
        <v>8296</v>
      </c>
      <c r="B2" s="13" t="s">
        <v>8297</v>
      </c>
    </row>
    <row r="3">
      <c r="A3" s="13" t="s">
        <v>8298</v>
      </c>
      <c r="B3" s="13" t="s">
        <v>8299</v>
      </c>
    </row>
    <row r="4">
      <c r="A4" s="13" t="s">
        <v>8300</v>
      </c>
      <c r="B4" s="13" t="s">
        <v>8301</v>
      </c>
    </row>
    <row r="5">
      <c r="A5" s="13" t="s">
        <v>8302</v>
      </c>
      <c r="B5" s="13" t="s">
        <v>8303</v>
      </c>
    </row>
    <row r="6">
      <c r="A6" s="13" t="s">
        <v>8304</v>
      </c>
      <c r="B6" s="13" t="s">
        <v>8305</v>
      </c>
    </row>
    <row r="7">
      <c r="A7" s="13" t="s">
        <v>8306</v>
      </c>
      <c r="B7" s="13" t="s">
        <v>8307</v>
      </c>
    </row>
    <row r="8">
      <c r="A8" s="13" t="s">
        <v>8308</v>
      </c>
      <c r="B8" s="13" t="s">
        <v>8309</v>
      </c>
    </row>
    <row r="9">
      <c r="A9" s="13" t="s">
        <v>8310</v>
      </c>
      <c r="B9" s="13" t="s">
        <v>8311</v>
      </c>
    </row>
    <row r="10">
      <c r="A10" s="13" t="s">
        <v>8312</v>
      </c>
      <c r="B10" s="13" t="s">
        <v>8313</v>
      </c>
    </row>
    <row r="11">
      <c r="A11" s="13" t="s">
        <v>8314</v>
      </c>
      <c r="B11" s="13" t="s">
        <v>8315</v>
      </c>
    </row>
    <row r="12">
      <c r="A12" s="13" t="s">
        <v>8316</v>
      </c>
      <c r="B12" s="13" t="s">
        <v>8317</v>
      </c>
    </row>
    <row r="13">
      <c r="A13" s="13" t="s">
        <v>8318</v>
      </c>
      <c r="B13" s="13" t="s">
        <v>8319</v>
      </c>
    </row>
    <row r="14">
      <c r="A14" s="13" t="s">
        <v>8320</v>
      </c>
      <c r="B14" s="13" t="s">
        <v>8321</v>
      </c>
    </row>
    <row r="15">
      <c r="A15" s="13" t="s">
        <v>8322</v>
      </c>
      <c r="B15" s="13" t="s">
        <v>8323</v>
      </c>
    </row>
    <row r="16">
      <c r="A16" s="13" t="s">
        <v>8324</v>
      </c>
      <c r="B16" s="13" t="s">
        <v>8325</v>
      </c>
    </row>
    <row r="17">
      <c r="A17" s="13" t="s">
        <v>6485</v>
      </c>
      <c r="B17" s="13" t="s">
        <v>8326</v>
      </c>
    </row>
    <row r="18">
      <c r="A18" s="13" t="s">
        <v>8327</v>
      </c>
      <c r="B18" s="13" t="s">
        <v>8328</v>
      </c>
    </row>
    <row r="19">
      <c r="A19" s="13" t="s">
        <v>8329</v>
      </c>
      <c r="B19" s="13" t="s">
        <v>8330</v>
      </c>
    </row>
    <row r="20">
      <c r="A20" s="13" t="s">
        <v>8331</v>
      </c>
      <c r="B20" s="13" t="s">
        <v>8332</v>
      </c>
    </row>
    <row r="21">
      <c r="A21" s="13" t="s">
        <v>8333</v>
      </c>
      <c r="B21" s="13" t="s">
        <v>8334</v>
      </c>
    </row>
    <row r="22">
      <c r="B22" s="13" t="s">
        <v>8335</v>
      </c>
    </row>
    <row r="23">
      <c r="B23" s="13" t="s">
        <v>8336</v>
      </c>
    </row>
    <row r="24">
      <c r="B24" s="13" t="s">
        <v>8337</v>
      </c>
    </row>
    <row r="25">
      <c r="B25" s="13" t="s">
        <v>8338</v>
      </c>
    </row>
    <row r="26">
      <c r="B26" s="13" t="s">
        <v>8339</v>
      </c>
    </row>
    <row r="27">
      <c r="B27" s="13" t="s">
        <v>8340</v>
      </c>
    </row>
    <row r="28">
      <c r="B28" s="13" t="s">
        <v>8341</v>
      </c>
    </row>
    <row r="29">
      <c r="B29" s="13" t="s">
        <v>8342</v>
      </c>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5.25"/>
    <col customWidth="1" min="2" max="2" width="18.0"/>
    <col customWidth="1" min="3" max="3" width="94.25"/>
    <col customWidth="1" min="4" max="4" width="16.38"/>
    <col customWidth="1" min="6" max="6" width="71.88"/>
  </cols>
  <sheetData>
    <row r="1">
      <c r="A1" s="9" t="s">
        <v>8343</v>
      </c>
      <c r="B1" s="9" t="s">
        <v>8344</v>
      </c>
      <c r="C1" s="9" t="s">
        <v>8345</v>
      </c>
      <c r="D1" s="128" t="s">
        <v>8346</v>
      </c>
      <c r="E1" s="9" t="s">
        <v>8347</v>
      </c>
      <c r="F1" s="9" t="s">
        <v>7695</v>
      </c>
      <c r="G1" s="70"/>
      <c r="H1" s="70"/>
      <c r="I1" s="70"/>
      <c r="J1" s="70"/>
      <c r="K1" s="70"/>
      <c r="L1" s="70"/>
      <c r="M1" s="70"/>
      <c r="N1" s="70"/>
      <c r="O1" s="70"/>
      <c r="P1" s="70"/>
      <c r="Q1" s="70"/>
      <c r="R1" s="70"/>
      <c r="S1" s="70"/>
      <c r="T1" s="70"/>
      <c r="U1" s="70"/>
      <c r="V1" s="70"/>
      <c r="W1" s="70"/>
      <c r="X1" s="70"/>
      <c r="Y1" s="70"/>
      <c r="Z1" s="70"/>
      <c r="AA1" s="70"/>
    </row>
    <row r="2">
      <c r="A2" s="13" t="s">
        <v>8348</v>
      </c>
      <c r="B2" s="13" t="s">
        <v>8349</v>
      </c>
      <c r="C2" s="13" t="s">
        <v>8350</v>
      </c>
      <c r="D2" s="12">
        <v>1.0</v>
      </c>
      <c r="E2" s="13" t="s">
        <v>8351</v>
      </c>
    </row>
    <row r="3">
      <c r="A3" s="13" t="s">
        <v>8352</v>
      </c>
      <c r="B3" s="13" t="s">
        <v>8353</v>
      </c>
      <c r="C3" s="13" t="s">
        <v>8354</v>
      </c>
      <c r="D3" s="12">
        <v>1.0</v>
      </c>
    </row>
    <row r="4">
      <c r="A4" s="13" t="s">
        <v>8352</v>
      </c>
      <c r="B4" s="13" t="s">
        <v>8355</v>
      </c>
      <c r="C4" s="13" t="s">
        <v>8356</v>
      </c>
      <c r="D4" s="12">
        <v>2.0</v>
      </c>
    </row>
    <row r="5">
      <c r="A5" s="89" t="s">
        <v>8357</v>
      </c>
      <c r="B5" s="13" t="s">
        <v>8358</v>
      </c>
      <c r="C5" s="13" t="s">
        <v>8359</v>
      </c>
      <c r="D5" s="12">
        <v>1.0</v>
      </c>
    </row>
    <row r="6">
      <c r="A6" s="89" t="s">
        <v>8357</v>
      </c>
      <c r="B6" s="13" t="s">
        <v>8360</v>
      </c>
      <c r="C6" s="13" t="s">
        <v>8361</v>
      </c>
      <c r="D6" s="12">
        <v>2.0</v>
      </c>
    </row>
    <row r="7">
      <c r="A7" s="89" t="s">
        <v>8357</v>
      </c>
      <c r="B7" s="13" t="s">
        <v>8362</v>
      </c>
      <c r="C7" s="13" t="s">
        <v>8363</v>
      </c>
      <c r="D7" s="12">
        <v>3.0</v>
      </c>
    </row>
    <row r="8">
      <c r="A8" s="89" t="s">
        <v>8357</v>
      </c>
      <c r="D8" s="28"/>
      <c r="E8" s="13" t="s">
        <v>1938</v>
      </c>
      <c r="F8" s="146" t="s">
        <v>8364</v>
      </c>
    </row>
    <row r="9">
      <c r="A9" s="89" t="s">
        <v>8357</v>
      </c>
      <c r="B9" s="13" t="s">
        <v>8365</v>
      </c>
      <c r="C9" s="13" t="s">
        <v>8366</v>
      </c>
      <c r="D9" s="28"/>
      <c r="E9" s="13" t="s">
        <v>8367</v>
      </c>
    </row>
    <row r="10">
      <c r="C10" s="147"/>
      <c r="D10" s="28"/>
    </row>
    <row r="11">
      <c r="C11" s="147"/>
      <c r="D11" s="28"/>
    </row>
    <row r="12">
      <c r="C12" s="147"/>
      <c r="D12" s="28"/>
    </row>
    <row r="13">
      <c r="C13" s="147"/>
      <c r="D13" s="28"/>
    </row>
    <row r="14">
      <c r="C14" s="147"/>
      <c r="D14" s="28"/>
    </row>
    <row r="15">
      <c r="C15" s="147"/>
      <c r="D15" s="28"/>
    </row>
    <row r="16">
      <c r="C16" s="147"/>
      <c r="D16" s="28"/>
    </row>
    <row r="17">
      <c r="C17" s="147"/>
      <c r="D17" s="28"/>
    </row>
    <row r="18">
      <c r="D18" s="28"/>
    </row>
    <row r="19">
      <c r="D19" s="28"/>
    </row>
    <row r="20">
      <c r="D20" s="28"/>
    </row>
    <row r="21">
      <c r="D21" s="28"/>
    </row>
    <row r="22">
      <c r="D22" s="28"/>
    </row>
    <row r="23">
      <c r="D23" s="28"/>
    </row>
    <row r="24">
      <c r="D24" s="28"/>
    </row>
    <row r="25">
      <c r="D25" s="28"/>
    </row>
    <row r="26">
      <c r="D26" s="28"/>
    </row>
    <row r="27">
      <c r="D27" s="28"/>
    </row>
    <row r="28">
      <c r="D28" s="28"/>
    </row>
    <row r="29">
      <c r="D29" s="28"/>
    </row>
    <row r="30">
      <c r="D30" s="28"/>
    </row>
    <row r="31">
      <c r="D31" s="28"/>
    </row>
    <row r="32">
      <c r="D32" s="28"/>
    </row>
    <row r="33">
      <c r="D33" s="28"/>
    </row>
    <row r="34">
      <c r="D34" s="28"/>
    </row>
    <row r="35">
      <c r="D35" s="28"/>
    </row>
    <row r="36">
      <c r="D36" s="28"/>
    </row>
    <row r="37">
      <c r="D37" s="28"/>
    </row>
    <row r="38">
      <c r="D38" s="28"/>
    </row>
    <row r="39">
      <c r="D39" s="28"/>
    </row>
    <row r="40">
      <c r="D40" s="28"/>
    </row>
    <row r="41">
      <c r="D41" s="28"/>
    </row>
    <row r="42">
      <c r="D42" s="28"/>
    </row>
    <row r="43">
      <c r="D43" s="28"/>
    </row>
    <row r="44">
      <c r="D44" s="28"/>
    </row>
    <row r="45">
      <c r="D45" s="28"/>
    </row>
    <row r="46">
      <c r="D46" s="28"/>
    </row>
    <row r="47">
      <c r="D47" s="28"/>
    </row>
    <row r="48">
      <c r="D48" s="28"/>
    </row>
    <row r="49">
      <c r="D49" s="28"/>
    </row>
    <row r="50">
      <c r="D50" s="28"/>
    </row>
    <row r="51">
      <c r="D51" s="28"/>
    </row>
    <row r="52">
      <c r="D52" s="28"/>
    </row>
    <row r="53">
      <c r="D53" s="28"/>
    </row>
    <row r="54">
      <c r="D54" s="28"/>
    </row>
    <row r="55">
      <c r="D55" s="28"/>
    </row>
    <row r="56">
      <c r="D56" s="28"/>
    </row>
    <row r="57">
      <c r="D57" s="28"/>
    </row>
    <row r="58">
      <c r="D58" s="28"/>
    </row>
    <row r="59">
      <c r="D59" s="28"/>
    </row>
    <row r="60">
      <c r="D60" s="28"/>
    </row>
    <row r="61">
      <c r="D61" s="28"/>
    </row>
    <row r="62">
      <c r="D62" s="28"/>
    </row>
    <row r="63">
      <c r="D63" s="28"/>
    </row>
    <row r="64">
      <c r="D64" s="28"/>
    </row>
    <row r="65">
      <c r="D65" s="28"/>
    </row>
    <row r="66">
      <c r="D66" s="28"/>
    </row>
    <row r="67">
      <c r="D67" s="28"/>
    </row>
    <row r="68">
      <c r="D68" s="28"/>
    </row>
    <row r="69">
      <c r="D69" s="28"/>
    </row>
    <row r="70">
      <c r="D70" s="28"/>
    </row>
    <row r="71">
      <c r="D71" s="28"/>
    </row>
    <row r="72">
      <c r="D72" s="28"/>
    </row>
    <row r="73">
      <c r="D73" s="28"/>
    </row>
    <row r="74">
      <c r="D74" s="28"/>
    </row>
    <row r="75">
      <c r="D75" s="28"/>
    </row>
    <row r="76">
      <c r="D76" s="28"/>
    </row>
    <row r="77">
      <c r="D77" s="28"/>
    </row>
    <row r="78">
      <c r="D78" s="28"/>
    </row>
    <row r="79">
      <c r="D79" s="28"/>
    </row>
    <row r="80">
      <c r="D80" s="28"/>
    </row>
    <row r="81">
      <c r="D81" s="28"/>
    </row>
    <row r="82">
      <c r="D82" s="28"/>
    </row>
    <row r="83">
      <c r="D83" s="28"/>
    </row>
    <row r="84">
      <c r="D84" s="28"/>
    </row>
    <row r="85">
      <c r="D85" s="28"/>
    </row>
    <row r="86">
      <c r="D86" s="28"/>
    </row>
    <row r="87">
      <c r="D87" s="28"/>
    </row>
    <row r="88">
      <c r="D88" s="28"/>
    </row>
    <row r="89">
      <c r="D89" s="28"/>
    </row>
    <row r="90">
      <c r="D90" s="28"/>
    </row>
    <row r="91">
      <c r="D91" s="28"/>
    </row>
    <row r="92">
      <c r="D92" s="28"/>
    </row>
    <row r="93">
      <c r="D93" s="28"/>
    </row>
    <row r="94">
      <c r="D94" s="28"/>
    </row>
    <row r="95">
      <c r="D95" s="28"/>
    </row>
    <row r="96">
      <c r="D96" s="28"/>
    </row>
    <row r="97">
      <c r="D97" s="28"/>
    </row>
    <row r="98">
      <c r="D98" s="28"/>
    </row>
    <row r="99">
      <c r="D99" s="28"/>
    </row>
    <row r="100">
      <c r="D100" s="28"/>
    </row>
    <row r="101">
      <c r="D101" s="28"/>
    </row>
    <row r="102">
      <c r="D102" s="28"/>
    </row>
    <row r="103">
      <c r="D103" s="28"/>
    </row>
    <row r="104">
      <c r="D104" s="28"/>
    </row>
    <row r="105">
      <c r="D105" s="28"/>
    </row>
    <row r="106">
      <c r="D106" s="28"/>
    </row>
    <row r="107">
      <c r="D107" s="28"/>
    </row>
    <row r="108">
      <c r="D108" s="28"/>
    </row>
    <row r="109">
      <c r="D109" s="28"/>
    </row>
    <row r="110">
      <c r="D110" s="28"/>
    </row>
    <row r="111">
      <c r="D111" s="28"/>
    </row>
    <row r="112">
      <c r="D112" s="28"/>
    </row>
    <row r="113">
      <c r="D113" s="28"/>
    </row>
    <row r="114">
      <c r="D114" s="28"/>
    </row>
    <row r="115">
      <c r="D115" s="28"/>
    </row>
    <row r="116">
      <c r="D116" s="28"/>
    </row>
    <row r="117">
      <c r="D117" s="28"/>
    </row>
    <row r="118">
      <c r="D118" s="28"/>
    </row>
    <row r="119">
      <c r="D119" s="28"/>
    </row>
    <row r="120">
      <c r="D120" s="28"/>
    </row>
    <row r="121">
      <c r="D121" s="28"/>
    </row>
    <row r="122">
      <c r="D122" s="28"/>
    </row>
    <row r="123">
      <c r="D123" s="28"/>
    </row>
    <row r="124">
      <c r="D124" s="28"/>
    </row>
    <row r="125">
      <c r="D125" s="28"/>
    </row>
    <row r="126">
      <c r="D126" s="28"/>
    </row>
    <row r="127">
      <c r="D127" s="28"/>
    </row>
    <row r="128">
      <c r="D128" s="28"/>
    </row>
    <row r="129">
      <c r="D129" s="28"/>
    </row>
    <row r="130">
      <c r="D130" s="28"/>
    </row>
    <row r="131">
      <c r="D131" s="28"/>
    </row>
    <row r="132">
      <c r="D132" s="28"/>
    </row>
    <row r="133">
      <c r="D133" s="28"/>
    </row>
    <row r="134">
      <c r="D134" s="28"/>
    </row>
    <row r="135">
      <c r="D135" s="28"/>
    </row>
    <row r="136">
      <c r="D136" s="28"/>
    </row>
    <row r="137">
      <c r="D137" s="28"/>
    </row>
    <row r="138">
      <c r="D138" s="28"/>
    </row>
    <row r="139">
      <c r="D139" s="28"/>
    </row>
    <row r="140">
      <c r="D140" s="28"/>
    </row>
    <row r="141">
      <c r="D141" s="28"/>
    </row>
    <row r="142">
      <c r="D142" s="28"/>
    </row>
    <row r="143">
      <c r="D143" s="28"/>
    </row>
    <row r="144">
      <c r="D144" s="28"/>
    </row>
    <row r="145">
      <c r="D145" s="28"/>
    </row>
    <row r="146">
      <c r="D146" s="28"/>
    </row>
    <row r="147">
      <c r="D147" s="28"/>
    </row>
    <row r="148">
      <c r="D148" s="28"/>
    </row>
    <row r="149">
      <c r="D149" s="28"/>
    </row>
    <row r="150">
      <c r="D150" s="28"/>
    </row>
    <row r="151">
      <c r="D151" s="28"/>
    </row>
    <row r="152">
      <c r="D152" s="28"/>
    </row>
    <row r="153">
      <c r="D153" s="28"/>
    </row>
    <row r="154">
      <c r="D154" s="28"/>
    </row>
    <row r="155">
      <c r="D155" s="28"/>
    </row>
    <row r="156">
      <c r="D156" s="28"/>
    </row>
    <row r="157">
      <c r="D157" s="28"/>
    </row>
    <row r="158">
      <c r="D158" s="28"/>
    </row>
    <row r="159">
      <c r="D159" s="28"/>
    </row>
    <row r="160">
      <c r="D160" s="28"/>
    </row>
    <row r="161">
      <c r="D161" s="28"/>
    </row>
    <row r="162">
      <c r="D162" s="28"/>
    </row>
    <row r="163">
      <c r="D163" s="28"/>
    </row>
    <row r="164">
      <c r="D164" s="28"/>
    </row>
    <row r="165">
      <c r="D165" s="28"/>
    </row>
    <row r="166">
      <c r="D166" s="28"/>
    </row>
    <row r="167">
      <c r="D167" s="28"/>
    </row>
    <row r="168">
      <c r="D168" s="28"/>
    </row>
    <row r="169">
      <c r="D169" s="28"/>
    </row>
    <row r="170">
      <c r="D170" s="28"/>
    </row>
    <row r="171">
      <c r="D171" s="28"/>
    </row>
    <row r="172">
      <c r="D172" s="28"/>
    </row>
    <row r="173">
      <c r="D173" s="28"/>
    </row>
    <row r="174">
      <c r="D174" s="28"/>
    </row>
    <row r="175">
      <c r="D175" s="28"/>
    </row>
    <row r="176">
      <c r="D176" s="28"/>
    </row>
    <row r="177">
      <c r="D177" s="28"/>
    </row>
    <row r="178">
      <c r="D178" s="28"/>
    </row>
    <row r="179">
      <c r="D179" s="28"/>
    </row>
    <row r="180">
      <c r="D180" s="28"/>
    </row>
    <row r="181">
      <c r="D181" s="28"/>
    </row>
    <row r="182">
      <c r="D182" s="28"/>
    </row>
    <row r="183">
      <c r="D183" s="28"/>
    </row>
    <row r="184">
      <c r="D184" s="28"/>
    </row>
    <row r="185">
      <c r="D185" s="28"/>
    </row>
    <row r="186">
      <c r="D186" s="28"/>
    </row>
    <row r="187">
      <c r="D187" s="28"/>
    </row>
    <row r="188">
      <c r="D188" s="28"/>
    </row>
    <row r="189">
      <c r="D189" s="28"/>
    </row>
    <row r="190">
      <c r="D190" s="28"/>
    </row>
    <row r="191">
      <c r="D191" s="28"/>
    </row>
    <row r="192">
      <c r="D192" s="28"/>
    </row>
    <row r="193">
      <c r="D193" s="28"/>
    </row>
    <row r="194">
      <c r="D194" s="28"/>
    </row>
    <row r="195">
      <c r="D195" s="28"/>
    </row>
    <row r="196">
      <c r="D196" s="28"/>
    </row>
    <row r="197">
      <c r="D197" s="28"/>
    </row>
    <row r="198">
      <c r="D198" s="28"/>
    </row>
    <row r="199">
      <c r="D199" s="28"/>
    </row>
    <row r="200">
      <c r="D200" s="28"/>
    </row>
    <row r="201">
      <c r="D201" s="28"/>
    </row>
    <row r="202">
      <c r="D202" s="28"/>
    </row>
    <row r="203">
      <c r="D203" s="28"/>
    </row>
    <row r="204">
      <c r="D204" s="28"/>
    </row>
    <row r="205">
      <c r="D205" s="28"/>
    </row>
    <row r="206">
      <c r="D206" s="28"/>
    </row>
    <row r="207">
      <c r="D207" s="28"/>
    </row>
    <row r="208">
      <c r="D208" s="28"/>
    </row>
    <row r="209">
      <c r="D209" s="28"/>
    </row>
    <row r="210">
      <c r="D210" s="28"/>
    </row>
    <row r="211">
      <c r="D211" s="28"/>
    </row>
    <row r="212">
      <c r="D212" s="28"/>
    </row>
    <row r="213">
      <c r="D213" s="28"/>
    </row>
    <row r="214">
      <c r="D214" s="28"/>
    </row>
    <row r="215">
      <c r="D215" s="28"/>
    </row>
    <row r="216">
      <c r="D216" s="28"/>
    </row>
    <row r="217">
      <c r="D217" s="28"/>
    </row>
    <row r="218">
      <c r="D218" s="28"/>
    </row>
    <row r="219">
      <c r="D219" s="28"/>
    </row>
    <row r="220">
      <c r="D220" s="28"/>
    </row>
    <row r="221">
      <c r="D221" s="28"/>
    </row>
    <row r="222">
      <c r="D222" s="28"/>
    </row>
    <row r="223">
      <c r="D223" s="28"/>
    </row>
    <row r="224">
      <c r="D224" s="28"/>
    </row>
    <row r="225">
      <c r="D225" s="28"/>
    </row>
    <row r="226">
      <c r="D226" s="28"/>
    </row>
    <row r="227">
      <c r="D227" s="28"/>
    </row>
    <row r="228">
      <c r="D228" s="28"/>
    </row>
    <row r="229">
      <c r="D229" s="28"/>
    </row>
    <row r="230">
      <c r="D230" s="28"/>
    </row>
    <row r="231">
      <c r="D231" s="28"/>
    </row>
    <row r="232">
      <c r="D232" s="28"/>
    </row>
    <row r="233">
      <c r="D233" s="28"/>
    </row>
    <row r="234">
      <c r="D234" s="28"/>
    </row>
    <row r="235">
      <c r="D235" s="28"/>
    </row>
    <row r="236">
      <c r="D236" s="28"/>
    </row>
    <row r="237">
      <c r="D237" s="28"/>
    </row>
    <row r="238">
      <c r="D238" s="28"/>
    </row>
    <row r="239">
      <c r="D239" s="28"/>
    </row>
    <row r="240">
      <c r="D240" s="28"/>
    </row>
    <row r="241">
      <c r="D241" s="28"/>
    </row>
    <row r="242">
      <c r="D242" s="28"/>
    </row>
    <row r="243">
      <c r="D243" s="28"/>
    </row>
    <row r="244">
      <c r="D244" s="28"/>
    </row>
    <row r="245">
      <c r="D245" s="28"/>
    </row>
    <row r="246">
      <c r="D246" s="28"/>
    </row>
    <row r="247">
      <c r="D247" s="28"/>
    </row>
    <row r="248">
      <c r="D248" s="28"/>
    </row>
    <row r="249">
      <c r="D249" s="28"/>
    </row>
    <row r="250">
      <c r="D250" s="28"/>
    </row>
    <row r="251">
      <c r="D251" s="28"/>
    </row>
    <row r="252">
      <c r="D252" s="28"/>
    </row>
    <row r="253">
      <c r="D253" s="28"/>
    </row>
    <row r="254">
      <c r="D254" s="28"/>
    </row>
    <row r="255">
      <c r="D255" s="28"/>
    </row>
    <row r="256">
      <c r="D256" s="28"/>
    </row>
    <row r="257">
      <c r="D257" s="28"/>
    </row>
    <row r="258">
      <c r="D258" s="28"/>
    </row>
    <row r="259">
      <c r="D259" s="28"/>
    </row>
    <row r="260">
      <c r="D260" s="28"/>
    </row>
    <row r="261">
      <c r="D261" s="28"/>
    </row>
    <row r="262">
      <c r="D262" s="28"/>
    </row>
    <row r="263">
      <c r="D263" s="28"/>
    </row>
    <row r="264">
      <c r="D264" s="28"/>
    </row>
    <row r="265">
      <c r="D265" s="28"/>
    </row>
    <row r="266">
      <c r="D266" s="28"/>
    </row>
    <row r="267">
      <c r="D267" s="28"/>
    </row>
    <row r="268">
      <c r="D268" s="28"/>
    </row>
    <row r="269">
      <c r="D269" s="28"/>
    </row>
    <row r="270">
      <c r="D270" s="28"/>
    </row>
    <row r="271">
      <c r="D271" s="28"/>
    </row>
    <row r="272">
      <c r="D272" s="28"/>
    </row>
    <row r="273">
      <c r="D273" s="28"/>
    </row>
    <row r="274">
      <c r="D274" s="28"/>
    </row>
    <row r="275">
      <c r="D275" s="28"/>
    </row>
    <row r="276">
      <c r="D276" s="28"/>
    </row>
    <row r="277">
      <c r="D277" s="28"/>
    </row>
    <row r="278">
      <c r="D278" s="28"/>
    </row>
    <row r="279">
      <c r="D279" s="28"/>
    </row>
    <row r="280">
      <c r="D280" s="28"/>
    </row>
    <row r="281">
      <c r="D281" s="28"/>
    </row>
    <row r="282">
      <c r="D282" s="28"/>
    </row>
    <row r="283">
      <c r="D283" s="28"/>
    </row>
    <row r="284">
      <c r="D284" s="28"/>
    </row>
    <row r="285">
      <c r="D285" s="28"/>
    </row>
    <row r="286">
      <c r="D286" s="28"/>
    </row>
    <row r="287">
      <c r="D287" s="28"/>
    </row>
    <row r="288">
      <c r="D288" s="28"/>
    </row>
    <row r="289">
      <c r="D289" s="28"/>
    </row>
    <row r="290">
      <c r="D290" s="28"/>
    </row>
    <row r="291">
      <c r="D291" s="28"/>
    </row>
    <row r="292">
      <c r="D292" s="28"/>
    </row>
    <row r="293">
      <c r="D293" s="28"/>
    </row>
    <row r="294">
      <c r="D294" s="28"/>
    </row>
    <row r="295">
      <c r="D295" s="28"/>
    </row>
    <row r="296">
      <c r="D296" s="28"/>
    </row>
    <row r="297">
      <c r="D297" s="28"/>
    </row>
    <row r="298">
      <c r="D298" s="28"/>
    </row>
    <row r="299">
      <c r="D299" s="28"/>
    </row>
    <row r="300">
      <c r="D300" s="28"/>
    </row>
    <row r="301">
      <c r="D301" s="28"/>
    </row>
    <row r="302">
      <c r="D302" s="28"/>
    </row>
    <row r="303">
      <c r="D303" s="28"/>
    </row>
    <row r="304">
      <c r="D304" s="28"/>
    </row>
    <row r="305">
      <c r="D305" s="28"/>
    </row>
    <row r="306">
      <c r="D306" s="28"/>
    </row>
    <row r="307">
      <c r="D307" s="28"/>
    </row>
    <row r="308">
      <c r="D308" s="28"/>
    </row>
    <row r="309">
      <c r="D309" s="28"/>
    </row>
    <row r="310">
      <c r="D310" s="28"/>
    </row>
    <row r="311">
      <c r="D311" s="28"/>
    </row>
    <row r="312">
      <c r="D312" s="28"/>
    </row>
    <row r="313">
      <c r="D313" s="28"/>
    </row>
    <row r="314">
      <c r="D314" s="28"/>
    </row>
    <row r="315">
      <c r="D315" s="28"/>
    </row>
    <row r="316">
      <c r="D316" s="28"/>
    </row>
    <row r="317">
      <c r="D317" s="28"/>
    </row>
    <row r="318">
      <c r="D318" s="28"/>
    </row>
    <row r="319">
      <c r="D319" s="28"/>
    </row>
    <row r="320">
      <c r="D320" s="28"/>
    </row>
    <row r="321">
      <c r="D321" s="28"/>
    </row>
    <row r="322">
      <c r="D322" s="28"/>
    </row>
    <row r="323">
      <c r="D323" s="28"/>
    </row>
    <row r="324">
      <c r="D324" s="28"/>
    </row>
    <row r="325">
      <c r="D325" s="28"/>
    </row>
    <row r="326">
      <c r="D326" s="28"/>
    </row>
    <row r="327">
      <c r="D327" s="28"/>
    </row>
    <row r="328">
      <c r="D328" s="28"/>
    </row>
    <row r="329">
      <c r="D329" s="28"/>
    </row>
    <row r="330">
      <c r="D330" s="28"/>
    </row>
    <row r="331">
      <c r="D331" s="28"/>
    </row>
    <row r="332">
      <c r="D332" s="28"/>
    </row>
    <row r="333">
      <c r="D333" s="28"/>
    </row>
    <row r="334">
      <c r="D334" s="28"/>
    </row>
    <row r="335">
      <c r="D335" s="28"/>
    </row>
    <row r="336">
      <c r="D336" s="28"/>
    </row>
    <row r="337">
      <c r="D337" s="28"/>
    </row>
    <row r="338">
      <c r="D338" s="28"/>
    </row>
    <row r="339">
      <c r="D339" s="28"/>
    </row>
    <row r="340">
      <c r="D340" s="28"/>
    </row>
    <row r="341">
      <c r="D341" s="28"/>
    </row>
    <row r="342">
      <c r="D342" s="28"/>
    </row>
    <row r="343">
      <c r="D343" s="28"/>
    </row>
    <row r="344">
      <c r="D344" s="28"/>
    </row>
    <row r="345">
      <c r="D345" s="28"/>
    </row>
    <row r="346">
      <c r="D346" s="28"/>
    </row>
    <row r="347">
      <c r="D347" s="28"/>
    </row>
    <row r="348">
      <c r="D348" s="28"/>
    </row>
    <row r="349">
      <c r="D349" s="28"/>
    </row>
    <row r="350">
      <c r="D350" s="28"/>
    </row>
    <row r="351">
      <c r="D351" s="28"/>
    </row>
    <row r="352">
      <c r="D352" s="28"/>
    </row>
    <row r="353">
      <c r="D353" s="28"/>
    </row>
    <row r="354">
      <c r="D354" s="28"/>
    </row>
    <row r="355">
      <c r="D355" s="28"/>
    </row>
    <row r="356">
      <c r="D356" s="28"/>
    </row>
    <row r="357">
      <c r="D357" s="28"/>
    </row>
    <row r="358">
      <c r="D358" s="28"/>
    </row>
    <row r="359">
      <c r="D359" s="28"/>
    </row>
    <row r="360">
      <c r="D360" s="28"/>
    </row>
    <row r="361">
      <c r="D361" s="28"/>
    </row>
    <row r="362">
      <c r="D362" s="28"/>
    </row>
    <row r="363">
      <c r="D363" s="28"/>
    </row>
    <row r="364">
      <c r="D364" s="28"/>
    </row>
    <row r="365">
      <c r="D365" s="28"/>
    </row>
    <row r="366">
      <c r="D366" s="28"/>
    </row>
    <row r="367">
      <c r="D367" s="28"/>
    </row>
    <row r="368">
      <c r="D368" s="28"/>
    </row>
    <row r="369">
      <c r="D369" s="28"/>
    </row>
    <row r="370">
      <c r="D370" s="28"/>
    </row>
    <row r="371">
      <c r="D371" s="28"/>
    </row>
    <row r="372">
      <c r="D372" s="28"/>
    </row>
    <row r="373">
      <c r="D373" s="28"/>
    </row>
    <row r="374">
      <c r="D374" s="28"/>
    </row>
    <row r="375">
      <c r="D375" s="28"/>
    </row>
    <row r="376">
      <c r="D376" s="28"/>
    </row>
    <row r="377">
      <c r="D377" s="28"/>
    </row>
    <row r="378">
      <c r="D378" s="28"/>
    </row>
    <row r="379">
      <c r="D379" s="28"/>
    </row>
    <row r="380">
      <c r="D380" s="28"/>
    </row>
    <row r="381">
      <c r="D381" s="28"/>
    </row>
    <row r="382">
      <c r="D382" s="28"/>
    </row>
    <row r="383">
      <c r="D383" s="28"/>
    </row>
    <row r="384">
      <c r="D384" s="28"/>
    </row>
    <row r="385">
      <c r="D385" s="28"/>
    </row>
    <row r="386">
      <c r="D386" s="28"/>
    </row>
    <row r="387">
      <c r="D387" s="28"/>
    </row>
    <row r="388">
      <c r="D388" s="28"/>
    </row>
    <row r="389">
      <c r="D389" s="28"/>
    </row>
    <row r="390">
      <c r="D390" s="28"/>
    </row>
    <row r="391">
      <c r="D391" s="28"/>
    </row>
    <row r="392">
      <c r="D392" s="28"/>
    </row>
    <row r="393">
      <c r="D393" s="28"/>
    </row>
    <row r="394">
      <c r="D394" s="28"/>
    </row>
    <row r="395">
      <c r="D395" s="28"/>
    </row>
    <row r="396">
      <c r="D396" s="28"/>
    </row>
    <row r="397">
      <c r="D397" s="28"/>
    </row>
    <row r="398">
      <c r="D398" s="28"/>
    </row>
    <row r="399">
      <c r="D399" s="28"/>
    </row>
    <row r="400">
      <c r="D400" s="28"/>
    </row>
    <row r="401">
      <c r="D401" s="28"/>
    </row>
    <row r="402">
      <c r="D402" s="28"/>
    </row>
    <row r="403">
      <c r="D403" s="28"/>
    </row>
    <row r="404">
      <c r="D404" s="28"/>
    </row>
    <row r="405">
      <c r="D405" s="28"/>
    </row>
    <row r="406">
      <c r="D406" s="28"/>
    </row>
    <row r="407">
      <c r="D407" s="28"/>
    </row>
    <row r="408">
      <c r="D408" s="28"/>
    </row>
    <row r="409">
      <c r="D409" s="28"/>
    </row>
    <row r="410">
      <c r="D410" s="28"/>
    </row>
    <row r="411">
      <c r="D411" s="28"/>
    </row>
    <row r="412">
      <c r="D412" s="28"/>
    </row>
    <row r="413">
      <c r="D413" s="28"/>
    </row>
    <row r="414">
      <c r="D414" s="28"/>
    </row>
    <row r="415">
      <c r="D415" s="28"/>
    </row>
    <row r="416">
      <c r="D416" s="28"/>
    </row>
    <row r="417">
      <c r="D417" s="28"/>
    </row>
    <row r="418">
      <c r="D418" s="28"/>
    </row>
    <row r="419">
      <c r="D419" s="28"/>
    </row>
    <row r="420">
      <c r="D420" s="28"/>
    </row>
    <row r="421">
      <c r="D421" s="28"/>
    </row>
    <row r="422">
      <c r="D422" s="28"/>
    </row>
    <row r="423">
      <c r="D423" s="28"/>
    </row>
    <row r="424">
      <c r="D424" s="28"/>
    </row>
    <row r="425">
      <c r="D425" s="28"/>
    </row>
    <row r="426">
      <c r="D426" s="28"/>
    </row>
    <row r="427">
      <c r="D427" s="28"/>
    </row>
    <row r="428">
      <c r="D428" s="28"/>
    </row>
    <row r="429">
      <c r="D429" s="28"/>
    </row>
    <row r="430">
      <c r="D430" s="28"/>
    </row>
    <row r="431">
      <c r="D431" s="28"/>
    </row>
    <row r="432">
      <c r="D432" s="28"/>
    </row>
    <row r="433">
      <c r="D433" s="28"/>
    </row>
    <row r="434">
      <c r="D434" s="28"/>
    </row>
    <row r="435">
      <c r="D435" s="28"/>
    </row>
    <row r="436">
      <c r="D436" s="28"/>
    </row>
    <row r="437">
      <c r="D437" s="28"/>
    </row>
    <row r="438">
      <c r="D438" s="28"/>
    </row>
    <row r="439">
      <c r="D439" s="28"/>
    </row>
    <row r="440">
      <c r="D440" s="28"/>
    </row>
    <row r="441">
      <c r="D441" s="28"/>
    </row>
    <row r="442">
      <c r="D442" s="28"/>
    </row>
    <row r="443">
      <c r="D443" s="28"/>
    </row>
    <row r="444">
      <c r="D444" s="28"/>
    </row>
    <row r="445">
      <c r="D445" s="28"/>
    </row>
    <row r="446">
      <c r="D446" s="28"/>
    </row>
    <row r="447">
      <c r="D447" s="28"/>
    </row>
    <row r="448">
      <c r="D448" s="28"/>
    </row>
    <row r="449">
      <c r="D449" s="28"/>
    </row>
    <row r="450">
      <c r="D450" s="28"/>
    </row>
    <row r="451">
      <c r="D451" s="28"/>
    </row>
    <row r="452">
      <c r="D452" s="28"/>
    </row>
    <row r="453">
      <c r="D453" s="28"/>
    </row>
    <row r="454">
      <c r="D454" s="28"/>
    </row>
    <row r="455">
      <c r="D455" s="28"/>
    </row>
    <row r="456">
      <c r="D456" s="28"/>
    </row>
    <row r="457">
      <c r="D457" s="28"/>
    </row>
    <row r="458">
      <c r="D458" s="28"/>
    </row>
    <row r="459">
      <c r="D459" s="28"/>
    </row>
    <row r="460">
      <c r="D460" s="28"/>
    </row>
    <row r="461">
      <c r="D461" s="28"/>
    </row>
    <row r="462">
      <c r="D462" s="28"/>
    </row>
    <row r="463">
      <c r="D463" s="28"/>
    </row>
    <row r="464">
      <c r="D464" s="28"/>
    </row>
    <row r="465">
      <c r="D465" s="28"/>
    </row>
    <row r="466">
      <c r="D466" s="28"/>
    </row>
    <row r="467">
      <c r="D467" s="28"/>
    </row>
    <row r="468">
      <c r="D468" s="28"/>
    </row>
    <row r="469">
      <c r="D469" s="28"/>
    </row>
    <row r="470">
      <c r="D470" s="28"/>
    </row>
    <row r="471">
      <c r="D471" s="28"/>
    </row>
    <row r="472">
      <c r="D472" s="28"/>
    </row>
    <row r="473">
      <c r="D473" s="28"/>
    </row>
    <row r="474">
      <c r="D474" s="28"/>
    </row>
    <row r="475">
      <c r="D475" s="28"/>
    </row>
    <row r="476">
      <c r="D476" s="28"/>
    </row>
    <row r="477">
      <c r="D477" s="28"/>
    </row>
    <row r="478">
      <c r="D478" s="28"/>
    </row>
    <row r="479">
      <c r="D479" s="28"/>
    </row>
    <row r="480">
      <c r="D480" s="28"/>
    </row>
    <row r="481">
      <c r="D481" s="28"/>
    </row>
    <row r="482">
      <c r="D482" s="28"/>
    </row>
    <row r="483">
      <c r="D483" s="28"/>
    </row>
    <row r="484">
      <c r="D484" s="28"/>
    </row>
    <row r="485">
      <c r="D485" s="28"/>
    </row>
    <row r="486">
      <c r="D486" s="28"/>
    </row>
    <row r="487">
      <c r="D487" s="28"/>
    </row>
    <row r="488">
      <c r="D488" s="28"/>
    </row>
    <row r="489">
      <c r="D489" s="28"/>
    </row>
    <row r="490">
      <c r="D490" s="28"/>
    </row>
    <row r="491">
      <c r="D491" s="28"/>
    </row>
    <row r="492">
      <c r="D492" s="28"/>
    </row>
    <row r="493">
      <c r="D493" s="28"/>
    </row>
    <row r="494">
      <c r="D494" s="28"/>
    </row>
    <row r="495">
      <c r="D495" s="28"/>
    </row>
    <row r="496">
      <c r="D496" s="28"/>
    </row>
    <row r="497">
      <c r="D497" s="28"/>
    </row>
    <row r="498">
      <c r="D498" s="28"/>
    </row>
    <row r="499">
      <c r="D499" s="28"/>
    </row>
    <row r="500">
      <c r="D500" s="28"/>
    </row>
    <row r="501">
      <c r="D501" s="28"/>
    </row>
    <row r="502">
      <c r="D502" s="28"/>
    </row>
    <row r="503">
      <c r="D503" s="28"/>
    </row>
    <row r="504">
      <c r="D504" s="28"/>
    </row>
    <row r="505">
      <c r="D505" s="28"/>
    </row>
    <row r="506">
      <c r="D506" s="28"/>
    </row>
    <row r="507">
      <c r="D507" s="28"/>
    </row>
    <row r="508">
      <c r="D508" s="28"/>
    </row>
    <row r="509">
      <c r="D509" s="28"/>
    </row>
    <row r="510">
      <c r="D510" s="28"/>
    </row>
    <row r="511">
      <c r="D511" s="28"/>
    </row>
    <row r="512">
      <c r="D512" s="28"/>
    </row>
    <row r="513">
      <c r="D513" s="28"/>
    </row>
    <row r="514">
      <c r="D514" s="28"/>
    </row>
    <row r="515">
      <c r="D515" s="28"/>
    </row>
    <row r="516">
      <c r="D516" s="28"/>
    </row>
    <row r="517">
      <c r="D517" s="28"/>
    </row>
    <row r="518">
      <c r="D518" s="28"/>
    </row>
    <row r="519">
      <c r="D519" s="28"/>
    </row>
    <row r="520">
      <c r="D520" s="28"/>
    </row>
    <row r="521">
      <c r="D521" s="28"/>
    </row>
    <row r="522">
      <c r="D522" s="28"/>
    </row>
    <row r="523">
      <c r="D523" s="28"/>
    </row>
    <row r="524">
      <c r="D524" s="28"/>
    </row>
    <row r="525">
      <c r="D525" s="28"/>
    </row>
    <row r="526">
      <c r="D526" s="28"/>
    </row>
    <row r="527">
      <c r="D527" s="28"/>
    </row>
    <row r="528">
      <c r="D528" s="28"/>
    </row>
    <row r="529">
      <c r="D529" s="28"/>
    </row>
    <row r="530">
      <c r="D530" s="28"/>
    </row>
    <row r="531">
      <c r="D531" s="28"/>
    </row>
    <row r="532">
      <c r="D532" s="28"/>
    </row>
    <row r="533">
      <c r="D533" s="28"/>
    </row>
    <row r="534">
      <c r="D534" s="28"/>
    </row>
    <row r="535">
      <c r="D535" s="28"/>
    </row>
    <row r="536">
      <c r="D536" s="28"/>
    </row>
    <row r="537">
      <c r="D537" s="28"/>
    </row>
    <row r="538">
      <c r="D538" s="28"/>
    </row>
    <row r="539">
      <c r="D539" s="28"/>
    </row>
    <row r="540">
      <c r="D540" s="28"/>
    </row>
    <row r="541">
      <c r="D541" s="28"/>
    </row>
    <row r="542">
      <c r="D542" s="28"/>
    </row>
    <row r="543">
      <c r="D543" s="28"/>
    </row>
    <row r="544">
      <c r="D544" s="28"/>
    </row>
    <row r="545">
      <c r="D545" s="28"/>
    </row>
    <row r="546">
      <c r="D546" s="28"/>
    </row>
    <row r="547">
      <c r="D547" s="28"/>
    </row>
    <row r="548">
      <c r="D548" s="28"/>
    </row>
    <row r="549">
      <c r="D549" s="28"/>
    </row>
    <row r="550">
      <c r="D550" s="28"/>
    </row>
    <row r="551">
      <c r="D551" s="28"/>
    </row>
    <row r="552">
      <c r="D552" s="28"/>
    </row>
    <row r="553">
      <c r="D553" s="28"/>
    </row>
    <row r="554">
      <c r="D554" s="28"/>
    </row>
    <row r="555">
      <c r="D555" s="28"/>
    </row>
    <row r="556">
      <c r="D556" s="28"/>
    </row>
    <row r="557">
      <c r="D557" s="28"/>
    </row>
    <row r="558">
      <c r="D558" s="28"/>
    </row>
    <row r="559">
      <c r="D559" s="28"/>
    </row>
    <row r="560">
      <c r="D560" s="28"/>
    </row>
    <row r="561">
      <c r="D561" s="28"/>
    </row>
    <row r="562">
      <c r="D562" s="28"/>
    </row>
    <row r="563">
      <c r="D563" s="28"/>
    </row>
    <row r="564">
      <c r="D564" s="28"/>
    </row>
    <row r="565">
      <c r="D565" s="28"/>
    </row>
    <row r="566">
      <c r="D566" s="28"/>
    </row>
    <row r="567">
      <c r="D567" s="28"/>
    </row>
    <row r="568">
      <c r="D568" s="28"/>
    </row>
    <row r="569">
      <c r="D569" s="28"/>
    </row>
    <row r="570">
      <c r="D570" s="28"/>
    </row>
    <row r="571">
      <c r="D571" s="28"/>
    </row>
    <row r="572">
      <c r="D572" s="28"/>
    </row>
    <row r="573">
      <c r="D573" s="28"/>
    </row>
    <row r="574">
      <c r="D574" s="28"/>
    </row>
    <row r="575">
      <c r="D575" s="28"/>
    </row>
    <row r="576">
      <c r="D576" s="28"/>
    </row>
    <row r="577">
      <c r="D577" s="28"/>
    </row>
    <row r="578">
      <c r="D578" s="28"/>
    </row>
    <row r="579">
      <c r="D579" s="28"/>
    </row>
    <row r="580">
      <c r="D580" s="28"/>
    </row>
    <row r="581">
      <c r="D581" s="28"/>
    </row>
    <row r="582">
      <c r="D582" s="28"/>
    </row>
    <row r="583">
      <c r="D583" s="28"/>
    </row>
    <row r="584">
      <c r="D584" s="28"/>
    </row>
    <row r="585">
      <c r="D585" s="28"/>
    </row>
    <row r="586">
      <c r="D586" s="28"/>
    </row>
    <row r="587">
      <c r="D587" s="28"/>
    </row>
    <row r="588">
      <c r="D588" s="28"/>
    </row>
    <row r="589">
      <c r="D589" s="28"/>
    </row>
    <row r="590">
      <c r="D590" s="28"/>
    </row>
    <row r="591">
      <c r="D591" s="28"/>
    </row>
    <row r="592">
      <c r="D592" s="28"/>
    </row>
    <row r="593">
      <c r="D593" s="28"/>
    </row>
    <row r="594">
      <c r="D594" s="28"/>
    </row>
    <row r="595">
      <c r="D595" s="28"/>
    </row>
    <row r="596">
      <c r="D596" s="28"/>
    </row>
    <row r="597">
      <c r="D597" s="28"/>
    </row>
    <row r="598">
      <c r="D598" s="28"/>
    </row>
    <row r="599">
      <c r="D599" s="28"/>
    </row>
    <row r="600">
      <c r="D600" s="28"/>
    </row>
    <row r="601">
      <c r="D601" s="28"/>
    </row>
    <row r="602">
      <c r="D602" s="28"/>
    </row>
    <row r="603">
      <c r="D603" s="28"/>
    </row>
    <row r="604">
      <c r="D604" s="28"/>
    </row>
    <row r="605">
      <c r="D605" s="28"/>
    </row>
    <row r="606">
      <c r="D606" s="28"/>
    </row>
    <row r="607">
      <c r="D607" s="28"/>
    </row>
    <row r="608">
      <c r="D608" s="28"/>
    </row>
    <row r="609">
      <c r="D609" s="28"/>
    </row>
    <row r="610">
      <c r="D610" s="28"/>
    </row>
    <row r="611">
      <c r="D611" s="28"/>
    </row>
    <row r="612">
      <c r="D612" s="28"/>
    </row>
    <row r="613">
      <c r="D613" s="28"/>
    </row>
    <row r="614">
      <c r="D614" s="28"/>
    </row>
    <row r="615">
      <c r="D615" s="28"/>
    </row>
    <row r="616">
      <c r="D616" s="28"/>
    </row>
    <row r="617">
      <c r="D617" s="28"/>
    </row>
    <row r="618">
      <c r="D618" s="28"/>
    </row>
    <row r="619">
      <c r="D619" s="28"/>
    </row>
    <row r="620">
      <c r="D620" s="28"/>
    </row>
    <row r="621">
      <c r="D621" s="28"/>
    </row>
    <row r="622">
      <c r="D622" s="28"/>
    </row>
    <row r="623">
      <c r="D623" s="28"/>
    </row>
    <row r="624">
      <c r="D624" s="28"/>
    </row>
    <row r="625">
      <c r="D625" s="28"/>
    </row>
    <row r="626">
      <c r="D626" s="28"/>
    </row>
    <row r="627">
      <c r="D627" s="28"/>
    </row>
    <row r="628">
      <c r="D628" s="28"/>
    </row>
    <row r="629">
      <c r="D629" s="28"/>
    </row>
    <row r="630">
      <c r="D630" s="28"/>
    </row>
    <row r="631">
      <c r="D631" s="28"/>
    </row>
    <row r="632">
      <c r="D632" s="28"/>
    </row>
    <row r="633">
      <c r="D633" s="28"/>
    </row>
    <row r="634">
      <c r="D634" s="28"/>
    </row>
    <row r="635">
      <c r="D635" s="28"/>
    </row>
    <row r="636">
      <c r="D636" s="28"/>
    </row>
    <row r="637">
      <c r="D637" s="28"/>
    </row>
    <row r="638">
      <c r="D638" s="28"/>
    </row>
    <row r="639">
      <c r="D639" s="28"/>
    </row>
    <row r="640">
      <c r="D640" s="28"/>
    </row>
    <row r="641">
      <c r="D641" s="28"/>
    </row>
    <row r="642">
      <c r="D642" s="28"/>
    </row>
    <row r="643">
      <c r="D643" s="28"/>
    </row>
    <row r="644">
      <c r="D644" s="28"/>
    </row>
    <row r="645">
      <c r="D645" s="28"/>
    </row>
    <row r="646">
      <c r="D646" s="28"/>
    </row>
    <row r="647">
      <c r="D647" s="28"/>
    </row>
    <row r="648">
      <c r="D648" s="28"/>
    </row>
    <row r="649">
      <c r="D649" s="28"/>
    </row>
    <row r="650">
      <c r="D650" s="28"/>
    </row>
    <row r="651">
      <c r="D651" s="28"/>
    </row>
    <row r="652">
      <c r="D652" s="28"/>
    </row>
    <row r="653">
      <c r="D653" s="28"/>
    </row>
    <row r="654">
      <c r="D654" s="28"/>
    </row>
    <row r="655">
      <c r="D655" s="28"/>
    </row>
    <row r="656">
      <c r="D656" s="28"/>
    </row>
    <row r="657">
      <c r="D657" s="28"/>
    </row>
    <row r="658">
      <c r="D658" s="28"/>
    </row>
    <row r="659">
      <c r="D659" s="28"/>
    </row>
    <row r="660">
      <c r="D660" s="28"/>
    </row>
    <row r="661">
      <c r="D661" s="28"/>
    </row>
    <row r="662">
      <c r="D662" s="28"/>
    </row>
    <row r="663">
      <c r="D663" s="28"/>
    </row>
    <row r="664">
      <c r="D664" s="28"/>
    </row>
    <row r="665">
      <c r="D665" s="28"/>
    </row>
    <row r="666">
      <c r="D666" s="28"/>
    </row>
    <row r="667">
      <c r="D667" s="28"/>
    </row>
    <row r="668">
      <c r="D668" s="28"/>
    </row>
    <row r="669">
      <c r="D669" s="28"/>
    </row>
    <row r="670">
      <c r="D670" s="28"/>
    </row>
    <row r="671">
      <c r="D671" s="28"/>
    </row>
    <row r="672">
      <c r="D672" s="28"/>
    </row>
    <row r="673">
      <c r="D673" s="28"/>
    </row>
    <row r="674">
      <c r="D674" s="28"/>
    </row>
    <row r="675">
      <c r="D675" s="28"/>
    </row>
    <row r="676">
      <c r="D676" s="28"/>
    </row>
    <row r="677">
      <c r="D677" s="28"/>
    </row>
    <row r="678">
      <c r="D678" s="28"/>
    </row>
    <row r="679">
      <c r="D679" s="28"/>
    </row>
    <row r="680">
      <c r="D680" s="28"/>
    </row>
    <row r="681">
      <c r="D681" s="28"/>
    </row>
    <row r="682">
      <c r="D682" s="28"/>
    </row>
    <row r="683">
      <c r="D683" s="28"/>
    </row>
    <row r="684">
      <c r="D684" s="28"/>
    </row>
    <row r="685">
      <c r="D685" s="28"/>
    </row>
    <row r="686">
      <c r="D686" s="28"/>
    </row>
    <row r="687">
      <c r="D687" s="28"/>
    </row>
    <row r="688">
      <c r="D688" s="28"/>
    </row>
    <row r="689">
      <c r="D689" s="28"/>
    </row>
    <row r="690">
      <c r="D690" s="28"/>
    </row>
    <row r="691">
      <c r="D691" s="28"/>
    </row>
    <row r="692">
      <c r="D692" s="28"/>
    </row>
    <row r="693">
      <c r="D693" s="28"/>
    </row>
    <row r="694">
      <c r="D694" s="28"/>
    </row>
    <row r="695">
      <c r="D695" s="28"/>
    </row>
    <row r="696">
      <c r="D696" s="28"/>
    </row>
    <row r="697">
      <c r="D697" s="28"/>
    </row>
    <row r="698">
      <c r="D698" s="28"/>
    </row>
    <row r="699">
      <c r="D699" s="28"/>
    </row>
    <row r="700">
      <c r="D700" s="28"/>
    </row>
    <row r="701">
      <c r="D701" s="28"/>
    </row>
    <row r="702">
      <c r="D702" s="28"/>
    </row>
    <row r="703">
      <c r="D703" s="28"/>
    </row>
    <row r="704">
      <c r="D704" s="28"/>
    </row>
    <row r="705">
      <c r="D705" s="28"/>
    </row>
    <row r="706">
      <c r="D706" s="28"/>
    </row>
    <row r="707">
      <c r="D707" s="28"/>
    </row>
    <row r="708">
      <c r="D708" s="28"/>
    </row>
    <row r="709">
      <c r="D709" s="28"/>
    </row>
    <row r="710">
      <c r="D710" s="28"/>
    </row>
    <row r="711">
      <c r="D711" s="28"/>
    </row>
    <row r="712">
      <c r="D712" s="28"/>
    </row>
    <row r="713">
      <c r="D713" s="28"/>
    </row>
    <row r="714">
      <c r="D714" s="28"/>
    </row>
    <row r="715">
      <c r="D715" s="28"/>
    </row>
    <row r="716">
      <c r="D716" s="28"/>
    </row>
    <row r="717">
      <c r="D717" s="28"/>
    </row>
    <row r="718">
      <c r="D718" s="28"/>
    </row>
    <row r="719">
      <c r="D719" s="28"/>
    </row>
    <row r="720">
      <c r="D720" s="28"/>
    </row>
    <row r="721">
      <c r="D721" s="28"/>
    </row>
    <row r="722">
      <c r="D722" s="28"/>
    </row>
    <row r="723">
      <c r="D723" s="28"/>
    </row>
    <row r="724">
      <c r="D724" s="28"/>
    </row>
    <row r="725">
      <c r="D725" s="28"/>
    </row>
    <row r="726">
      <c r="D726" s="28"/>
    </row>
    <row r="727">
      <c r="D727" s="28"/>
    </row>
    <row r="728">
      <c r="D728" s="28"/>
    </row>
    <row r="729">
      <c r="D729" s="28"/>
    </row>
    <row r="730">
      <c r="D730" s="28"/>
    </row>
    <row r="731">
      <c r="D731" s="28"/>
    </row>
    <row r="732">
      <c r="D732" s="28"/>
    </row>
    <row r="733">
      <c r="D733" s="28"/>
    </row>
    <row r="734">
      <c r="D734" s="28"/>
    </row>
    <row r="735">
      <c r="D735" s="28"/>
    </row>
    <row r="736">
      <c r="D736" s="28"/>
    </row>
    <row r="737">
      <c r="D737" s="28"/>
    </row>
    <row r="738">
      <c r="D738" s="28"/>
    </row>
    <row r="739">
      <c r="D739" s="28"/>
    </row>
    <row r="740">
      <c r="D740" s="28"/>
    </row>
    <row r="741">
      <c r="D741" s="28"/>
    </row>
    <row r="742">
      <c r="D742" s="28"/>
    </row>
    <row r="743">
      <c r="D743" s="28"/>
    </row>
    <row r="744">
      <c r="D744" s="28"/>
    </row>
    <row r="745">
      <c r="D745" s="28"/>
    </row>
    <row r="746">
      <c r="D746" s="28"/>
    </row>
    <row r="747">
      <c r="D747" s="28"/>
    </row>
    <row r="748">
      <c r="D748" s="28"/>
    </row>
    <row r="749">
      <c r="D749" s="28"/>
    </row>
    <row r="750">
      <c r="D750" s="28"/>
    </row>
    <row r="751">
      <c r="D751" s="28"/>
    </row>
    <row r="752">
      <c r="D752" s="28"/>
    </row>
    <row r="753">
      <c r="D753" s="28"/>
    </row>
    <row r="754">
      <c r="D754" s="28"/>
    </row>
    <row r="755">
      <c r="D755" s="28"/>
    </row>
    <row r="756">
      <c r="D756" s="28"/>
    </row>
    <row r="757">
      <c r="D757" s="28"/>
    </row>
    <row r="758">
      <c r="D758" s="28"/>
    </row>
    <row r="759">
      <c r="D759" s="28"/>
    </row>
    <row r="760">
      <c r="D760" s="28"/>
    </row>
    <row r="761">
      <c r="D761" s="28"/>
    </row>
    <row r="762">
      <c r="D762" s="28"/>
    </row>
    <row r="763">
      <c r="D763" s="28"/>
    </row>
    <row r="764">
      <c r="D764" s="28"/>
    </row>
    <row r="765">
      <c r="D765" s="28"/>
    </row>
    <row r="766">
      <c r="D766" s="28"/>
    </row>
    <row r="767">
      <c r="D767" s="28"/>
    </row>
    <row r="768">
      <c r="D768" s="28"/>
    </row>
    <row r="769">
      <c r="D769" s="28"/>
    </row>
    <row r="770">
      <c r="D770" s="28"/>
    </row>
    <row r="771">
      <c r="D771" s="28"/>
    </row>
    <row r="772">
      <c r="D772" s="28"/>
    </row>
    <row r="773">
      <c r="D773" s="28"/>
    </row>
    <row r="774">
      <c r="D774" s="28"/>
    </row>
    <row r="775">
      <c r="D775" s="28"/>
    </row>
    <row r="776">
      <c r="D776" s="28"/>
    </row>
    <row r="777">
      <c r="D777" s="28"/>
    </row>
    <row r="778">
      <c r="D778" s="28"/>
    </row>
    <row r="779">
      <c r="D779" s="28"/>
    </row>
    <row r="780">
      <c r="D780" s="28"/>
    </row>
    <row r="781">
      <c r="D781" s="28"/>
    </row>
    <row r="782">
      <c r="D782" s="28"/>
    </row>
    <row r="783">
      <c r="D783" s="28"/>
    </row>
    <row r="784">
      <c r="D784" s="28"/>
    </row>
    <row r="785">
      <c r="D785" s="28"/>
    </row>
    <row r="786">
      <c r="D786" s="28"/>
    </row>
    <row r="787">
      <c r="D787" s="28"/>
    </row>
    <row r="788">
      <c r="D788" s="28"/>
    </row>
    <row r="789">
      <c r="D789" s="28"/>
    </row>
    <row r="790">
      <c r="D790" s="28"/>
    </row>
    <row r="791">
      <c r="D791" s="28"/>
    </row>
    <row r="792">
      <c r="D792" s="28"/>
    </row>
    <row r="793">
      <c r="D793" s="28"/>
    </row>
    <row r="794">
      <c r="D794" s="28"/>
    </row>
    <row r="795">
      <c r="D795" s="28"/>
    </row>
    <row r="796">
      <c r="D796" s="28"/>
    </row>
    <row r="797">
      <c r="D797" s="28"/>
    </row>
    <row r="798">
      <c r="D798" s="28"/>
    </row>
    <row r="799">
      <c r="D799" s="28"/>
    </row>
    <row r="800">
      <c r="D800" s="28"/>
    </row>
    <row r="801">
      <c r="D801" s="28"/>
    </row>
    <row r="802">
      <c r="D802" s="28"/>
    </row>
    <row r="803">
      <c r="D803" s="28"/>
    </row>
    <row r="804">
      <c r="D804" s="28"/>
    </row>
    <row r="805">
      <c r="D805" s="28"/>
    </row>
    <row r="806">
      <c r="D806" s="28"/>
    </row>
    <row r="807">
      <c r="D807" s="28"/>
    </row>
    <row r="808">
      <c r="D808" s="28"/>
    </row>
    <row r="809">
      <c r="D809" s="28"/>
    </row>
    <row r="810">
      <c r="D810" s="28"/>
    </row>
    <row r="811">
      <c r="D811" s="28"/>
    </row>
    <row r="812">
      <c r="D812" s="28"/>
    </row>
    <row r="813">
      <c r="D813" s="28"/>
    </row>
    <row r="814">
      <c r="D814" s="28"/>
    </row>
    <row r="815">
      <c r="D815" s="28"/>
    </row>
    <row r="816">
      <c r="D816" s="28"/>
    </row>
    <row r="817">
      <c r="D817" s="28"/>
    </row>
    <row r="818">
      <c r="D818" s="28"/>
    </row>
    <row r="819">
      <c r="D819" s="28"/>
    </row>
    <row r="820">
      <c r="D820" s="28"/>
    </row>
    <row r="821">
      <c r="D821" s="28"/>
    </row>
    <row r="822">
      <c r="D822" s="28"/>
    </row>
    <row r="823">
      <c r="D823" s="28"/>
    </row>
    <row r="824">
      <c r="D824" s="28"/>
    </row>
    <row r="825">
      <c r="D825" s="28"/>
    </row>
    <row r="826">
      <c r="D826" s="28"/>
    </row>
    <row r="827">
      <c r="D827" s="28"/>
    </row>
    <row r="828">
      <c r="D828" s="28"/>
    </row>
    <row r="829">
      <c r="D829" s="28"/>
    </row>
    <row r="830">
      <c r="D830" s="28"/>
    </row>
    <row r="831">
      <c r="D831" s="28"/>
    </row>
    <row r="832">
      <c r="D832" s="28"/>
    </row>
    <row r="833">
      <c r="D833" s="28"/>
    </row>
    <row r="834">
      <c r="D834" s="28"/>
    </row>
    <row r="835">
      <c r="D835" s="28"/>
    </row>
    <row r="836">
      <c r="D836" s="28"/>
    </row>
    <row r="837">
      <c r="D837" s="28"/>
    </row>
    <row r="838">
      <c r="D838" s="28"/>
    </row>
    <row r="839">
      <c r="D839" s="28"/>
    </row>
    <row r="840">
      <c r="D840" s="28"/>
    </row>
    <row r="841">
      <c r="D841" s="28"/>
    </row>
    <row r="842">
      <c r="D842" s="28"/>
    </row>
    <row r="843">
      <c r="D843" s="28"/>
    </row>
    <row r="844">
      <c r="D844" s="28"/>
    </row>
    <row r="845">
      <c r="D845" s="28"/>
    </row>
    <row r="846">
      <c r="D846" s="28"/>
    </row>
    <row r="847">
      <c r="D847" s="28"/>
    </row>
    <row r="848">
      <c r="D848" s="28"/>
    </row>
    <row r="849">
      <c r="D849" s="28"/>
    </row>
    <row r="850">
      <c r="D850" s="28"/>
    </row>
    <row r="851">
      <c r="D851" s="28"/>
    </row>
    <row r="852">
      <c r="D852" s="28"/>
    </row>
    <row r="853">
      <c r="D853" s="28"/>
    </row>
    <row r="854">
      <c r="D854" s="28"/>
    </row>
    <row r="855">
      <c r="D855" s="28"/>
    </row>
    <row r="856">
      <c r="D856" s="28"/>
    </row>
    <row r="857">
      <c r="D857" s="28"/>
    </row>
    <row r="858">
      <c r="D858" s="28"/>
    </row>
    <row r="859">
      <c r="D859" s="28"/>
    </row>
    <row r="860">
      <c r="D860" s="28"/>
    </row>
    <row r="861">
      <c r="D861" s="28"/>
    </row>
    <row r="862">
      <c r="D862" s="28"/>
    </row>
    <row r="863">
      <c r="D863" s="28"/>
    </row>
    <row r="864">
      <c r="D864" s="28"/>
    </row>
    <row r="865">
      <c r="D865" s="28"/>
    </row>
    <row r="866">
      <c r="D866" s="28"/>
    </row>
    <row r="867">
      <c r="D867" s="28"/>
    </row>
    <row r="868">
      <c r="D868" s="28"/>
    </row>
    <row r="869">
      <c r="D869" s="28"/>
    </row>
    <row r="870">
      <c r="D870" s="28"/>
    </row>
    <row r="871">
      <c r="D871" s="28"/>
    </row>
    <row r="872">
      <c r="D872" s="28"/>
    </row>
    <row r="873">
      <c r="D873" s="28"/>
    </row>
    <row r="874">
      <c r="D874" s="28"/>
    </row>
    <row r="875">
      <c r="D875" s="28"/>
    </row>
    <row r="876">
      <c r="D876" s="28"/>
    </row>
    <row r="877">
      <c r="D877" s="28"/>
    </row>
    <row r="878">
      <c r="D878" s="28"/>
    </row>
    <row r="879">
      <c r="D879" s="28"/>
    </row>
    <row r="880">
      <c r="D880" s="28"/>
    </row>
    <row r="881">
      <c r="D881" s="28"/>
    </row>
    <row r="882">
      <c r="D882" s="28"/>
    </row>
    <row r="883">
      <c r="D883" s="28"/>
    </row>
    <row r="884">
      <c r="D884" s="28"/>
    </row>
    <row r="885">
      <c r="D885" s="28"/>
    </row>
    <row r="886">
      <c r="D886" s="28"/>
    </row>
    <row r="887">
      <c r="D887" s="28"/>
    </row>
    <row r="888">
      <c r="D888" s="28"/>
    </row>
    <row r="889">
      <c r="D889" s="28"/>
    </row>
    <row r="890">
      <c r="D890" s="28"/>
    </row>
    <row r="891">
      <c r="D891" s="28"/>
    </row>
    <row r="892">
      <c r="D892" s="28"/>
    </row>
    <row r="893">
      <c r="D893" s="28"/>
    </row>
    <row r="894">
      <c r="D894" s="28"/>
    </row>
    <row r="895">
      <c r="D895" s="28"/>
    </row>
    <row r="896">
      <c r="D896" s="28"/>
    </row>
    <row r="897">
      <c r="D897" s="28"/>
    </row>
    <row r="898">
      <c r="D898" s="28"/>
    </row>
    <row r="899">
      <c r="D899" s="28"/>
    </row>
    <row r="900">
      <c r="D900" s="28"/>
    </row>
    <row r="901">
      <c r="D901" s="28"/>
    </row>
    <row r="902">
      <c r="D902" s="28"/>
    </row>
    <row r="903">
      <c r="D903" s="28"/>
    </row>
    <row r="904">
      <c r="D904" s="28"/>
    </row>
    <row r="905">
      <c r="D905" s="28"/>
    </row>
    <row r="906">
      <c r="D906" s="28"/>
    </row>
    <row r="907">
      <c r="D907" s="28"/>
    </row>
    <row r="908">
      <c r="D908" s="28"/>
    </row>
    <row r="909">
      <c r="D909" s="28"/>
    </row>
    <row r="910">
      <c r="D910" s="28"/>
    </row>
    <row r="911">
      <c r="D911" s="28"/>
    </row>
    <row r="912">
      <c r="D912" s="28"/>
    </row>
    <row r="913">
      <c r="D913" s="28"/>
    </row>
    <row r="914">
      <c r="D914" s="28"/>
    </row>
    <row r="915">
      <c r="D915" s="28"/>
    </row>
    <row r="916">
      <c r="D916" s="28"/>
    </row>
    <row r="917">
      <c r="D917" s="28"/>
    </row>
    <row r="918">
      <c r="D918" s="28"/>
    </row>
    <row r="919">
      <c r="D919" s="28"/>
    </row>
    <row r="920">
      <c r="D920" s="28"/>
    </row>
    <row r="921">
      <c r="D921" s="28"/>
    </row>
    <row r="922">
      <c r="D922" s="28"/>
    </row>
    <row r="923">
      <c r="D923" s="28"/>
    </row>
    <row r="924">
      <c r="D924" s="28"/>
    </row>
    <row r="925">
      <c r="D925" s="28"/>
    </row>
    <row r="926">
      <c r="D926" s="28"/>
    </row>
    <row r="927">
      <c r="D927" s="28"/>
    </row>
    <row r="928">
      <c r="D928" s="28"/>
    </row>
    <row r="929">
      <c r="D929" s="28"/>
    </row>
    <row r="930">
      <c r="D930" s="28"/>
    </row>
    <row r="931">
      <c r="D931" s="28"/>
    </row>
    <row r="932">
      <c r="D932" s="28"/>
    </row>
    <row r="933">
      <c r="D933" s="28"/>
    </row>
    <row r="934">
      <c r="D934" s="28"/>
    </row>
    <row r="935">
      <c r="D935" s="28"/>
    </row>
    <row r="936">
      <c r="D936" s="28"/>
    </row>
    <row r="937">
      <c r="D937" s="28"/>
    </row>
    <row r="938">
      <c r="D938" s="28"/>
    </row>
    <row r="939">
      <c r="D939" s="28"/>
    </row>
    <row r="940">
      <c r="D940" s="28"/>
    </row>
    <row r="941">
      <c r="D941" s="28"/>
    </row>
    <row r="942">
      <c r="D942" s="28"/>
    </row>
    <row r="943">
      <c r="D943" s="28"/>
    </row>
    <row r="944">
      <c r="D944" s="28"/>
    </row>
    <row r="945">
      <c r="D945" s="28"/>
    </row>
    <row r="946">
      <c r="D946" s="28"/>
    </row>
    <row r="947">
      <c r="D947" s="28"/>
    </row>
    <row r="948">
      <c r="D948" s="28"/>
    </row>
    <row r="949">
      <c r="D949" s="28"/>
    </row>
    <row r="950">
      <c r="D950" s="28"/>
    </row>
    <row r="951">
      <c r="D951" s="28"/>
    </row>
    <row r="952">
      <c r="D952" s="28"/>
    </row>
    <row r="953">
      <c r="D953" s="28"/>
    </row>
    <row r="954">
      <c r="D954" s="28"/>
    </row>
    <row r="955">
      <c r="D955" s="28"/>
    </row>
    <row r="956">
      <c r="D956" s="28"/>
    </row>
    <row r="957">
      <c r="D957" s="28"/>
    </row>
    <row r="958">
      <c r="D958" s="28"/>
    </row>
    <row r="959">
      <c r="D959" s="28"/>
    </row>
    <row r="960">
      <c r="D960" s="28"/>
    </row>
    <row r="961">
      <c r="D961" s="28"/>
    </row>
    <row r="962">
      <c r="D962" s="28"/>
    </row>
    <row r="963">
      <c r="D963" s="28"/>
    </row>
    <row r="964">
      <c r="D964" s="28"/>
    </row>
    <row r="965">
      <c r="D965" s="28"/>
    </row>
    <row r="966">
      <c r="D966" s="28"/>
    </row>
    <row r="967">
      <c r="D967" s="28"/>
    </row>
    <row r="968">
      <c r="D968" s="28"/>
    </row>
    <row r="969">
      <c r="D969" s="28"/>
    </row>
    <row r="970">
      <c r="D970" s="28"/>
    </row>
    <row r="971">
      <c r="D971" s="28"/>
    </row>
    <row r="972">
      <c r="D972" s="28"/>
    </row>
    <row r="973">
      <c r="D973" s="28"/>
    </row>
    <row r="974">
      <c r="D974" s="28"/>
    </row>
    <row r="975">
      <c r="D975" s="28"/>
    </row>
    <row r="976">
      <c r="D976" s="28"/>
    </row>
    <row r="977">
      <c r="D977" s="28"/>
    </row>
    <row r="978">
      <c r="D978" s="28"/>
    </row>
    <row r="979">
      <c r="D979" s="28"/>
    </row>
    <row r="980">
      <c r="D980" s="28"/>
    </row>
    <row r="981">
      <c r="D981" s="28"/>
    </row>
    <row r="982">
      <c r="D982" s="28"/>
    </row>
    <row r="983">
      <c r="D983" s="28"/>
    </row>
    <row r="984">
      <c r="D984" s="28"/>
    </row>
    <row r="985">
      <c r="D985" s="28"/>
    </row>
    <row r="986">
      <c r="D986" s="28"/>
    </row>
    <row r="987">
      <c r="D987" s="28"/>
    </row>
    <row r="988">
      <c r="D988" s="28"/>
    </row>
    <row r="989">
      <c r="D989" s="28"/>
    </row>
    <row r="990">
      <c r="D990" s="28"/>
    </row>
    <row r="991">
      <c r="D991" s="28"/>
    </row>
    <row r="992">
      <c r="D992" s="28"/>
    </row>
    <row r="993">
      <c r="D993" s="28"/>
    </row>
    <row r="994">
      <c r="D994" s="28"/>
    </row>
    <row r="995">
      <c r="D995" s="28"/>
    </row>
    <row r="996">
      <c r="D996" s="28"/>
    </row>
    <row r="997">
      <c r="D997" s="28"/>
    </row>
    <row r="998">
      <c r="D998" s="28"/>
    </row>
    <row r="999">
      <c r="D999" s="28"/>
    </row>
  </sheetData>
  <hyperlinks>
    <hyperlink r:id="rId1" ref="F8"/>
  </hyperlinks>
  <drawing r:id="rId2"/>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2" width="14.38"/>
    <col customWidth="1" min="4" max="4" width="15.75"/>
    <col customWidth="1" min="5" max="5" width="14.5"/>
    <col customWidth="1" min="6" max="6" width="21.13"/>
    <col customWidth="1" min="7" max="7" width="27.0"/>
    <col customWidth="1" min="8" max="8" width="22.13"/>
    <col customWidth="1" min="9" max="12" width="20.75"/>
    <col customWidth="1" min="14" max="14" width="11.25"/>
    <col customWidth="1" min="15" max="15" width="24.13"/>
  </cols>
  <sheetData>
    <row r="1">
      <c r="A1" s="148" t="s">
        <v>8343</v>
      </c>
      <c r="B1" s="149" t="s">
        <v>8368</v>
      </c>
      <c r="C1" s="1" t="s">
        <v>8369</v>
      </c>
      <c r="D1" s="1" t="s">
        <v>8370</v>
      </c>
      <c r="E1" s="1" t="s">
        <v>8371</v>
      </c>
      <c r="F1" s="1" t="s">
        <v>8372</v>
      </c>
      <c r="G1" s="7" t="s">
        <v>8373</v>
      </c>
      <c r="H1" s="7" t="s">
        <v>5663</v>
      </c>
      <c r="I1" s="150" t="s">
        <v>8374</v>
      </c>
      <c r="J1" s="150" t="s">
        <v>8375</v>
      </c>
      <c r="K1" s="150" t="s">
        <v>8256</v>
      </c>
      <c r="L1" s="150" t="s">
        <v>8376</v>
      </c>
      <c r="M1" s="66" t="s">
        <v>8377</v>
      </c>
      <c r="N1" s="150" t="s">
        <v>8378</v>
      </c>
      <c r="O1" s="150" t="s">
        <v>8379</v>
      </c>
      <c r="P1" s="151"/>
      <c r="Q1" s="151"/>
      <c r="R1" s="151"/>
      <c r="S1" s="151"/>
      <c r="T1" s="151"/>
      <c r="U1" s="151"/>
      <c r="V1" s="151"/>
      <c r="W1" s="151"/>
      <c r="X1" s="151"/>
      <c r="Y1" s="151"/>
      <c r="Z1" s="151"/>
      <c r="AA1" s="151"/>
    </row>
    <row r="2">
      <c r="A2" s="152" t="s">
        <v>8380</v>
      </c>
      <c r="B2" s="152" t="s">
        <v>8381</v>
      </c>
      <c r="C2" s="152">
        <v>1.0</v>
      </c>
      <c r="D2" s="153"/>
      <c r="E2" s="153"/>
      <c r="F2" s="153"/>
      <c r="G2" s="152" t="s">
        <v>8382</v>
      </c>
      <c r="H2" s="152" t="s">
        <v>8383</v>
      </c>
      <c r="I2" s="153"/>
      <c r="J2" s="152" t="s">
        <v>23</v>
      </c>
      <c r="K2" s="152">
        <v>2679.0</v>
      </c>
      <c r="L2" s="153"/>
      <c r="M2" s="154"/>
      <c r="N2" s="152" t="s">
        <v>8384</v>
      </c>
    </row>
    <row r="3">
      <c r="A3" s="152" t="s">
        <v>8380</v>
      </c>
      <c r="B3" s="152" t="s">
        <v>8381</v>
      </c>
      <c r="C3" s="152">
        <v>1.0</v>
      </c>
      <c r="D3" s="153"/>
      <c r="E3" s="154"/>
      <c r="F3" s="154"/>
      <c r="G3" s="152" t="s">
        <v>8382</v>
      </c>
      <c r="H3" s="152" t="s">
        <v>8385</v>
      </c>
      <c r="I3" s="153"/>
      <c r="J3" s="152" t="s">
        <v>23</v>
      </c>
      <c r="K3" s="152">
        <v>2879.0</v>
      </c>
      <c r="L3" s="153"/>
      <c r="M3" s="153"/>
      <c r="N3" s="152" t="s">
        <v>8384</v>
      </c>
    </row>
    <row r="4">
      <c r="A4" s="152" t="s">
        <v>8380</v>
      </c>
      <c r="B4" s="152" t="s">
        <v>8381</v>
      </c>
      <c r="C4" s="152">
        <v>1.0</v>
      </c>
      <c r="D4" s="153"/>
      <c r="E4" s="154"/>
      <c r="F4" s="154"/>
      <c r="G4" s="152" t="s">
        <v>8382</v>
      </c>
      <c r="H4" s="152" t="s">
        <v>8386</v>
      </c>
      <c r="I4" s="153"/>
      <c r="J4" s="152" t="s">
        <v>23</v>
      </c>
      <c r="K4" s="152">
        <v>2879.0</v>
      </c>
      <c r="L4" s="153"/>
      <c r="M4" s="154"/>
      <c r="N4" s="152" t="s">
        <v>8384</v>
      </c>
    </row>
    <row r="5">
      <c r="A5" s="152" t="s">
        <v>8380</v>
      </c>
      <c r="B5" s="152" t="s">
        <v>8381</v>
      </c>
      <c r="C5" s="152">
        <v>1.0</v>
      </c>
      <c r="D5" s="153"/>
      <c r="E5" s="154"/>
      <c r="F5" s="154"/>
      <c r="G5" s="152" t="s">
        <v>8382</v>
      </c>
      <c r="H5" s="152" t="s">
        <v>8387</v>
      </c>
      <c r="I5" s="153"/>
      <c r="J5" s="152" t="s">
        <v>23</v>
      </c>
      <c r="K5" s="152">
        <v>2879.0</v>
      </c>
      <c r="L5" s="153"/>
      <c r="M5" s="154"/>
      <c r="N5" s="152" t="s">
        <v>8384</v>
      </c>
    </row>
    <row r="6">
      <c r="A6" s="152" t="s">
        <v>8380</v>
      </c>
      <c r="B6" s="152" t="s">
        <v>8381</v>
      </c>
      <c r="C6" s="152">
        <v>1.0</v>
      </c>
      <c r="D6" s="153"/>
      <c r="E6" s="154"/>
      <c r="F6" s="154"/>
      <c r="G6" s="152" t="s">
        <v>8382</v>
      </c>
      <c r="H6" s="152" t="s">
        <v>8388</v>
      </c>
      <c r="I6" s="153"/>
      <c r="J6" s="152" t="s">
        <v>23</v>
      </c>
      <c r="K6" s="152">
        <v>2879.0</v>
      </c>
      <c r="L6" s="153"/>
      <c r="M6" s="154"/>
      <c r="N6" s="152" t="s">
        <v>8384</v>
      </c>
    </row>
    <row r="7">
      <c r="A7" s="152" t="s">
        <v>8380</v>
      </c>
      <c r="B7" s="152" t="s">
        <v>8381</v>
      </c>
      <c r="C7" s="152">
        <v>1.0</v>
      </c>
      <c r="D7" s="153"/>
      <c r="E7" s="154"/>
      <c r="F7" s="154"/>
      <c r="G7" s="152" t="s">
        <v>8382</v>
      </c>
      <c r="H7" s="152" t="s">
        <v>8389</v>
      </c>
      <c r="I7" s="153"/>
      <c r="J7" s="152" t="s">
        <v>23</v>
      </c>
      <c r="K7" s="152">
        <v>3319.0</v>
      </c>
      <c r="L7" s="153"/>
      <c r="M7" s="154"/>
      <c r="N7" s="152" t="s">
        <v>8384</v>
      </c>
    </row>
    <row r="8">
      <c r="A8" s="152" t="s">
        <v>8380</v>
      </c>
      <c r="B8" s="152" t="s">
        <v>8381</v>
      </c>
      <c r="C8" s="152">
        <v>1.0</v>
      </c>
      <c r="D8" s="153"/>
      <c r="E8" s="154"/>
      <c r="F8" s="154"/>
      <c r="G8" s="152" t="s">
        <v>8382</v>
      </c>
      <c r="H8" s="152" t="s">
        <v>5767</v>
      </c>
      <c r="I8" s="153"/>
      <c r="J8" s="152" t="s">
        <v>23</v>
      </c>
      <c r="K8" s="152">
        <v>3319.0</v>
      </c>
      <c r="L8" s="153"/>
      <c r="M8" s="154"/>
      <c r="N8" s="152" t="s">
        <v>8384</v>
      </c>
    </row>
    <row r="9">
      <c r="A9" s="152" t="s">
        <v>8380</v>
      </c>
      <c r="B9" s="152" t="s">
        <v>8381</v>
      </c>
      <c r="C9" s="152">
        <v>1.0</v>
      </c>
      <c r="D9" s="153"/>
      <c r="E9" s="154"/>
      <c r="F9" s="154"/>
      <c r="G9" s="152" t="s">
        <v>8382</v>
      </c>
      <c r="H9" s="152" t="s">
        <v>8390</v>
      </c>
      <c r="I9" s="153"/>
      <c r="J9" s="152" t="s">
        <v>23</v>
      </c>
      <c r="K9" s="152">
        <v>3319.0</v>
      </c>
      <c r="L9" s="153"/>
      <c r="M9" s="154"/>
      <c r="N9" s="152" t="s">
        <v>8384</v>
      </c>
    </row>
    <row r="10">
      <c r="A10" s="152" t="s">
        <v>8380</v>
      </c>
      <c r="B10" s="152" t="s">
        <v>8381</v>
      </c>
      <c r="C10" s="152">
        <v>1.0</v>
      </c>
      <c r="D10" s="153"/>
      <c r="E10" s="154"/>
      <c r="F10" s="154"/>
      <c r="G10" s="152" t="s">
        <v>8382</v>
      </c>
      <c r="H10" s="152" t="s">
        <v>8391</v>
      </c>
      <c r="I10" s="153"/>
      <c r="J10" s="152" t="s">
        <v>23</v>
      </c>
      <c r="K10" s="152">
        <v>3319.0</v>
      </c>
      <c r="L10" s="153"/>
      <c r="M10" s="154"/>
      <c r="N10" s="152" t="s">
        <v>8384</v>
      </c>
    </row>
    <row r="11">
      <c r="A11" s="152" t="s">
        <v>8380</v>
      </c>
      <c r="B11" s="152" t="s">
        <v>8381</v>
      </c>
      <c r="C11" s="152">
        <v>1.0</v>
      </c>
      <c r="D11" s="153"/>
      <c r="E11" s="154"/>
      <c r="F11" s="154"/>
      <c r="G11" s="152" t="s">
        <v>8382</v>
      </c>
      <c r="H11" s="152" t="s">
        <v>8392</v>
      </c>
      <c r="I11" s="153"/>
      <c r="J11" s="152" t="s">
        <v>23</v>
      </c>
      <c r="K11" s="152">
        <v>3319.0</v>
      </c>
      <c r="L11" s="153"/>
      <c r="M11" s="154"/>
      <c r="N11" s="152" t="s">
        <v>8384</v>
      </c>
    </row>
    <row r="12">
      <c r="A12" s="152" t="s">
        <v>8380</v>
      </c>
      <c r="B12" s="152" t="s">
        <v>8381</v>
      </c>
      <c r="C12" s="152">
        <v>2.0</v>
      </c>
      <c r="D12" s="153"/>
      <c r="E12" s="152">
        <v>1.0</v>
      </c>
      <c r="F12" s="153"/>
      <c r="G12" s="152" t="s">
        <v>8393</v>
      </c>
      <c r="H12" s="152" t="s">
        <v>8394</v>
      </c>
      <c r="I12" s="152" t="s">
        <v>6862</v>
      </c>
      <c r="J12" s="153"/>
      <c r="K12" s="153"/>
      <c r="L12" s="153"/>
      <c r="M12" s="154"/>
      <c r="N12" s="152" t="s">
        <v>8395</v>
      </c>
    </row>
    <row r="13">
      <c r="A13" s="152" t="s">
        <v>8380</v>
      </c>
      <c r="B13" s="152" t="s">
        <v>8381</v>
      </c>
      <c r="C13" s="152">
        <v>2.0</v>
      </c>
      <c r="D13" s="153"/>
      <c r="E13" s="152">
        <v>1.0</v>
      </c>
      <c r="F13" s="153"/>
      <c r="G13" s="152" t="s">
        <v>8393</v>
      </c>
      <c r="H13" s="152" t="s">
        <v>8396</v>
      </c>
      <c r="I13" s="152" t="s">
        <v>6893</v>
      </c>
      <c r="J13" s="153"/>
      <c r="K13" s="153"/>
      <c r="L13" s="153"/>
      <c r="M13" s="154"/>
      <c r="N13" s="152" t="s">
        <v>8395</v>
      </c>
    </row>
    <row r="14">
      <c r="A14" s="152" t="s">
        <v>8380</v>
      </c>
      <c r="B14" s="152" t="s">
        <v>8381</v>
      </c>
      <c r="C14" s="152">
        <v>2.0</v>
      </c>
      <c r="D14" s="153"/>
      <c r="E14" s="152">
        <v>1.0</v>
      </c>
      <c r="F14" s="153"/>
      <c r="G14" s="152" t="s">
        <v>8393</v>
      </c>
      <c r="H14" s="152" t="s">
        <v>8397</v>
      </c>
      <c r="I14" s="152" t="s">
        <v>6796</v>
      </c>
      <c r="J14" s="153"/>
      <c r="K14" s="153"/>
      <c r="L14" s="153"/>
      <c r="M14" s="153"/>
      <c r="N14" s="152" t="s">
        <v>8395</v>
      </c>
    </row>
    <row r="15">
      <c r="A15" s="152" t="s">
        <v>8380</v>
      </c>
      <c r="B15" s="152" t="s">
        <v>8381</v>
      </c>
      <c r="C15" s="152">
        <v>2.0</v>
      </c>
      <c r="D15" s="153"/>
      <c r="E15" s="152">
        <v>1.0</v>
      </c>
      <c r="F15" s="153"/>
      <c r="G15" s="152" t="s">
        <v>8393</v>
      </c>
      <c r="H15" s="152" t="s">
        <v>8398</v>
      </c>
      <c r="I15" s="152" t="s">
        <v>6726</v>
      </c>
      <c r="J15" s="153"/>
      <c r="K15" s="153"/>
      <c r="L15" s="153"/>
      <c r="M15" s="154"/>
      <c r="N15" s="152" t="s">
        <v>8395</v>
      </c>
    </row>
    <row r="16">
      <c r="A16" s="152" t="s">
        <v>8380</v>
      </c>
      <c r="B16" s="152" t="s">
        <v>8381</v>
      </c>
      <c r="C16" s="152">
        <v>2.0</v>
      </c>
      <c r="D16" s="153"/>
      <c r="E16" s="152">
        <v>1.0</v>
      </c>
      <c r="F16" s="153"/>
      <c r="G16" s="152" t="s">
        <v>8393</v>
      </c>
      <c r="H16" s="152" t="s">
        <v>8399</v>
      </c>
      <c r="I16" s="152" t="s">
        <v>6924</v>
      </c>
      <c r="J16" s="153"/>
      <c r="K16" s="153"/>
      <c r="L16" s="153"/>
      <c r="M16" s="154"/>
      <c r="N16" s="152" t="s">
        <v>8395</v>
      </c>
    </row>
    <row r="17">
      <c r="A17" s="152" t="s">
        <v>8380</v>
      </c>
      <c r="B17" s="152" t="s">
        <v>8381</v>
      </c>
      <c r="C17" s="152">
        <v>2.0</v>
      </c>
      <c r="D17" s="153"/>
      <c r="E17" s="152">
        <v>1.0</v>
      </c>
      <c r="F17" s="153"/>
      <c r="G17" s="152" t="s">
        <v>8393</v>
      </c>
      <c r="H17" s="152" t="s">
        <v>8400</v>
      </c>
      <c r="I17" s="152" t="s">
        <v>6893</v>
      </c>
      <c r="J17" s="153"/>
      <c r="K17" s="153"/>
      <c r="L17" s="153"/>
      <c r="M17" s="154"/>
      <c r="N17" s="152" t="s">
        <v>8395</v>
      </c>
    </row>
    <row r="18">
      <c r="A18" s="152" t="s">
        <v>8380</v>
      </c>
      <c r="B18" s="152" t="s">
        <v>8381</v>
      </c>
      <c r="C18" s="152">
        <v>2.0</v>
      </c>
      <c r="D18" s="153"/>
      <c r="E18" s="152">
        <v>1.0</v>
      </c>
      <c r="F18" s="153"/>
      <c r="G18" s="152" t="s">
        <v>8393</v>
      </c>
      <c r="H18" s="152" t="s">
        <v>8401</v>
      </c>
      <c r="I18" s="152" t="s">
        <v>6796</v>
      </c>
      <c r="J18" s="153"/>
      <c r="K18" s="153"/>
      <c r="L18" s="153"/>
      <c r="M18" s="154"/>
      <c r="N18" s="152" t="s">
        <v>8395</v>
      </c>
    </row>
    <row r="19">
      <c r="A19" s="152" t="s">
        <v>8380</v>
      </c>
      <c r="B19" s="152" t="s">
        <v>8381</v>
      </c>
      <c r="C19" s="152">
        <v>2.0</v>
      </c>
      <c r="D19" s="153"/>
      <c r="E19" s="152">
        <v>1.0</v>
      </c>
      <c r="F19" s="153"/>
      <c r="G19" s="152" t="s">
        <v>8393</v>
      </c>
      <c r="H19" s="152" t="s">
        <v>8402</v>
      </c>
      <c r="I19" s="152" t="s">
        <v>6831</v>
      </c>
      <c r="J19" s="153"/>
      <c r="K19" s="154"/>
      <c r="L19" s="154"/>
      <c r="M19" s="154"/>
      <c r="N19" s="152" t="s">
        <v>8395</v>
      </c>
    </row>
    <row r="20">
      <c r="A20" s="152" t="s">
        <v>8380</v>
      </c>
      <c r="B20" s="152" t="s">
        <v>8381</v>
      </c>
      <c r="C20" s="152">
        <v>2.0</v>
      </c>
      <c r="D20" s="153"/>
      <c r="E20" s="152">
        <v>1.0</v>
      </c>
      <c r="F20" s="153"/>
      <c r="G20" s="152" t="s">
        <v>8393</v>
      </c>
      <c r="H20" s="152" t="s">
        <v>8403</v>
      </c>
      <c r="I20" s="152" t="s">
        <v>6836</v>
      </c>
      <c r="J20" s="153"/>
      <c r="K20" s="154"/>
      <c r="L20" s="154"/>
      <c r="M20" s="154"/>
      <c r="N20" s="152" t="s">
        <v>8395</v>
      </c>
    </row>
    <row r="21">
      <c r="A21" s="152" t="s">
        <v>8380</v>
      </c>
      <c r="B21" s="152" t="s">
        <v>8381</v>
      </c>
      <c r="C21" s="152">
        <v>2.0</v>
      </c>
      <c r="D21" s="153"/>
      <c r="E21" s="152">
        <v>1.0</v>
      </c>
      <c r="F21" s="153"/>
      <c r="G21" s="152" t="s">
        <v>8393</v>
      </c>
      <c r="H21" s="152" t="s">
        <v>8404</v>
      </c>
      <c r="I21" s="152" t="s">
        <v>8405</v>
      </c>
      <c r="J21" s="153"/>
      <c r="K21" s="154"/>
      <c r="L21" s="154"/>
      <c r="M21" s="154"/>
      <c r="N21" s="152" t="s">
        <v>8395</v>
      </c>
    </row>
    <row r="22">
      <c r="A22" s="152" t="s">
        <v>8380</v>
      </c>
      <c r="B22" s="152" t="s">
        <v>8381</v>
      </c>
      <c r="C22" s="152">
        <v>3.0</v>
      </c>
      <c r="D22" s="153"/>
      <c r="E22" s="153"/>
      <c r="F22" s="153"/>
      <c r="G22" s="152" t="s">
        <v>8406</v>
      </c>
      <c r="H22" s="155" t="s">
        <v>8407</v>
      </c>
      <c r="I22" s="153"/>
      <c r="J22" s="153"/>
      <c r="K22" s="154"/>
      <c r="L22" s="154"/>
      <c r="M22" s="154"/>
      <c r="N22" s="152" t="s">
        <v>8384</v>
      </c>
    </row>
    <row r="23">
      <c r="A23" s="152" t="s">
        <v>8380</v>
      </c>
      <c r="B23" s="152" t="s">
        <v>8381</v>
      </c>
      <c r="C23" s="152">
        <v>3.0</v>
      </c>
      <c r="D23" s="153"/>
      <c r="E23" s="153"/>
      <c r="F23" s="153"/>
      <c r="G23" s="152" t="s">
        <v>8406</v>
      </c>
      <c r="H23" s="155" t="s">
        <v>8408</v>
      </c>
      <c r="I23" s="153"/>
      <c r="J23" s="154"/>
      <c r="K23" s="154"/>
      <c r="L23" s="154"/>
      <c r="M23" s="154"/>
      <c r="N23" s="152" t="s">
        <v>8384</v>
      </c>
    </row>
    <row r="24">
      <c r="A24" s="152" t="s">
        <v>8380</v>
      </c>
      <c r="B24" s="152" t="s">
        <v>8381</v>
      </c>
      <c r="C24" s="152">
        <v>3.0</v>
      </c>
      <c r="D24" s="153"/>
      <c r="E24" s="153"/>
      <c r="F24" s="153"/>
      <c r="G24" s="152" t="s">
        <v>8406</v>
      </c>
      <c r="H24" s="155" t="s">
        <v>8409</v>
      </c>
      <c r="I24" s="153"/>
      <c r="J24" s="154"/>
      <c r="K24" s="154"/>
      <c r="L24" s="154"/>
      <c r="M24" s="154"/>
      <c r="N24" s="152" t="s">
        <v>8384</v>
      </c>
    </row>
    <row r="25">
      <c r="A25" s="152" t="s">
        <v>8380</v>
      </c>
      <c r="B25" s="152" t="s">
        <v>8381</v>
      </c>
      <c r="C25" s="152">
        <v>3.0</v>
      </c>
      <c r="D25" s="153"/>
      <c r="E25" s="153"/>
      <c r="F25" s="153"/>
      <c r="G25" s="152" t="s">
        <v>8406</v>
      </c>
      <c r="H25" s="155" t="s">
        <v>8410</v>
      </c>
      <c r="I25" s="153"/>
      <c r="J25" s="154"/>
      <c r="K25" s="154"/>
      <c r="L25" s="154"/>
      <c r="M25" s="154"/>
      <c r="N25" s="152" t="s">
        <v>8384</v>
      </c>
    </row>
    <row r="26">
      <c r="A26" s="152" t="s">
        <v>8380</v>
      </c>
      <c r="B26" s="152" t="s">
        <v>8381</v>
      </c>
      <c r="C26" s="152">
        <v>3.0</v>
      </c>
      <c r="D26" s="153"/>
      <c r="E26" s="153"/>
      <c r="F26" s="153"/>
      <c r="G26" s="152" t="s">
        <v>8406</v>
      </c>
      <c r="H26" s="155" t="s">
        <v>8411</v>
      </c>
      <c r="I26" s="153"/>
      <c r="J26" s="154"/>
      <c r="K26" s="154"/>
      <c r="L26" s="154"/>
      <c r="M26" s="154"/>
      <c r="N26" s="152" t="s">
        <v>8384</v>
      </c>
    </row>
    <row r="27">
      <c r="A27" s="152" t="s">
        <v>8380</v>
      </c>
      <c r="B27" s="152" t="s">
        <v>8381</v>
      </c>
      <c r="C27" s="152">
        <v>3.0</v>
      </c>
      <c r="D27" s="153"/>
      <c r="E27" s="153"/>
      <c r="F27" s="153"/>
      <c r="G27" s="152" t="s">
        <v>8406</v>
      </c>
      <c r="H27" s="155" t="s">
        <v>8412</v>
      </c>
      <c r="I27" s="153"/>
      <c r="J27" s="154"/>
      <c r="K27" s="154"/>
      <c r="L27" s="154"/>
      <c r="M27" s="154"/>
      <c r="N27" s="152" t="s">
        <v>8384</v>
      </c>
    </row>
    <row r="28">
      <c r="A28" s="152" t="s">
        <v>8380</v>
      </c>
      <c r="B28" s="152" t="s">
        <v>8381</v>
      </c>
      <c r="C28" s="152">
        <v>3.0</v>
      </c>
      <c r="D28" s="153"/>
      <c r="E28" s="153"/>
      <c r="F28" s="153"/>
      <c r="G28" s="152" t="s">
        <v>8406</v>
      </c>
      <c r="H28" s="155" t="s">
        <v>8413</v>
      </c>
      <c r="I28" s="153"/>
      <c r="J28" s="154"/>
      <c r="K28" s="154"/>
      <c r="L28" s="154"/>
      <c r="M28" s="154"/>
      <c r="N28" s="152" t="s">
        <v>8384</v>
      </c>
    </row>
    <row r="29">
      <c r="A29" s="152" t="s">
        <v>8380</v>
      </c>
      <c r="B29" s="152" t="s">
        <v>8381</v>
      </c>
      <c r="C29" s="152">
        <v>3.0</v>
      </c>
      <c r="D29" s="153"/>
      <c r="E29" s="153"/>
      <c r="F29" s="153"/>
      <c r="G29" s="152" t="s">
        <v>8406</v>
      </c>
      <c r="H29" s="155" t="s">
        <v>8414</v>
      </c>
      <c r="I29" s="153"/>
      <c r="J29" s="154"/>
      <c r="K29" s="154"/>
      <c r="L29" s="154"/>
      <c r="M29" s="154"/>
      <c r="N29" s="152" t="s">
        <v>8384</v>
      </c>
    </row>
    <row r="30">
      <c r="A30" s="152" t="s">
        <v>8380</v>
      </c>
      <c r="B30" s="152" t="s">
        <v>8381</v>
      </c>
      <c r="C30" s="152">
        <v>3.0</v>
      </c>
      <c r="D30" s="153"/>
      <c r="E30" s="153"/>
      <c r="F30" s="153"/>
      <c r="G30" s="152" t="s">
        <v>8406</v>
      </c>
      <c r="H30" s="155" t="s">
        <v>8415</v>
      </c>
      <c r="I30" s="153"/>
      <c r="J30" s="154"/>
      <c r="K30" s="154"/>
      <c r="L30" s="154"/>
      <c r="M30" s="154"/>
      <c r="N30" s="152" t="s">
        <v>8384</v>
      </c>
    </row>
    <row r="31">
      <c r="A31" s="152" t="s">
        <v>8380</v>
      </c>
      <c r="B31" s="152" t="s">
        <v>8381</v>
      </c>
      <c r="C31" s="152">
        <v>3.0</v>
      </c>
      <c r="D31" s="153"/>
      <c r="E31" s="153"/>
      <c r="F31" s="153"/>
      <c r="G31" s="152" t="s">
        <v>8406</v>
      </c>
      <c r="H31" s="155" t="s">
        <v>8416</v>
      </c>
      <c r="I31" s="153"/>
      <c r="J31" s="154"/>
      <c r="K31" s="154"/>
      <c r="L31" s="154"/>
      <c r="M31" s="154"/>
      <c r="N31" s="152" t="s">
        <v>8384</v>
      </c>
    </row>
    <row r="32">
      <c r="A32" s="152" t="s">
        <v>8380</v>
      </c>
      <c r="B32" s="152" t="s">
        <v>8381</v>
      </c>
      <c r="C32" s="152">
        <v>4.0</v>
      </c>
      <c r="D32" s="153"/>
      <c r="E32" s="152">
        <v>3.0</v>
      </c>
      <c r="F32" s="153"/>
      <c r="G32" s="152" t="s">
        <v>8406</v>
      </c>
      <c r="H32" s="155" t="s">
        <v>8417</v>
      </c>
      <c r="I32" s="155" t="s">
        <v>6507</v>
      </c>
      <c r="J32" s="154"/>
      <c r="K32" s="154"/>
      <c r="L32" s="154"/>
      <c r="M32" s="154"/>
      <c r="N32" s="152" t="s">
        <v>8395</v>
      </c>
    </row>
    <row r="33">
      <c r="A33" s="152" t="s">
        <v>8380</v>
      </c>
      <c r="B33" s="152" t="s">
        <v>8381</v>
      </c>
      <c r="C33" s="152">
        <v>4.0</v>
      </c>
      <c r="D33" s="153"/>
      <c r="E33" s="152">
        <v>3.0</v>
      </c>
      <c r="F33" s="153"/>
      <c r="G33" s="152" t="s">
        <v>8406</v>
      </c>
      <c r="H33" s="155" t="s">
        <v>8418</v>
      </c>
      <c r="I33" s="155" t="s">
        <v>6492</v>
      </c>
      <c r="J33" s="153"/>
      <c r="K33" s="153"/>
      <c r="L33" s="153"/>
      <c r="M33" s="154"/>
      <c r="N33" s="152" t="s">
        <v>8395</v>
      </c>
    </row>
    <row r="34">
      <c r="A34" s="152" t="s">
        <v>8380</v>
      </c>
      <c r="B34" s="152" t="s">
        <v>8381</v>
      </c>
      <c r="C34" s="152">
        <v>4.0</v>
      </c>
      <c r="D34" s="153"/>
      <c r="E34" s="152">
        <v>3.0</v>
      </c>
      <c r="F34" s="153"/>
      <c r="G34" s="152" t="s">
        <v>8406</v>
      </c>
      <c r="H34" s="155" t="s">
        <v>8419</v>
      </c>
      <c r="I34" s="155" t="s">
        <v>6978</v>
      </c>
      <c r="J34" s="153"/>
      <c r="K34" s="153"/>
      <c r="L34" s="153"/>
      <c r="M34" s="154"/>
      <c r="N34" s="152" t="s">
        <v>8395</v>
      </c>
    </row>
    <row r="35">
      <c r="A35" s="152" t="s">
        <v>8380</v>
      </c>
      <c r="B35" s="152" t="s">
        <v>8381</v>
      </c>
      <c r="C35" s="152">
        <v>4.0</v>
      </c>
      <c r="D35" s="153"/>
      <c r="E35" s="152">
        <v>3.0</v>
      </c>
      <c r="F35" s="153"/>
      <c r="G35" s="152" t="s">
        <v>8406</v>
      </c>
      <c r="H35" s="155" t="s">
        <v>8420</v>
      </c>
      <c r="I35" s="155" t="s">
        <v>6936</v>
      </c>
      <c r="J35" s="153"/>
      <c r="K35" s="153"/>
      <c r="L35" s="153"/>
      <c r="M35" s="154"/>
      <c r="N35" s="152" t="s">
        <v>8395</v>
      </c>
    </row>
    <row r="36">
      <c r="A36" s="152" t="s">
        <v>8380</v>
      </c>
      <c r="B36" s="152" t="s">
        <v>8381</v>
      </c>
      <c r="C36" s="152">
        <v>4.0</v>
      </c>
      <c r="D36" s="153"/>
      <c r="E36" s="152">
        <v>3.0</v>
      </c>
      <c r="F36" s="153"/>
      <c r="G36" s="152" t="s">
        <v>8406</v>
      </c>
      <c r="H36" s="155" t="s">
        <v>8421</v>
      </c>
      <c r="I36" s="155" t="s">
        <v>6620</v>
      </c>
      <c r="J36" s="153"/>
      <c r="K36" s="153"/>
      <c r="L36" s="153"/>
      <c r="M36" s="154"/>
      <c r="N36" s="152" t="s">
        <v>8395</v>
      </c>
    </row>
    <row r="37">
      <c r="A37" s="152" t="s">
        <v>8380</v>
      </c>
      <c r="B37" s="152" t="s">
        <v>8381</v>
      </c>
      <c r="C37" s="152">
        <v>4.0</v>
      </c>
      <c r="D37" s="153"/>
      <c r="E37" s="152">
        <v>3.0</v>
      </c>
      <c r="F37" s="153"/>
      <c r="G37" s="152" t="s">
        <v>8406</v>
      </c>
      <c r="H37" s="155" t="s">
        <v>8422</v>
      </c>
      <c r="I37" s="155" t="s">
        <v>6563</v>
      </c>
      <c r="J37" s="153"/>
      <c r="K37" s="153"/>
      <c r="L37" s="153"/>
      <c r="M37" s="154"/>
      <c r="N37" s="152" t="s">
        <v>8395</v>
      </c>
    </row>
    <row r="38">
      <c r="A38" s="152" t="s">
        <v>8380</v>
      </c>
      <c r="B38" s="152" t="s">
        <v>8381</v>
      </c>
      <c r="C38" s="152">
        <v>4.0</v>
      </c>
      <c r="D38" s="153"/>
      <c r="E38" s="152">
        <v>3.0</v>
      </c>
      <c r="F38" s="153"/>
      <c r="G38" s="152" t="s">
        <v>8406</v>
      </c>
      <c r="H38" s="155" t="s">
        <v>8423</v>
      </c>
      <c r="I38" s="155" t="s">
        <v>6701</v>
      </c>
      <c r="J38" s="153"/>
      <c r="K38" s="153"/>
      <c r="L38" s="153"/>
      <c r="M38" s="154"/>
      <c r="N38" s="152" t="s">
        <v>8395</v>
      </c>
    </row>
    <row r="39">
      <c r="A39" s="152" t="s">
        <v>8380</v>
      </c>
      <c r="B39" s="152" t="s">
        <v>8381</v>
      </c>
      <c r="C39" s="152">
        <v>4.0</v>
      </c>
      <c r="D39" s="153"/>
      <c r="E39" s="152">
        <v>3.0</v>
      </c>
      <c r="F39" s="153"/>
      <c r="G39" s="152" t="s">
        <v>8406</v>
      </c>
      <c r="H39" s="155" t="s">
        <v>8424</v>
      </c>
      <c r="I39" s="155" t="s">
        <v>6684</v>
      </c>
      <c r="J39" s="153"/>
      <c r="K39" s="153"/>
      <c r="L39" s="153"/>
      <c r="M39" s="154"/>
      <c r="N39" s="152" t="s">
        <v>8395</v>
      </c>
    </row>
    <row r="40">
      <c r="A40" s="152" t="s">
        <v>8380</v>
      </c>
      <c r="B40" s="152" t="s">
        <v>8381</v>
      </c>
      <c r="C40" s="152">
        <v>4.0</v>
      </c>
      <c r="D40" s="153"/>
      <c r="E40" s="152">
        <v>3.0</v>
      </c>
      <c r="F40" s="153"/>
      <c r="G40" s="152" t="s">
        <v>8406</v>
      </c>
      <c r="H40" s="155" t="s">
        <v>8425</v>
      </c>
      <c r="I40" s="155" t="s">
        <v>7039</v>
      </c>
      <c r="J40" s="153"/>
      <c r="K40" s="153"/>
      <c r="L40" s="153"/>
      <c r="M40" s="154"/>
      <c r="N40" s="152" t="s">
        <v>8395</v>
      </c>
    </row>
    <row r="41">
      <c r="A41" s="152" t="s">
        <v>8380</v>
      </c>
      <c r="B41" s="152" t="s">
        <v>8381</v>
      </c>
      <c r="C41" s="152">
        <v>4.0</v>
      </c>
      <c r="D41" s="153"/>
      <c r="E41" s="152">
        <v>3.0</v>
      </c>
      <c r="F41" s="153"/>
      <c r="G41" s="152" t="s">
        <v>8406</v>
      </c>
      <c r="H41" s="155" t="s">
        <v>8426</v>
      </c>
      <c r="I41" s="155" t="s">
        <v>7023</v>
      </c>
      <c r="J41" s="153"/>
      <c r="K41" s="153"/>
      <c r="L41" s="153"/>
      <c r="M41" s="154"/>
      <c r="N41" s="152" t="s">
        <v>8395</v>
      </c>
    </row>
    <row r="42">
      <c r="A42" s="152" t="s">
        <v>8380</v>
      </c>
      <c r="B42" s="152" t="s">
        <v>8381</v>
      </c>
      <c r="C42" s="152">
        <v>5.0</v>
      </c>
      <c r="D42" s="153"/>
      <c r="E42" s="153"/>
      <c r="F42" s="153"/>
      <c r="G42" s="152" t="s">
        <v>8427</v>
      </c>
      <c r="H42" s="155" t="s">
        <v>8407</v>
      </c>
      <c r="I42" s="153"/>
      <c r="J42" s="153"/>
      <c r="K42" s="153"/>
      <c r="L42" s="153"/>
      <c r="M42" s="154"/>
      <c r="N42" s="152" t="s">
        <v>8384</v>
      </c>
    </row>
    <row r="43">
      <c r="A43" s="152" t="s">
        <v>8380</v>
      </c>
      <c r="B43" s="152" t="s">
        <v>8381</v>
      </c>
      <c r="C43" s="152">
        <v>5.0</v>
      </c>
      <c r="D43" s="153"/>
      <c r="E43" s="153"/>
      <c r="F43" s="153"/>
      <c r="G43" s="152" t="s">
        <v>8427</v>
      </c>
      <c r="H43" s="155" t="s">
        <v>8408</v>
      </c>
      <c r="I43" s="153"/>
      <c r="J43" s="153"/>
      <c r="K43" s="153"/>
      <c r="L43" s="153"/>
      <c r="M43" s="154"/>
      <c r="N43" s="152" t="s">
        <v>8384</v>
      </c>
    </row>
    <row r="44">
      <c r="A44" s="152" t="s">
        <v>8380</v>
      </c>
      <c r="B44" s="152" t="s">
        <v>8381</v>
      </c>
      <c r="C44" s="152">
        <v>5.0</v>
      </c>
      <c r="D44" s="153"/>
      <c r="E44" s="153"/>
      <c r="F44" s="153"/>
      <c r="G44" s="152" t="s">
        <v>8427</v>
      </c>
      <c r="H44" s="155" t="s">
        <v>8409</v>
      </c>
      <c r="I44" s="153"/>
      <c r="J44" s="154"/>
      <c r="K44" s="154"/>
      <c r="L44" s="154"/>
      <c r="M44" s="154"/>
      <c r="N44" s="152" t="s">
        <v>8384</v>
      </c>
    </row>
    <row r="45">
      <c r="A45" s="152" t="s">
        <v>8380</v>
      </c>
      <c r="B45" s="152" t="s">
        <v>8381</v>
      </c>
      <c r="C45" s="152">
        <v>5.0</v>
      </c>
      <c r="D45" s="153"/>
      <c r="E45" s="153"/>
      <c r="F45" s="153"/>
      <c r="G45" s="152" t="s">
        <v>8427</v>
      </c>
      <c r="H45" s="155" t="s">
        <v>8410</v>
      </c>
      <c r="I45" s="153"/>
      <c r="J45" s="154"/>
      <c r="K45" s="154"/>
      <c r="L45" s="154"/>
      <c r="M45" s="154"/>
      <c r="N45" s="152" t="s">
        <v>8384</v>
      </c>
    </row>
    <row r="46">
      <c r="A46" s="152" t="s">
        <v>8380</v>
      </c>
      <c r="B46" s="152" t="s">
        <v>8381</v>
      </c>
      <c r="C46" s="152">
        <v>5.0</v>
      </c>
      <c r="D46" s="153"/>
      <c r="E46" s="153"/>
      <c r="F46" s="153"/>
      <c r="G46" s="152" t="s">
        <v>8427</v>
      </c>
      <c r="H46" s="155" t="s">
        <v>8411</v>
      </c>
      <c r="I46" s="153"/>
      <c r="J46" s="154"/>
      <c r="K46" s="154"/>
      <c r="L46" s="154"/>
      <c r="M46" s="154"/>
      <c r="N46" s="152" t="s">
        <v>8384</v>
      </c>
    </row>
    <row r="47">
      <c r="A47" s="152" t="s">
        <v>8380</v>
      </c>
      <c r="B47" s="152" t="s">
        <v>8381</v>
      </c>
      <c r="C47" s="152">
        <v>5.0</v>
      </c>
      <c r="D47" s="153"/>
      <c r="E47" s="153"/>
      <c r="F47" s="153"/>
      <c r="G47" s="152" t="s">
        <v>8427</v>
      </c>
      <c r="H47" s="155" t="s">
        <v>8412</v>
      </c>
      <c r="I47" s="153"/>
      <c r="J47" s="154"/>
      <c r="K47" s="154"/>
      <c r="L47" s="154"/>
      <c r="M47" s="154"/>
      <c r="N47" s="152" t="s">
        <v>8384</v>
      </c>
    </row>
    <row r="48">
      <c r="A48" s="152" t="s">
        <v>8380</v>
      </c>
      <c r="B48" s="152" t="s">
        <v>8381</v>
      </c>
      <c r="C48" s="152">
        <v>5.0</v>
      </c>
      <c r="D48" s="153"/>
      <c r="E48" s="153"/>
      <c r="F48" s="153"/>
      <c r="G48" s="152" t="s">
        <v>8427</v>
      </c>
      <c r="H48" s="155" t="s">
        <v>8413</v>
      </c>
      <c r="I48" s="153"/>
      <c r="J48" s="154"/>
      <c r="K48" s="154"/>
      <c r="L48" s="154"/>
      <c r="M48" s="154"/>
      <c r="N48" s="152" t="s">
        <v>8384</v>
      </c>
    </row>
    <row r="49">
      <c r="A49" s="152" t="s">
        <v>8380</v>
      </c>
      <c r="B49" s="152" t="s">
        <v>8381</v>
      </c>
      <c r="C49" s="152">
        <v>5.0</v>
      </c>
      <c r="D49" s="153"/>
      <c r="E49" s="153"/>
      <c r="F49" s="153"/>
      <c r="G49" s="152" t="s">
        <v>8427</v>
      </c>
      <c r="H49" s="155" t="s">
        <v>8414</v>
      </c>
      <c r="I49" s="153"/>
      <c r="J49" s="154"/>
      <c r="K49" s="154"/>
      <c r="L49" s="154"/>
      <c r="M49" s="154"/>
      <c r="N49" s="152" t="s">
        <v>8384</v>
      </c>
    </row>
    <row r="50">
      <c r="A50" s="152" t="s">
        <v>8380</v>
      </c>
      <c r="B50" s="152" t="s">
        <v>8381</v>
      </c>
      <c r="C50" s="152">
        <v>5.0</v>
      </c>
      <c r="D50" s="153"/>
      <c r="E50" s="153"/>
      <c r="F50" s="153"/>
      <c r="G50" s="152" t="s">
        <v>8427</v>
      </c>
      <c r="H50" s="155" t="s">
        <v>8415</v>
      </c>
      <c r="I50" s="153"/>
      <c r="J50" s="154"/>
      <c r="K50" s="154"/>
      <c r="L50" s="154"/>
      <c r="M50" s="154"/>
      <c r="N50" s="152" t="s">
        <v>8384</v>
      </c>
    </row>
    <row r="51">
      <c r="A51" s="152" t="s">
        <v>8380</v>
      </c>
      <c r="B51" s="152" t="s">
        <v>8381</v>
      </c>
      <c r="C51" s="152">
        <v>5.0</v>
      </c>
      <c r="D51" s="153"/>
      <c r="E51" s="153"/>
      <c r="F51" s="153"/>
      <c r="G51" s="152" t="s">
        <v>8427</v>
      </c>
      <c r="H51" s="155" t="s">
        <v>8416</v>
      </c>
      <c r="I51" s="153"/>
      <c r="J51" s="154"/>
      <c r="K51" s="154"/>
      <c r="L51" s="154"/>
      <c r="M51" s="154"/>
      <c r="N51" s="152" t="s">
        <v>8384</v>
      </c>
    </row>
    <row r="52">
      <c r="A52" s="152" t="s">
        <v>8380</v>
      </c>
      <c r="B52" s="152" t="s">
        <v>8381</v>
      </c>
      <c r="C52" s="152">
        <v>6.0</v>
      </c>
      <c r="D52" s="153"/>
      <c r="E52" s="152">
        <v>5.0</v>
      </c>
      <c r="F52" s="153"/>
      <c r="G52" s="152" t="s">
        <v>8406</v>
      </c>
      <c r="H52" s="155" t="s">
        <v>8417</v>
      </c>
      <c r="I52" s="155" t="s">
        <v>6507</v>
      </c>
      <c r="J52" s="154"/>
      <c r="K52" s="154"/>
      <c r="L52" s="154"/>
      <c r="M52" s="154"/>
      <c r="N52" s="152" t="s">
        <v>8395</v>
      </c>
    </row>
    <row r="53">
      <c r="A53" s="152" t="s">
        <v>8380</v>
      </c>
      <c r="B53" s="152" t="s">
        <v>8381</v>
      </c>
      <c r="C53" s="152">
        <v>6.0</v>
      </c>
      <c r="D53" s="153"/>
      <c r="E53" s="152">
        <v>5.0</v>
      </c>
      <c r="F53" s="153"/>
      <c r="G53" s="152" t="s">
        <v>8406</v>
      </c>
      <c r="H53" s="155" t="s">
        <v>8418</v>
      </c>
      <c r="I53" s="155" t="s">
        <v>6492</v>
      </c>
      <c r="J53" s="154"/>
      <c r="K53" s="154"/>
      <c r="L53" s="154"/>
      <c r="M53" s="154"/>
      <c r="N53" s="152" t="s">
        <v>8395</v>
      </c>
    </row>
    <row r="54">
      <c r="A54" s="152" t="s">
        <v>8380</v>
      </c>
      <c r="B54" s="152" t="s">
        <v>8381</v>
      </c>
      <c r="C54" s="152">
        <v>6.0</v>
      </c>
      <c r="D54" s="153"/>
      <c r="E54" s="152">
        <v>5.0</v>
      </c>
      <c r="F54" s="153"/>
      <c r="G54" s="152" t="s">
        <v>8406</v>
      </c>
      <c r="H54" s="155" t="s">
        <v>8419</v>
      </c>
      <c r="I54" s="155" t="s">
        <v>6978</v>
      </c>
      <c r="J54" s="154"/>
      <c r="K54" s="154"/>
      <c r="L54" s="154"/>
      <c r="M54" s="154"/>
      <c r="N54" s="152" t="s">
        <v>8395</v>
      </c>
    </row>
    <row r="55">
      <c r="A55" s="152" t="s">
        <v>8380</v>
      </c>
      <c r="B55" s="152" t="s">
        <v>8381</v>
      </c>
      <c r="C55" s="152">
        <v>6.0</v>
      </c>
      <c r="D55" s="153"/>
      <c r="E55" s="152">
        <v>5.0</v>
      </c>
      <c r="F55" s="153"/>
      <c r="G55" s="152" t="s">
        <v>8406</v>
      </c>
      <c r="H55" s="155" t="s">
        <v>8420</v>
      </c>
      <c r="I55" s="155" t="s">
        <v>6936</v>
      </c>
      <c r="J55" s="153"/>
      <c r="K55" s="153"/>
      <c r="L55" s="153"/>
      <c r="M55" s="154"/>
      <c r="N55" s="152" t="s">
        <v>8395</v>
      </c>
    </row>
    <row r="56">
      <c r="A56" s="152" t="s">
        <v>8380</v>
      </c>
      <c r="B56" s="152" t="s">
        <v>8381</v>
      </c>
      <c r="C56" s="152">
        <v>6.0</v>
      </c>
      <c r="D56" s="153"/>
      <c r="E56" s="152">
        <v>5.0</v>
      </c>
      <c r="F56" s="153"/>
      <c r="G56" s="152" t="s">
        <v>8406</v>
      </c>
      <c r="H56" s="155" t="s">
        <v>8421</v>
      </c>
      <c r="I56" s="155" t="s">
        <v>6620</v>
      </c>
      <c r="J56" s="153"/>
      <c r="K56" s="153"/>
      <c r="L56" s="153"/>
      <c r="M56" s="154"/>
      <c r="N56" s="152" t="s">
        <v>8395</v>
      </c>
    </row>
    <row r="57">
      <c r="A57" s="152" t="s">
        <v>8380</v>
      </c>
      <c r="B57" s="152" t="s">
        <v>8381</v>
      </c>
      <c r="C57" s="152">
        <v>6.0</v>
      </c>
      <c r="D57" s="153"/>
      <c r="E57" s="152">
        <v>5.0</v>
      </c>
      <c r="F57" s="153"/>
      <c r="G57" s="152" t="s">
        <v>8406</v>
      </c>
      <c r="H57" s="155" t="s">
        <v>8422</v>
      </c>
      <c r="I57" s="155" t="s">
        <v>6563</v>
      </c>
      <c r="J57" s="153"/>
      <c r="K57" s="153"/>
      <c r="L57" s="153"/>
      <c r="M57" s="154"/>
      <c r="N57" s="152" t="s">
        <v>8395</v>
      </c>
    </row>
    <row r="58">
      <c r="A58" s="152" t="s">
        <v>8380</v>
      </c>
      <c r="B58" s="152" t="s">
        <v>8381</v>
      </c>
      <c r="C58" s="152">
        <v>6.0</v>
      </c>
      <c r="D58" s="153"/>
      <c r="E58" s="152">
        <v>5.0</v>
      </c>
      <c r="F58" s="153"/>
      <c r="G58" s="152" t="s">
        <v>8406</v>
      </c>
      <c r="H58" s="155" t="s">
        <v>8423</v>
      </c>
      <c r="I58" s="155" t="s">
        <v>6701</v>
      </c>
      <c r="J58" s="153"/>
      <c r="K58" s="153"/>
      <c r="L58" s="153"/>
      <c r="M58" s="154"/>
      <c r="N58" s="152" t="s">
        <v>8395</v>
      </c>
    </row>
    <row r="59">
      <c r="A59" s="152" t="s">
        <v>8380</v>
      </c>
      <c r="B59" s="152" t="s">
        <v>8381</v>
      </c>
      <c r="C59" s="152">
        <v>6.0</v>
      </c>
      <c r="D59" s="153"/>
      <c r="E59" s="152">
        <v>5.0</v>
      </c>
      <c r="F59" s="153"/>
      <c r="G59" s="152" t="s">
        <v>8406</v>
      </c>
      <c r="H59" s="155" t="s">
        <v>8424</v>
      </c>
      <c r="I59" s="155" t="s">
        <v>6684</v>
      </c>
      <c r="J59" s="153"/>
      <c r="K59" s="153"/>
      <c r="L59" s="153"/>
      <c r="M59" s="154"/>
      <c r="N59" s="152" t="s">
        <v>8395</v>
      </c>
    </row>
    <row r="60">
      <c r="A60" s="152" t="s">
        <v>8380</v>
      </c>
      <c r="B60" s="152" t="s">
        <v>8381</v>
      </c>
      <c r="C60" s="152">
        <v>6.0</v>
      </c>
      <c r="D60" s="153"/>
      <c r="E60" s="152">
        <v>5.0</v>
      </c>
      <c r="F60" s="153"/>
      <c r="G60" s="152" t="s">
        <v>8406</v>
      </c>
      <c r="H60" s="155" t="s">
        <v>8425</v>
      </c>
      <c r="I60" s="155" t="s">
        <v>7039</v>
      </c>
      <c r="J60" s="153"/>
      <c r="K60" s="153"/>
      <c r="L60" s="153"/>
      <c r="M60" s="154"/>
      <c r="N60" s="152" t="s">
        <v>8395</v>
      </c>
    </row>
    <row r="61">
      <c r="A61" s="152" t="s">
        <v>8380</v>
      </c>
      <c r="B61" s="152" t="s">
        <v>8381</v>
      </c>
      <c r="C61" s="152">
        <v>6.0</v>
      </c>
      <c r="D61" s="153"/>
      <c r="E61" s="152">
        <v>5.0</v>
      </c>
      <c r="F61" s="153"/>
      <c r="G61" s="152" t="s">
        <v>8406</v>
      </c>
      <c r="H61" s="155" t="s">
        <v>8426</v>
      </c>
      <c r="I61" s="155" t="s">
        <v>7023</v>
      </c>
      <c r="J61" s="153"/>
      <c r="K61" s="153"/>
      <c r="L61" s="153"/>
      <c r="M61" s="154"/>
      <c r="N61" s="152" t="s">
        <v>8395</v>
      </c>
    </row>
    <row r="62">
      <c r="A62" s="152" t="s">
        <v>8428</v>
      </c>
      <c r="B62" s="152" t="s">
        <v>8429</v>
      </c>
      <c r="C62" s="152">
        <v>1.0</v>
      </c>
      <c r="D62" s="153"/>
      <c r="E62" s="153"/>
      <c r="F62" s="153"/>
      <c r="G62" s="152" t="s">
        <v>8382</v>
      </c>
      <c r="H62" s="152" t="s">
        <v>8383</v>
      </c>
      <c r="I62" s="153"/>
      <c r="J62" s="152" t="s">
        <v>23</v>
      </c>
      <c r="K62" s="152">
        <v>2489.0</v>
      </c>
      <c r="L62" s="153"/>
      <c r="M62" s="154"/>
      <c r="N62" s="152" t="s">
        <v>8384</v>
      </c>
    </row>
    <row r="63">
      <c r="A63" s="152" t="s">
        <v>8428</v>
      </c>
      <c r="B63" s="152" t="s">
        <v>8429</v>
      </c>
      <c r="C63" s="152">
        <v>1.0</v>
      </c>
      <c r="D63" s="153"/>
      <c r="E63" s="153"/>
      <c r="F63" s="153"/>
      <c r="G63" s="152" t="s">
        <v>8382</v>
      </c>
      <c r="H63" s="152" t="s">
        <v>8385</v>
      </c>
      <c r="I63" s="153"/>
      <c r="J63" s="152" t="s">
        <v>23</v>
      </c>
      <c r="K63" s="152">
        <v>2649.0</v>
      </c>
      <c r="L63" s="153"/>
      <c r="M63" s="154"/>
      <c r="N63" s="152" t="s">
        <v>8384</v>
      </c>
    </row>
    <row r="64">
      <c r="A64" s="152" t="s">
        <v>8428</v>
      </c>
      <c r="B64" s="152" t="s">
        <v>8429</v>
      </c>
      <c r="C64" s="152">
        <v>1.0</v>
      </c>
      <c r="D64" s="153"/>
      <c r="E64" s="153"/>
      <c r="F64" s="153"/>
      <c r="G64" s="152" t="s">
        <v>8382</v>
      </c>
      <c r="H64" s="152" t="s">
        <v>8386</v>
      </c>
      <c r="I64" s="153"/>
      <c r="J64" s="152" t="s">
        <v>23</v>
      </c>
      <c r="K64" s="152">
        <v>2649.0</v>
      </c>
      <c r="L64" s="153"/>
      <c r="M64" s="154"/>
      <c r="N64" s="152" t="s">
        <v>8384</v>
      </c>
    </row>
    <row r="65">
      <c r="A65" s="152" t="s">
        <v>8428</v>
      </c>
      <c r="B65" s="152" t="s">
        <v>8429</v>
      </c>
      <c r="C65" s="152">
        <v>1.0</v>
      </c>
      <c r="D65" s="153"/>
      <c r="E65" s="153"/>
      <c r="F65" s="153"/>
      <c r="G65" s="152" t="s">
        <v>8382</v>
      </c>
      <c r="H65" s="152" t="s">
        <v>8387</v>
      </c>
      <c r="I65" s="153"/>
      <c r="J65" s="152" t="s">
        <v>23</v>
      </c>
      <c r="K65" s="152">
        <v>2649.0</v>
      </c>
      <c r="L65" s="154"/>
      <c r="M65" s="154"/>
      <c r="N65" s="152" t="s">
        <v>8384</v>
      </c>
    </row>
    <row r="66">
      <c r="A66" s="152" t="s">
        <v>8428</v>
      </c>
      <c r="B66" s="152" t="s">
        <v>8429</v>
      </c>
      <c r="C66" s="152">
        <v>1.0</v>
      </c>
      <c r="D66" s="153"/>
      <c r="E66" s="154"/>
      <c r="F66" s="154"/>
      <c r="G66" s="152" t="s">
        <v>8382</v>
      </c>
      <c r="H66" s="152" t="s">
        <v>8388</v>
      </c>
      <c r="I66" s="153"/>
      <c r="J66" s="152" t="s">
        <v>23</v>
      </c>
      <c r="K66" s="152">
        <v>2649.0</v>
      </c>
      <c r="L66" s="154"/>
      <c r="M66" s="153"/>
      <c r="N66" s="152" t="s">
        <v>8384</v>
      </c>
    </row>
    <row r="67">
      <c r="A67" s="152" t="s">
        <v>8428</v>
      </c>
      <c r="B67" s="152" t="s">
        <v>8429</v>
      </c>
      <c r="C67" s="152">
        <v>1.0</v>
      </c>
      <c r="D67" s="153"/>
      <c r="E67" s="154"/>
      <c r="F67" s="154"/>
      <c r="G67" s="152" t="s">
        <v>8382</v>
      </c>
      <c r="H67" s="152" t="s">
        <v>8389</v>
      </c>
      <c r="I67" s="153"/>
      <c r="J67" s="152" t="s">
        <v>23</v>
      </c>
      <c r="K67" s="152">
        <v>3079.0</v>
      </c>
      <c r="L67" s="154"/>
      <c r="M67" s="154"/>
      <c r="N67" s="152" t="s">
        <v>8384</v>
      </c>
    </row>
    <row r="68">
      <c r="A68" s="152" t="s">
        <v>8428</v>
      </c>
      <c r="B68" s="152" t="s">
        <v>8429</v>
      </c>
      <c r="C68" s="152">
        <v>1.0</v>
      </c>
      <c r="D68" s="153"/>
      <c r="E68" s="154"/>
      <c r="F68" s="154"/>
      <c r="G68" s="152" t="s">
        <v>8382</v>
      </c>
      <c r="H68" s="152" t="s">
        <v>5767</v>
      </c>
      <c r="I68" s="153"/>
      <c r="J68" s="152" t="s">
        <v>23</v>
      </c>
      <c r="K68" s="152">
        <v>3079.0</v>
      </c>
      <c r="L68" s="154"/>
      <c r="M68" s="154"/>
      <c r="N68" s="152" t="s">
        <v>8384</v>
      </c>
    </row>
    <row r="69">
      <c r="A69" s="152" t="s">
        <v>8428</v>
      </c>
      <c r="B69" s="152" t="s">
        <v>8429</v>
      </c>
      <c r="C69" s="152">
        <v>1.0</v>
      </c>
      <c r="D69" s="153"/>
      <c r="E69" s="154"/>
      <c r="F69" s="154"/>
      <c r="G69" s="152" t="s">
        <v>8382</v>
      </c>
      <c r="H69" s="152" t="s">
        <v>8390</v>
      </c>
      <c r="I69" s="153"/>
      <c r="J69" s="152" t="s">
        <v>23</v>
      </c>
      <c r="K69" s="152">
        <v>3079.0</v>
      </c>
      <c r="L69" s="154"/>
      <c r="M69" s="154"/>
      <c r="N69" s="152" t="s">
        <v>8384</v>
      </c>
    </row>
    <row r="70">
      <c r="A70" s="152" t="s">
        <v>8428</v>
      </c>
      <c r="B70" s="152" t="s">
        <v>8429</v>
      </c>
      <c r="C70" s="152">
        <v>1.0</v>
      </c>
      <c r="D70" s="153"/>
      <c r="E70" s="154"/>
      <c r="F70" s="154"/>
      <c r="G70" s="152" t="s">
        <v>8382</v>
      </c>
      <c r="H70" s="152" t="s">
        <v>8391</v>
      </c>
      <c r="I70" s="153"/>
      <c r="J70" s="152" t="s">
        <v>23</v>
      </c>
      <c r="K70" s="152">
        <v>3079.0</v>
      </c>
      <c r="L70" s="154"/>
      <c r="M70" s="153"/>
      <c r="N70" s="152" t="s">
        <v>8384</v>
      </c>
    </row>
    <row r="71">
      <c r="A71" s="152" t="s">
        <v>8428</v>
      </c>
      <c r="B71" s="152" t="s">
        <v>8429</v>
      </c>
      <c r="C71" s="152">
        <v>1.0</v>
      </c>
      <c r="D71" s="153"/>
      <c r="E71" s="154"/>
      <c r="F71" s="154"/>
      <c r="G71" s="152" t="s">
        <v>8382</v>
      </c>
      <c r="H71" s="152" t="s">
        <v>8392</v>
      </c>
      <c r="I71" s="153"/>
      <c r="J71" s="152" t="s">
        <v>23</v>
      </c>
      <c r="K71" s="152">
        <v>3079.0</v>
      </c>
      <c r="L71" s="154"/>
      <c r="M71" s="154"/>
      <c r="N71" s="152" t="s">
        <v>8384</v>
      </c>
    </row>
    <row r="72">
      <c r="A72" s="152" t="s">
        <v>8428</v>
      </c>
      <c r="B72" s="152" t="s">
        <v>8429</v>
      </c>
      <c r="C72" s="152">
        <v>2.0</v>
      </c>
      <c r="D72" s="153"/>
      <c r="E72" s="152">
        <v>1.0</v>
      </c>
      <c r="F72" s="154"/>
      <c r="G72" s="152" t="s">
        <v>8393</v>
      </c>
      <c r="H72" s="152" t="s">
        <v>8394</v>
      </c>
      <c r="I72" s="152" t="s">
        <v>6862</v>
      </c>
      <c r="J72" s="153"/>
      <c r="K72" s="154"/>
      <c r="L72" s="154"/>
      <c r="M72" s="154"/>
      <c r="N72" s="152" t="s">
        <v>8395</v>
      </c>
    </row>
    <row r="73">
      <c r="A73" s="152" t="s">
        <v>8428</v>
      </c>
      <c r="B73" s="152" t="s">
        <v>8429</v>
      </c>
      <c r="C73" s="152">
        <v>2.0</v>
      </c>
      <c r="D73" s="153"/>
      <c r="E73" s="152">
        <v>1.0</v>
      </c>
      <c r="F73" s="154"/>
      <c r="G73" s="152" t="s">
        <v>8393</v>
      </c>
      <c r="H73" s="152" t="s">
        <v>8396</v>
      </c>
      <c r="I73" s="152" t="s">
        <v>6893</v>
      </c>
      <c r="J73" s="153"/>
      <c r="K73" s="154"/>
      <c r="L73" s="154"/>
      <c r="M73" s="154"/>
      <c r="N73" s="152" t="s">
        <v>8395</v>
      </c>
    </row>
    <row r="74">
      <c r="A74" s="152" t="s">
        <v>8428</v>
      </c>
      <c r="B74" s="152" t="s">
        <v>8429</v>
      </c>
      <c r="C74" s="152">
        <v>2.0</v>
      </c>
      <c r="D74" s="153"/>
      <c r="E74" s="152">
        <v>1.0</v>
      </c>
      <c r="F74" s="154"/>
      <c r="G74" s="152" t="s">
        <v>8393</v>
      </c>
      <c r="H74" s="152" t="s">
        <v>8397</v>
      </c>
      <c r="I74" s="152" t="s">
        <v>6796</v>
      </c>
      <c r="J74" s="153"/>
      <c r="K74" s="154"/>
      <c r="L74" s="154"/>
      <c r="M74" s="154"/>
      <c r="N74" s="152" t="s">
        <v>8395</v>
      </c>
    </row>
    <row r="75">
      <c r="A75" s="152" t="s">
        <v>8428</v>
      </c>
      <c r="B75" s="152" t="s">
        <v>8429</v>
      </c>
      <c r="C75" s="152">
        <v>2.0</v>
      </c>
      <c r="D75" s="153"/>
      <c r="E75" s="152">
        <v>1.0</v>
      </c>
      <c r="F75" s="153"/>
      <c r="G75" s="152" t="s">
        <v>8393</v>
      </c>
      <c r="H75" s="152" t="s">
        <v>8398</v>
      </c>
      <c r="I75" s="152" t="s">
        <v>6726</v>
      </c>
      <c r="J75" s="154"/>
      <c r="K75" s="154"/>
      <c r="L75" s="154"/>
      <c r="M75" s="154"/>
      <c r="N75" s="152" t="s">
        <v>8395</v>
      </c>
    </row>
    <row r="76">
      <c r="A76" s="152" t="s">
        <v>8428</v>
      </c>
      <c r="B76" s="152" t="s">
        <v>8429</v>
      </c>
      <c r="C76" s="152">
        <v>2.0</v>
      </c>
      <c r="D76" s="153"/>
      <c r="E76" s="152">
        <v>1.0</v>
      </c>
      <c r="F76" s="153"/>
      <c r="G76" s="152" t="s">
        <v>8393</v>
      </c>
      <c r="H76" s="152" t="s">
        <v>8399</v>
      </c>
      <c r="I76" s="152" t="s">
        <v>6924</v>
      </c>
      <c r="J76" s="154"/>
      <c r="K76" s="154"/>
      <c r="L76" s="154"/>
      <c r="M76" s="154"/>
      <c r="N76" s="152" t="s">
        <v>8395</v>
      </c>
    </row>
    <row r="77">
      <c r="A77" s="152" t="s">
        <v>8428</v>
      </c>
      <c r="B77" s="152" t="s">
        <v>8429</v>
      </c>
      <c r="C77" s="152">
        <v>2.0</v>
      </c>
      <c r="D77" s="153"/>
      <c r="E77" s="152">
        <v>1.0</v>
      </c>
      <c r="F77" s="153"/>
      <c r="G77" s="152" t="s">
        <v>8393</v>
      </c>
      <c r="H77" s="152" t="s">
        <v>8400</v>
      </c>
      <c r="I77" s="152" t="s">
        <v>6893</v>
      </c>
      <c r="J77" s="154"/>
      <c r="K77" s="154"/>
      <c r="L77" s="154"/>
      <c r="M77" s="154"/>
      <c r="N77" s="152" t="s">
        <v>8395</v>
      </c>
    </row>
    <row r="78">
      <c r="A78" s="152" t="s">
        <v>8428</v>
      </c>
      <c r="B78" s="152" t="s">
        <v>8429</v>
      </c>
      <c r="C78" s="152">
        <v>2.0</v>
      </c>
      <c r="D78" s="153"/>
      <c r="E78" s="152">
        <v>1.0</v>
      </c>
      <c r="F78" s="153"/>
      <c r="G78" s="152" t="s">
        <v>8393</v>
      </c>
      <c r="H78" s="152" t="s">
        <v>8401</v>
      </c>
      <c r="I78" s="152" t="s">
        <v>6796</v>
      </c>
      <c r="J78" s="154"/>
      <c r="K78" s="154"/>
      <c r="L78" s="154"/>
      <c r="M78" s="154"/>
      <c r="N78" s="152" t="s">
        <v>8395</v>
      </c>
    </row>
    <row r="79">
      <c r="A79" s="152" t="s">
        <v>8428</v>
      </c>
      <c r="B79" s="152" t="s">
        <v>8429</v>
      </c>
      <c r="C79" s="152">
        <v>2.0</v>
      </c>
      <c r="D79" s="153"/>
      <c r="E79" s="152">
        <v>1.0</v>
      </c>
      <c r="F79" s="153"/>
      <c r="G79" s="152" t="s">
        <v>8393</v>
      </c>
      <c r="H79" s="152" t="s">
        <v>8402</v>
      </c>
      <c r="I79" s="152" t="s">
        <v>6831</v>
      </c>
      <c r="J79" s="154"/>
      <c r="K79" s="154"/>
      <c r="L79" s="154"/>
      <c r="M79" s="154"/>
      <c r="N79" s="152" t="s">
        <v>8395</v>
      </c>
    </row>
    <row r="80">
      <c r="A80" s="152" t="s">
        <v>8428</v>
      </c>
      <c r="B80" s="152" t="s">
        <v>8429</v>
      </c>
      <c r="C80" s="152">
        <v>2.0</v>
      </c>
      <c r="D80" s="153"/>
      <c r="E80" s="152">
        <v>1.0</v>
      </c>
      <c r="F80" s="153"/>
      <c r="G80" s="152" t="s">
        <v>8393</v>
      </c>
      <c r="H80" s="152" t="s">
        <v>8403</v>
      </c>
      <c r="I80" s="152" t="s">
        <v>6836</v>
      </c>
      <c r="J80" s="154"/>
      <c r="K80" s="154"/>
      <c r="L80" s="154"/>
      <c r="M80" s="154"/>
      <c r="N80" s="152" t="s">
        <v>8395</v>
      </c>
    </row>
    <row r="81">
      <c r="A81" s="152" t="s">
        <v>8428</v>
      </c>
      <c r="B81" s="152" t="s">
        <v>8429</v>
      </c>
      <c r="C81" s="152">
        <v>2.0</v>
      </c>
      <c r="D81" s="153"/>
      <c r="E81" s="152">
        <v>1.0</v>
      </c>
      <c r="F81" s="153"/>
      <c r="G81" s="152" t="s">
        <v>8393</v>
      </c>
      <c r="H81" s="152" t="s">
        <v>8404</v>
      </c>
      <c r="I81" s="152" t="s">
        <v>8405</v>
      </c>
      <c r="J81" s="154"/>
      <c r="K81" s="154"/>
      <c r="L81" s="154"/>
      <c r="M81" s="154"/>
      <c r="N81" s="152" t="s">
        <v>8395</v>
      </c>
    </row>
    <row r="82">
      <c r="A82" s="152" t="s">
        <v>8428</v>
      </c>
      <c r="B82" s="152" t="s">
        <v>8429</v>
      </c>
      <c r="C82" s="152">
        <v>3.0</v>
      </c>
      <c r="D82" s="153"/>
      <c r="E82" s="153"/>
      <c r="F82" s="153"/>
      <c r="G82" s="152" t="s">
        <v>8406</v>
      </c>
      <c r="H82" s="155" t="s">
        <v>8407</v>
      </c>
      <c r="I82" s="153"/>
      <c r="J82" s="154"/>
      <c r="K82" s="154"/>
      <c r="L82" s="154"/>
      <c r="M82" s="154"/>
      <c r="N82" s="152" t="s">
        <v>8384</v>
      </c>
    </row>
    <row r="83">
      <c r="A83" s="152" t="s">
        <v>8428</v>
      </c>
      <c r="B83" s="152" t="s">
        <v>8429</v>
      </c>
      <c r="C83" s="152">
        <v>3.0</v>
      </c>
      <c r="D83" s="153"/>
      <c r="E83" s="153"/>
      <c r="F83" s="153"/>
      <c r="G83" s="152" t="s">
        <v>8406</v>
      </c>
      <c r="H83" s="155" t="s">
        <v>8408</v>
      </c>
      <c r="I83" s="153"/>
      <c r="J83" s="154"/>
      <c r="K83" s="154"/>
      <c r="L83" s="154"/>
      <c r="M83" s="154"/>
      <c r="N83" s="152" t="s">
        <v>8384</v>
      </c>
    </row>
    <row r="84">
      <c r="A84" s="152" t="s">
        <v>8428</v>
      </c>
      <c r="B84" s="152" t="s">
        <v>8429</v>
      </c>
      <c r="C84" s="152">
        <v>3.0</v>
      </c>
      <c r="D84" s="153"/>
      <c r="E84" s="153"/>
      <c r="F84" s="153"/>
      <c r="G84" s="152" t="s">
        <v>8406</v>
      </c>
      <c r="H84" s="155" t="s">
        <v>8409</v>
      </c>
      <c r="I84" s="153"/>
      <c r="J84" s="154"/>
      <c r="K84" s="154"/>
      <c r="L84" s="154"/>
      <c r="M84" s="154"/>
      <c r="N84" s="152" t="s">
        <v>8384</v>
      </c>
    </row>
    <row r="85">
      <c r="A85" s="152" t="s">
        <v>8428</v>
      </c>
      <c r="B85" s="152" t="s">
        <v>8429</v>
      </c>
      <c r="C85" s="152">
        <v>3.0</v>
      </c>
      <c r="D85" s="153"/>
      <c r="E85" s="153"/>
      <c r="F85" s="153"/>
      <c r="G85" s="152" t="s">
        <v>8406</v>
      </c>
      <c r="H85" s="155" t="s">
        <v>8410</v>
      </c>
      <c r="I85" s="153"/>
      <c r="J85" s="153"/>
      <c r="K85" s="153"/>
      <c r="L85" s="153"/>
      <c r="M85" s="154"/>
      <c r="N85" s="152" t="s">
        <v>8384</v>
      </c>
    </row>
    <row r="86">
      <c r="A86" s="152" t="s">
        <v>8428</v>
      </c>
      <c r="B86" s="152" t="s">
        <v>8429</v>
      </c>
      <c r="C86" s="152">
        <v>3.0</v>
      </c>
      <c r="D86" s="153"/>
      <c r="E86" s="153"/>
      <c r="F86" s="153"/>
      <c r="G86" s="152" t="s">
        <v>8406</v>
      </c>
      <c r="H86" s="155" t="s">
        <v>8411</v>
      </c>
      <c r="I86" s="153"/>
      <c r="J86" s="153"/>
      <c r="K86" s="153"/>
      <c r="L86" s="153"/>
      <c r="M86" s="154"/>
      <c r="N86" s="152" t="s">
        <v>8384</v>
      </c>
    </row>
    <row r="87">
      <c r="A87" s="152" t="s">
        <v>8428</v>
      </c>
      <c r="B87" s="152" t="s">
        <v>8429</v>
      </c>
      <c r="C87" s="152">
        <v>3.0</v>
      </c>
      <c r="D87" s="153"/>
      <c r="E87" s="153"/>
      <c r="F87" s="153"/>
      <c r="G87" s="152" t="s">
        <v>8406</v>
      </c>
      <c r="H87" s="155" t="s">
        <v>8412</v>
      </c>
      <c r="I87" s="153"/>
      <c r="J87" s="153"/>
      <c r="K87" s="153"/>
      <c r="L87" s="153"/>
      <c r="M87" s="154"/>
      <c r="N87" s="152" t="s">
        <v>8384</v>
      </c>
    </row>
    <row r="88">
      <c r="A88" s="152" t="s">
        <v>8428</v>
      </c>
      <c r="B88" s="152" t="s">
        <v>8429</v>
      </c>
      <c r="C88" s="152">
        <v>3.0</v>
      </c>
      <c r="D88" s="153"/>
      <c r="E88" s="153"/>
      <c r="F88" s="153"/>
      <c r="G88" s="152" t="s">
        <v>8406</v>
      </c>
      <c r="H88" s="155" t="s">
        <v>8413</v>
      </c>
      <c r="I88" s="153"/>
      <c r="J88" s="153"/>
      <c r="K88" s="153"/>
      <c r="L88" s="153"/>
      <c r="M88" s="154"/>
      <c r="N88" s="152" t="s">
        <v>8384</v>
      </c>
    </row>
    <row r="89">
      <c r="A89" s="152" t="s">
        <v>8428</v>
      </c>
      <c r="B89" s="152" t="s">
        <v>8429</v>
      </c>
      <c r="C89" s="152">
        <v>3.0</v>
      </c>
      <c r="D89" s="153"/>
      <c r="E89" s="153"/>
      <c r="F89" s="153"/>
      <c r="G89" s="152" t="s">
        <v>8406</v>
      </c>
      <c r="H89" s="155" t="s">
        <v>8414</v>
      </c>
      <c r="I89" s="153"/>
      <c r="J89" s="153"/>
      <c r="K89" s="153"/>
      <c r="L89" s="153"/>
      <c r="M89" s="154"/>
      <c r="N89" s="152" t="s">
        <v>8384</v>
      </c>
    </row>
    <row r="90">
      <c r="A90" s="152" t="s">
        <v>8428</v>
      </c>
      <c r="B90" s="152" t="s">
        <v>8429</v>
      </c>
      <c r="C90" s="152">
        <v>3.0</v>
      </c>
      <c r="D90" s="153"/>
      <c r="E90" s="153"/>
      <c r="F90" s="153"/>
      <c r="G90" s="152" t="s">
        <v>8406</v>
      </c>
      <c r="H90" s="155" t="s">
        <v>8415</v>
      </c>
      <c r="I90" s="153"/>
      <c r="J90" s="153"/>
      <c r="K90" s="153"/>
      <c r="L90" s="153"/>
      <c r="M90" s="154"/>
      <c r="N90" s="152" t="s">
        <v>8384</v>
      </c>
    </row>
    <row r="91">
      <c r="A91" s="152" t="s">
        <v>8428</v>
      </c>
      <c r="B91" s="152" t="s">
        <v>8429</v>
      </c>
      <c r="C91" s="152">
        <v>3.0</v>
      </c>
      <c r="D91" s="153"/>
      <c r="E91" s="153"/>
      <c r="F91" s="153"/>
      <c r="G91" s="152" t="s">
        <v>8406</v>
      </c>
      <c r="H91" s="155" t="s">
        <v>8416</v>
      </c>
      <c r="I91" s="153"/>
      <c r="J91" s="153"/>
      <c r="K91" s="153"/>
      <c r="L91" s="153"/>
      <c r="M91" s="154"/>
      <c r="N91" s="152" t="s">
        <v>8384</v>
      </c>
    </row>
    <row r="92">
      <c r="A92" s="152" t="s">
        <v>8428</v>
      </c>
      <c r="B92" s="152" t="s">
        <v>8429</v>
      </c>
      <c r="C92" s="152">
        <v>4.0</v>
      </c>
      <c r="D92" s="153"/>
      <c r="E92" s="152">
        <v>3.0</v>
      </c>
      <c r="F92" s="153"/>
      <c r="G92" s="152" t="s">
        <v>8406</v>
      </c>
      <c r="H92" s="155" t="s">
        <v>8417</v>
      </c>
      <c r="I92" s="155" t="s">
        <v>6507</v>
      </c>
      <c r="J92" s="153"/>
      <c r="K92" s="153"/>
      <c r="L92" s="153"/>
      <c r="M92" s="154"/>
      <c r="N92" s="152" t="s">
        <v>8395</v>
      </c>
    </row>
    <row r="93">
      <c r="A93" s="152" t="s">
        <v>8428</v>
      </c>
      <c r="B93" s="152" t="s">
        <v>8429</v>
      </c>
      <c r="C93" s="152">
        <v>4.0</v>
      </c>
      <c r="D93" s="153"/>
      <c r="E93" s="152">
        <v>3.0</v>
      </c>
      <c r="F93" s="153"/>
      <c r="G93" s="152" t="s">
        <v>8406</v>
      </c>
      <c r="H93" s="155" t="s">
        <v>8418</v>
      </c>
      <c r="I93" s="155" t="s">
        <v>6492</v>
      </c>
      <c r="J93" s="153"/>
      <c r="K93" s="153"/>
      <c r="L93" s="153"/>
      <c r="M93" s="154"/>
      <c r="N93" s="152" t="s">
        <v>8395</v>
      </c>
    </row>
    <row r="94">
      <c r="A94" s="152" t="s">
        <v>8428</v>
      </c>
      <c r="B94" s="152" t="s">
        <v>8429</v>
      </c>
      <c r="C94" s="152">
        <v>4.0</v>
      </c>
      <c r="D94" s="153"/>
      <c r="E94" s="152">
        <v>3.0</v>
      </c>
      <c r="F94" s="153"/>
      <c r="G94" s="152" t="s">
        <v>8406</v>
      </c>
      <c r="H94" s="155" t="s">
        <v>8419</v>
      </c>
      <c r="I94" s="155" t="s">
        <v>6978</v>
      </c>
      <c r="J94" s="153"/>
      <c r="K94" s="153"/>
      <c r="L94" s="153"/>
      <c r="M94" s="154"/>
      <c r="N94" s="152" t="s">
        <v>8395</v>
      </c>
    </row>
    <row r="95">
      <c r="A95" s="152" t="s">
        <v>8428</v>
      </c>
      <c r="B95" s="152" t="s">
        <v>8429</v>
      </c>
      <c r="C95" s="152">
        <v>4.0</v>
      </c>
      <c r="D95" s="153"/>
      <c r="E95" s="152">
        <v>3.0</v>
      </c>
      <c r="F95" s="153"/>
      <c r="G95" s="152" t="s">
        <v>8406</v>
      </c>
      <c r="H95" s="155" t="s">
        <v>8420</v>
      </c>
      <c r="I95" s="155" t="s">
        <v>6936</v>
      </c>
      <c r="J95" s="153"/>
      <c r="K95" s="153"/>
      <c r="L95" s="153"/>
      <c r="M95" s="154"/>
      <c r="N95" s="152" t="s">
        <v>8395</v>
      </c>
    </row>
    <row r="96">
      <c r="A96" s="152" t="s">
        <v>8428</v>
      </c>
      <c r="B96" s="152" t="s">
        <v>8429</v>
      </c>
      <c r="C96" s="152">
        <v>4.0</v>
      </c>
      <c r="D96" s="153"/>
      <c r="E96" s="152">
        <v>3.0</v>
      </c>
      <c r="F96" s="153"/>
      <c r="G96" s="152" t="s">
        <v>8406</v>
      </c>
      <c r="H96" s="155" t="s">
        <v>8421</v>
      </c>
      <c r="I96" s="155" t="s">
        <v>6620</v>
      </c>
      <c r="J96" s="153"/>
      <c r="K96" s="153"/>
      <c r="L96" s="153"/>
      <c r="M96" s="154"/>
      <c r="N96" s="152" t="s">
        <v>8395</v>
      </c>
    </row>
    <row r="97">
      <c r="A97" s="152" t="s">
        <v>8428</v>
      </c>
      <c r="B97" s="152" t="s">
        <v>8429</v>
      </c>
      <c r="C97" s="152">
        <v>4.0</v>
      </c>
      <c r="D97" s="153"/>
      <c r="E97" s="152">
        <v>3.0</v>
      </c>
      <c r="F97" s="153"/>
      <c r="G97" s="152" t="s">
        <v>8406</v>
      </c>
      <c r="H97" s="155" t="s">
        <v>8422</v>
      </c>
      <c r="I97" s="155" t="s">
        <v>6563</v>
      </c>
      <c r="J97" s="153"/>
      <c r="K97" s="153"/>
      <c r="L97" s="153"/>
      <c r="M97" s="154"/>
      <c r="N97" s="152" t="s">
        <v>8395</v>
      </c>
    </row>
    <row r="98">
      <c r="A98" s="152" t="s">
        <v>8428</v>
      </c>
      <c r="B98" s="152" t="s">
        <v>8429</v>
      </c>
      <c r="C98" s="152">
        <v>4.0</v>
      </c>
      <c r="D98" s="153"/>
      <c r="E98" s="152">
        <v>3.0</v>
      </c>
      <c r="F98" s="153"/>
      <c r="G98" s="152" t="s">
        <v>8406</v>
      </c>
      <c r="H98" s="155" t="s">
        <v>8423</v>
      </c>
      <c r="I98" s="155" t="s">
        <v>6701</v>
      </c>
      <c r="J98" s="153"/>
      <c r="K98" s="153"/>
      <c r="L98" s="153"/>
      <c r="M98" s="154"/>
      <c r="N98" s="152" t="s">
        <v>8395</v>
      </c>
    </row>
    <row r="99">
      <c r="A99" s="152" t="s">
        <v>8428</v>
      </c>
      <c r="B99" s="152" t="s">
        <v>8429</v>
      </c>
      <c r="C99" s="152">
        <v>4.0</v>
      </c>
      <c r="D99" s="153"/>
      <c r="E99" s="152">
        <v>3.0</v>
      </c>
      <c r="F99" s="153"/>
      <c r="G99" s="152" t="s">
        <v>8406</v>
      </c>
      <c r="H99" s="155" t="s">
        <v>8424</v>
      </c>
      <c r="I99" s="155" t="s">
        <v>6684</v>
      </c>
      <c r="J99" s="153"/>
      <c r="K99" s="153"/>
      <c r="L99" s="153"/>
      <c r="M99" s="154"/>
      <c r="N99" s="152" t="s">
        <v>8395</v>
      </c>
    </row>
    <row r="100">
      <c r="A100" s="152" t="s">
        <v>8428</v>
      </c>
      <c r="B100" s="152" t="s">
        <v>8429</v>
      </c>
      <c r="C100" s="152">
        <v>4.0</v>
      </c>
      <c r="D100" s="153"/>
      <c r="E100" s="152">
        <v>3.0</v>
      </c>
      <c r="F100" s="153"/>
      <c r="G100" s="152" t="s">
        <v>8406</v>
      </c>
      <c r="H100" s="155" t="s">
        <v>8425</v>
      </c>
      <c r="I100" s="155" t="s">
        <v>7039</v>
      </c>
      <c r="J100" s="153"/>
      <c r="K100" s="153"/>
      <c r="L100" s="153"/>
      <c r="M100" s="154"/>
      <c r="N100" s="152" t="s">
        <v>8395</v>
      </c>
    </row>
    <row r="101">
      <c r="A101" s="152" t="s">
        <v>8428</v>
      </c>
      <c r="B101" s="152" t="s">
        <v>8429</v>
      </c>
      <c r="C101" s="152">
        <v>4.0</v>
      </c>
      <c r="D101" s="153"/>
      <c r="E101" s="152">
        <v>3.0</v>
      </c>
      <c r="F101" s="153"/>
      <c r="G101" s="152" t="s">
        <v>8406</v>
      </c>
      <c r="H101" s="155" t="s">
        <v>8426</v>
      </c>
      <c r="I101" s="155" t="s">
        <v>7023</v>
      </c>
      <c r="J101" s="153"/>
      <c r="K101" s="153"/>
      <c r="L101" s="153"/>
      <c r="M101" s="154"/>
      <c r="N101" s="152" t="s">
        <v>8395</v>
      </c>
    </row>
    <row r="102">
      <c r="A102" s="152" t="s">
        <v>8428</v>
      </c>
      <c r="B102" s="152" t="s">
        <v>8429</v>
      </c>
      <c r="C102" s="152">
        <v>5.0</v>
      </c>
      <c r="D102" s="153"/>
      <c r="E102" s="153"/>
      <c r="F102" s="153"/>
      <c r="G102" s="152" t="s">
        <v>8427</v>
      </c>
      <c r="H102" s="155" t="s">
        <v>8407</v>
      </c>
      <c r="I102" s="153"/>
      <c r="J102" s="153"/>
      <c r="K102" s="153"/>
      <c r="L102" s="153"/>
      <c r="M102" s="154"/>
      <c r="N102" s="152" t="s">
        <v>8384</v>
      </c>
    </row>
    <row r="103">
      <c r="A103" s="152" t="s">
        <v>8428</v>
      </c>
      <c r="B103" s="152" t="s">
        <v>8429</v>
      </c>
      <c r="C103" s="152">
        <v>5.0</v>
      </c>
      <c r="D103" s="153"/>
      <c r="E103" s="153"/>
      <c r="F103" s="153"/>
      <c r="G103" s="152" t="s">
        <v>8427</v>
      </c>
      <c r="H103" s="155" t="s">
        <v>8408</v>
      </c>
      <c r="I103" s="153"/>
      <c r="J103" s="153"/>
      <c r="K103" s="153"/>
      <c r="L103" s="153"/>
      <c r="M103" s="154"/>
      <c r="N103" s="152" t="s">
        <v>8384</v>
      </c>
    </row>
    <row r="104">
      <c r="A104" s="152" t="s">
        <v>8428</v>
      </c>
      <c r="B104" s="152" t="s">
        <v>8429</v>
      </c>
      <c r="C104" s="152">
        <v>5.0</v>
      </c>
      <c r="D104" s="153"/>
      <c r="E104" s="153"/>
      <c r="F104" s="153"/>
      <c r="G104" s="152" t="s">
        <v>8427</v>
      </c>
      <c r="H104" s="155" t="s">
        <v>8409</v>
      </c>
      <c r="I104" s="153"/>
      <c r="J104" s="153"/>
      <c r="K104" s="153"/>
      <c r="L104" s="153"/>
      <c r="M104" s="153"/>
      <c r="N104" s="152" t="s">
        <v>8384</v>
      </c>
    </row>
    <row r="105">
      <c r="A105" s="152" t="s">
        <v>8428</v>
      </c>
      <c r="B105" s="152" t="s">
        <v>8429</v>
      </c>
      <c r="C105" s="152">
        <v>5.0</v>
      </c>
      <c r="D105" s="153"/>
      <c r="E105" s="153"/>
      <c r="F105" s="153"/>
      <c r="G105" s="152" t="s">
        <v>8427</v>
      </c>
      <c r="H105" s="155" t="s">
        <v>8410</v>
      </c>
      <c r="I105" s="153"/>
      <c r="J105" s="153"/>
      <c r="K105" s="153"/>
      <c r="L105" s="153"/>
      <c r="M105" s="154"/>
      <c r="N105" s="152" t="s">
        <v>8384</v>
      </c>
    </row>
    <row r="106">
      <c r="A106" s="152" t="s">
        <v>8428</v>
      </c>
      <c r="B106" s="152" t="s">
        <v>8429</v>
      </c>
      <c r="C106" s="152">
        <v>5.0</v>
      </c>
      <c r="D106" s="153"/>
      <c r="E106" s="153"/>
      <c r="F106" s="153"/>
      <c r="G106" s="152" t="s">
        <v>8427</v>
      </c>
      <c r="H106" s="155" t="s">
        <v>8411</v>
      </c>
      <c r="I106" s="153"/>
      <c r="J106" s="153"/>
      <c r="K106" s="153"/>
      <c r="L106" s="153"/>
      <c r="M106" s="154"/>
      <c r="N106" s="152" t="s">
        <v>8384</v>
      </c>
    </row>
    <row r="107">
      <c r="A107" s="152" t="s">
        <v>8428</v>
      </c>
      <c r="B107" s="152" t="s">
        <v>8429</v>
      </c>
      <c r="C107" s="152">
        <v>5.0</v>
      </c>
      <c r="D107" s="153"/>
      <c r="E107" s="153"/>
      <c r="F107" s="153"/>
      <c r="G107" s="152" t="s">
        <v>8427</v>
      </c>
      <c r="H107" s="155" t="s">
        <v>8412</v>
      </c>
      <c r="I107" s="153"/>
      <c r="J107" s="153"/>
      <c r="K107" s="153"/>
      <c r="L107" s="153"/>
      <c r="M107" s="154"/>
      <c r="N107" s="152" t="s">
        <v>8384</v>
      </c>
    </row>
    <row r="108">
      <c r="A108" s="152" t="s">
        <v>8428</v>
      </c>
      <c r="B108" s="152" t="s">
        <v>8429</v>
      </c>
      <c r="C108" s="152">
        <v>5.0</v>
      </c>
      <c r="D108" s="153"/>
      <c r="E108" s="153"/>
      <c r="F108" s="153"/>
      <c r="G108" s="152" t="s">
        <v>8427</v>
      </c>
      <c r="H108" s="155" t="s">
        <v>8413</v>
      </c>
      <c r="I108" s="153"/>
      <c r="J108" s="153"/>
      <c r="K108" s="153"/>
      <c r="L108" s="153"/>
      <c r="M108" s="154"/>
      <c r="N108" s="152" t="s">
        <v>8384</v>
      </c>
    </row>
    <row r="109">
      <c r="A109" s="152" t="s">
        <v>8428</v>
      </c>
      <c r="B109" s="152" t="s">
        <v>8429</v>
      </c>
      <c r="C109" s="152">
        <v>5.0</v>
      </c>
      <c r="D109" s="153"/>
      <c r="E109" s="153"/>
      <c r="F109" s="153"/>
      <c r="G109" s="152" t="s">
        <v>8427</v>
      </c>
      <c r="H109" s="155" t="s">
        <v>8414</v>
      </c>
      <c r="I109" s="153"/>
      <c r="J109" s="153"/>
      <c r="K109" s="153"/>
      <c r="L109" s="153"/>
      <c r="M109" s="154"/>
      <c r="N109" s="152" t="s">
        <v>8384</v>
      </c>
    </row>
    <row r="110">
      <c r="A110" s="152" t="s">
        <v>8428</v>
      </c>
      <c r="B110" s="152" t="s">
        <v>8429</v>
      </c>
      <c r="C110" s="152">
        <v>5.0</v>
      </c>
      <c r="D110" s="153"/>
      <c r="E110" s="153"/>
      <c r="F110" s="153"/>
      <c r="G110" s="152" t="s">
        <v>8427</v>
      </c>
      <c r="H110" s="155" t="s">
        <v>8415</v>
      </c>
      <c r="I110" s="153"/>
      <c r="J110" s="153"/>
      <c r="K110" s="153"/>
      <c r="L110" s="153"/>
      <c r="M110" s="154"/>
      <c r="N110" s="152" t="s">
        <v>8384</v>
      </c>
    </row>
    <row r="111">
      <c r="A111" s="152" t="s">
        <v>8428</v>
      </c>
      <c r="B111" s="152" t="s">
        <v>8429</v>
      </c>
      <c r="C111" s="152">
        <v>5.0</v>
      </c>
      <c r="D111" s="153"/>
      <c r="E111" s="153"/>
      <c r="F111" s="153"/>
      <c r="G111" s="152" t="s">
        <v>8427</v>
      </c>
      <c r="H111" s="155" t="s">
        <v>8416</v>
      </c>
      <c r="I111" s="153"/>
      <c r="J111" s="153"/>
      <c r="K111" s="153"/>
      <c r="L111" s="153"/>
      <c r="M111" s="154"/>
      <c r="N111" s="152" t="s">
        <v>8384</v>
      </c>
    </row>
    <row r="112">
      <c r="A112" s="152" t="s">
        <v>8428</v>
      </c>
      <c r="B112" s="152" t="s">
        <v>8429</v>
      </c>
      <c r="C112" s="152">
        <v>6.0</v>
      </c>
      <c r="D112" s="153"/>
      <c r="E112" s="152">
        <v>5.0</v>
      </c>
      <c r="F112" s="153"/>
      <c r="G112" s="152" t="s">
        <v>8427</v>
      </c>
      <c r="H112" s="155" t="s">
        <v>8417</v>
      </c>
      <c r="I112" s="155" t="s">
        <v>6507</v>
      </c>
      <c r="J112" s="153"/>
      <c r="K112" s="153"/>
      <c r="L112" s="153"/>
      <c r="M112" s="154"/>
      <c r="N112" s="152" t="s">
        <v>8395</v>
      </c>
    </row>
    <row r="113">
      <c r="A113" s="152" t="s">
        <v>8428</v>
      </c>
      <c r="B113" s="152" t="s">
        <v>8429</v>
      </c>
      <c r="C113" s="152">
        <v>6.0</v>
      </c>
      <c r="D113" s="153"/>
      <c r="E113" s="152">
        <v>5.0</v>
      </c>
      <c r="F113" s="153"/>
      <c r="G113" s="152" t="s">
        <v>8427</v>
      </c>
      <c r="H113" s="155" t="s">
        <v>8418</v>
      </c>
      <c r="I113" s="155" t="s">
        <v>6492</v>
      </c>
      <c r="J113" s="153"/>
      <c r="K113" s="153"/>
      <c r="L113" s="153"/>
      <c r="M113" s="154"/>
      <c r="N113" s="152" t="s">
        <v>8395</v>
      </c>
    </row>
    <row r="114">
      <c r="A114" s="152" t="s">
        <v>8428</v>
      </c>
      <c r="B114" s="152" t="s">
        <v>8429</v>
      </c>
      <c r="C114" s="152">
        <v>6.0</v>
      </c>
      <c r="D114" s="153"/>
      <c r="E114" s="152">
        <v>5.0</v>
      </c>
      <c r="F114" s="153"/>
      <c r="G114" s="152" t="s">
        <v>8427</v>
      </c>
      <c r="H114" s="155" t="s">
        <v>8419</v>
      </c>
      <c r="I114" s="155" t="s">
        <v>6978</v>
      </c>
      <c r="J114" s="153"/>
      <c r="K114" s="153"/>
      <c r="L114" s="153"/>
      <c r="M114" s="154"/>
      <c r="N114" s="152" t="s">
        <v>8395</v>
      </c>
    </row>
    <row r="115">
      <c r="A115" s="152" t="s">
        <v>8428</v>
      </c>
      <c r="B115" s="152" t="s">
        <v>8429</v>
      </c>
      <c r="C115" s="152">
        <v>6.0</v>
      </c>
      <c r="D115" s="153"/>
      <c r="E115" s="152">
        <v>5.0</v>
      </c>
      <c r="F115" s="153"/>
      <c r="G115" s="152" t="s">
        <v>8427</v>
      </c>
      <c r="H115" s="155" t="s">
        <v>8420</v>
      </c>
      <c r="I115" s="155" t="s">
        <v>6936</v>
      </c>
      <c r="J115" s="153"/>
      <c r="K115" s="153"/>
      <c r="L115" s="153"/>
      <c r="M115" s="154"/>
      <c r="N115" s="152" t="s">
        <v>8395</v>
      </c>
    </row>
    <row r="116">
      <c r="A116" s="152" t="s">
        <v>8428</v>
      </c>
      <c r="B116" s="152" t="s">
        <v>8429</v>
      </c>
      <c r="C116" s="152">
        <v>6.0</v>
      </c>
      <c r="D116" s="153"/>
      <c r="E116" s="152">
        <v>5.0</v>
      </c>
      <c r="F116" s="153"/>
      <c r="G116" s="152" t="s">
        <v>8427</v>
      </c>
      <c r="H116" s="155" t="s">
        <v>8421</v>
      </c>
      <c r="I116" s="155" t="s">
        <v>6620</v>
      </c>
      <c r="J116" s="153"/>
      <c r="K116" s="153"/>
      <c r="L116" s="153"/>
      <c r="M116" s="154"/>
      <c r="N116" s="152" t="s">
        <v>8395</v>
      </c>
    </row>
    <row r="117">
      <c r="A117" s="152" t="s">
        <v>8428</v>
      </c>
      <c r="B117" s="152" t="s">
        <v>8429</v>
      </c>
      <c r="C117" s="152">
        <v>6.0</v>
      </c>
      <c r="D117" s="153"/>
      <c r="E117" s="152">
        <v>5.0</v>
      </c>
      <c r="F117" s="153"/>
      <c r="G117" s="152" t="s">
        <v>8427</v>
      </c>
      <c r="H117" s="155" t="s">
        <v>8422</v>
      </c>
      <c r="I117" s="155" t="s">
        <v>6563</v>
      </c>
      <c r="J117" s="153"/>
      <c r="K117" s="153"/>
      <c r="L117" s="153"/>
      <c r="M117" s="154"/>
      <c r="N117" s="152" t="s">
        <v>8395</v>
      </c>
    </row>
    <row r="118">
      <c r="A118" s="152" t="s">
        <v>8428</v>
      </c>
      <c r="B118" s="152" t="s">
        <v>8429</v>
      </c>
      <c r="C118" s="152">
        <v>6.0</v>
      </c>
      <c r="D118" s="153"/>
      <c r="E118" s="152">
        <v>5.0</v>
      </c>
      <c r="F118" s="153"/>
      <c r="G118" s="152" t="s">
        <v>8427</v>
      </c>
      <c r="H118" s="155" t="s">
        <v>8423</v>
      </c>
      <c r="I118" s="155" t="s">
        <v>6701</v>
      </c>
      <c r="J118" s="153"/>
      <c r="K118" s="153"/>
      <c r="L118" s="153"/>
      <c r="M118" s="154"/>
      <c r="N118" s="152" t="s">
        <v>8395</v>
      </c>
    </row>
    <row r="119">
      <c r="A119" s="152" t="s">
        <v>8428</v>
      </c>
      <c r="B119" s="152" t="s">
        <v>8429</v>
      </c>
      <c r="C119" s="152">
        <v>6.0</v>
      </c>
      <c r="D119" s="153"/>
      <c r="E119" s="152">
        <v>5.0</v>
      </c>
      <c r="F119" s="153"/>
      <c r="G119" s="152" t="s">
        <v>8427</v>
      </c>
      <c r="H119" s="155" t="s">
        <v>8424</v>
      </c>
      <c r="I119" s="155" t="s">
        <v>6684</v>
      </c>
      <c r="J119" s="153"/>
      <c r="K119" s="153"/>
      <c r="L119" s="153"/>
      <c r="M119" s="154"/>
      <c r="N119" s="152" t="s">
        <v>8395</v>
      </c>
    </row>
    <row r="120">
      <c r="A120" s="152" t="s">
        <v>8428</v>
      </c>
      <c r="B120" s="152" t="s">
        <v>8429</v>
      </c>
      <c r="C120" s="152">
        <v>6.0</v>
      </c>
      <c r="D120" s="153"/>
      <c r="E120" s="152">
        <v>5.0</v>
      </c>
      <c r="F120" s="153"/>
      <c r="G120" s="152" t="s">
        <v>8427</v>
      </c>
      <c r="H120" s="155" t="s">
        <v>8425</v>
      </c>
      <c r="I120" s="155" t="s">
        <v>7039</v>
      </c>
      <c r="J120" s="153"/>
      <c r="K120" s="153"/>
      <c r="L120" s="153"/>
      <c r="M120" s="154"/>
      <c r="N120" s="152" t="s">
        <v>8395</v>
      </c>
    </row>
    <row r="121">
      <c r="A121" s="152" t="s">
        <v>8428</v>
      </c>
      <c r="B121" s="152" t="s">
        <v>8429</v>
      </c>
      <c r="C121" s="152">
        <v>6.0</v>
      </c>
      <c r="D121" s="153"/>
      <c r="E121" s="152">
        <v>5.0</v>
      </c>
      <c r="F121" s="153"/>
      <c r="G121" s="152" t="s">
        <v>8427</v>
      </c>
      <c r="H121" s="155" t="s">
        <v>8426</v>
      </c>
      <c r="I121" s="155" t="s">
        <v>7023</v>
      </c>
      <c r="J121" s="153"/>
      <c r="K121" s="153"/>
      <c r="L121" s="153"/>
      <c r="M121" s="154"/>
      <c r="N121" s="152" t="s">
        <v>8395</v>
      </c>
    </row>
    <row r="122">
      <c r="A122" s="152" t="s">
        <v>8430</v>
      </c>
      <c r="B122" s="152" t="s">
        <v>8431</v>
      </c>
      <c r="C122" s="152">
        <v>1.0</v>
      </c>
      <c r="D122" s="153"/>
      <c r="E122" s="153"/>
      <c r="F122" s="153"/>
      <c r="G122" s="152" t="s">
        <v>8382</v>
      </c>
      <c r="H122" s="152" t="s">
        <v>8383</v>
      </c>
      <c r="I122" s="153"/>
      <c r="J122" s="152" t="s">
        <v>23</v>
      </c>
      <c r="K122" s="152">
        <v>2069.0</v>
      </c>
      <c r="L122" s="153"/>
      <c r="M122" s="154"/>
      <c r="N122" s="152" t="s">
        <v>8384</v>
      </c>
    </row>
    <row r="123">
      <c r="A123" s="152" t="s">
        <v>8430</v>
      </c>
      <c r="B123" s="152" t="s">
        <v>8431</v>
      </c>
      <c r="C123" s="152">
        <v>1.0</v>
      </c>
      <c r="D123" s="153"/>
      <c r="E123" s="153"/>
      <c r="F123" s="153"/>
      <c r="G123" s="152" t="s">
        <v>8382</v>
      </c>
      <c r="H123" s="152" t="s">
        <v>8385</v>
      </c>
      <c r="I123" s="153"/>
      <c r="J123" s="152" t="s">
        <v>23</v>
      </c>
      <c r="K123" s="152">
        <v>2229.0</v>
      </c>
      <c r="L123" s="153"/>
      <c r="M123" s="154"/>
      <c r="N123" s="152" t="s">
        <v>8384</v>
      </c>
    </row>
    <row r="124">
      <c r="A124" s="152" t="s">
        <v>8430</v>
      </c>
      <c r="B124" s="152" t="s">
        <v>8431</v>
      </c>
      <c r="C124" s="152">
        <v>1.0</v>
      </c>
      <c r="D124" s="153"/>
      <c r="E124" s="153"/>
      <c r="F124" s="153"/>
      <c r="G124" s="152" t="s">
        <v>8382</v>
      </c>
      <c r="H124" s="152" t="s">
        <v>8386</v>
      </c>
      <c r="I124" s="153"/>
      <c r="J124" s="152" t="s">
        <v>23</v>
      </c>
      <c r="K124" s="152">
        <v>2229.0</v>
      </c>
      <c r="L124" s="153"/>
      <c r="M124" s="154"/>
      <c r="N124" s="152" t="s">
        <v>8384</v>
      </c>
    </row>
    <row r="125">
      <c r="A125" s="152" t="s">
        <v>8430</v>
      </c>
      <c r="B125" s="152" t="s">
        <v>8431</v>
      </c>
      <c r="C125" s="152">
        <v>1.0</v>
      </c>
      <c r="D125" s="153"/>
      <c r="E125" s="153"/>
      <c r="F125" s="153"/>
      <c r="G125" s="152" t="s">
        <v>8382</v>
      </c>
      <c r="H125" s="152" t="s">
        <v>8387</v>
      </c>
      <c r="I125" s="153"/>
      <c r="J125" s="152" t="s">
        <v>23</v>
      </c>
      <c r="K125" s="152">
        <v>2229.0</v>
      </c>
      <c r="L125" s="153"/>
      <c r="M125" s="154"/>
      <c r="N125" s="152" t="s">
        <v>8384</v>
      </c>
    </row>
    <row r="126">
      <c r="A126" s="152" t="s">
        <v>8430</v>
      </c>
      <c r="B126" s="152" t="s">
        <v>8431</v>
      </c>
      <c r="C126" s="152">
        <v>1.0</v>
      </c>
      <c r="D126" s="153"/>
      <c r="E126" s="153"/>
      <c r="F126" s="153"/>
      <c r="G126" s="152" t="s">
        <v>8382</v>
      </c>
      <c r="H126" s="152" t="s">
        <v>8388</v>
      </c>
      <c r="I126" s="153"/>
      <c r="J126" s="152" t="s">
        <v>23</v>
      </c>
      <c r="K126" s="152">
        <v>2229.0</v>
      </c>
      <c r="L126" s="153"/>
      <c r="M126" s="154"/>
      <c r="N126" s="152" t="s">
        <v>8384</v>
      </c>
    </row>
    <row r="127">
      <c r="A127" s="152" t="s">
        <v>8430</v>
      </c>
      <c r="B127" s="152" t="s">
        <v>8431</v>
      </c>
      <c r="C127" s="152">
        <v>1.0</v>
      </c>
      <c r="D127" s="153"/>
      <c r="E127" s="153"/>
      <c r="F127" s="153"/>
      <c r="G127" s="152" t="s">
        <v>8382</v>
      </c>
      <c r="H127" s="152" t="s">
        <v>8389</v>
      </c>
      <c r="I127" s="153"/>
      <c r="J127" s="152" t="s">
        <v>23</v>
      </c>
      <c r="K127" s="152">
        <v>2559.0</v>
      </c>
      <c r="L127" s="153"/>
      <c r="M127" s="154"/>
      <c r="N127" s="152" t="s">
        <v>8384</v>
      </c>
    </row>
    <row r="128">
      <c r="A128" s="152" t="s">
        <v>8430</v>
      </c>
      <c r="B128" s="152" t="s">
        <v>8431</v>
      </c>
      <c r="C128" s="152">
        <v>1.0</v>
      </c>
      <c r="D128" s="153"/>
      <c r="E128" s="153"/>
      <c r="F128" s="153"/>
      <c r="G128" s="152" t="s">
        <v>8382</v>
      </c>
      <c r="H128" s="152" t="s">
        <v>5767</v>
      </c>
      <c r="I128" s="153"/>
      <c r="J128" s="152" t="s">
        <v>23</v>
      </c>
      <c r="K128" s="152">
        <v>2559.0</v>
      </c>
      <c r="L128" s="153"/>
      <c r="M128" s="154"/>
      <c r="N128" s="152" t="s">
        <v>8384</v>
      </c>
    </row>
    <row r="129">
      <c r="A129" s="152" t="s">
        <v>8430</v>
      </c>
      <c r="B129" s="152" t="s">
        <v>8431</v>
      </c>
      <c r="C129" s="152">
        <v>1.0</v>
      </c>
      <c r="D129" s="153"/>
      <c r="E129" s="153"/>
      <c r="F129" s="153"/>
      <c r="G129" s="152" t="s">
        <v>8382</v>
      </c>
      <c r="H129" s="152" t="s">
        <v>8390</v>
      </c>
      <c r="I129" s="153"/>
      <c r="J129" s="152" t="s">
        <v>23</v>
      </c>
      <c r="K129" s="152">
        <v>2559.0</v>
      </c>
      <c r="L129" s="153"/>
      <c r="M129" s="154"/>
      <c r="N129" s="152" t="s">
        <v>8384</v>
      </c>
    </row>
    <row r="130">
      <c r="A130" s="152" t="s">
        <v>8430</v>
      </c>
      <c r="B130" s="152" t="s">
        <v>8431</v>
      </c>
      <c r="C130" s="152">
        <v>1.0</v>
      </c>
      <c r="D130" s="153"/>
      <c r="E130" s="153"/>
      <c r="F130" s="153"/>
      <c r="G130" s="152" t="s">
        <v>8382</v>
      </c>
      <c r="H130" s="152" t="s">
        <v>8391</v>
      </c>
      <c r="I130" s="153"/>
      <c r="J130" s="152" t="s">
        <v>23</v>
      </c>
      <c r="K130" s="152">
        <v>2559.0</v>
      </c>
      <c r="L130" s="153"/>
      <c r="M130" s="154"/>
      <c r="N130" s="152" t="s">
        <v>8384</v>
      </c>
    </row>
    <row r="131">
      <c r="A131" s="152" t="s">
        <v>8430</v>
      </c>
      <c r="B131" s="152" t="s">
        <v>8431</v>
      </c>
      <c r="C131" s="152">
        <v>1.0</v>
      </c>
      <c r="D131" s="153"/>
      <c r="E131" s="153"/>
      <c r="F131" s="153"/>
      <c r="G131" s="152" t="s">
        <v>8382</v>
      </c>
      <c r="H131" s="152" t="s">
        <v>8392</v>
      </c>
      <c r="I131" s="153"/>
      <c r="J131" s="152" t="s">
        <v>23</v>
      </c>
      <c r="K131" s="152">
        <v>2559.0</v>
      </c>
      <c r="L131" s="153"/>
      <c r="M131" s="154"/>
      <c r="N131" s="152" t="s">
        <v>8384</v>
      </c>
    </row>
    <row r="132">
      <c r="A132" s="152" t="s">
        <v>8430</v>
      </c>
      <c r="B132" s="152" t="s">
        <v>8431</v>
      </c>
      <c r="C132" s="152">
        <v>2.0</v>
      </c>
      <c r="D132" s="153"/>
      <c r="E132" s="152">
        <v>1.0</v>
      </c>
      <c r="F132" s="153"/>
      <c r="G132" s="152" t="s">
        <v>8393</v>
      </c>
      <c r="H132" s="152" t="s">
        <v>8394</v>
      </c>
      <c r="I132" s="152" t="s">
        <v>6862</v>
      </c>
      <c r="J132" s="153"/>
      <c r="K132" s="153"/>
      <c r="L132" s="153"/>
      <c r="M132" s="154"/>
      <c r="N132" s="152" t="s">
        <v>8395</v>
      </c>
    </row>
    <row r="133">
      <c r="A133" s="152" t="s">
        <v>8430</v>
      </c>
      <c r="B133" s="152" t="s">
        <v>8431</v>
      </c>
      <c r="C133" s="152">
        <v>2.0</v>
      </c>
      <c r="D133" s="153"/>
      <c r="E133" s="152">
        <v>1.0</v>
      </c>
      <c r="F133" s="153"/>
      <c r="G133" s="152" t="s">
        <v>8393</v>
      </c>
      <c r="H133" s="152" t="s">
        <v>8396</v>
      </c>
      <c r="I133" s="152" t="s">
        <v>6893</v>
      </c>
      <c r="J133" s="153"/>
      <c r="K133" s="153"/>
      <c r="L133" s="153"/>
      <c r="M133" s="154"/>
      <c r="N133" s="152" t="s">
        <v>8395</v>
      </c>
    </row>
    <row r="134">
      <c r="A134" s="152" t="s">
        <v>8430</v>
      </c>
      <c r="B134" s="152" t="s">
        <v>8431</v>
      </c>
      <c r="C134" s="152">
        <v>2.0</v>
      </c>
      <c r="D134" s="153"/>
      <c r="E134" s="152">
        <v>1.0</v>
      </c>
      <c r="F134" s="153"/>
      <c r="G134" s="152" t="s">
        <v>8393</v>
      </c>
      <c r="H134" s="152" t="s">
        <v>8397</v>
      </c>
      <c r="I134" s="152" t="s">
        <v>6796</v>
      </c>
      <c r="J134" s="153"/>
      <c r="K134" s="153"/>
      <c r="L134" s="153"/>
      <c r="M134" s="154"/>
      <c r="N134" s="152" t="s">
        <v>8395</v>
      </c>
    </row>
    <row r="135">
      <c r="A135" s="152" t="s">
        <v>8430</v>
      </c>
      <c r="B135" s="152" t="s">
        <v>8431</v>
      </c>
      <c r="C135" s="152">
        <v>2.0</v>
      </c>
      <c r="D135" s="153"/>
      <c r="E135" s="152">
        <v>1.0</v>
      </c>
      <c r="F135" s="153"/>
      <c r="G135" s="152" t="s">
        <v>8393</v>
      </c>
      <c r="H135" s="152" t="s">
        <v>8398</v>
      </c>
      <c r="I135" s="152" t="s">
        <v>6726</v>
      </c>
      <c r="J135" s="153"/>
      <c r="K135" s="153"/>
      <c r="L135" s="153"/>
      <c r="M135" s="154"/>
      <c r="N135" s="152" t="s">
        <v>8395</v>
      </c>
    </row>
    <row r="136">
      <c r="A136" s="152" t="s">
        <v>8430</v>
      </c>
      <c r="B136" s="152" t="s">
        <v>8431</v>
      </c>
      <c r="C136" s="152">
        <v>2.0</v>
      </c>
      <c r="D136" s="153"/>
      <c r="E136" s="152">
        <v>1.0</v>
      </c>
      <c r="F136" s="153"/>
      <c r="G136" s="152" t="s">
        <v>8393</v>
      </c>
      <c r="H136" s="152" t="s">
        <v>8399</v>
      </c>
      <c r="I136" s="152" t="s">
        <v>6924</v>
      </c>
      <c r="J136" s="153"/>
      <c r="K136" s="153"/>
      <c r="L136" s="153"/>
      <c r="M136" s="154"/>
      <c r="N136" s="152" t="s">
        <v>8395</v>
      </c>
    </row>
    <row r="137">
      <c r="A137" s="152" t="s">
        <v>8430</v>
      </c>
      <c r="B137" s="152" t="s">
        <v>8431</v>
      </c>
      <c r="C137" s="152">
        <v>2.0</v>
      </c>
      <c r="D137" s="153"/>
      <c r="E137" s="152">
        <v>1.0</v>
      </c>
      <c r="F137" s="153"/>
      <c r="G137" s="152" t="s">
        <v>8393</v>
      </c>
      <c r="H137" s="152" t="s">
        <v>8400</v>
      </c>
      <c r="I137" s="152" t="s">
        <v>6893</v>
      </c>
      <c r="J137" s="153"/>
      <c r="K137" s="153"/>
      <c r="L137" s="153"/>
      <c r="M137" s="154"/>
      <c r="N137" s="152" t="s">
        <v>8395</v>
      </c>
    </row>
    <row r="138">
      <c r="A138" s="152" t="s">
        <v>8430</v>
      </c>
      <c r="B138" s="152" t="s">
        <v>8431</v>
      </c>
      <c r="C138" s="152">
        <v>2.0</v>
      </c>
      <c r="D138" s="153"/>
      <c r="E138" s="152">
        <v>1.0</v>
      </c>
      <c r="F138" s="153"/>
      <c r="G138" s="152" t="s">
        <v>8393</v>
      </c>
      <c r="H138" s="152" t="s">
        <v>8401</v>
      </c>
      <c r="I138" s="152" t="s">
        <v>6796</v>
      </c>
      <c r="J138" s="153"/>
      <c r="K138" s="153"/>
      <c r="L138" s="153"/>
      <c r="M138" s="154"/>
      <c r="N138" s="152" t="s">
        <v>8395</v>
      </c>
    </row>
    <row r="139">
      <c r="A139" s="152" t="s">
        <v>8430</v>
      </c>
      <c r="B139" s="152" t="s">
        <v>8431</v>
      </c>
      <c r="C139" s="152">
        <v>2.0</v>
      </c>
      <c r="D139" s="153"/>
      <c r="E139" s="152">
        <v>1.0</v>
      </c>
      <c r="F139" s="153"/>
      <c r="G139" s="152" t="s">
        <v>8393</v>
      </c>
      <c r="H139" s="152" t="s">
        <v>8402</v>
      </c>
      <c r="I139" s="152" t="s">
        <v>6831</v>
      </c>
      <c r="J139" s="153"/>
      <c r="K139" s="153"/>
      <c r="L139" s="153"/>
      <c r="M139" s="154"/>
      <c r="N139" s="152" t="s">
        <v>8395</v>
      </c>
    </row>
    <row r="140">
      <c r="A140" s="152" t="s">
        <v>8430</v>
      </c>
      <c r="B140" s="152" t="s">
        <v>8431</v>
      </c>
      <c r="C140" s="152">
        <v>2.0</v>
      </c>
      <c r="D140" s="153"/>
      <c r="E140" s="152">
        <v>1.0</v>
      </c>
      <c r="F140" s="153"/>
      <c r="G140" s="152" t="s">
        <v>8393</v>
      </c>
      <c r="H140" s="152" t="s">
        <v>8403</v>
      </c>
      <c r="I140" s="152" t="s">
        <v>6836</v>
      </c>
      <c r="J140" s="153"/>
      <c r="K140" s="153"/>
      <c r="L140" s="153"/>
      <c r="M140" s="154"/>
      <c r="N140" s="152" t="s">
        <v>8395</v>
      </c>
    </row>
    <row r="141">
      <c r="A141" s="152" t="s">
        <v>8430</v>
      </c>
      <c r="B141" s="152" t="s">
        <v>8431</v>
      </c>
      <c r="C141" s="152">
        <v>2.0</v>
      </c>
      <c r="D141" s="153"/>
      <c r="E141" s="152">
        <v>1.0</v>
      </c>
      <c r="F141" s="153"/>
      <c r="G141" s="152" t="s">
        <v>8393</v>
      </c>
      <c r="H141" s="152" t="s">
        <v>8404</v>
      </c>
      <c r="I141" s="152" t="s">
        <v>8405</v>
      </c>
      <c r="J141" s="153"/>
      <c r="K141" s="153"/>
      <c r="L141" s="153"/>
      <c r="M141" s="154"/>
      <c r="N141" s="152" t="s">
        <v>8395</v>
      </c>
    </row>
    <row r="142">
      <c r="A142" s="152" t="s">
        <v>8430</v>
      </c>
      <c r="B142" s="152" t="s">
        <v>8431</v>
      </c>
      <c r="C142" s="152">
        <v>3.0</v>
      </c>
      <c r="D142" s="153"/>
      <c r="E142" s="153"/>
      <c r="F142" s="153"/>
      <c r="G142" s="152" t="s">
        <v>8406</v>
      </c>
      <c r="H142" s="155" t="s">
        <v>8407</v>
      </c>
      <c r="I142" s="153"/>
      <c r="J142" s="156"/>
      <c r="K142" s="156"/>
      <c r="L142" s="156"/>
      <c r="M142" s="157"/>
      <c r="N142" s="152" t="s">
        <v>8384</v>
      </c>
    </row>
    <row r="143">
      <c r="A143" s="152" t="s">
        <v>8430</v>
      </c>
      <c r="B143" s="152" t="s">
        <v>8431</v>
      </c>
      <c r="C143" s="152">
        <v>3.0</v>
      </c>
      <c r="D143" s="153"/>
      <c r="E143" s="153"/>
      <c r="F143" s="153"/>
      <c r="G143" s="152" t="s">
        <v>8406</v>
      </c>
      <c r="H143" s="155" t="s">
        <v>8408</v>
      </c>
      <c r="I143" s="153"/>
      <c r="J143" s="156"/>
      <c r="K143" s="156"/>
      <c r="L143" s="156"/>
      <c r="M143" s="157"/>
      <c r="N143" s="152" t="s">
        <v>8384</v>
      </c>
    </row>
    <row r="144">
      <c r="A144" s="152" t="s">
        <v>8430</v>
      </c>
      <c r="B144" s="152" t="s">
        <v>8431</v>
      </c>
      <c r="C144" s="152">
        <v>3.0</v>
      </c>
      <c r="D144" s="153"/>
      <c r="E144" s="153"/>
      <c r="F144" s="153"/>
      <c r="G144" s="152" t="s">
        <v>8406</v>
      </c>
      <c r="H144" s="155" t="s">
        <v>8409</v>
      </c>
      <c r="I144" s="153"/>
      <c r="J144" s="156"/>
      <c r="K144" s="156"/>
      <c r="L144" s="156"/>
      <c r="M144" s="157"/>
      <c r="N144" s="152" t="s">
        <v>8384</v>
      </c>
    </row>
    <row r="145">
      <c r="A145" s="152" t="s">
        <v>8430</v>
      </c>
      <c r="B145" s="152" t="s">
        <v>8431</v>
      </c>
      <c r="C145" s="152">
        <v>3.0</v>
      </c>
      <c r="D145" s="153"/>
      <c r="E145" s="153"/>
      <c r="F145" s="153"/>
      <c r="G145" s="152" t="s">
        <v>8406</v>
      </c>
      <c r="H145" s="155" t="s">
        <v>8410</v>
      </c>
      <c r="I145" s="153"/>
      <c r="J145" s="156"/>
      <c r="K145" s="156"/>
      <c r="L145" s="156"/>
      <c r="M145" s="157"/>
      <c r="N145" s="152" t="s">
        <v>8384</v>
      </c>
    </row>
    <row r="146">
      <c r="A146" s="152" t="s">
        <v>8430</v>
      </c>
      <c r="B146" s="152" t="s">
        <v>8431</v>
      </c>
      <c r="C146" s="152">
        <v>3.0</v>
      </c>
      <c r="D146" s="153"/>
      <c r="E146" s="153"/>
      <c r="F146" s="153"/>
      <c r="G146" s="152" t="s">
        <v>8406</v>
      </c>
      <c r="H146" s="155" t="s">
        <v>8411</v>
      </c>
      <c r="I146" s="153"/>
      <c r="J146" s="156"/>
      <c r="K146" s="156"/>
      <c r="L146" s="156"/>
      <c r="M146" s="157"/>
      <c r="N146" s="152" t="s">
        <v>8384</v>
      </c>
    </row>
    <row r="147">
      <c r="A147" s="152" t="s">
        <v>8430</v>
      </c>
      <c r="B147" s="152" t="s">
        <v>8431</v>
      </c>
      <c r="C147" s="152">
        <v>3.0</v>
      </c>
      <c r="D147" s="153"/>
      <c r="E147" s="153"/>
      <c r="F147" s="153"/>
      <c r="G147" s="152" t="s">
        <v>8406</v>
      </c>
      <c r="H147" s="155" t="s">
        <v>8412</v>
      </c>
      <c r="I147" s="153"/>
      <c r="J147" s="156"/>
      <c r="K147" s="156"/>
      <c r="L147" s="156"/>
      <c r="M147" s="157"/>
      <c r="N147" s="152" t="s">
        <v>8384</v>
      </c>
    </row>
    <row r="148">
      <c r="A148" s="152" t="s">
        <v>8430</v>
      </c>
      <c r="B148" s="152" t="s">
        <v>8431</v>
      </c>
      <c r="C148" s="152">
        <v>3.0</v>
      </c>
      <c r="D148" s="153"/>
      <c r="E148" s="153"/>
      <c r="F148" s="153"/>
      <c r="G148" s="152" t="s">
        <v>8406</v>
      </c>
      <c r="H148" s="155" t="s">
        <v>8413</v>
      </c>
      <c r="I148" s="153"/>
      <c r="J148" s="156"/>
      <c r="K148" s="156"/>
      <c r="L148" s="156"/>
      <c r="M148" s="157"/>
      <c r="N148" s="152" t="s">
        <v>8384</v>
      </c>
    </row>
    <row r="149">
      <c r="A149" s="152" t="s">
        <v>8430</v>
      </c>
      <c r="B149" s="152" t="s">
        <v>8431</v>
      </c>
      <c r="C149" s="152">
        <v>3.0</v>
      </c>
      <c r="D149" s="153"/>
      <c r="E149" s="153"/>
      <c r="F149" s="153"/>
      <c r="G149" s="152" t="s">
        <v>8406</v>
      </c>
      <c r="H149" s="155" t="s">
        <v>8414</v>
      </c>
      <c r="I149" s="153"/>
      <c r="J149" s="156"/>
      <c r="K149" s="156"/>
      <c r="L149" s="156"/>
      <c r="M149" s="157"/>
      <c r="N149" s="152" t="s">
        <v>8384</v>
      </c>
    </row>
    <row r="150">
      <c r="A150" s="152" t="s">
        <v>8430</v>
      </c>
      <c r="B150" s="152" t="s">
        <v>8431</v>
      </c>
      <c r="C150" s="152">
        <v>3.0</v>
      </c>
      <c r="D150" s="153"/>
      <c r="E150" s="153"/>
      <c r="F150" s="153"/>
      <c r="G150" s="152" t="s">
        <v>8406</v>
      </c>
      <c r="H150" s="155" t="s">
        <v>8415</v>
      </c>
      <c r="I150" s="153"/>
      <c r="J150" s="156"/>
      <c r="K150" s="156"/>
      <c r="L150" s="156"/>
      <c r="M150" s="157"/>
      <c r="N150" s="152" t="s">
        <v>8384</v>
      </c>
    </row>
    <row r="151">
      <c r="A151" s="152" t="s">
        <v>8430</v>
      </c>
      <c r="B151" s="152" t="s">
        <v>8431</v>
      </c>
      <c r="C151" s="152">
        <v>3.0</v>
      </c>
      <c r="D151" s="153"/>
      <c r="E151" s="153"/>
      <c r="F151" s="153"/>
      <c r="G151" s="152" t="s">
        <v>8406</v>
      </c>
      <c r="H151" s="155" t="s">
        <v>8416</v>
      </c>
      <c r="I151" s="153"/>
      <c r="J151" s="156"/>
      <c r="K151" s="156"/>
      <c r="L151" s="156"/>
      <c r="M151" s="157"/>
      <c r="N151" s="152" t="s">
        <v>8384</v>
      </c>
    </row>
    <row r="152">
      <c r="A152" s="152" t="s">
        <v>8430</v>
      </c>
      <c r="B152" s="152" t="s">
        <v>8431</v>
      </c>
      <c r="C152" s="152">
        <v>4.0</v>
      </c>
      <c r="D152" s="153"/>
      <c r="E152" s="152">
        <v>3.0</v>
      </c>
      <c r="F152" s="153"/>
      <c r="G152" s="152" t="s">
        <v>8406</v>
      </c>
      <c r="H152" s="155" t="s">
        <v>8417</v>
      </c>
      <c r="I152" s="155" t="s">
        <v>6507</v>
      </c>
      <c r="J152" s="156"/>
      <c r="K152" s="156"/>
      <c r="L152" s="156"/>
      <c r="M152" s="157"/>
      <c r="N152" s="152" t="s">
        <v>8395</v>
      </c>
    </row>
    <row r="153">
      <c r="A153" s="152" t="s">
        <v>8430</v>
      </c>
      <c r="B153" s="152" t="s">
        <v>8431</v>
      </c>
      <c r="C153" s="152">
        <v>4.0</v>
      </c>
      <c r="D153" s="153"/>
      <c r="E153" s="152">
        <v>3.0</v>
      </c>
      <c r="F153" s="153"/>
      <c r="G153" s="152" t="s">
        <v>8406</v>
      </c>
      <c r="H153" s="155" t="s">
        <v>8418</v>
      </c>
      <c r="I153" s="155" t="s">
        <v>6492</v>
      </c>
      <c r="J153" s="156"/>
      <c r="K153" s="156"/>
      <c r="L153" s="156"/>
      <c r="M153" s="157"/>
      <c r="N153" s="152" t="s">
        <v>8395</v>
      </c>
    </row>
    <row r="154">
      <c r="A154" s="152" t="s">
        <v>8430</v>
      </c>
      <c r="B154" s="152" t="s">
        <v>8431</v>
      </c>
      <c r="C154" s="152">
        <v>4.0</v>
      </c>
      <c r="D154" s="153"/>
      <c r="E154" s="152">
        <v>3.0</v>
      </c>
      <c r="F154" s="153"/>
      <c r="G154" s="152" t="s">
        <v>8406</v>
      </c>
      <c r="H154" s="155" t="s">
        <v>8419</v>
      </c>
      <c r="I154" s="155" t="s">
        <v>6978</v>
      </c>
      <c r="J154" s="156"/>
      <c r="K154" s="156"/>
      <c r="L154" s="156"/>
      <c r="M154" s="157"/>
      <c r="N154" s="152" t="s">
        <v>8395</v>
      </c>
    </row>
    <row r="155">
      <c r="A155" s="152" t="s">
        <v>8430</v>
      </c>
      <c r="B155" s="152" t="s">
        <v>8431</v>
      </c>
      <c r="C155" s="152">
        <v>4.0</v>
      </c>
      <c r="D155" s="153"/>
      <c r="E155" s="152">
        <v>3.0</v>
      </c>
      <c r="F155" s="153"/>
      <c r="G155" s="152" t="s">
        <v>8406</v>
      </c>
      <c r="H155" s="155" t="s">
        <v>8420</v>
      </c>
      <c r="I155" s="155" t="s">
        <v>6936</v>
      </c>
      <c r="J155" s="156"/>
      <c r="K155" s="156"/>
      <c r="L155" s="156"/>
      <c r="M155" s="157"/>
      <c r="N155" s="152" t="s">
        <v>8395</v>
      </c>
    </row>
    <row r="156">
      <c r="A156" s="152" t="s">
        <v>8430</v>
      </c>
      <c r="B156" s="152" t="s">
        <v>8431</v>
      </c>
      <c r="C156" s="152">
        <v>4.0</v>
      </c>
      <c r="D156" s="153"/>
      <c r="E156" s="152">
        <v>3.0</v>
      </c>
      <c r="F156" s="153"/>
      <c r="G156" s="152" t="s">
        <v>8406</v>
      </c>
      <c r="H156" s="155" t="s">
        <v>8421</v>
      </c>
      <c r="I156" s="155" t="s">
        <v>6620</v>
      </c>
      <c r="J156" s="156"/>
      <c r="K156" s="156"/>
      <c r="L156" s="156"/>
      <c r="M156" s="157"/>
      <c r="N156" s="152" t="s">
        <v>8395</v>
      </c>
    </row>
    <row r="157">
      <c r="A157" s="152" t="s">
        <v>8430</v>
      </c>
      <c r="B157" s="152" t="s">
        <v>8431</v>
      </c>
      <c r="C157" s="152">
        <v>4.0</v>
      </c>
      <c r="D157" s="153"/>
      <c r="E157" s="152">
        <v>3.0</v>
      </c>
      <c r="F157" s="153"/>
      <c r="G157" s="152" t="s">
        <v>8406</v>
      </c>
      <c r="H157" s="155" t="s">
        <v>8422</v>
      </c>
      <c r="I157" s="155" t="s">
        <v>6563</v>
      </c>
      <c r="J157" s="156"/>
      <c r="K157" s="156"/>
      <c r="L157" s="156"/>
      <c r="M157" s="157"/>
      <c r="N157" s="152" t="s">
        <v>8395</v>
      </c>
    </row>
    <row r="158">
      <c r="A158" s="152" t="s">
        <v>8430</v>
      </c>
      <c r="B158" s="152" t="s">
        <v>8431</v>
      </c>
      <c r="C158" s="152">
        <v>4.0</v>
      </c>
      <c r="D158" s="153"/>
      <c r="E158" s="152">
        <v>3.0</v>
      </c>
      <c r="F158" s="153"/>
      <c r="G158" s="152" t="s">
        <v>8406</v>
      </c>
      <c r="H158" s="155" t="s">
        <v>8423</v>
      </c>
      <c r="I158" s="155" t="s">
        <v>6701</v>
      </c>
      <c r="J158" s="156"/>
      <c r="K158" s="156"/>
      <c r="L158" s="156"/>
      <c r="M158" s="157"/>
      <c r="N158" s="152" t="s">
        <v>8395</v>
      </c>
    </row>
    <row r="159">
      <c r="A159" s="152" t="s">
        <v>8430</v>
      </c>
      <c r="B159" s="152" t="s">
        <v>8431</v>
      </c>
      <c r="C159" s="152">
        <v>4.0</v>
      </c>
      <c r="D159" s="153"/>
      <c r="E159" s="152">
        <v>3.0</v>
      </c>
      <c r="F159" s="153"/>
      <c r="G159" s="152" t="s">
        <v>8406</v>
      </c>
      <c r="H159" s="155" t="s">
        <v>8424</v>
      </c>
      <c r="I159" s="155" t="s">
        <v>6684</v>
      </c>
      <c r="J159" s="156"/>
      <c r="K159" s="156"/>
      <c r="L159" s="156"/>
      <c r="M159" s="157"/>
      <c r="N159" s="152" t="s">
        <v>8395</v>
      </c>
    </row>
    <row r="160">
      <c r="A160" s="152" t="s">
        <v>8430</v>
      </c>
      <c r="B160" s="152" t="s">
        <v>8431</v>
      </c>
      <c r="C160" s="152">
        <v>4.0</v>
      </c>
      <c r="D160" s="153"/>
      <c r="E160" s="152">
        <v>3.0</v>
      </c>
      <c r="F160" s="153"/>
      <c r="G160" s="152" t="s">
        <v>8406</v>
      </c>
      <c r="H160" s="155" t="s">
        <v>8425</v>
      </c>
      <c r="I160" s="155" t="s">
        <v>7039</v>
      </c>
      <c r="J160" s="156"/>
      <c r="K160" s="156"/>
      <c r="L160" s="156"/>
      <c r="M160" s="157"/>
      <c r="N160" s="152" t="s">
        <v>8395</v>
      </c>
    </row>
    <row r="161">
      <c r="A161" s="152" t="s">
        <v>8430</v>
      </c>
      <c r="B161" s="152" t="s">
        <v>8431</v>
      </c>
      <c r="C161" s="152">
        <v>4.0</v>
      </c>
      <c r="D161" s="153"/>
      <c r="E161" s="152">
        <v>3.0</v>
      </c>
      <c r="F161" s="153"/>
      <c r="G161" s="152" t="s">
        <v>8406</v>
      </c>
      <c r="H161" s="155" t="s">
        <v>8426</v>
      </c>
      <c r="I161" s="155" t="s">
        <v>7023</v>
      </c>
      <c r="J161" s="156"/>
      <c r="K161" s="156"/>
      <c r="L161" s="156"/>
      <c r="M161" s="157"/>
      <c r="N161" s="152" t="s">
        <v>8395</v>
      </c>
    </row>
    <row r="162">
      <c r="A162" s="152" t="s">
        <v>8430</v>
      </c>
      <c r="B162" s="152" t="s">
        <v>8431</v>
      </c>
      <c r="C162" s="152">
        <v>5.0</v>
      </c>
      <c r="D162" s="153"/>
      <c r="E162" s="153"/>
      <c r="F162" s="153"/>
      <c r="G162" s="152" t="s">
        <v>8427</v>
      </c>
      <c r="H162" s="155" t="s">
        <v>8407</v>
      </c>
      <c r="I162" s="153"/>
      <c r="J162" s="156"/>
      <c r="K162" s="156"/>
      <c r="L162" s="156"/>
      <c r="M162" s="157"/>
      <c r="N162" s="152" t="s">
        <v>8384</v>
      </c>
    </row>
    <row r="163">
      <c r="A163" s="152" t="s">
        <v>8430</v>
      </c>
      <c r="B163" s="152" t="s">
        <v>8431</v>
      </c>
      <c r="C163" s="152">
        <v>5.0</v>
      </c>
      <c r="D163" s="153"/>
      <c r="E163" s="153"/>
      <c r="F163" s="153"/>
      <c r="G163" s="152" t="s">
        <v>8427</v>
      </c>
      <c r="H163" s="155" t="s">
        <v>8408</v>
      </c>
      <c r="I163" s="153"/>
      <c r="J163" s="156"/>
      <c r="K163" s="156"/>
      <c r="L163" s="156"/>
      <c r="M163" s="157"/>
      <c r="N163" s="152" t="s">
        <v>8384</v>
      </c>
    </row>
    <row r="164">
      <c r="A164" s="152" t="s">
        <v>8430</v>
      </c>
      <c r="B164" s="152" t="s">
        <v>8431</v>
      </c>
      <c r="C164" s="152">
        <v>5.0</v>
      </c>
      <c r="D164" s="153"/>
      <c r="E164" s="153"/>
      <c r="F164" s="153"/>
      <c r="G164" s="152" t="s">
        <v>8427</v>
      </c>
      <c r="H164" s="155" t="s">
        <v>8409</v>
      </c>
      <c r="I164" s="153"/>
      <c r="J164" s="156"/>
      <c r="K164" s="156"/>
      <c r="L164" s="156"/>
      <c r="M164" s="157"/>
      <c r="N164" s="152" t="s">
        <v>8384</v>
      </c>
    </row>
    <row r="165">
      <c r="A165" s="152" t="s">
        <v>8430</v>
      </c>
      <c r="B165" s="152" t="s">
        <v>8431</v>
      </c>
      <c r="C165" s="152">
        <v>5.0</v>
      </c>
      <c r="D165" s="153"/>
      <c r="E165" s="153"/>
      <c r="F165" s="153"/>
      <c r="G165" s="152" t="s">
        <v>8427</v>
      </c>
      <c r="H165" s="155" t="s">
        <v>8410</v>
      </c>
      <c r="I165" s="153"/>
      <c r="J165" s="156"/>
      <c r="K165" s="156"/>
      <c r="L165" s="156"/>
      <c r="M165" s="157"/>
      <c r="N165" s="152" t="s">
        <v>8384</v>
      </c>
    </row>
    <row r="166">
      <c r="A166" s="152" t="s">
        <v>8430</v>
      </c>
      <c r="B166" s="152" t="s">
        <v>8431</v>
      </c>
      <c r="C166" s="152">
        <v>5.0</v>
      </c>
      <c r="D166" s="153"/>
      <c r="E166" s="153"/>
      <c r="F166" s="153"/>
      <c r="G166" s="152" t="s">
        <v>8427</v>
      </c>
      <c r="H166" s="155" t="s">
        <v>8411</v>
      </c>
      <c r="I166" s="153"/>
      <c r="J166" s="156"/>
      <c r="K166" s="156"/>
      <c r="L166" s="156"/>
      <c r="M166" s="157"/>
      <c r="N166" s="152" t="s">
        <v>8384</v>
      </c>
    </row>
    <row r="167">
      <c r="A167" s="152" t="s">
        <v>8430</v>
      </c>
      <c r="B167" s="152" t="s">
        <v>8431</v>
      </c>
      <c r="C167" s="152">
        <v>5.0</v>
      </c>
      <c r="D167" s="153"/>
      <c r="E167" s="153"/>
      <c r="F167" s="153"/>
      <c r="G167" s="152" t="s">
        <v>8427</v>
      </c>
      <c r="H167" s="155" t="s">
        <v>8412</v>
      </c>
      <c r="I167" s="153"/>
      <c r="J167" s="156"/>
      <c r="K167" s="156"/>
      <c r="L167" s="156"/>
      <c r="M167" s="157"/>
      <c r="N167" s="152" t="s">
        <v>8384</v>
      </c>
    </row>
    <row r="168">
      <c r="A168" s="152" t="s">
        <v>8430</v>
      </c>
      <c r="B168" s="152" t="s">
        <v>8431</v>
      </c>
      <c r="C168" s="152">
        <v>5.0</v>
      </c>
      <c r="D168" s="153"/>
      <c r="E168" s="153"/>
      <c r="F168" s="153"/>
      <c r="G168" s="152" t="s">
        <v>8427</v>
      </c>
      <c r="H168" s="155" t="s">
        <v>8413</v>
      </c>
      <c r="I168" s="153"/>
      <c r="J168" s="156"/>
      <c r="K168" s="156"/>
      <c r="L168" s="156"/>
      <c r="M168" s="157"/>
      <c r="N168" s="152" t="s">
        <v>8384</v>
      </c>
    </row>
    <row r="169">
      <c r="A169" s="152" t="s">
        <v>8430</v>
      </c>
      <c r="B169" s="152" t="s">
        <v>8431</v>
      </c>
      <c r="C169" s="152">
        <v>5.0</v>
      </c>
      <c r="D169" s="153"/>
      <c r="E169" s="153"/>
      <c r="F169" s="153"/>
      <c r="G169" s="152" t="s">
        <v>8427</v>
      </c>
      <c r="H169" s="155" t="s">
        <v>8414</v>
      </c>
      <c r="I169" s="153"/>
      <c r="J169" s="156"/>
      <c r="K169" s="156"/>
      <c r="L169" s="156"/>
      <c r="M169" s="157"/>
      <c r="N169" s="152" t="s">
        <v>8384</v>
      </c>
    </row>
    <row r="170">
      <c r="A170" s="152" t="s">
        <v>8430</v>
      </c>
      <c r="B170" s="152" t="s">
        <v>8431</v>
      </c>
      <c r="C170" s="152">
        <v>5.0</v>
      </c>
      <c r="D170" s="153"/>
      <c r="E170" s="153"/>
      <c r="F170" s="153"/>
      <c r="G170" s="152" t="s">
        <v>8427</v>
      </c>
      <c r="H170" s="155" t="s">
        <v>8415</v>
      </c>
      <c r="I170" s="153"/>
      <c r="J170" s="156"/>
      <c r="K170" s="156"/>
      <c r="L170" s="156"/>
      <c r="M170" s="157"/>
      <c r="N170" s="152" t="s">
        <v>8384</v>
      </c>
    </row>
    <row r="171">
      <c r="A171" s="152" t="s">
        <v>8430</v>
      </c>
      <c r="B171" s="152" t="s">
        <v>8431</v>
      </c>
      <c r="C171" s="152">
        <v>5.0</v>
      </c>
      <c r="D171" s="153"/>
      <c r="E171" s="153"/>
      <c r="F171" s="153"/>
      <c r="G171" s="152" t="s">
        <v>8427</v>
      </c>
      <c r="H171" s="155" t="s">
        <v>8416</v>
      </c>
      <c r="I171" s="153"/>
      <c r="J171" s="156"/>
      <c r="K171" s="156"/>
      <c r="L171" s="156"/>
      <c r="M171" s="157"/>
      <c r="N171" s="152" t="s">
        <v>8384</v>
      </c>
    </row>
    <row r="172">
      <c r="A172" s="152" t="s">
        <v>8430</v>
      </c>
      <c r="B172" s="152" t="s">
        <v>8431</v>
      </c>
      <c r="C172" s="152">
        <v>6.0</v>
      </c>
      <c r="D172" s="153"/>
      <c r="E172" s="152">
        <v>5.0</v>
      </c>
      <c r="F172" s="153"/>
      <c r="G172" s="152" t="s">
        <v>8427</v>
      </c>
      <c r="H172" s="155" t="s">
        <v>8417</v>
      </c>
      <c r="I172" s="155" t="s">
        <v>6507</v>
      </c>
      <c r="J172" s="156"/>
      <c r="K172" s="156"/>
      <c r="L172" s="156"/>
      <c r="M172" s="157"/>
      <c r="N172" s="152" t="s">
        <v>8395</v>
      </c>
    </row>
    <row r="173">
      <c r="A173" s="152" t="s">
        <v>8430</v>
      </c>
      <c r="B173" s="152" t="s">
        <v>8431</v>
      </c>
      <c r="C173" s="152">
        <v>6.0</v>
      </c>
      <c r="D173" s="153"/>
      <c r="E173" s="152">
        <v>5.0</v>
      </c>
      <c r="F173" s="153"/>
      <c r="G173" s="152" t="s">
        <v>8427</v>
      </c>
      <c r="H173" s="155" t="s">
        <v>8418</v>
      </c>
      <c r="I173" s="155" t="s">
        <v>6492</v>
      </c>
      <c r="J173" s="156"/>
      <c r="K173" s="156"/>
      <c r="L173" s="156"/>
      <c r="M173" s="157"/>
      <c r="N173" s="152" t="s">
        <v>8395</v>
      </c>
    </row>
    <row r="174">
      <c r="A174" s="152" t="s">
        <v>8430</v>
      </c>
      <c r="B174" s="152" t="s">
        <v>8431</v>
      </c>
      <c r="C174" s="152">
        <v>6.0</v>
      </c>
      <c r="D174" s="153"/>
      <c r="E174" s="152">
        <v>5.0</v>
      </c>
      <c r="F174" s="153"/>
      <c r="G174" s="152" t="s">
        <v>8427</v>
      </c>
      <c r="H174" s="155" t="s">
        <v>8419</v>
      </c>
      <c r="I174" s="155" t="s">
        <v>6978</v>
      </c>
      <c r="J174" s="156"/>
      <c r="K174" s="156"/>
      <c r="L174" s="156"/>
      <c r="M174" s="157"/>
      <c r="N174" s="152" t="s">
        <v>8395</v>
      </c>
    </row>
    <row r="175">
      <c r="A175" s="152" t="s">
        <v>8430</v>
      </c>
      <c r="B175" s="152" t="s">
        <v>8431</v>
      </c>
      <c r="C175" s="152">
        <v>6.0</v>
      </c>
      <c r="D175" s="153"/>
      <c r="E175" s="152">
        <v>5.0</v>
      </c>
      <c r="F175" s="153"/>
      <c r="G175" s="152" t="s">
        <v>8427</v>
      </c>
      <c r="H175" s="155" t="s">
        <v>8420</v>
      </c>
      <c r="I175" s="155" t="s">
        <v>6936</v>
      </c>
      <c r="J175" s="156"/>
      <c r="K175" s="156"/>
      <c r="L175" s="156"/>
      <c r="M175" s="157"/>
      <c r="N175" s="152" t="s">
        <v>8395</v>
      </c>
    </row>
    <row r="176">
      <c r="A176" s="152" t="s">
        <v>8430</v>
      </c>
      <c r="B176" s="152" t="s">
        <v>8431</v>
      </c>
      <c r="C176" s="152">
        <v>6.0</v>
      </c>
      <c r="D176" s="153"/>
      <c r="E176" s="152">
        <v>5.0</v>
      </c>
      <c r="F176" s="153"/>
      <c r="G176" s="152" t="s">
        <v>8427</v>
      </c>
      <c r="H176" s="155" t="s">
        <v>8421</v>
      </c>
      <c r="I176" s="155" t="s">
        <v>6620</v>
      </c>
      <c r="J176" s="156"/>
      <c r="K176" s="156"/>
      <c r="L176" s="156"/>
      <c r="M176" s="157"/>
      <c r="N176" s="152" t="s">
        <v>8395</v>
      </c>
    </row>
    <row r="177">
      <c r="A177" s="152" t="s">
        <v>8430</v>
      </c>
      <c r="B177" s="152" t="s">
        <v>8431</v>
      </c>
      <c r="C177" s="152">
        <v>6.0</v>
      </c>
      <c r="D177" s="153"/>
      <c r="E177" s="152">
        <v>5.0</v>
      </c>
      <c r="F177" s="153"/>
      <c r="G177" s="152" t="s">
        <v>8427</v>
      </c>
      <c r="H177" s="155" t="s">
        <v>8422</v>
      </c>
      <c r="I177" s="155" t="s">
        <v>6563</v>
      </c>
      <c r="J177" s="156"/>
      <c r="K177" s="156"/>
      <c r="L177" s="156"/>
      <c r="M177" s="157"/>
      <c r="N177" s="152" t="s">
        <v>8395</v>
      </c>
    </row>
    <row r="178">
      <c r="A178" s="152" t="s">
        <v>8430</v>
      </c>
      <c r="B178" s="152" t="s">
        <v>8431</v>
      </c>
      <c r="C178" s="152">
        <v>6.0</v>
      </c>
      <c r="D178" s="153"/>
      <c r="E178" s="152">
        <v>5.0</v>
      </c>
      <c r="F178" s="153"/>
      <c r="G178" s="152" t="s">
        <v>8427</v>
      </c>
      <c r="H178" s="155" t="s">
        <v>8423</v>
      </c>
      <c r="I178" s="155" t="s">
        <v>6701</v>
      </c>
      <c r="J178" s="156"/>
      <c r="K178" s="156"/>
      <c r="L178" s="156"/>
      <c r="M178" s="157"/>
      <c r="N178" s="152" t="s">
        <v>8395</v>
      </c>
    </row>
    <row r="179">
      <c r="A179" s="152" t="s">
        <v>8430</v>
      </c>
      <c r="B179" s="152" t="s">
        <v>8431</v>
      </c>
      <c r="C179" s="152">
        <v>6.0</v>
      </c>
      <c r="D179" s="153"/>
      <c r="E179" s="152">
        <v>5.0</v>
      </c>
      <c r="F179" s="153"/>
      <c r="G179" s="152" t="s">
        <v>8427</v>
      </c>
      <c r="H179" s="155" t="s">
        <v>8424</v>
      </c>
      <c r="I179" s="155" t="s">
        <v>6684</v>
      </c>
      <c r="J179" s="156"/>
      <c r="K179" s="156"/>
      <c r="L179" s="156"/>
      <c r="M179" s="157"/>
      <c r="N179" s="152" t="s">
        <v>8395</v>
      </c>
    </row>
    <row r="180">
      <c r="A180" s="152" t="s">
        <v>8430</v>
      </c>
      <c r="B180" s="152" t="s">
        <v>8431</v>
      </c>
      <c r="C180" s="152">
        <v>6.0</v>
      </c>
      <c r="D180" s="153"/>
      <c r="E180" s="152">
        <v>5.0</v>
      </c>
      <c r="F180" s="153"/>
      <c r="G180" s="152" t="s">
        <v>8427</v>
      </c>
      <c r="H180" s="155" t="s">
        <v>8425</v>
      </c>
      <c r="I180" s="155" t="s">
        <v>7039</v>
      </c>
      <c r="J180" s="156"/>
      <c r="K180" s="156"/>
      <c r="L180" s="156"/>
      <c r="M180" s="157"/>
      <c r="N180" s="152" t="s">
        <v>8395</v>
      </c>
    </row>
    <row r="181">
      <c r="A181" s="152" t="s">
        <v>8430</v>
      </c>
      <c r="B181" s="152" t="s">
        <v>8431</v>
      </c>
      <c r="C181" s="152">
        <v>6.0</v>
      </c>
      <c r="D181" s="153"/>
      <c r="E181" s="152">
        <v>5.0</v>
      </c>
      <c r="F181" s="153"/>
      <c r="G181" s="152" t="s">
        <v>8427</v>
      </c>
      <c r="H181" s="155" t="s">
        <v>8426</v>
      </c>
      <c r="I181" s="155" t="s">
        <v>7023</v>
      </c>
      <c r="J181" s="156"/>
      <c r="K181" s="156"/>
      <c r="L181" s="156"/>
      <c r="M181" s="157"/>
      <c r="N181" s="152" t="s">
        <v>8395</v>
      </c>
    </row>
    <row r="182">
      <c r="A182" s="152" t="s">
        <v>8432</v>
      </c>
      <c r="B182" s="152" t="s">
        <v>8433</v>
      </c>
      <c r="C182" s="152">
        <v>1.0</v>
      </c>
      <c r="D182" s="153"/>
      <c r="E182" s="153"/>
      <c r="F182" s="153"/>
      <c r="G182" s="152" t="s">
        <v>8382</v>
      </c>
      <c r="H182" s="152" t="s">
        <v>8383</v>
      </c>
      <c r="I182" s="153"/>
      <c r="J182" s="152" t="s">
        <v>23</v>
      </c>
      <c r="K182" s="152">
        <v>2019.0</v>
      </c>
      <c r="L182" s="153"/>
      <c r="M182" s="154"/>
      <c r="N182" s="152" t="s">
        <v>8384</v>
      </c>
    </row>
    <row r="183">
      <c r="A183" s="152" t="s">
        <v>8432</v>
      </c>
      <c r="B183" s="152" t="s">
        <v>8433</v>
      </c>
      <c r="C183" s="152">
        <v>1.0</v>
      </c>
      <c r="D183" s="153"/>
      <c r="E183" s="153"/>
      <c r="F183" s="153"/>
      <c r="G183" s="152" t="s">
        <v>8382</v>
      </c>
      <c r="H183" s="152" t="s">
        <v>8385</v>
      </c>
      <c r="I183" s="153"/>
      <c r="J183" s="152" t="s">
        <v>23</v>
      </c>
      <c r="K183" s="152">
        <v>2159.0</v>
      </c>
      <c r="L183" s="153"/>
      <c r="M183" s="154"/>
      <c r="N183" s="152" t="s">
        <v>8384</v>
      </c>
    </row>
    <row r="184">
      <c r="A184" s="152" t="s">
        <v>8432</v>
      </c>
      <c r="B184" s="152" t="s">
        <v>8433</v>
      </c>
      <c r="C184" s="152">
        <v>1.0</v>
      </c>
      <c r="D184" s="153"/>
      <c r="E184" s="153"/>
      <c r="F184" s="153"/>
      <c r="G184" s="152" t="s">
        <v>8382</v>
      </c>
      <c r="H184" s="152" t="s">
        <v>8386</v>
      </c>
      <c r="I184" s="153"/>
      <c r="J184" s="152" t="s">
        <v>23</v>
      </c>
      <c r="K184" s="152">
        <v>2159.0</v>
      </c>
      <c r="L184" s="153"/>
      <c r="M184" s="154"/>
      <c r="N184" s="152" t="s">
        <v>8384</v>
      </c>
    </row>
    <row r="185">
      <c r="A185" s="152" t="s">
        <v>8432</v>
      </c>
      <c r="B185" s="152" t="s">
        <v>8433</v>
      </c>
      <c r="C185" s="152">
        <v>1.0</v>
      </c>
      <c r="D185" s="153"/>
      <c r="E185" s="153"/>
      <c r="F185" s="153"/>
      <c r="G185" s="152" t="s">
        <v>8382</v>
      </c>
      <c r="H185" s="152" t="s">
        <v>8387</v>
      </c>
      <c r="I185" s="153"/>
      <c r="J185" s="152" t="s">
        <v>23</v>
      </c>
      <c r="K185" s="152">
        <v>2159.0</v>
      </c>
      <c r="L185" s="153"/>
      <c r="M185" s="154"/>
      <c r="N185" s="152" t="s">
        <v>8384</v>
      </c>
    </row>
    <row r="186">
      <c r="A186" s="152" t="s">
        <v>8432</v>
      </c>
      <c r="B186" s="152" t="s">
        <v>8433</v>
      </c>
      <c r="C186" s="152">
        <v>1.0</v>
      </c>
      <c r="D186" s="153"/>
      <c r="E186" s="153"/>
      <c r="F186" s="153"/>
      <c r="G186" s="152" t="s">
        <v>8382</v>
      </c>
      <c r="H186" s="152" t="s">
        <v>8388</v>
      </c>
      <c r="I186" s="153"/>
      <c r="J186" s="152" t="s">
        <v>23</v>
      </c>
      <c r="K186" s="152">
        <v>2159.0</v>
      </c>
      <c r="L186" s="153"/>
      <c r="M186" s="154"/>
      <c r="N186" s="152" t="s">
        <v>8384</v>
      </c>
    </row>
    <row r="187">
      <c r="A187" s="152" t="s">
        <v>8432</v>
      </c>
      <c r="B187" s="152" t="s">
        <v>8433</v>
      </c>
      <c r="C187" s="152">
        <v>1.0</v>
      </c>
      <c r="D187" s="153"/>
      <c r="E187" s="153"/>
      <c r="F187" s="153"/>
      <c r="G187" s="152" t="s">
        <v>8382</v>
      </c>
      <c r="H187" s="152" t="s">
        <v>8389</v>
      </c>
      <c r="I187" s="153"/>
      <c r="J187" s="152" t="s">
        <v>23</v>
      </c>
      <c r="K187" s="152">
        <v>2489.0</v>
      </c>
      <c r="L187" s="153"/>
      <c r="M187" s="154"/>
      <c r="N187" s="152" t="s">
        <v>8384</v>
      </c>
    </row>
    <row r="188">
      <c r="A188" s="152" t="s">
        <v>8432</v>
      </c>
      <c r="B188" s="152" t="s">
        <v>8433</v>
      </c>
      <c r="C188" s="152">
        <v>1.0</v>
      </c>
      <c r="D188" s="153"/>
      <c r="E188" s="153"/>
      <c r="F188" s="153"/>
      <c r="G188" s="152" t="s">
        <v>8382</v>
      </c>
      <c r="H188" s="152" t="s">
        <v>5767</v>
      </c>
      <c r="I188" s="153"/>
      <c r="J188" s="152" t="s">
        <v>23</v>
      </c>
      <c r="K188" s="152">
        <v>2489.0</v>
      </c>
      <c r="L188" s="153"/>
      <c r="M188" s="154"/>
      <c r="N188" s="152" t="s">
        <v>8384</v>
      </c>
    </row>
    <row r="189">
      <c r="A189" s="152" t="s">
        <v>8432</v>
      </c>
      <c r="B189" s="152" t="s">
        <v>8433</v>
      </c>
      <c r="C189" s="152">
        <v>1.0</v>
      </c>
      <c r="D189" s="153"/>
      <c r="E189" s="153"/>
      <c r="F189" s="153"/>
      <c r="G189" s="152" t="s">
        <v>8382</v>
      </c>
      <c r="H189" s="152" t="s">
        <v>8390</v>
      </c>
      <c r="I189" s="153"/>
      <c r="J189" s="152" t="s">
        <v>23</v>
      </c>
      <c r="K189" s="152">
        <v>2489.0</v>
      </c>
      <c r="L189" s="153"/>
      <c r="M189" s="154"/>
      <c r="N189" s="152" t="s">
        <v>8384</v>
      </c>
    </row>
    <row r="190">
      <c r="A190" s="152" t="s">
        <v>8432</v>
      </c>
      <c r="B190" s="152" t="s">
        <v>8433</v>
      </c>
      <c r="C190" s="152">
        <v>1.0</v>
      </c>
      <c r="D190" s="153"/>
      <c r="E190" s="153"/>
      <c r="F190" s="153"/>
      <c r="G190" s="152" t="s">
        <v>8382</v>
      </c>
      <c r="H190" s="152" t="s">
        <v>8391</v>
      </c>
      <c r="I190" s="153"/>
      <c r="J190" s="152" t="s">
        <v>23</v>
      </c>
      <c r="K190" s="152">
        <v>2489.0</v>
      </c>
      <c r="L190" s="153"/>
      <c r="M190" s="154"/>
      <c r="N190" s="152" t="s">
        <v>8384</v>
      </c>
    </row>
    <row r="191">
      <c r="A191" s="152" t="s">
        <v>8432</v>
      </c>
      <c r="B191" s="152" t="s">
        <v>8433</v>
      </c>
      <c r="C191" s="152">
        <v>1.0</v>
      </c>
      <c r="D191" s="153"/>
      <c r="E191" s="153"/>
      <c r="F191" s="153"/>
      <c r="G191" s="152" t="s">
        <v>8382</v>
      </c>
      <c r="H191" s="152" t="s">
        <v>8392</v>
      </c>
      <c r="I191" s="153"/>
      <c r="J191" s="152" t="s">
        <v>23</v>
      </c>
      <c r="K191" s="152">
        <v>2489.0</v>
      </c>
      <c r="L191" s="153"/>
      <c r="M191" s="154"/>
      <c r="N191" s="152" t="s">
        <v>8384</v>
      </c>
    </row>
    <row r="192">
      <c r="A192" s="152" t="s">
        <v>8432</v>
      </c>
      <c r="B192" s="152" t="s">
        <v>8433</v>
      </c>
      <c r="C192" s="152">
        <v>2.0</v>
      </c>
      <c r="D192" s="153"/>
      <c r="E192" s="152">
        <v>1.0</v>
      </c>
      <c r="F192" s="153"/>
      <c r="G192" s="152" t="s">
        <v>8393</v>
      </c>
      <c r="H192" s="152" t="s">
        <v>8394</v>
      </c>
      <c r="I192" s="152" t="s">
        <v>6862</v>
      </c>
      <c r="J192" s="153"/>
      <c r="K192" s="153"/>
      <c r="L192" s="153"/>
      <c r="M192" s="154"/>
      <c r="N192" s="152" t="s">
        <v>8395</v>
      </c>
    </row>
    <row r="193">
      <c r="A193" s="152" t="s">
        <v>8432</v>
      </c>
      <c r="B193" s="152" t="s">
        <v>8433</v>
      </c>
      <c r="C193" s="152">
        <v>2.0</v>
      </c>
      <c r="D193" s="153"/>
      <c r="E193" s="152">
        <v>1.0</v>
      </c>
      <c r="F193" s="153"/>
      <c r="G193" s="152" t="s">
        <v>8393</v>
      </c>
      <c r="H193" s="152" t="s">
        <v>8396</v>
      </c>
      <c r="I193" s="152" t="s">
        <v>6893</v>
      </c>
      <c r="J193" s="153"/>
      <c r="K193" s="153"/>
      <c r="L193" s="153"/>
      <c r="M193" s="154"/>
      <c r="N193" s="152" t="s">
        <v>8395</v>
      </c>
    </row>
    <row r="194">
      <c r="A194" s="152" t="s">
        <v>8432</v>
      </c>
      <c r="B194" s="152" t="s">
        <v>8433</v>
      </c>
      <c r="C194" s="152">
        <v>2.0</v>
      </c>
      <c r="D194" s="153"/>
      <c r="E194" s="152">
        <v>1.0</v>
      </c>
      <c r="F194" s="153"/>
      <c r="G194" s="152" t="s">
        <v>8393</v>
      </c>
      <c r="H194" s="152" t="s">
        <v>8397</v>
      </c>
      <c r="I194" s="152" t="s">
        <v>6796</v>
      </c>
      <c r="J194" s="153"/>
      <c r="K194" s="153"/>
      <c r="L194" s="153"/>
      <c r="M194" s="154"/>
      <c r="N194" s="152" t="s">
        <v>8395</v>
      </c>
    </row>
    <row r="195">
      <c r="A195" s="152" t="s">
        <v>8432</v>
      </c>
      <c r="B195" s="152" t="s">
        <v>8433</v>
      </c>
      <c r="C195" s="152">
        <v>2.0</v>
      </c>
      <c r="D195" s="153"/>
      <c r="E195" s="152">
        <v>1.0</v>
      </c>
      <c r="F195" s="153"/>
      <c r="G195" s="152" t="s">
        <v>8393</v>
      </c>
      <c r="H195" s="152" t="s">
        <v>8398</v>
      </c>
      <c r="I195" s="152" t="s">
        <v>6726</v>
      </c>
      <c r="J195" s="153"/>
      <c r="K195" s="153"/>
      <c r="L195" s="153"/>
      <c r="M195" s="154"/>
      <c r="N195" s="152" t="s">
        <v>8395</v>
      </c>
    </row>
    <row r="196">
      <c r="A196" s="152" t="s">
        <v>8432</v>
      </c>
      <c r="B196" s="152" t="s">
        <v>8433</v>
      </c>
      <c r="C196" s="152">
        <v>2.0</v>
      </c>
      <c r="D196" s="153"/>
      <c r="E196" s="152">
        <v>1.0</v>
      </c>
      <c r="F196" s="153"/>
      <c r="G196" s="152" t="s">
        <v>8393</v>
      </c>
      <c r="H196" s="152" t="s">
        <v>8399</v>
      </c>
      <c r="I196" s="152" t="s">
        <v>6924</v>
      </c>
      <c r="J196" s="153"/>
      <c r="K196" s="153"/>
      <c r="L196" s="153"/>
      <c r="M196" s="154"/>
      <c r="N196" s="152" t="s">
        <v>8395</v>
      </c>
    </row>
    <row r="197">
      <c r="A197" s="152" t="s">
        <v>8432</v>
      </c>
      <c r="B197" s="152" t="s">
        <v>8433</v>
      </c>
      <c r="C197" s="152">
        <v>2.0</v>
      </c>
      <c r="D197" s="153"/>
      <c r="E197" s="152">
        <v>1.0</v>
      </c>
      <c r="F197" s="153"/>
      <c r="G197" s="152" t="s">
        <v>8393</v>
      </c>
      <c r="H197" s="152" t="s">
        <v>8400</v>
      </c>
      <c r="I197" s="152" t="s">
        <v>6893</v>
      </c>
      <c r="J197" s="153"/>
      <c r="K197" s="153"/>
      <c r="L197" s="153"/>
      <c r="M197" s="154"/>
      <c r="N197" s="152" t="s">
        <v>8395</v>
      </c>
    </row>
    <row r="198">
      <c r="A198" s="152" t="s">
        <v>8432</v>
      </c>
      <c r="B198" s="152" t="s">
        <v>8433</v>
      </c>
      <c r="C198" s="152">
        <v>2.0</v>
      </c>
      <c r="D198" s="153"/>
      <c r="E198" s="152">
        <v>1.0</v>
      </c>
      <c r="F198" s="153"/>
      <c r="G198" s="152" t="s">
        <v>8393</v>
      </c>
      <c r="H198" s="152" t="s">
        <v>8401</v>
      </c>
      <c r="I198" s="152" t="s">
        <v>6796</v>
      </c>
      <c r="J198" s="153"/>
      <c r="K198" s="153"/>
      <c r="L198" s="153"/>
      <c r="M198" s="154"/>
      <c r="N198" s="152" t="s">
        <v>8395</v>
      </c>
    </row>
    <row r="199">
      <c r="A199" s="152" t="s">
        <v>8432</v>
      </c>
      <c r="B199" s="152" t="s">
        <v>8433</v>
      </c>
      <c r="C199" s="152">
        <v>2.0</v>
      </c>
      <c r="D199" s="153"/>
      <c r="E199" s="152">
        <v>1.0</v>
      </c>
      <c r="F199" s="153"/>
      <c r="G199" s="152" t="s">
        <v>8393</v>
      </c>
      <c r="H199" s="152" t="s">
        <v>8402</v>
      </c>
      <c r="I199" s="152" t="s">
        <v>6831</v>
      </c>
      <c r="J199" s="153"/>
      <c r="K199" s="153"/>
      <c r="L199" s="153"/>
      <c r="M199" s="154"/>
      <c r="N199" s="152" t="s">
        <v>8395</v>
      </c>
    </row>
    <row r="200">
      <c r="A200" s="152" t="s">
        <v>8432</v>
      </c>
      <c r="B200" s="152" t="s">
        <v>8433</v>
      </c>
      <c r="C200" s="152">
        <v>2.0</v>
      </c>
      <c r="D200" s="153"/>
      <c r="E200" s="152">
        <v>1.0</v>
      </c>
      <c r="F200" s="153"/>
      <c r="G200" s="152" t="s">
        <v>8393</v>
      </c>
      <c r="H200" s="152" t="s">
        <v>8403</v>
      </c>
      <c r="I200" s="152" t="s">
        <v>6836</v>
      </c>
      <c r="J200" s="153"/>
      <c r="K200" s="153"/>
      <c r="L200" s="153"/>
      <c r="M200" s="154"/>
      <c r="N200" s="152" t="s">
        <v>8395</v>
      </c>
    </row>
    <row r="201">
      <c r="A201" s="152" t="s">
        <v>8432</v>
      </c>
      <c r="B201" s="152" t="s">
        <v>8433</v>
      </c>
      <c r="C201" s="152">
        <v>2.0</v>
      </c>
      <c r="D201" s="153"/>
      <c r="E201" s="152">
        <v>1.0</v>
      </c>
      <c r="F201" s="153"/>
      <c r="G201" s="152" t="s">
        <v>8393</v>
      </c>
      <c r="H201" s="152" t="s">
        <v>8404</v>
      </c>
      <c r="I201" s="152" t="s">
        <v>8405</v>
      </c>
      <c r="J201" s="153"/>
      <c r="K201" s="153"/>
      <c r="L201" s="153"/>
      <c r="M201" s="154"/>
      <c r="N201" s="152" t="s">
        <v>8395</v>
      </c>
    </row>
    <row r="202">
      <c r="A202" s="152" t="s">
        <v>8432</v>
      </c>
      <c r="B202" s="152" t="s">
        <v>8433</v>
      </c>
      <c r="C202" s="152">
        <v>3.0</v>
      </c>
      <c r="D202" s="153"/>
      <c r="E202" s="153"/>
      <c r="F202" s="153"/>
      <c r="G202" s="152" t="s">
        <v>8406</v>
      </c>
      <c r="H202" s="155" t="s">
        <v>8407</v>
      </c>
      <c r="I202" s="153"/>
      <c r="J202" s="156"/>
      <c r="K202" s="156"/>
      <c r="L202" s="156"/>
      <c r="M202" s="157"/>
      <c r="N202" s="152" t="s">
        <v>8384</v>
      </c>
    </row>
    <row r="203">
      <c r="A203" s="152" t="s">
        <v>8432</v>
      </c>
      <c r="B203" s="152" t="s">
        <v>8433</v>
      </c>
      <c r="C203" s="152">
        <v>3.0</v>
      </c>
      <c r="D203" s="153"/>
      <c r="E203" s="153"/>
      <c r="F203" s="153"/>
      <c r="G203" s="152" t="s">
        <v>8406</v>
      </c>
      <c r="H203" s="155" t="s">
        <v>8408</v>
      </c>
      <c r="I203" s="153"/>
      <c r="J203" s="156"/>
      <c r="K203" s="156"/>
      <c r="L203" s="156"/>
      <c r="M203" s="157"/>
      <c r="N203" s="152" t="s">
        <v>8384</v>
      </c>
    </row>
    <row r="204">
      <c r="A204" s="152" t="s">
        <v>8432</v>
      </c>
      <c r="B204" s="152" t="s">
        <v>8433</v>
      </c>
      <c r="C204" s="152">
        <v>3.0</v>
      </c>
      <c r="D204" s="153"/>
      <c r="E204" s="153"/>
      <c r="F204" s="153"/>
      <c r="G204" s="152" t="s">
        <v>8406</v>
      </c>
      <c r="H204" s="155" t="s">
        <v>8409</v>
      </c>
      <c r="I204" s="153"/>
      <c r="J204" s="156"/>
      <c r="K204" s="156"/>
      <c r="L204" s="156"/>
      <c r="M204" s="157"/>
      <c r="N204" s="152" t="s">
        <v>8384</v>
      </c>
    </row>
    <row r="205">
      <c r="A205" s="152" t="s">
        <v>8432</v>
      </c>
      <c r="B205" s="152" t="s">
        <v>8433</v>
      </c>
      <c r="C205" s="152">
        <v>3.0</v>
      </c>
      <c r="D205" s="153"/>
      <c r="E205" s="153"/>
      <c r="F205" s="153"/>
      <c r="G205" s="152" t="s">
        <v>8406</v>
      </c>
      <c r="H205" s="155" t="s">
        <v>8410</v>
      </c>
      <c r="I205" s="153"/>
      <c r="J205" s="156"/>
      <c r="K205" s="156"/>
      <c r="L205" s="156"/>
      <c r="M205" s="157"/>
      <c r="N205" s="152" t="s">
        <v>8384</v>
      </c>
    </row>
    <row r="206">
      <c r="A206" s="152" t="s">
        <v>8432</v>
      </c>
      <c r="B206" s="152" t="s">
        <v>8433</v>
      </c>
      <c r="C206" s="152">
        <v>3.0</v>
      </c>
      <c r="D206" s="153"/>
      <c r="E206" s="153"/>
      <c r="F206" s="153"/>
      <c r="G206" s="152" t="s">
        <v>8406</v>
      </c>
      <c r="H206" s="155" t="s">
        <v>8411</v>
      </c>
      <c r="I206" s="153"/>
      <c r="J206" s="156"/>
      <c r="K206" s="156"/>
      <c r="L206" s="156"/>
      <c r="M206" s="157"/>
      <c r="N206" s="152" t="s">
        <v>8384</v>
      </c>
    </row>
    <row r="207">
      <c r="A207" s="152" t="s">
        <v>8432</v>
      </c>
      <c r="B207" s="152" t="s">
        <v>8433</v>
      </c>
      <c r="C207" s="152">
        <v>3.0</v>
      </c>
      <c r="D207" s="153"/>
      <c r="E207" s="153"/>
      <c r="F207" s="153"/>
      <c r="G207" s="152" t="s">
        <v>8406</v>
      </c>
      <c r="H207" s="155" t="s">
        <v>8412</v>
      </c>
      <c r="I207" s="153"/>
      <c r="J207" s="156"/>
      <c r="K207" s="156"/>
      <c r="L207" s="156"/>
      <c r="M207" s="157"/>
      <c r="N207" s="152" t="s">
        <v>8384</v>
      </c>
    </row>
    <row r="208">
      <c r="A208" s="152" t="s">
        <v>8432</v>
      </c>
      <c r="B208" s="152" t="s">
        <v>8433</v>
      </c>
      <c r="C208" s="152">
        <v>3.0</v>
      </c>
      <c r="D208" s="153"/>
      <c r="E208" s="153"/>
      <c r="F208" s="153"/>
      <c r="G208" s="152" t="s">
        <v>8406</v>
      </c>
      <c r="H208" s="155" t="s">
        <v>8413</v>
      </c>
      <c r="I208" s="153"/>
      <c r="J208" s="156"/>
      <c r="K208" s="156"/>
      <c r="L208" s="156"/>
      <c r="M208" s="157"/>
      <c r="N208" s="152" t="s">
        <v>8384</v>
      </c>
    </row>
    <row r="209">
      <c r="A209" s="152" t="s">
        <v>8432</v>
      </c>
      <c r="B209" s="152" t="s">
        <v>8433</v>
      </c>
      <c r="C209" s="152">
        <v>3.0</v>
      </c>
      <c r="D209" s="153"/>
      <c r="E209" s="153"/>
      <c r="F209" s="153"/>
      <c r="G209" s="152" t="s">
        <v>8406</v>
      </c>
      <c r="H209" s="155" t="s">
        <v>8414</v>
      </c>
      <c r="I209" s="153"/>
      <c r="J209" s="156"/>
      <c r="K209" s="156"/>
      <c r="L209" s="156"/>
      <c r="M209" s="157"/>
      <c r="N209" s="152" t="s">
        <v>8384</v>
      </c>
    </row>
    <row r="210">
      <c r="A210" s="152" t="s">
        <v>8432</v>
      </c>
      <c r="B210" s="152" t="s">
        <v>8433</v>
      </c>
      <c r="C210" s="152">
        <v>3.0</v>
      </c>
      <c r="D210" s="153"/>
      <c r="E210" s="153"/>
      <c r="F210" s="153"/>
      <c r="G210" s="152" t="s">
        <v>8406</v>
      </c>
      <c r="H210" s="155" t="s">
        <v>8415</v>
      </c>
      <c r="I210" s="153"/>
      <c r="J210" s="156"/>
      <c r="K210" s="156"/>
      <c r="L210" s="156"/>
      <c r="M210" s="157"/>
      <c r="N210" s="152" t="s">
        <v>8384</v>
      </c>
    </row>
    <row r="211">
      <c r="A211" s="152" t="s">
        <v>8432</v>
      </c>
      <c r="B211" s="152" t="s">
        <v>8433</v>
      </c>
      <c r="C211" s="152">
        <v>3.0</v>
      </c>
      <c r="D211" s="153"/>
      <c r="E211" s="153"/>
      <c r="F211" s="153"/>
      <c r="G211" s="152" t="s">
        <v>8406</v>
      </c>
      <c r="H211" s="155" t="s">
        <v>8416</v>
      </c>
      <c r="I211" s="153"/>
      <c r="J211" s="156"/>
      <c r="K211" s="156"/>
      <c r="L211" s="156"/>
      <c r="M211" s="157"/>
      <c r="N211" s="152" t="s">
        <v>8384</v>
      </c>
    </row>
    <row r="212">
      <c r="A212" s="152" t="s">
        <v>8432</v>
      </c>
      <c r="B212" s="152" t="s">
        <v>8433</v>
      </c>
      <c r="C212" s="152">
        <v>4.0</v>
      </c>
      <c r="D212" s="153"/>
      <c r="E212" s="152">
        <v>3.0</v>
      </c>
      <c r="F212" s="153"/>
      <c r="G212" s="152" t="s">
        <v>8406</v>
      </c>
      <c r="H212" s="155" t="s">
        <v>8417</v>
      </c>
      <c r="I212" s="155" t="s">
        <v>6507</v>
      </c>
      <c r="J212" s="156"/>
      <c r="K212" s="156"/>
      <c r="L212" s="156"/>
      <c r="M212" s="157"/>
      <c r="N212" s="152" t="s">
        <v>8395</v>
      </c>
    </row>
    <row r="213">
      <c r="A213" s="152" t="s">
        <v>8432</v>
      </c>
      <c r="B213" s="152" t="s">
        <v>8433</v>
      </c>
      <c r="C213" s="152">
        <v>4.0</v>
      </c>
      <c r="D213" s="153"/>
      <c r="E213" s="152">
        <v>3.0</v>
      </c>
      <c r="F213" s="153"/>
      <c r="G213" s="152" t="s">
        <v>8406</v>
      </c>
      <c r="H213" s="155" t="s">
        <v>8418</v>
      </c>
      <c r="I213" s="155" t="s">
        <v>6492</v>
      </c>
      <c r="J213" s="156"/>
      <c r="K213" s="156"/>
      <c r="L213" s="156"/>
      <c r="M213" s="157"/>
      <c r="N213" s="152" t="s">
        <v>8395</v>
      </c>
    </row>
    <row r="214">
      <c r="A214" s="152" t="s">
        <v>8432</v>
      </c>
      <c r="B214" s="152" t="s">
        <v>8433</v>
      </c>
      <c r="C214" s="152">
        <v>4.0</v>
      </c>
      <c r="D214" s="153"/>
      <c r="E214" s="152">
        <v>3.0</v>
      </c>
      <c r="F214" s="153"/>
      <c r="G214" s="152" t="s">
        <v>8406</v>
      </c>
      <c r="H214" s="155" t="s">
        <v>8419</v>
      </c>
      <c r="I214" s="155" t="s">
        <v>6978</v>
      </c>
      <c r="J214" s="156"/>
      <c r="K214" s="156"/>
      <c r="L214" s="156"/>
      <c r="M214" s="157"/>
      <c r="N214" s="152" t="s">
        <v>8395</v>
      </c>
    </row>
    <row r="215">
      <c r="A215" s="152" t="s">
        <v>8432</v>
      </c>
      <c r="B215" s="152" t="s">
        <v>8433</v>
      </c>
      <c r="C215" s="152">
        <v>4.0</v>
      </c>
      <c r="D215" s="153"/>
      <c r="E215" s="152">
        <v>3.0</v>
      </c>
      <c r="F215" s="153"/>
      <c r="G215" s="152" t="s">
        <v>8406</v>
      </c>
      <c r="H215" s="155" t="s">
        <v>8420</v>
      </c>
      <c r="I215" s="155" t="s">
        <v>6936</v>
      </c>
      <c r="J215" s="156"/>
      <c r="K215" s="156"/>
      <c r="L215" s="156"/>
      <c r="M215" s="157"/>
      <c r="N215" s="152" t="s">
        <v>8395</v>
      </c>
    </row>
    <row r="216">
      <c r="A216" s="152" t="s">
        <v>8432</v>
      </c>
      <c r="B216" s="152" t="s">
        <v>8433</v>
      </c>
      <c r="C216" s="152">
        <v>4.0</v>
      </c>
      <c r="D216" s="153"/>
      <c r="E216" s="152">
        <v>3.0</v>
      </c>
      <c r="F216" s="153"/>
      <c r="G216" s="152" t="s">
        <v>8406</v>
      </c>
      <c r="H216" s="155" t="s">
        <v>8421</v>
      </c>
      <c r="I216" s="155" t="s">
        <v>6620</v>
      </c>
      <c r="J216" s="156"/>
      <c r="K216" s="156"/>
      <c r="L216" s="156"/>
      <c r="M216" s="157"/>
      <c r="N216" s="152" t="s">
        <v>8395</v>
      </c>
    </row>
    <row r="217">
      <c r="A217" s="152" t="s">
        <v>8432</v>
      </c>
      <c r="B217" s="152" t="s">
        <v>8433</v>
      </c>
      <c r="C217" s="152">
        <v>4.0</v>
      </c>
      <c r="D217" s="153"/>
      <c r="E217" s="152">
        <v>3.0</v>
      </c>
      <c r="F217" s="153"/>
      <c r="G217" s="152" t="s">
        <v>8406</v>
      </c>
      <c r="H217" s="155" t="s">
        <v>8422</v>
      </c>
      <c r="I217" s="155" t="s">
        <v>6563</v>
      </c>
      <c r="J217" s="156"/>
      <c r="K217" s="156"/>
      <c r="L217" s="156"/>
      <c r="M217" s="157"/>
      <c r="N217" s="152" t="s">
        <v>8395</v>
      </c>
    </row>
    <row r="218">
      <c r="A218" s="152" t="s">
        <v>8432</v>
      </c>
      <c r="B218" s="152" t="s">
        <v>8433</v>
      </c>
      <c r="C218" s="152">
        <v>4.0</v>
      </c>
      <c r="D218" s="153"/>
      <c r="E218" s="152">
        <v>3.0</v>
      </c>
      <c r="F218" s="153"/>
      <c r="G218" s="152" t="s">
        <v>8406</v>
      </c>
      <c r="H218" s="155" t="s">
        <v>8423</v>
      </c>
      <c r="I218" s="155" t="s">
        <v>6701</v>
      </c>
      <c r="J218" s="156"/>
      <c r="K218" s="156"/>
      <c r="L218" s="156"/>
      <c r="M218" s="157"/>
      <c r="N218" s="152" t="s">
        <v>8395</v>
      </c>
    </row>
    <row r="219">
      <c r="A219" s="152" t="s">
        <v>8432</v>
      </c>
      <c r="B219" s="152" t="s">
        <v>8433</v>
      </c>
      <c r="C219" s="152">
        <v>4.0</v>
      </c>
      <c r="D219" s="153"/>
      <c r="E219" s="152">
        <v>3.0</v>
      </c>
      <c r="F219" s="153"/>
      <c r="G219" s="152" t="s">
        <v>8406</v>
      </c>
      <c r="H219" s="155" t="s">
        <v>8424</v>
      </c>
      <c r="I219" s="155" t="s">
        <v>6684</v>
      </c>
      <c r="J219" s="156"/>
      <c r="K219" s="156"/>
      <c r="L219" s="156"/>
      <c r="M219" s="157"/>
      <c r="N219" s="152" t="s">
        <v>8395</v>
      </c>
    </row>
    <row r="220">
      <c r="A220" s="152" t="s">
        <v>8432</v>
      </c>
      <c r="B220" s="152" t="s">
        <v>8433</v>
      </c>
      <c r="C220" s="152">
        <v>4.0</v>
      </c>
      <c r="D220" s="153"/>
      <c r="E220" s="152">
        <v>3.0</v>
      </c>
      <c r="F220" s="153"/>
      <c r="G220" s="152" t="s">
        <v>8406</v>
      </c>
      <c r="H220" s="155" t="s">
        <v>8425</v>
      </c>
      <c r="I220" s="155" t="s">
        <v>7039</v>
      </c>
      <c r="J220" s="156"/>
      <c r="K220" s="156"/>
      <c r="L220" s="156"/>
      <c r="M220" s="157"/>
      <c r="N220" s="152" t="s">
        <v>8395</v>
      </c>
    </row>
    <row r="221">
      <c r="A221" s="152" t="s">
        <v>8432</v>
      </c>
      <c r="B221" s="152" t="s">
        <v>8433</v>
      </c>
      <c r="C221" s="152">
        <v>4.0</v>
      </c>
      <c r="D221" s="153"/>
      <c r="E221" s="152">
        <v>3.0</v>
      </c>
      <c r="F221" s="153"/>
      <c r="G221" s="152" t="s">
        <v>8406</v>
      </c>
      <c r="H221" s="155" t="s">
        <v>8426</v>
      </c>
      <c r="I221" s="155" t="s">
        <v>7023</v>
      </c>
      <c r="J221" s="156"/>
      <c r="K221" s="156"/>
      <c r="L221" s="156"/>
      <c r="M221" s="157"/>
      <c r="N221" s="152" t="s">
        <v>8395</v>
      </c>
    </row>
    <row r="222">
      <c r="A222" s="152" t="s">
        <v>8432</v>
      </c>
      <c r="B222" s="152" t="s">
        <v>8433</v>
      </c>
      <c r="C222" s="152">
        <v>5.0</v>
      </c>
      <c r="D222" s="153"/>
      <c r="E222" s="153"/>
      <c r="F222" s="153"/>
      <c r="G222" s="152" t="s">
        <v>8427</v>
      </c>
      <c r="H222" s="155" t="s">
        <v>8407</v>
      </c>
      <c r="I222" s="153"/>
      <c r="J222" s="156"/>
      <c r="K222" s="156"/>
      <c r="L222" s="156"/>
      <c r="M222" s="157"/>
      <c r="N222" s="152" t="s">
        <v>8384</v>
      </c>
    </row>
    <row r="223">
      <c r="A223" s="152" t="s">
        <v>8432</v>
      </c>
      <c r="B223" s="152" t="s">
        <v>8433</v>
      </c>
      <c r="C223" s="152">
        <v>5.0</v>
      </c>
      <c r="D223" s="153"/>
      <c r="E223" s="153"/>
      <c r="F223" s="153"/>
      <c r="G223" s="152" t="s">
        <v>8427</v>
      </c>
      <c r="H223" s="155" t="s">
        <v>8408</v>
      </c>
      <c r="I223" s="153"/>
      <c r="J223" s="156"/>
      <c r="K223" s="156"/>
      <c r="L223" s="156"/>
      <c r="M223" s="157"/>
      <c r="N223" s="152" t="s">
        <v>8384</v>
      </c>
    </row>
    <row r="224">
      <c r="A224" s="152" t="s">
        <v>8432</v>
      </c>
      <c r="B224" s="152" t="s">
        <v>8433</v>
      </c>
      <c r="C224" s="152">
        <v>5.0</v>
      </c>
      <c r="D224" s="153"/>
      <c r="E224" s="153"/>
      <c r="F224" s="153"/>
      <c r="G224" s="152" t="s">
        <v>8427</v>
      </c>
      <c r="H224" s="155" t="s">
        <v>8409</v>
      </c>
      <c r="I224" s="153"/>
      <c r="J224" s="156"/>
      <c r="K224" s="156"/>
      <c r="L224" s="156"/>
      <c r="M224" s="157"/>
      <c r="N224" s="152" t="s">
        <v>8384</v>
      </c>
    </row>
    <row r="225">
      <c r="A225" s="152" t="s">
        <v>8432</v>
      </c>
      <c r="B225" s="152" t="s">
        <v>8433</v>
      </c>
      <c r="C225" s="152">
        <v>5.0</v>
      </c>
      <c r="D225" s="153"/>
      <c r="E225" s="153"/>
      <c r="F225" s="153"/>
      <c r="G225" s="152" t="s">
        <v>8427</v>
      </c>
      <c r="H225" s="155" t="s">
        <v>8410</v>
      </c>
      <c r="I225" s="153"/>
      <c r="J225" s="156"/>
      <c r="K225" s="156"/>
      <c r="L225" s="156"/>
      <c r="M225" s="157"/>
      <c r="N225" s="152" t="s">
        <v>8384</v>
      </c>
    </row>
    <row r="226">
      <c r="A226" s="152" t="s">
        <v>8432</v>
      </c>
      <c r="B226" s="152" t="s">
        <v>8433</v>
      </c>
      <c r="C226" s="152">
        <v>5.0</v>
      </c>
      <c r="D226" s="153"/>
      <c r="E226" s="153"/>
      <c r="F226" s="153"/>
      <c r="G226" s="152" t="s">
        <v>8427</v>
      </c>
      <c r="H226" s="155" t="s">
        <v>8411</v>
      </c>
      <c r="I226" s="153"/>
      <c r="J226" s="156"/>
      <c r="K226" s="156"/>
      <c r="L226" s="156"/>
      <c r="M226" s="157"/>
      <c r="N226" s="152" t="s">
        <v>8384</v>
      </c>
    </row>
    <row r="227">
      <c r="A227" s="152" t="s">
        <v>8432</v>
      </c>
      <c r="B227" s="152" t="s">
        <v>8433</v>
      </c>
      <c r="C227" s="152">
        <v>5.0</v>
      </c>
      <c r="D227" s="153"/>
      <c r="E227" s="153"/>
      <c r="F227" s="153"/>
      <c r="G227" s="152" t="s">
        <v>8427</v>
      </c>
      <c r="H227" s="155" t="s">
        <v>8412</v>
      </c>
      <c r="I227" s="153"/>
      <c r="J227" s="156"/>
      <c r="K227" s="156"/>
      <c r="L227" s="156"/>
      <c r="M227" s="157"/>
      <c r="N227" s="152" t="s">
        <v>8384</v>
      </c>
    </row>
    <row r="228">
      <c r="A228" s="152" t="s">
        <v>8432</v>
      </c>
      <c r="B228" s="152" t="s">
        <v>8433</v>
      </c>
      <c r="C228" s="152">
        <v>5.0</v>
      </c>
      <c r="D228" s="153"/>
      <c r="E228" s="153"/>
      <c r="F228" s="153"/>
      <c r="G228" s="152" t="s">
        <v>8427</v>
      </c>
      <c r="H228" s="155" t="s">
        <v>8413</v>
      </c>
      <c r="I228" s="153"/>
      <c r="J228" s="156"/>
      <c r="K228" s="156"/>
      <c r="L228" s="156"/>
      <c r="M228" s="157"/>
      <c r="N228" s="152" t="s">
        <v>8384</v>
      </c>
    </row>
    <row r="229">
      <c r="A229" s="152" t="s">
        <v>8432</v>
      </c>
      <c r="B229" s="152" t="s">
        <v>8433</v>
      </c>
      <c r="C229" s="152">
        <v>5.0</v>
      </c>
      <c r="D229" s="153"/>
      <c r="E229" s="153"/>
      <c r="F229" s="153"/>
      <c r="G229" s="152" t="s">
        <v>8427</v>
      </c>
      <c r="H229" s="155" t="s">
        <v>8414</v>
      </c>
      <c r="I229" s="153"/>
      <c r="J229" s="156"/>
      <c r="K229" s="156"/>
      <c r="L229" s="156"/>
      <c r="M229" s="157"/>
      <c r="N229" s="152" t="s">
        <v>8384</v>
      </c>
    </row>
    <row r="230">
      <c r="A230" s="152" t="s">
        <v>8432</v>
      </c>
      <c r="B230" s="152" t="s">
        <v>8433</v>
      </c>
      <c r="C230" s="152">
        <v>5.0</v>
      </c>
      <c r="D230" s="153"/>
      <c r="E230" s="153"/>
      <c r="F230" s="153"/>
      <c r="G230" s="152" t="s">
        <v>8427</v>
      </c>
      <c r="H230" s="155" t="s">
        <v>8415</v>
      </c>
      <c r="I230" s="153"/>
      <c r="J230" s="156"/>
      <c r="K230" s="156"/>
      <c r="L230" s="156"/>
      <c r="M230" s="157"/>
      <c r="N230" s="152" t="s">
        <v>8384</v>
      </c>
    </row>
    <row r="231">
      <c r="A231" s="152" t="s">
        <v>8432</v>
      </c>
      <c r="B231" s="152" t="s">
        <v>8433</v>
      </c>
      <c r="C231" s="152">
        <v>5.0</v>
      </c>
      <c r="D231" s="153"/>
      <c r="E231" s="153"/>
      <c r="F231" s="153"/>
      <c r="G231" s="152" t="s">
        <v>8427</v>
      </c>
      <c r="H231" s="155" t="s">
        <v>8416</v>
      </c>
      <c r="I231" s="153"/>
      <c r="J231" s="156"/>
      <c r="K231" s="156"/>
      <c r="L231" s="156"/>
      <c r="M231" s="157"/>
      <c r="N231" s="152" t="s">
        <v>8384</v>
      </c>
    </row>
    <row r="232">
      <c r="A232" s="152" t="s">
        <v>8432</v>
      </c>
      <c r="B232" s="152" t="s">
        <v>8433</v>
      </c>
      <c r="C232" s="152">
        <v>6.0</v>
      </c>
      <c r="D232" s="153"/>
      <c r="E232" s="152">
        <v>5.0</v>
      </c>
      <c r="F232" s="153"/>
      <c r="G232" s="152" t="s">
        <v>8427</v>
      </c>
      <c r="H232" s="155" t="s">
        <v>8417</v>
      </c>
      <c r="I232" s="155" t="s">
        <v>6507</v>
      </c>
      <c r="J232" s="156"/>
      <c r="K232" s="156"/>
      <c r="L232" s="156"/>
      <c r="M232" s="157"/>
      <c r="N232" s="152" t="s">
        <v>8395</v>
      </c>
    </row>
    <row r="233">
      <c r="A233" s="152" t="s">
        <v>8432</v>
      </c>
      <c r="B233" s="152" t="s">
        <v>8433</v>
      </c>
      <c r="C233" s="152">
        <v>6.0</v>
      </c>
      <c r="D233" s="153"/>
      <c r="E233" s="152">
        <v>5.0</v>
      </c>
      <c r="F233" s="153"/>
      <c r="G233" s="152" t="s">
        <v>8427</v>
      </c>
      <c r="H233" s="155" t="s">
        <v>8418</v>
      </c>
      <c r="I233" s="155" t="s">
        <v>6492</v>
      </c>
      <c r="J233" s="156"/>
      <c r="K233" s="156"/>
      <c r="L233" s="156"/>
      <c r="M233" s="157"/>
      <c r="N233" s="152" t="s">
        <v>8395</v>
      </c>
    </row>
    <row r="234">
      <c r="A234" s="152" t="s">
        <v>8432</v>
      </c>
      <c r="B234" s="152" t="s">
        <v>8433</v>
      </c>
      <c r="C234" s="152">
        <v>6.0</v>
      </c>
      <c r="D234" s="153"/>
      <c r="E234" s="152">
        <v>5.0</v>
      </c>
      <c r="F234" s="153"/>
      <c r="G234" s="152" t="s">
        <v>8427</v>
      </c>
      <c r="H234" s="155" t="s">
        <v>8419</v>
      </c>
      <c r="I234" s="155" t="s">
        <v>6978</v>
      </c>
      <c r="J234" s="156"/>
      <c r="K234" s="156"/>
      <c r="L234" s="156"/>
      <c r="M234" s="157"/>
      <c r="N234" s="152" t="s">
        <v>8395</v>
      </c>
    </row>
    <row r="235">
      <c r="A235" s="152" t="s">
        <v>8432</v>
      </c>
      <c r="B235" s="152" t="s">
        <v>8433</v>
      </c>
      <c r="C235" s="152">
        <v>6.0</v>
      </c>
      <c r="D235" s="153"/>
      <c r="E235" s="152">
        <v>5.0</v>
      </c>
      <c r="F235" s="153"/>
      <c r="G235" s="152" t="s">
        <v>8427</v>
      </c>
      <c r="H235" s="155" t="s">
        <v>8420</v>
      </c>
      <c r="I235" s="155" t="s">
        <v>6936</v>
      </c>
      <c r="J235" s="156"/>
      <c r="K235" s="156"/>
      <c r="L235" s="156"/>
      <c r="M235" s="157"/>
      <c r="N235" s="152" t="s">
        <v>8395</v>
      </c>
    </row>
    <row r="236">
      <c r="A236" s="152" t="s">
        <v>8432</v>
      </c>
      <c r="B236" s="152" t="s">
        <v>8433</v>
      </c>
      <c r="C236" s="152">
        <v>6.0</v>
      </c>
      <c r="D236" s="153"/>
      <c r="E236" s="152">
        <v>5.0</v>
      </c>
      <c r="F236" s="153"/>
      <c r="G236" s="152" t="s">
        <v>8427</v>
      </c>
      <c r="H236" s="155" t="s">
        <v>8421</v>
      </c>
      <c r="I236" s="155" t="s">
        <v>6620</v>
      </c>
      <c r="J236" s="156"/>
      <c r="K236" s="156"/>
      <c r="L236" s="156"/>
      <c r="M236" s="157"/>
      <c r="N236" s="152" t="s">
        <v>8395</v>
      </c>
    </row>
    <row r="237">
      <c r="A237" s="152" t="s">
        <v>8432</v>
      </c>
      <c r="B237" s="152" t="s">
        <v>8433</v>
      </c>
      <c r="C237" s="152">
        <v>6.0</v>
      </c>
      <c r="D237" s="153"/>
      <c r="E237" s="152">
        <v>5.0</v>
      </c>
      <c r="F237" s="153"/>
      <c r="G237" s="152" t="s">
        <v>8427</v>
      </c>
      <c r="H237" s="155" t="s">
        <v>8422</v>
      </c>
      <c r="I237" s="155" t="s">
        <v>6563</v>
      </c>
      <c r="J237" s="156"/>
      <c r="K237" s="156"/>
      <c r="L237" s="156"/>
      <c r="M237" s="157"/>
      <c r="N237" s="152" t="s">
        <v>8395</v>
      </c>
    </row>
    <row r="238">
      <c r="A238" s="152" t="s">
        <v>8432</v>
      </c>
      <c r="B238" s="152" t="s">
        <v>8433</v>
      </c>
      <c r="C238" s="152">
        <v>6.0</v>
      </c>
      <c r="D238" s="153"/>
      <c r="E238" s="152">
        <v>5.0</v>
      </c>
      <c r="F238" s="153"/>
      <c r="G238" s="152" t="s">
        <v>8427</v>
      </c>
      <c r="H238" s="155" t="s">
        <v>8423</v>
      </c>
      <c r="I238" s="155" t="s">
        <v>6701</v>
      </c>
      <c r="J238" s="156"/>
      <c r="K238" s="156"/>
      <c r="L238" s="156"/>
      <c r="M238" s="157"/>
      <c r="N238" s="152" t="s">
        <v>8395</v>
      </c>
    </row>
    <row r="239">
      <c r="A239" s="152" t="s">
        <v>8432</v>
      </c>
      <c r="B239" s="152" t="s">
        <v>8433</v>
      </c>
      <c r="C239" s="152">
        <v>6.0</v>
      </c>
      <c r="D239" s="153"/>
      <c r="E239" s="152">
        <v>5.0</v>
      </c>
      <c r="F239" s="153"/>
      <c r="G239" s="152" t="s">
        <v>8427</v>
      </c>
      <c r="H239" s="155" t="s">
        <v>8424</v>
      </c>
      <c r="I239" s="155" t="s">
        <v>6684</v>
      </c>
      <c r="J239" s="156"/>
      <c r="K239" s="156"/>
      <c r="L239" s="156"/>
      <c r="M239" s="157"/>
      <c r="N239" s="152" t="s">
        <v>8395</v>
      </c>
    </row>
    <row r="240">
      <c r="A240" s="152" t="s">
        <v>8432</v>
      </c>
      <c r="B240" s="152" t="s">
        <v>8433</v>
      </c>
      <c r="C240" s="152">
        <v>6.0</v>
      </c>
      <c r="D240" s="153"/>
      <c r="E240" s="152">
        <v>5.0</v>
      </c>
      <c r="F240" s="153"/>
      <c r="G240" s="152" t="s">
        <v>8427</v>
      </c>
      <c r="H240" s="155" t="s">
        <v>8425</v>
      </c>
      <c r="I240" s="155" t="s">
        <v>7039</v>
      </c>
      <c r="J240" s="156"/>
      <c r="K240" s="156"/>
      <c r="L240" s="156"/>
      <c r="M240" s="157"/>
      <c r="N240" s="152" t="s">
        <v>8395</v>
      </c>
    </row>
    <row r="241">
      <c r="A241" s="152" t="s">
        <v>8432</v>
      </c>
      <c r="B241" s="152" t="s">
        <v>8433</v>
      </c>
      <c r="C241" s="152">
        <v>6.0</v>
      </c>
      <c r="D241" s="153"/>
      <c r="E241" s="152">
        <v>5.0</v>
      </c>
      <c r="F241" s="153"/>
      <c r="G241" s="152" t="s">
        <v>8427</v>
      </c>
      <c r="H241" s="155" t="s">
        <v>8426</v>
      </c>
      <c r="I241" s="155" t="s">
        <v>7023</v>
      </c>
      <c r="J241" s="156"/>
      <c r="K241" s="156"/>
      <c r="L241" s="156"/>
      <c r="M241" s="157"/>
      <c r="N241" s="152" t="s">
        <v>8395</v>
      </c>
    </row>
    <row r="242">
      <c r="A242" s="152" t="s">
        <v>8434</v>
      </c>
      <c r="B242" s="152" t="s">
        <v>8435</v>
      </c>
      <c r="C242" s="152">
        <v>1.0</v>
      </c>
      <c r="D242" s="153"/>
      <c r="E242" s="153"/>
      <c r="F242" s="153"/>
      <c r="G242" s="152" t="s">
        <v>8382</v>
      </c>
      <c r="H242" s="152" t="s">
        <v>8383</v>
      </c>
      <c r="I242" s="153"/>
      <c r="J242" s="152" t="s">
        <v>23</v>
      </c>
      <c r="K242" s="152">
        <v>719.0</v>
      </c>
      <c r="L242" s="153"/>
      <c r="M242" s="154"/>
      <c r="N242" s="152" t="s">
        <v>8384</v>
      </c>
    </row>
    <row r="243">
      <c r="A243" s="152" t="s">
        <v>8434</v>
      </c>
      <c r="B243" s="152" t="s">
        <v>8435</v>
      </c>
      <c r="C243" s="152">
        <v>1.0</v>
      </c>
      <c r="D243" s="153"/>
      <c r="E243" s="153"/>
      <c r="F243" s="153"/>
      <c r="G243" s="152" t="s">
        <v>8382</v>
      </c>
      <c r="H243" s="152" t="s">
        <v>8385</v>
      </c>
      <c r="I243" s="153"/>
      <c r="J243" s="152" t="s">
        <v>23</v>
      </c>
      <c r="K243" s="152">
        <v>759.0</v>
      </c>
      <c r="L243" s="153"/>
      <c r="M243" s="154"/>
      <c r="N243" s="152" t="s">
        <v>8384</v>
      </c>
    </row>
    <row r="244">
      <c r="A244" s="152" t="s">
        <v>8434</v>
      </c>
      <c r="B244" s="152" t="s">
        <v>8435</v>
      </c>
      <c r="C244" s="152">
        <v>1.0</v>
      </c>
      <c r="D244" s="153"/>
      <c r="E244" s="153"/>
      <c r="F244" s="153"/>
      <c r="G244" s="152" t="s">
        <v>8382</v>
      </c>
      <c r="H244" s="152" t="s">
        <v>8386</v>
      </c>
      <c r="I244" s="153"/>
      <c r="J244" s="152" t="s">
        <v>23</v>
      </c>
      <c r="K244" s="152">
        <v>759.0</v>
      </c>
      <c r="L244" s="153"/>
      <c r="M244" s="154"/>
      <c r="N244" s="152" t="s">
        <v>8384</v>
      </c>
    </row>
    <row r="245">
      <c r="A245" s="152" t="s">
        <v>8434</v>
      </c>
      <c r="B245" s="152" t="s">
        <v>8435</v>
      </c>
      <c r="C245" s="152">
        <v>1.0</v>
      </c>
      <c r="D245" s="153"/>
      <c r="E245" s="153"/>
      <c r="F245" s="153"/>
      <c r="G245" s="152" t="s">
        <v>8382</v>
      </c>
      <c r="H245" s="152" t="s">
        <v>8387</v>
      </c>
      <c r="I245" s="153"/>
      <c r="J245" s="152" t="s">
        <v>23</v>
      </c>
      <c r="K245" s="152">
        <v>759.0</v>
      </c>
      <c r="L245" s="153"/>
      <c r="M245" s="154"/>
      <c r="N245" s="152" t="s">
        <v>8384</v>
      </c>
    </row>
    <row r="246">
      <c r="A246" s="152" t="s">
        <v>8434</v>
      </c>
      <c r="B246" s="152" t="s">
        <v>8435</v>
      </c>
      <c r="C246" s="152">
        <v>1.0</v>
      </c>
      <c r="D246" s="153"/>
      <c r="E246" s="153"/>
      <c r="F246" s="153"/>
      <c r="G246" s="152" t="s">
        <v>8382</v>
      </c>
      <c r="H246" s="152" t="s">
        <v>8388</v>
      </c>
      <c r="I246" s="153"/>
      <c r="J246" s="152" t="s">
        <v>23</v>
      </c>
      <c r="K246" s="152">
        <v>759.0</v>
      </c>
      <c r="L246" s="153"/>
      <c r="M246" s="154"/>
      <c r="N246" s="152" t="s">
        <v>8384</v>
      </c>
    </row>
    <row r="247">
      <c r="A247" s="152" t="s">
        <v>8434</v>
      </c>
      <c r="B247" s="152" t="s">
        <v>8435</v>
      </c>
      <c r="C247" s="152">
        <v>1.0</v>
      </c>
      <c r="D247" s="153"/>
      <c r="E247" s="153"/>
      <c r="F247" s="153"/>
      <c r="G247" s="152" t="s">
        <v>8382</v>
      </c>
      <c r="H247" s="152" t="s">
        <v>8389</v>
      </c>
      <c r="I247" s="153"/>
      <c r="J247" s="152" t="s">
        <v>23</v>
      </c>
      <c r="K247" s="152">
        <v>889.0</v>
      </c>
      <c r="L247" s="153"/>
      <c r="M247" s="154"/>
      <c r="N247" s="152" t="s">
        <v>8384</v>
      </c>
    </row>
    <row r="248">
      <c r="A248" s="152" t="s">
        <v>8434</v>
      </c>
      <c r="B248" s="152" t="s">
        <v>8435</v>
      </c>
      <c r="C248" s="152">
        <v>1.0</v>
      </c>
      <c r="D248" s="153"/>
      <c r="E248" s="153"/>
      <c r="F248" s="153"/>
      <c r="G248" s="152" t="s">
        <v>8382</v>
      </c>
      <c r="H248" s="152" t="s">
        <v>5767</v>
      </c>
      <c r="I248" s="153"/>
      <c r="J248" s="152" t="s">
        <v>23</v>
      </c>
      <c r="K248" s="152">
        <v>889.0</v>
      </c>
      <c r="L248" s="153"/>
      <c r="M248" s="154"/>
      <c r="N248" s="152" t="s">
        <v>8384</v>
      </c>
    </row>
    <row r="249">
      <c r="A249" s="152" t="s">
        <v>8434</v>
      </c>
      <c r="B249" s="152" t="s">
        <v>8435</v>
      </c>
      <c r="C249" s="152">
        <v>1.0</v>
      </c>
      <c r="D249" s="153"/>
      <c r="E249" s="153"/>
      <c r="F249" s="153"/>
      <c r="G249" s="152" t="s">
        <v>8382</v>
      </c>
      <c r="H249" s="152" t="s">
        <v>8390</v>
      </c>
      <c r="I249" s="153"/>
      <c r="J249" s="152" t="s">
        <v>23</v>
      </c>
      <c r="K249" s="152">
        <v>889.0</v>
      </c>
      <c r="L249" s="153"/>
      <c r="M249" s="154"/>
      <c r="N249" s="152" t="s">
        <v>8384</v>
      </c>
    </row>
    <row r="250">
      <c r="A250" s="152" t="s">
        <v>8434</v>
      </c>
      <c r="B250" s="152" t="s">
        <v>8435</v>
      </c>
      <c r="C250" s="152">
        <v>1.0</v>
      </c>
      <c r="D250" s="153"/>
      <c r="E250" s="153"/>
      <c r="F250" s="153"/>
      <c r="G250" s="152" t="s">
        <v>8382</v>
      </c>
      <c r="H250" s="152" t="s">
        <v>8391</v>
      </c>
      <c r="I250" s="153"/>
      <c r="J250" s="152" t="s">
        <v>23</v>
      </c>
      <c r="K250" s="152">
        <v>889.0</v>
      </c>
      <c r="L250" s="153"/>
      <c r="M250" s="154"/>
      <c r="N250" s="152" t="s">
        <v>8384</v>
      </c>
    </row>
    <row r="251">
      <c r="A251" s="152" t="s">
        <v>8434</v>
      </c>
      <c r="B251" s="152" t="s">
        <v>8435</v>
      </c>
      <c r="C251" s="152">
        <v>1.0</v>
      </c>
      <c r="D251" s="153"/>
      <c r="E251" s="153"/>
      <c r="F251" s="153"/>
      <c r="G251" s="152" t="s">
        <v>8382</v>
      </c>
      <c r="H251" s="152" t="s">
        <v>8392</v>
      </c>
      <c r="I251" s="153"/>
      <c r="J251" s="152" t="s">
        <v>23</v>
      </c>
      <c r="K251" s="152">
        <v>889.0</v>
      </c>
      <c r="L251" s="153"/>
      <c r="M251" s="154"/>
      <c r="N251" s="152" t="s">
        <v>8384</v>
      </c>
      <c r="O251" s="158"/>
    </row>
    <row r="252">
      <c r="A252" s="152" t="s">
        <v>8434</v>
      </c>
      <c r="B252" s="152" t="s">
        <v>8435</v>
      </c>
      <c r="C252" s="152">
        <v>2.0</v>
      </c>
      <c r="D252" s="153"/>
      <c r="E252" s="152">
        <v>1.0</v>
      </c>
      <c r="F252" s="153"/>
      <c r="G252" s="152" t="s">
        <v>8393</v>
      </c>
      <c r="H252" s="152" t="s">
        <v>8394</v>
      </c>
      <c r="I252" s="152" t="s">
        <v>6862</v>
      </c>
      <c r="J252" s="153"/>
      <c r="K252" s="153"/>
      <c r="L252" s="153"/>
      <c r="M252" s="154"/>
      <c r="N252" s="152" t="s">
        <v>8395</v>
      </c>
      <c r="O252" s="158"/>
    </row>
    <row r="253">
      <c r="A253" s="152" t="s">
        <v>8434</v>
      </c>
      <c r="B253" s="152" t="s">
        <v>8435</v>
      </c>
      <c r="C253" s="152">
        <v>2.0</v>
      </c>
      <c r="D253" s="153"/>
      <c r="E253" s="152">
        <v>1.0</v>
      </c>
      <c r="F253" s="153"/>
      <c r="G253" s="152" t="s">
        <v>8393</v>
      </c>
      <c r="H253" s="152" t="s">
        <v>8396</v>
      </c>
      <c r="I253" s="152" t="s">
        <v>6893</v>
      </c>
      <c r="J253" s="153"/>
      <c r="K253" s="153"/>
      <c r="L253" s="153"/>
      <c r="M253" s="154"/>
      <c r="N253" s="152" t="s">
        <v>8395</v>
      </c>
      <c r="O253" s="158"/>
    </row>
    <row r="254">
      <c r="A254" s="152" t="s">
        <v>8434</v>
      </c>
      <c r="B254" s="152" t="s">
        <v>8435</v>
      </c>
      <c r="C254" s="152">
        <v>2.0</v>
      </c>
      <c r="D254" s="153"/>
      <c r="E254" s="152">
        <v>1.0</v>
      </c>
      <c r="F254" s="153"/>
      <c r="G254" s="152" t="s">
        <v>8393</v>
      </c>
      <c r="H254" s="152" t="s">
        <v>8397</v>
      </c>
      <c r="I254" s="152" t="s">
        <v>6796</v>
      </c>
      <c r="J254" s="153"/>
      <c r="K254" s="153"/>
      <c r="L254" s="153"/>
      <c r="M254" s="154"/>
      <c r="N254" s="152" t="s">
        <v>8395</v>
      </c>
      <c r="O254" s="158"/>
    </row>
    <row r="255">
      <c r="A255" s="152" t="s">
        <v>8434</v>
      </c>
      <c r="B255" s="152" t="s">
        <v>8435</v>
      </c>
      <c r="C255" s="152">
        <v>2.0</v>
      </c>
      <c r="D255" s="153"/>
      <c r="E255" s="152">
        <v>1.0</v>
      </c>
      <c r="F255" s="153"/>
      <c r="G255" s="152" t="s">
        <v>8393</v>
      </c>
      <c r="H255" s="152" t="s">
        <v>8398</v>
      </c>
      <c r="I255" s="152" t="s">
        <v>6726</v>
      </c>
      <c r="J255" s="153"/>
      <c r="K255" s="153"/>
      <c r="L255" s="153"/>
      <c r="M255" s="154"/>
      <c r="N255" s="152" t="s">
        <v>8395</v>
      </c>
      <c r="O255" s="158"/>
    </row>
    <row r="256">
      <c r="A256" s="152" t="s">
        <v>8434</v>
      </c>
      <c r="B256" s="152" t="s">
        <v>8435</v>
      </c>
      <c r="C256" s="152">
        <v>2.0</v>
      </c>
      <c r="D256" s="153"/>
      <c r="E256" s="152">
        <v>1.0</v>
      </c>
      <c r="F256" s="153"/>
      <c r="G256" s="152" t="s">
        <v>8393</v>
      </c>
      <c r="H256" s="152" t="s">
        <v>8399</v>
      </c>
      <c r="I256" s="152" t="s">
        <v>6924</v>
      </c>
      <c r="J256" s="153"/>
      <c r="K256" s="153"/>
      <c r="L256" s="153"/>
      <c r="M256" s="154"/>
      <c r="N256" s="152" t="s">
        <v>8395</v>
      </c>
      <c r="O256" s="158"/>
    </row>
    <row r="257">
      <c r="A257" s="152" t="s">
        <v>8434</v>
      </c>
      <c r="B257" s="152" t="s">
        <v>8435</v>
      </c>
      <c r="C257" s="152">
        <v>2.0</v>
      </c>
      <c r="D257" s="153"/>
      <c r="E257" s="152">
        <v>1.0</v>
      </c>
      <c r="F257" s="153"/>
      <c r="G257" s="152" t="s">
        <v>8393</v>
      </c>
      <c r="H257" s="152" t="s">
        <v>8400</v>
      </c>
      <c r="I257" s="152" t="s">
        <v>6893</v>
      </c>
      <c r="J257" s="153"/>
      <c r="K257" s="153"/>
      <c r="L257" s="153"/>
      <c r="M257" s="154"/>
      <c r="N257" s="152" t="s">
        <v>8395</v>
      </c>
      <c r="O257" s="158"/>
    </row>
    <row r="258">
      <c r="A258" s="152" t="s">
        <v>8434</v>
      </c>
      <c r="B258" s="152" t="s">
        <v>8435</v>
      </c>
      <c r="C258" s="152">
        <v>2.0</v>
      </c>
      <c r="D258" s="153"/>
      <c r="E258" s="152">
        <v>1.0</v>
      </c>
      <c r="F258" s="153"/>
      <c r="G258" s="152" t="s">
        <v>8393</v>
      </c>
      <c r="H258" s="152" t="s">
        <v>8401</v>
      </c>
      <c r="I258" s="152" t="s">
        <v>6796</v>
      </c>
      <c r="J258" s="153"/>
      <c r="K258" s="153"/>
      <c r="L258" s="153"/>
      <c r="M258" s="154"/>
      <c r="N258" s="152" t="s">
        <v>8395</v>
      </c>
      <c r="O258" s="158"/>
    </row>
    <row r="259">
      <c r="A259" s="152" t="s">
        <v>8434</v>
      </c>
      <c r="B259" s="152" t="s">
        <v>8435</v>
      </c>
      <c r="C259" s="152">
        <v>2.0</v>
      </c>
      <c r="D259" s="153"/>
      <c r="E259" s="152">
        <v>1.0</v>
      </c>
      <c r="F259" s="153"/>
      <c r="G259" s="152" t="s">
        <v>8393</v>
      </c>
      <c r="H259" s="152" t="s">
        <v>8402</v>
      </c>
      <c r="I259" s="152" t="s">
        <v>6831</v>
      </c>
      <c r="J259" s="153"/>
      <c r="K259" s="153"/>
      <c r="L259" s="153"/>
      <c r="M259" s="154"/>
      <c r="N259" s="152" t="s">
        <v>8395</v>
      </c>
      <c r="O259" s="158"/>
    </row>
    <row r="260">
      <c r="A260" s="152" t="s">
        <v>8434</v>
      </c>
      <c r="B260" s="152" t="s">
        <v>8435</v>
      </c>
      <c r="C260" s="152">
        <v>2.0</v>
      </c>
      <c r="D260" s="153"/>
      <c r="E260" s="152">
        <v>1.0</v>
      </c>
      <c r="F260" s="153"/>
      <c r="G260" s="152" t="s">
        <v>8393</v>
      </c>
      <c r="H260" s="152" t="s">
        <v>8403</v>
      </c>
      <c r="I260" s="152" t="s">
        <v>6836</v>
      </c>
      <c r="J260" s="153"/>
      <c r="K260" s="153"/>
      <c r="L260" s="153"/>
      <c r="M260" s="154"/>
      <c r="N260" s="152" t="s">
        <v>8395</v>
      </c>
      <c r="O260" s="158"/>
    </row>
    <row r="261">
      <c r="A261" s="152" t="s">
        <v>8434</v>
      </c>
      <c r="B261" s="152" t="s">
        <v>8435</v>
      </c>
      <c r="C261" s="152">
        <v>2.0</v>
      </c>
      <c r="D261" s="153"/>
      <c r="E261" s="152">
        <v>1.0</v>
      </c>
      <c r="F261" s="153"/>
      <c r="G261" s="152" t="s">
        <v>8393</v>
      </c>
      <c r="H261" s="152" t="s">
        <v>8404</v>
      </c>
      <c r="I261" s="152" t="s">
        <v>8405</v>
      </c>
      <c r="J261" s="153"/>
      <c r="K261" s="153"/>
      <c r="L261" s="153"/>
      <c r="M261" s="154"/>
      <c r="N261" s="152" t="s">
        <v>8395</v>
      </c>
      <c r="O261" s="158"/>
    </row>
    <row r="262">
      <c r="A262" s="152" t="s">
        <v>8434</v>
      </c>
      <c r="B262" s="152" t="s">
        <v>8435</v>
      </c>
      <c r="C262" s="152">
        <v>3.0</v>
      </c>
      <c r="D262" s="153"/>
      <c r="E262" s="153"/>
      <c r="F262" s="153"/>
      <c r="G262" s="152" t="s">
        <v>8436</v>
      </c>
      <c r="H262" s="155" t="s">
        <v>8407</v>
      </c>
      <c r="I262" s="153"/>
      <c r="J262" s="156"/>
      <c r="K262" s="156"/>
      <c r="L262" s="156"/>
      <c r="M262" s="157"/>
      <c r="N262" s="152" t="s">
        <v>8384</v>
      </c>
      <c r="O262" s="158"/>
    </row>
    <row r="263">
      <c r="A263" s="152" t="s">
        <v>8434</v>
      </c>
      <c r="B263" s="152" t="s">
        <v>8435</v>
      </c>
      <c r="C263" s="152">
        <v>3.0</v>
      </c>
      <c r="D263" s="153"/>
      <c r="E263" s="153"/>
      <c r="F263" s="153"/>
      <c r="G263" s="152" t="s">
        <v>8436</v>
      </c>
      <c r="H263" s="155" t="s">
        <v>8408</v>
      </c>
      <c r="I263" s="153"/>
      <c r="J263" s="156"/>
      <c r="K263" s="156"/>
      <c r="L263" s="156"/>
      <c r="M263" s="157"/>
      <c r="N263" s="152" t="s">
        <v>8384</v>
      </c>
      <c r="O263" s="158"/>
    </row>
    <row r="264">
      <c r="A264" s="152" t="s">
        <v>8434</v>
      </c>
      <c r="B264" s="152" t="s">
        <v>8435</v>
      </c>
      <c r="C264" s="152">
        <v>3.0</v>
      </c>
      <c r="D264" s="153"/>
      <c r="E264" s="153"/>
      <c r="F264" s="153"/>
      <c r="G264" s="152" t="s">
        <v>8436</v>
      </c>
      <c r="H264" s="155" t="s">
        <v>8409</v>
      </c>
      <c r="I264" s="153"/>
      <c r="J264" s="156"/>
      <c r="K264" s="156"/>
      <c r="L264" s="156"/>
      <c r="M264" s="157"/>
      <c r="N264" s="152" t="s">
        <v>8384</v>
      </c>
      <c r="O264" s="158"/>
    </row>
    <row r="265">
      <c r="A265" s="152" t="s">
        <v>8434</v>
      </c>
      <c r="B265" s="152" t="s">
        <v>8435</v>
      </c>
      <c r="C265" s="152">
        <v>3.0</v>
      </c>
      <c r="D265" s="153"/>
      <c r="E265" s="153"/>
      <c r="F265" s="153"/>
      <c r="G265" s="152" t="s">
        <v>8436</v>
      </c>
      <c r="H265" s="155" t="s">
        <v>8410</v>
      </c>
      <c r="I265" s="153"/>
      <c r="J265" s="156"/>
      <c r="K265" s="156"/>
      <c r="L265" s="156"/>
      <c r="M265" s="157"/>
      <c r="N265" s="152" t="s">
        <v>8384</v>
      </c>
      <c r="O265" s="158"/>
    </row>
    <row r="266">
      <c r="A266" s="152" t="s">
        <v>8434</v>
      </c>
      <c r="B266" s="152" t="s">
        <v>8435</v>
      </c>
      <c r="C266" s="152">
        <v>3.0</v>
      </c>
      <c r="D266" s="153"/>
      <c r="E266" s="153"/>
      <c r="F266" s="153"/>
      <c r="G266" s="152" t="s">
        <v>8436</v>
      </c>
      <c r="H266" s="155" t="s">
        <v>8411</v>
      </c>
      <c r="I266" s="153"/>
      <c r="J266" s="156"/>
      <c r="K266" s="156"/>
      <c r="L266" s="156"/>
      <c r="M266" s="157"/>
      <c r="N266" s="152" t="s">
        <v>8384</v>
      </c>
      <c r="O266" s="158"/>
    </row>
    <row r="267">
      <c r="A267" s="152" t="s">
        <v>8434</v>
      </c>
      <c r="B267" s="152" t="s">
        <v>8435</v>
      </c>
      <c r="C267" s="152">
        <v>3.0</v>
      </c>
      <c r="D267" s="153"/>
      <c r="E267" s="153"/>
      <c r="F267" s="153"/>
      <c r="G267" s="152" t="s">
        <v>8436</v>
      </c>
      <c r="H267" s="155" t="s">
        <v>8412</v>
      </c>
      <c r="I267" s="153"/>
      <c r="J267" s="156"/>
      <c r="K267" s="156"/>
      <c r="L267" s="156"/>
      <c r="M267" s="157"/>
      <c r="N267" s="152" t="s">
        <v>8384</v>
      </c>
      <c r="O267" s="158"/>
    </row>
    <row r="268">
      <c r="A268" s="152" t="s">
        <v>8434</v>
      </c>
      <c r="B268" s="152" t="s">
        <v>8435</v>
      </c>
      <c r="C268" s="152">
        <v>3.0</v>
      </c>
      <c r="D268" s="153"/>
      <c r="E268" s="153"/>
      <c r="F268" s="153"/>
      <c r="G268" s="152" t="s">
        <v>8436</v>
      </c>
      <c r="H268" s="155" t="s">
        <v>8413</v>
      </c>
      <c r="I268" s="153"/>
      <c r="J268" s="156"/>
      <c r="K268" s="156"/>
      <c r="L268" s="156"/>
      <c r="M268" s="157"/>
      <c r="N268" s="152" t="s">
        <v>8384</v>
      </c>
      <c r="O268" s="158"/>
    </row>
    <row r="269">
      <c r="A269" s="152" t="s">
        <v>8434</v>
      </c>
      <c r="B269" s="152" t="s">
        <v>8435</v>
      </c>
      <c r="C269" s="152">
        <v>3.0</v>
      </c>
      <c r="D269" s="153"/>
      <c r="E269" s="153"/>
      <c r="F269" s="153"/>
      <c r="G269" s="152" t="s">
        <v>8436</v>
      </c>
      <c r="H269" s="155" t="s">
        <v>8414</v>
      </c>
      <c r="I269" s="153"/>
      <c r="J269" s="156"/>
      <c r="K269" s="156"/>
      <c r="L269" s="156"/>
      <c r="M269" s="157"/>
      <c r="N269" s="152" t="s">
        <v>8384</v>
      </c>
      <c r="O269" s="158"/>
    </row>
    <row r="270">
      <c r="A270" s="152" t="s">
        <v>8434</v>
      </c>
      <c r="B270" s="152" t="s">
        <v>8435</v>
      </c>
      <c r="C270" s="152">
        <v>3.0</v>
      </c>
      <c r="D270" s="153"/>
      <c r="E270" s="153"/>
      <c r="F270" s="153"/>
      <c r="G270" s="152" t="s">
        <v>8436</v>
      </c>
      <c r="H270" s="155" t="s">
        <v>8415</v>
      </c>
      <c r="I270" s="153"/>
      <c r="J270" s="156"/>
      <c r="K270" s="156"/>
      <c r="L270" s="156"/>
      <c r="M270" s="157"/>
      <c r="N270" s="152" t="s">
        <v>8384</v>
      </c>
      <c r="O270" s="158"/>
    </row>
    <row r="271">
      <c r="A271" s="152" t="s">
        <v>8434</v>
      </c>
      <c r="B271" s="152" t="s">
        <v>8435</v>
      </c>
      <c r="C271" s="152">
        <v>3.0</v>
      </c>
      <c r="D271" s="153"/>
      <c r="E271" s="153"/>
      <c r="F271" s="153"/>
      <c r="G271" s="152" t="s">
        <v>8436</v>
      </c>
      <c r="H271" s="155" t="s">
        <v>8416</v>
      </c>
      <c r="I271" s="153"/>
      <c r="J271" s="156"/>
      <c r="K271" s="156"/>
      <c r="L271" s="156"/>
      <c r="M271" s="157"/>
      <c r="N271" s="152" t="s">
        <v>8384</v>
      </c>
      <c r="O271" s="158"/>
    </row>
    <row r="272">
      <c r="A272" s="152" t="s">
        <v>8434</v>
      </c>
      <c r="B272" s="152" t="s">
        <v>8435</v>
      </c>
      <c r="C272" s="152">
        <v>4.0</v>
      </c>
      <c r="D272" s="153"/>
      <c r="E272" s="152">
        <v>3.0</v>
      </c>
      <c r="F272" s="153"/>
      <c r="G272" s="152" t="s">
        <v>8436</v>
      </c>
      <c r="H272" s="155" t="s">
        <v>8417</v>
      </c>
      <c r="I272" s="155" t="s">
        <v>6507</v>
      </c>
      <c r="J272" s="156"/>
      <c r="K272" s="156"/>
      <c r="L272" s="156"/>
      <c r="M272" s="157"/>
      <c r="N272" s="152" t="s">
        <v>8395</v>
      </c>
      <c r="O272" s="158"/>
    </row>
    <row r="273">
      <c r="A273" s="152" t="s">
        <v>8434</v>
      </c>
      <c r="B273" s="152" t="s">
        <v>8435</v>
      </c>
      <c r="C273" s="152">
        <v>4.0</v>
      </c>
      <c r="D273" s="153"/>
      <c r="E273" s="152">
        <v>3.0</v>
      </c>
      <c r="F273" s="153"/>
      <c r="G273" s="152" t="s">
        <v>8436</v>
      </c>
      <c r="H273" s="155" t="s">
        <v>8418</v>
      </c>
      <c r="I273" s="155" t="s">
        <v>6492</v>
      </c>
      <c r="J273" s="156"/>
      <c r="K273" s="156"/>
      <c r="L273" s="156"/>
      <c r="M273" s="157"/>
      <c r="N273" s="152" t="s">
        <v>8395</v>
      </c>
      <c r="O273" s="158"/>
    </row>
    <row r="274">
      <c r="A274" s="152" t="s">
        <v>8434</v>
      </c>
      <c r="B274" s="152" t="s">
        <v>8435</v>
      </c>
      <c r="C274" s="152">
        <v>4.0</v>
      </c>
      <c r="D274" s="153"/>
      <c r="E274" s="152">
        <v>3.0</v>
      </c>
      <c r="F274" s="153"/>
      <c r="G274" s="152" t="s">
        <v>8436</v>
      </c>
      <c r="H274" s="155" t="s">
        <v>8419</v>
      </c>
      <c r="I274" s="155" t="s">
        <v>6978</v>
      </c>
      <c r="J274" s="156"/>
      <c r="K274" s="156"/>
      <c r="L274" s="156"/>
      <c r="M274" s="157"/>
      <c r="N274" s="152" t="s">
        <v>8395</v>
      </c>
      <c r="O274" s="158"/>
    </row>
    <row r="275">
      <c r="A275" s="152" t="s">
        <v>8434</v>
      </c>
      <c r="B275" s="152" t="s">
        <v>8435</v>
      </c>
      <c r="C275" s="152">
        <v>4.0</v>
      </c>
      <c r="D275" s="153"/>
      <c r="E275" s="152">
        <v>3.0</v>
      </c>
      <c r="F275" s="153"/>
      <c r="G275" s="152" t="s">
        <v>8436</v>
      </c>
      <c r="H275" s="155" t="s">
        <v>8420</v>
      </c>
      <c r="I275" s="155" t="s">
        <v>6936</v>
      </c>
      <c r="J275" s="156"/>
      <c r="K275" s="156"/>
      <c r="L275" s="156"/>
      <c r="M275" s="157"/>
      <c r="N275" s="152" t="s">
        <v>8395</v>
      </c>
      <c r="O275" s="158"/>
    </row>
    <row r="276">
      <c r="A276" s="152" t="s">
        <v>8434</v>
      </c>
      <c r="B276" s="152" t="s">
        <v>8435</v>
      </c>
      <c r="C276" s="152">
        <v>4.0</v>
      </c>
      <c r="D276" s="153"/>
      <c r="E276" s="152">
        <v>3.0</v>
      </c>
      <c r="F276" s="153"/>
      <c r="G276" s="152" t="s">
        <v>8436</v>
      </c>
      <c r="H276" s="155" t="s">
        <v>8421</v>
      </c>
      <c r="I276" s="155" t="s">
        <v>6620</v>
      </c>
      <c r="J276" s="156"/>
      <c r="K276" s="156"/>
      <c r="L276" s="156"/>
      <c r="M276" s="157"/>
      <c r="N276" s="152" t="s">
        <v>8395</v>
      </c>
      <c r="O276" s="158"/>
    </row>
    <row r="277">
      <c r="A277" s="152" t="s">
        <v>8434</v>
      </c>
      <c r="B277" s="152" t="s">
        <v>8435</v>
      </c>
      <c r="C277" s="152">
        <v>4.0</v>
      </c>
      <c r="D277" s="153"/>
      <c r="E277" s="152">
        <v>3.0</v>
      </c>
      <c r="F277" s="153"/>
      <c r="G277" s="152" t="s">
        <v>8436</v>
      </c>
      <c r="H277" s="155" t="s">
        <v>8422</v>
      </c>
      <c r="I277" s="155" t="s">
        <v>6563</v>
      </c>
      <c r="J277" s="156"/>
      <c r="K277" s="156"/>
      <c r="L277" s="156"/>
      <c r="M277" s="157"/>
      <c r="N277" s="152" t="s">
        <v>8395</v>
      </c>
      <c r="O277" s="158"/>
    </row>
    <row r="278">
      <c r="A278" s="152" t="s">
        <v>8434</v>
      </c>
      <c r="B278" s="152" t="s">
        <v>8435</v>
      </c>
      <c r="C278" s="152">
        <v>4.0</v>
      </c>
      <c r="D278" s="153"/>
      <c r="E278" s="152">
        <v>3.0</v>
      </c>
      <c r="F278" s="153"/>
      <c r="G278" s="152" t="s">
        <v>8436</v>
      </c>
      <c r="H278" s="155" t="s">
        <v>8423</v>
      </c>
      <c r="I278" s="155" t="s">
        <v>6701</v>
      </c>
      <c r="J278" s="156"/>
      <c r="K278" s="156"/>
      <c r="L278" s="156"/>
      <c r="M278" s="157"/>
      <c r="N278" s="152" t="s">
        <v>8395</v>
      </c>
      <c r="O278" s="158"/>
    </row>
    <row r="279">
      <c r="A279" s="152" t="s">
        <v>8434</v>
      </c>
      <c r="B279" s="152" t="s">
        <v>8435</v>
      </c>
      <c r="C279" s="152">
        <v>4.0</v>
      </c>
      <c r="D279" s="153"/>
      <c r="E279" s="152">
        <v>3.0</v>
      </c>
      <c r="F279" s="153"/>
      <c r="G279" s="152" t="s">
        <v>8436</v>
      </c>
      <c r="H279" s="155" t="s">
        <v>8424</v>
      </c>
      <c r="I279" s="155" t="s">
        <v>6684</v>
      </c>
      <c r="J279" s="156"/>
      <c r="K279" s="156"/>
      <c r="L279" s="156"/>
      <c r="M279" s="157"/>
      <c r="N279" s="152" t="s">
        <v>8395</v>
      </c>
      <c r="O279" s="158"/>
    </row>
    <row r="280">
      <c r="A280" s="152" t="s">
        <v>8434</v>
      </c>
      <c r="B280" s="152" t="s">
        <v>8435</v>
      </c>
      <c r="C280" s="152">
        <v>4.0</v>
      </c>
      <c r="D280" s="153"/>
      <c r="E280" s="152">
        <v>3.0</v>
      </c>
      <c r="F280" s="153"/>
      <c r="G280" s="152" t="s">
        <v>8436</v>
      </c>
      <c r="H280" s="155" t="s">
        <v>8425</v>
      </c>
      <c r="I280" s="155" t="s">
        <v>7039</v>
      </c>
      <c r="J280" s="156"/>
      <c r="K280" s="156"/>
      <c r="L280" s="156"/>
      <c r="M280" s="157"/>
      <c r="N280" s="152" t="s">
        <v>8395</v>
      </c>
      <c r="O280" s="158"/>
    </row>
    <row r="281">
      <c r="A281" s="152" t="s">
        <v>8434</v>
      </c>
      <c r="B281" s="152" t="s">
        <v>8435</v>
      </c>
      <c r="C281" s="152">
        <v>4.0</v>
      </c>
      <c r="D281" s="153"/>
      <c r="E281" s="152">
        <v>3.0</v>
      </c>
      <c r="F281" s="153"/>
      <c r="G281" s="152" t="s">
        <v>8436</v>
      </c>
      <c r="H281" s="155" t="s">
        <v>8426</v>
      </c>
      <c r="I281" s="155" t="s">
        <v>7023</v>
      </c>
      <c r="J281" s="156"/>
      <c r="K281" s="156"/>
      <c r="L281" s="156"/>
      <c r="M281" s="157"/>
      <c r="N281" s="152" t="s">
        <v>8395</v>
      </c>
      <c r="O281" s="158"/>
    </row>
    <row r="282">
      <c r="A282" s="152" t="s">
        <v>8434</v>
      </c>
      <c r="B282" s="152" t="s">
        <v>8435</v>
      </c>
      <c r="C282" s="152">
        <v>5.0</v>
      </c>
      <c r="D282" s="153"/>
      <c r="E282" s="153"/>
      <c r="F282" s="153"/>
      <c r="G282" s="152" t="s">
        <v>8437</v>
      </c>
      <c r="H282" s="155" t="s">
        <v>8407</v>
      </c>
      <c r="I282" s="153"/>
      <c r="J282" s="156"/>
      <c r="K282" s="156"/>
      <c r="L282" s="156"/>
      <c r="M282" s="157"/>
      <c r="N282" s="152" t="s">
        <v>8384</v>
      </c>
      <c r="O282" s="158"/>
    </row>
    <row r="283">
      <c r="A283" s="152" t="s">
        <v>8434</v>
      </c>
      <c r="B283" s="152" t="s">
        <v>8435</v>
      </c>
      <c r="C283" s="152">
        <v>5.0</v>
      </c>
      <c r="D283" s="153"/>
      <c r="E283" s="153"/>
      <c r="F283" s="153"/>
      <c r="G283" s="152" t="s">
        <v>8437</v>
      </c>
      <c r="H283" s="155" t="s">
        <v>8408</v>
      </c>
      <c r="I283" s="153"/>
      <c r="J283" s="156"/>
      <c r="K283" s="156"/>
      <c r="L283" s="156"/>
      <c r="M283" s="157"/>
      <c r="N283" s="152" t="s">
        <v>8384</v>
      </c>
      <c r="O283" s="158"/>
    </row>
    <row r="284">
      <c r="A284" s="152" t="s">
        <v>8434</v>
      </c>
      <c r="B284" s="152" t="s">
        <v>8435</v>
      </c>
      <c r="C284" s="152">
        <v>5.0</v>
      </c>
      <c r="D284" s="153"/>
      <c r="E284" s="153"/>
      <c r="F284" s="153"/>
      <c r="G284" s="152" t="s">
        <v>8437</v>
      </c>
      <c r="H284" s="155" t="s">
        <v>8409</v>
      </c>
      <c r="I284" s="153"/>
      <c r="J284" s="156"/>
      <c r="K284" s="156"/>
      <c r="L284" s="156"/>
      <c r="M284" s="157"/>
      <c r="N284" s="152" t="s">
        <v>8384</v>
      </c>
      <c r="O284" s="158"/>
    </row>
    <row r="285">
      <c r="A285" s="152" t="s">
        <v>8434</v>
      </c>
      <c r="B285" s="152" t="s">
        <v>8435</v>
      </c>
      <c r="C285" s="152">
        <v>5.0</v>
      </c>
      <c r="D285" s="153"/>
      <c r="E285" s="153"/>
      <c r="F285" s="153"/>
      <c r="G285" s="152" t="s">
        <v>8437</v>
      </c>
      <c r="H285" s="155" t="s">
        <v>8410</v>
      </c>
      <c r="I285" s="153"/>
      <c r="J285" s="156"/>
      <c r="K285" s="156"/>
      <c r="L285" s="156"/>
      <c r="M285" s="157"/>
      <c r="N285" s="152" t="s">
        <v>8384</v>
      </c>
      <c r="O285" s="158"/>
    </row>
    <row r="286">
      <c r="A286" s="152" t="s">
        <v>8434</v>
      </c>
      <c r="B286" s="152" t="s">
        <v>8435</v>
      </c>
      <c r="C286" s="152">
        <v>5.0</v>
      </c>
      <c r="D286" s="153"/>
      <c r="E286" s="153"/>
      <c r="F286" s="153"/>
      <c r="G286" s="152" t="s">
        <v>8437</v>
      </c>
      <c r="H286" s="155" t="s">
        <v>8411</v>
      </c>
      <c r="I286" s="153"/>
      <c r="J286" s="156"/>
      <c r="K286" s="156"/>
      <c r="L286" s="156"/>
      <c r="M286" s="157"/>
      <c r="N286" s="152" t="s">
        <v>8384</v>
      </c>
      <c r="O286" s="158"/>
    </row>
    <row r="287">
      <c r="A287" s="152" t="s">
        <v>8434</v>
      </c>
      <c r="B287" s="152" t="s">
        <v>8435</v>
      </c>
      <c r="C287" s="152">
        <v>5.0</v>
      </c>
      <c r="D287" s="153"/>
      <c r="E287" s="153"/>
      <c r="F287" s="153"/>
      <c r="G287" s="152" t="s">
        <v>8437</v>
      </c>
      <c r="H287" s="155" t="s">
        <v>8412</v>
      </c>
      <c r="I287" s="153"/>
      <c r="J287" s="156"/>
      <c r="K287" s="156"/>
      <c r="L287" s="156"/>
      <c r="M287" s="157"/>
      <c r="N287" s="152" t="s">
        <v>8384</v>
      </c>
      <c r="O287" s="158"/>
    </row>
    <row r="288">
      <c r="A288" s="152" t="s">
        <v>8434</v>
      </c>
      <c r="B288" s="152" t="s">
        <v>8435</v>
      </c>
      <c r="C288" s="152">
        <v>5.0</v>
      </c>
      <c r="D288" s="153"/>
      <c r="E288" s="153"/>
      <c r="F288" s="153"/>
      <c r="G288" s="152" t="s">
        <v>8437</v>
      </c>
      <c r="H288" s="155" t="s">
        <v>8413</v>
      </c>
      <c r="I288" s="153"/>
      <c r="J288" s="156"/>
      <c r="K288" s="156"/>
      <c r="L288" s="156"/>
      <c r="M288" s="157"/>
      <c r="N288" s="152" t="s">
        <v>8384</v>
      </c>
      <c r="O288" s="158"/>
    </row>
    <row r="289">
      <c r="A289" s="152" t="s">
        <v>8434</v>
      </c>
      <c r="B289" s="152" t="s">
        <v>8435</v>
      </c>
      <c r="C289" s="152">
        <v>5.0</v>
      </c>
      <c r="D289" s="153"/>
      <c r="E289" s="153"/>
      <c r="F289" s="153"/>
      <c r="G289" s="152" t="s">
        <v>8437</v>
      </c>
      <c r="H289" s="155" t="s">
        <v>8414</v>
      </c>
      <c r="I289" s="153"/>
      <c r="J289" s="156"/>
      <c r="K289" s="156"/>
      <c r="L289" s="156"/>
      <c r="M289" s="157"/>
      <c r="N289" s="152" t="s">
        <v>8384</v>
      </c>
      <c r="O289" s="158"/>
    </row>
    <row r="290">
      <c r="A290" s="152" t="s">
        <v>8434</v>
      </c>
      <c r="B290" s="152" t="s">
        <v>8435</v>
      </c>
      <c r="C290" s="152">
        <v>5.0</v>
      </c>
      <c r="D290" s="153"/>
      <c r="E290" s="153"/>
      <c r="F290" s="153"/>
      <c r="G290" s="152" t="s">
        <v>8437</v>
      </c>
      <c r="H290" s="155" t="s">
        <v>8415</v>
      </c>
      <c r="I290" s="153"/>
      <c r="J290" s="156"/>
      <c r="K290" s="156"/>
      <c r="L290" s="156"/>
      <c r="M290" s="157"/>
      <c r="N290" s="152" t="s">
        <v>8384</v>
      </c>
      <c r="O290" s="158"/>
    </row>
    <row r="291">
      <c r="A291" s="152" t="s">
        <v>8434</v>
      </c>
      <c r="B291" s="152" t="s">
        <v>8435</v>
      </c>
      <c r="C291" s="152">
        <v>5.0</v>
      </c>
      <c r="D291" s="153"/>
      <c r="E291" s="153"/>
      <c r="F291" s="153"/>
      <c r="G291" s="152" t="s">
        <v>8437</v>
      </c>
      <c r="H291" s="155" t="s">
        <v>8416</v>
      </c>
      <c r="I291" s="153"/>
      <c r="J291" s="156"/>
      <c r="K291" s="156"/>
      <c r="L291" s="156"/>
      <c r="M291" s="157"/>
      <c r="N291" s="152" t="s">
        <v>8384</v>
      </c>
      <c r="O291" s="158"/>
    </row>
    <row r="292">
      <c r="A292" s="152" t="s">
        <v>8434</v>
      </c>
      <c r="B292" s="152" t="s">
        <v>8435</v>
      </c>
      <c r="C292" s="152">
        <v>6.0</v>
      </c>
      <c r="D292" s="153"/>
      <c r="E292" s="152">
        <v>5.0</v>
      </c>
      <c r="F292" s="153"/>
      <c r="G292" s="152" t="s">
        <v>8437</v>
      </c>
      <c r="H292" s="155" t="s">
        <v>8417</v>
      </c>
      <c r="I292" s="155" t="s">
        <v>6507</v>
      </c>
      <c r="J292" s="156"/>
      <c r="K292" s="156"/>
      <c r="L292" s="156"/>
      <c r="M292" s="157"/>
      <c r="N292" s="152" t="s">
        <v>8395</v>
      </c>
      <c r="O292" s="158"/>
    </row>
    <row r="293">
      <c r="A293" s="152" t="s">
        <v>8434</v>
      </c>
      <c r="B293" s="152" t="s">
        <v>8435</v>
      </c>
      <c r="C293" s="152">
        <v>6.0</v>
      </c>
      <c r="D293" s="153"/>
      <c r="E293" s="152">
        <v>5.0</v>
      </c>
      <c r="F293" s="153"/>
      <c r="G293" s="152" t="s">
        <v>8437</v>
      </c>
      <c r="H293" s="155" t="s">
        <v>8418</v>
      </c>
      <c r="I293" s="155" t="s">
        <v>6492</v>
      </c>
      <c r="J293" s="156"/>
      <c r="K293" s="156"/>
      <c r="L293" s="156"/>
      <c r="M293" s="157"/>
      <c r="N293" s="152" t="s">
        <v>8395</v>
      </c>
      <c r="O293" s="158"/>
    </row>
    <row r="294">
      <c r="A294" s="152" t="s">
        <v>8434</v>
      </c>
      <c r="B294" s="152" t="s">
        <v>8435</v>
      </c>
      <c r="C294" s="152">
        <v>6.0</v>
      </c>
      <c r="D294" s="153"/>
      <c r="E294" s="152">
        <v>5.0</v>
      </c>
      <c r="F294" s="153"/>
      <c r="G294" s="152" t="s">
        <v>8437</v>
      </c>
      <c r="H294" s="155" t="s">
        <v>8419</v>
      </c>
      <c r="I294" s="155" t="s">
        <v>6978</v>
      </c>
      <c r="J294" s="156"/>
      <c r="K294" s="156"/>
      <c r="L294" s="156"/>
      <c r="M294" s="157"/>
      <c r="N294" s="152" t="s">
        <v>8395</v>
      </c>
      <c r="O294" s="158"/>
    </row>
    <row r="295">
      <c r="A295" s="152" t="s">
        <v>8434</v>
      </c>
      <c r="B295" s="152" t="s">
        <v>8435</v>
      </c>
      <c r="C295" s="152">
        <v>6.0</v>
      </c>
      <c r="D295" s="153"/>
      <c r="E295" s="152">
        <v>5.0</v>
      </c>
      <c r="F295" s="153"/>
      <c r="G295" s="152" t="s">
        <v>8437</v>
      </c>
      <c r="H295" s="155" t="s">
        <v>8420</v>
      </c>
      <c r="I295" s="155" t="s">
        <v>6936</v>
      </c>
      <c r="J295" s="156"/>
      <c r="K295" s="156"/>
      <c r="L295" s="156"/>
      <c r="M295" s="157"/>
      <c r="N295" s="152" t="s">
        <v>8395</v>
      </c>
      <c r="O295" s="158"/>
    </row>
    <row r="296">
      <c r="A296" s="152" t="s">
        <v>8434</v>
      </c>
      <c r="B296" s="152" t="s">
        <v>8435</v>
      </c>
      <c r="C296" s="152">
        <v>6.0</v>
      </c>
      <c r="D296" s="153"/>
      <c r="E296" s="152">
        <v>5.0</v>
      </c>
      <c r="F296" s="153"/>
      <c r="G296" s="152" t="s">
        <v>8437</v>
      </c>
      <c r="H296" s="155" t="s">
        <v>8421</v>
      </c>
      <c r="I296" s="155" t="s">
        <v>6620</v>
      </c>
      <c r="J296" s="156"/>
      <c r="K296" s="156"/>
      <c r="L296" s="156"/>
      <c r="M296" s="157"/>
      <c r="N296" s="152" t="s">
        <v>8395</v>
      </c>
      <c r="O296" s="158"/>
    </row>
    <row r="297">
      <c r="A297" s="152" t="s">
        <v>8434</v>
      </c>
      <c r="B297" s="152" t="s">
        <v>8435</v>
      </c>
      <c r="C297" s="152">
        <v>6.0</v>
      </c>
      <c r="D297" s="153"/>
      <c r="E297" s="152">
        <v>5.0</v>
      </c>
      <c r="F297" s="153"/>
      <c r="G297" s="152" t="s">
        <v>8437</v>
      </c>
      <c r="H297" s="155" t="s">
        <v>8422</v>
      </c>
      <c r="I297" s="155" t="s">
        <v>6563</v>
      </c>
      <c r="J297" s="156"/>
      <c r="K297" s="156"/>
      <c r="L297" s="156"/>
      <c r="M297" s="157"/>
      <c r="N297" s="152" t="s">
        <v>8395</v>
      </c>
      <c r="O297" s="158"/>
    </row>
    <row r="298">
      <c r="A298" s="152" t="s">
        <v>8434</v>
      </c>
      <c r="B298" s="152" t="s">
        <v>8435</v>
      </c>
      <c r="C298" s="152">
        <v>6.0</v>
      </c>
      <c r="D298" s="153"/>
      <c r="E298" s="152">
        <v>5.0</v>
      </c>
      <c r="F298" s="153"/>
      <c r="G298" s="152" t="s">
        <v>8437</v>
      </c>
      <c r="H298" s="155" t="s">
        <v>8423</v>
      </c>
      <c r="I298" s="155" t="s">
        <v>6701</v>
      </c>
      <c r="J298" s="156"/>
      <c r="K298" s="156"/>
      <c r="L298" s="156"/>
      <c r="M298" s="157"/>
      <c r="N298" s="152" t="s">
        <v>8395</v>
      </c>
      <c r="O298" s="158"/>
    </row>
    <row r="299">
      <c r="A299" s="152" t="s">
        <v>8434</v>
      </c>
      <c r="B299" s="152" t="s">
        <v>8435</v>
      </c>
      <c r="C299" s="152">
        <v>6.0</v>
      </c>
      <c r="D299" s="153"/>
      <c r="E299" s="152">
        <v>5.0</v>
      </c>
      <c r="F299" s="153"/>
      <c r="G299" s="152" t="s">
        <v>8437</v>
      </c>
      <c r="H299" s="155" t="s">
        <v>8424</v>
      </c>
      <c r="I299" s="155" t="s">
        <v>6684</v>
      </c>
      <c r="J299" s="156"/>
      <c r="K299" s="156"/>
      <c r="L299" s="156"/>
      <c r="M299" s="157"/>
      <c r="N299" s="152" t="s">
        <v>8395</v>
      </c>
      <c r="O299" s="158"/>
    </row>
    <row r="300">
      <c r="A300" s="152" t="s">
        <v>8434</v>
      </c>
      <c r="B300" s="152" t="s">
        <v>8435</v>
      </c>
      <c r="C300" s="152">
        <v>6.0</v>
      </c>
      <c r="D300" s="153"/>
      <c r="E300" s="152">
        <v>5.0</v>
      </c>
      <c r="F300" s="153"/>
      <c r="G300" s="152" t="s">
        <v>8437</v>
      </c>
      <c r="H300" s="155" t="s">
        <v>8425</v>
      </c>
      <c r="I300" s="155" t="s">
        <v>7039</v>
      </c>
      <c r="J300" s="156"/>
      <c r="K300" s="156"/>
      <c r="L300" s="156"/>
      <c r="M300" s="157"/>
      <c r="N300" s="152" t="s">
        <v>8395</v>
      </c>
      <c r="O300" s="158"/>
    </row>
    <row r="301">
      <c r="A301" s="152" t="s">
        <v>8434</v>
      </c>
      <c r="B301" s="152" t="s">
        <v>8435</v>
      </c>
      <c r="C301" s="152">
        <v>6.0</v>
      </c>
      <c r="D301" s="153"/>
      <c r="E301" s="152">
        <v>5.0</v>
      </c>
      <c r="F301" s="153"/>
      <c r="G301" s="152" t="s">
        <v>8437</v>
      </c>
      <c r="H301" s="155" t="s">
        <v>8426</v>
      </c>
      <c r="I301" s="155" t="s">
        <v>7023</v>
      </c>
      <c r="J301" s="156"/>
      <c r="K301" s="156"/>
      <c r="L301" s="156"/>
      <c r="M301" s="157"/>
      <c r="N301" s="152" t="s">
        <v>8395</v>
      </c>
      <c r="O301" s="158"/>
    </row>
    <row r="302">
      <c r="A302" s="152" t="s">
        <v>8438</v>
      </c>
      <c r="B302" s="152" t="s">
        <v>8439</v>
      </c>
      <c r="C302" s="152">
        <v>1.0</v>
      </c>
      <c r="D302" s="153"/>
      <c r="E302" s="153"/>
      <c r="F302" s="153"/>
      <c r="G302" s="152" t="s">
        <v>8382</v>
      </c>
      <c r="H302" s="152" t="s">
        <v>8383</v>
      </c>
      <c r="I302" s="153"/>
      <c r="J302" s="152" t="s">
        <v>23</v>
      </c>
      <c r="K302" s="152">
        <v>789.0</v>
      </c>
      <c r="L302" s="153"/>
      <c r="M302" s="154"/>
      <c r="N302" s="152" t="s">
        <v>8384</v>
      </c>
      <c r="O302" s="158"/>
    </row>
    <row r="303">
      <c r="A303" s="152" t="s">
        <v>8438</v>
      </c>
      <c r="B303" s="152" t="s">
        <v>8439</v>
      </c>
      <c r="C303" s="152">
        <v>1.0</v>
      </c>
      <c r="D303" s="153"/>
      <c r="E303" s="153"/>
      <c r="F303" s="153"/>
      <c r="G303" s="152" t="s">
        <v>8382</v>
      </c>
      <c r="H303" s="152" t="s">
        <v>8385</v>
      </c>
      <c r="I303" s="153"/>
      <c r="J303" s="152" t="s">
        <v>23</v>
      </c>
      <c r="K303" s="152">
        <v>839.0</v>
      </c>
      <c r="L303" s="153"/>
      <c r="M303" s="154"/>
      <c r="N303" s="152" t="s">
        <v>8384</v>
      </c>
      <c r="O303" s="158"/>
    </row>
    <row r="304">
      <c r="A304" s="152" t="s">
        <v>8438</v>
      </c>
      <c r="B304" s="152" t="s">
        <v>8439</v>
      </c>
      <c r="C304" s="152">
        <v>1.0</v>
      </c>
      <c r="D304" s="153"/>
      <c r="E304" s="153"/>
      <c r="F304" s="153"/>
      <c r="G304" s="152" t="s">
        <v>8382</v>
      </c>
      <c r="H304" s="152" t="s">
        <v>8386</v>
      </c>
      <c r="I304" s="153"/>
      <c r="J304" s="152" t="s">
        <v>23</v>
      </c>
      <c r="K304" s="152">
        <v>839.0</v>
      </c>
      <c r="L304" s="153"/>
      <c r="M304" s="154"/>
      <c r="N304" s="152" t="s">
        <v>8384</v>
      </c>
      <c r="O304" s="158"/>
    </row>
    <row r="305">
      <c r="A305" s="152" t="s">
        <v>8438</v>
      </c>
      <c r="B305" s="152" t="s">
        <v>8439</v>
      </c>
      <c r="C305" s="152">
        <v>1.0</v>
      </c>
      <c r="D305" s="153"/>
      <c r="E305" s="153"/>
      <c r="F305" s="153"/>
      <c r="G305" s="152" t="s">
        <v>8382</v>
      </c>
      <c r="H305" s="152" t="s">
        <v>8387</v>
      </c>
      <c r="I305" s="153"/>
      <c r="J305" s="152" t="s">
        <v>23</v>
      </c>
      <c r="K305" s="152">
        <v>839.0</v>
      </c>
      <c r="L305" s="153"/>
      <c r="M305" s="154"/>
      <c r="N305" s="152" t="s">
        <v>8384</v>
      </c>
      <c r="O305" s="158"/>
    </row>
    <row r="306">
      <c r="A306" s="152" t="s">
        <v>8438</v>
      </c>
      <c r="B306" s="152" t="s">
        <v>8439</v>
      </c>
      <c r="C306" s="152">
        <v>1.0</v>
      </c>
      <c r="D306" s="153"/>
      <c r="E306" s="153"/>
      <c r="F306" s="153"/>
      <c r="G306" s="152" t="s">
        <v>8382</v>
      </c>
      <c r="H306" s="152" t="s">
        <v>8388</v>
      </c>
      <c r="I306" s="153"/>
      <c r="J306" s="152" t="s">
        <v>23</v>
      </c>
      <c r="K306" s="152">
        <v>839.0</v>
      </c>
      <c r="L306" s="153"/>
      <c r="M306" s="154"/>
      <c r="N306" s="152" t="s">
        <v>8384</v>
      </c>
      <c r="O306" s="158"/>
    </row>
    <row r="307">
      <c r="A307" s="152" t="s">
        <v>8438</v>
      </c>
      <c r="B307" s="152" t="s">
        <v>8439</v>
      </c>
      <c r="C307" s="152">
        <v>1.0</v>
      </c>
      <c r="D307" s="153"/>
      <c r="E307" s="153"/>
      <c r="F307" s="153"/>
      <c r="G307" s="152" t="s">
        <v>8382</v>
      </c>
      <c r="H307" s="152" t="s">
        <v>8389</v>
      </c>
      <c r="I307" s="153"/>
      <c r="J307" s="152" t="s">
        <v>23</v>
      </c>
      <c r="K307" s="152">
        <v>949.0</v>
      </c>
      <c r="L307" s="153"/>
      <c r="M307" s="154"/>
      <c r="N307" s="152" t="s">
        <v>8384</v>
      </c>
      <c r="O307" s="158"/>
    </row>
    <row r="308">
      <c r="A308" s="152" t="s">
        <v>8438</v>
      </c>
      <c r="B308" s="152" t="s">
        <v>8439</v>
      </c>
      <c r="C308" s="152">
        <v>1.0</v>
      </c>
      <c r="D308" s="153"/>
      <c r="E308" s="153"/>
      <c r="F308" s="153"/>
      <c r="G308" s="152" t="s">
        <v>8382</v>
      </c>
      <c r="H308" s="152" t="s">
        <v>5767</v>
      </c>
      <c r="I308" s="153"/>
      <c r="J308" s="152" t="s">
        <v>23</v>
      </c>
      <c r="K308" s="152">
        <v>949.0</v>
      </c>
      <c r="L308" s="153"/>
      <c r="M308" s="154"/>
      <c r="N308" s="152" t="s">
        <v>8384</v>
      </c>
      <c r="O308" s="158"/>
    </row>
    <row r="309">
      <c r="A309" s="152" t="s">
        <v>8438</v>
      </c>
      <c r="B309" s="152" t="s">
        <v>8439</v>
      </c>
      <c r="C309" s="152">
        <v>1.0</v>
      </c>
      <c r="D309" s="153"/>
      <c r="E309" s="153"/>
      <c r="F309" s="153"/>
      <c r="G309" s="152" t="s">
        <v>8382</v>
      </c>
      <c r="H309" s="152" t="s">
        <v>8390</v>
      </c>
      <c r="I309" s="153"/>
      <c r="J309" s="152" t="s">
        <v>23</v>
      </c>
      <c r="K309" s="152">
        <v>949.0</v>
      </c>
      <c r="L309" s="153"/>
      <c r="M309" s="154"/>
      <c r="N309" s="152" t="s">
        <v>8384</v>
      </c>
      <c r="O309" s="158"/>
    </row>
    <row r="310">
      <c r="A310" s="152" t="s">
        <v>8438</v>
      </c>
      <c r="B310" s="152" t="s">
        <v>8439</v>
      </c>
      <c r="C310" s="152">
        <v>1.0</v>
      </c>
      <c r="D310" s="153"/>
      <c r="E310" s="153"/>
      <c r="F310" s="153"/>
      <c r="G310" s="152" t="s">
        <v>8382</v>
      </c>
      <c r="H310" s="152" t="s">
        <v>8391</v>
      </c>
      <c r="I310" s="153"/>
      <c r="J310" s="152" t="s">
        <v>23</v>
      </c>
      <c r="K310" s="152">
        <v>949.0</v>
      </c>
      <c r="L310" s="153"/>
      <c r="M310" s="154"/>
      <c r="N310" s="152" t="s">
        <v>8384</v>
      </c>
      <c r="O310" s="158"/>
    </row>
    <row r="311">
      <c r="A311" s="152" t="s">
        <v>8438</v>
      </c>
      <c r="B311" s="152" t="s">
        <v>8439</v>
      </c>
      <c r="C311" s="152">
        <v>1.0</v>
      </c>
      <c r="D311" s="153"/>
      <c r="E311" s="153"/>
      <c r="F311" s="153"/>
      <c r="G311" s="152" t="s">
        <v>8382</v>
      </c>
      <c r="H311" s="152" t="s">
        <v>8392</v>
      </c>
      <c r="I311" s="153"/>
      <c r="J311" s="152" t="s">
        <v>23</v>
      </c>
      <c r="K311" s="152">
        <v>949.0</v>
      </c>
      <c r="L311" s="153"/>
      <c r="M311" s="154"/>
      <c r="N311" s="152" t="s">
        <v>8384</v>
      </c>
      <c r="O311" s="158"/>
    </row>
    <row r="312">
      <c r="A312" s="152" t="s">
        <v>8438</v>
      </c>
      <c r="B312" s="152" t="s">
        <v>8439</v>
      </c>
      <c r="C312" s="152">
        <v>2.0</v>
      </c>
      <c r="D312" s="153"/>
      <c r="E312" s="152">
        <v>1.0</v>
      </c>
      <c r="F312" s="153"/>
      <c r="G312" s="152" t="s">
        <v>8393</v>
      </c>
      <c r="H312" s="152" t="s">
        <v>8394</v>
      </c>
      <c r="I312" s="152" t="s">
        <v>6862</v>
      </c>
      <c r="J312" s="153"/>
      <c r="K312" s="153"/>
      <c r="L312" s="153"/>
      <c r="M312" s="154"/>
      <c r="N312" s="152" t="s">
        <v>8395</v>
      </c>
      <c r="O312" s="158"/>
    </row>
    <row r="313">
      <c r="A313" s="152" t="s">
        <v>8438</v>
      </c>
      <c r="B313" s="152" t="s">
        <v>8439</v>
      </c>
      <c r="C313" s="152">
        <v>2.0</v>
      </c>
      <c r="D313" s="153"/>
      <c r="E313" s="152">
        <v>1.0</v>
      </c>
      <c r="F313" s="153"/>
      <c r="G313" s="152" t="s">
        <v>8393</v>
      </c>
      <c r="H313" s="152" t="s">
        <v>8396</v>
      </c>
      <c r="I313" s="152" t="s">
        <v>6893</v>
      </c>
      <c r="J313" s="153"/>
      <c r="K313" s="153"/>
      <c r="L313" s="153"/>
      <c r="M313" s="154"/>
      <c r="N313" s="152" t="s">
        <v>8395</v>
      </c>
      <c r="O313" s="158"/>
    </row>
    <row r="314">
      <c r="A314" s="152" t="s">
        <v>8438</v>
      </c>
      <c r="B314" s="152" t="s">
        <v>8439</v>
      </c>
      <c r="C314" s="152">
        <v>2.0</v>
      </c>
      <c r="D314" s="153"/>
      <c r="E314" s="152">
        <v>1.0</v>
      </c>
      <c r="F314" s="153"/>
      <c r="G314" s="152" t="s">
        <v>8393</v>
      </c>
      <c r="H314" s="152" t="s">
        <v>8397</v>
      </c>
      <c r="I314" s="152" t="s">
        <v>6796</v>
      </c>
      <c r="J314" s="153"/>
      <c r="K314" s="153"/>
      <c r="L314" s="153"/>
      <c r="M314" s="154"/>
      <c r="N314" s="152" t="s">
        <v>8395</v>
      </c>
      <c r="O314" s="158"/>
    </row>
    <row r="315">
      <c r="A315" s="152" t="s">
        <v>8438</v>
      </c>
      <c r="B315" s="152" t="s">
        <v>8439</v>
      </c>
      <c r="C315" s="152">
        <v>2.0</v>
      </c>
      <c r="D315" s="153"/>
      <c r="E315" s="152">
        <v>1.0</v>
      </c>
      <c r="F315" s="153"/>
      <c r="G315" s="152" t="s">
        <v>8393</v>
      </c>
      <c r="H315" s="152" t="s">
        <v>8398</v>
      </c>
      <c r="I315" s="152" t="s">
        <v>6726</v>
      </c>
      <c r="J315" s="153"/>
      <c r="K315" s="153"/>
      <c r="L315" s="153"/>
      <c r="M315" s="154"/>
      <c r="N315" s="152" t="s">
        <v>8395</v>
      </c>
      <c r="O315" s="158"/>
    </row>
    <row r="316">
      <c r="A316" s="152" t="s">
        <v>8438</v>
      </c>
      <c r="B316" s="152" t="s">
        <v>8439</v>
      </c>
      <c r="C316" s="152">
        <v>2.0</v>
      </c>
      <c r="D316" s="153"/>
      <c r="E316" s="152">
        <v>1.0</v>
      </c>
      <c r="F316" s="153"/>
      <c r="G316" s="152" t="s">
        <v>8393</v>
      </c>
      <c r="H316" s="152" t="s">
        <v>8399</v>
      </c>
      <c r="I316" s="152" t="s">
        <v>6924</v>
      </c>
      <c r="J316" s="153"/>
      <c r="K316" s="153"/>
      <c r="L316" s="153"/>
      <c r="M316" s="154"/>
      <c r="N316" s="152" t="s">
        <v>8395</v>
      </c>
      <c r="O316" s="158"/>
    </row>
    <row r="317">
      <c r="A317" s="152" t="s">
        <v>8438</v>
      </c>
      <c r="B317" s="152" t="s">
        <v>8439</v>
      </c>
      <c r="C317" s="152">
        <v>2.0</v>
      </c>
      <c r="D317" s="153"/>
      <c r="E317" s="152">
        <v>1.0</v>
      </c>
      <c r="F317" s="153"/>
      <c r="G317" s="152" t="s">
        <v>8393</v>
      </c>
      <c r="H317" s="152" t="s">
        <v>8400</v>
      </c>
      <c r="I317" s="152" t="s">
        <v>6893</v>
      </c>
      <c r="J317" s="153"/>
      <c r="K317" s="153"/>
      <c r="L317" s="153"/>
      <c r="M317" s="154"/>
      <c r="N317" s="152" t="s">
        <v>8395</v>
      </c>
      <c r="O317" s="158"/>
    </row>
    <row r="318">
      <c r="A318" s="152" t="s">
        <v>8438</v>
      </c>
      <c r="B318" s="152" t="s">
        <v>8439</v>
      </c>
      <c r="C318" s="152">
        <v>2.0</v>
      </c>
      <c r="D318" s="153"/>
      <c r="E318" s="152">
        <v>1.0</v>
      </c>
      <c r="F318" s="153"/>
      <c r="G318" s="152" t="s">
        <v>8393</v>
      </c>
      <c r="H318" s="152" t="s">
        <v>8401</v>
      </c>
      <c r="I318" s="152" t="s">
        <v>6796</v>
      </c>
      <c r="J318" s="153"/>
      <c r="K318" s="153"/>
      <c r="L318" s="153"/>
      <c r="M318" s="154"/>
      <c r="N318" s="152" t="s">
        <v>8395</v>
      </c>
      <c r="O318" s="158"/>
    </row>
    <row r="319">
      <c r="A319" s="152" t="s">
        <v>8438</v>
      </c>
      <c r="B319" s="152" t="s">
        <v>8439</v>
      </c>
      <c r="C319" s="152">
        <v>2.0</v>
      </c>
      <c r="D319" s="153"/>
      <c r="E319" s="152">
        <v>1.0</v>
      </c>
      <c r="F319" s="153"/>
      <c r="G319" s="152" t="s">
        <v>8393</v>
      </c>
      <c r="H319" s="152" t="s">
        <v>8402</v>
      </c>
      <c r="I319" s="152" t="s">
        <v>6831</v>
      </c>
      <c r="J319" s="153"/>
      <c r="K319" s="153"/>
      <c r="L319" s="153"/>
      <c r="M319" s="154"/>
      <c r="N319" s="152" t="s">
        <v>8395</v>
      </c>
      <c r="O319" s="158"/>
    </row>
    <row r="320">
      <c r="A320" s="152" t="s">
        <v>8438</v>
      </c>
      <c r="B320" s="152" t="s">
        <v>8439</v>
      </c>
      <c r="C320" s="152">
        <v>2.0</v>
      </c>
      <c r="D320" s="153"/>
      <c r="E320" s="152">
        <v>1.0</v>
      </c>
      <c r="F320" s="153"/>
      <c r="G320" s="152" t="s">
        <v>8393</v>
      </c>
      <c r="H320" s="152" t="s">
        <v>8403</v>
      </c>
      <c r="I320" s="152" t="s">
        <v>6836</v>
      </c>
      <c r="J320" s="153"/>
      <c r="K320" s="153"/>
      <c r="L320" s="153"/>
      <c r="M320" s="154"/>
      <c r="N320" s="152" t="s">
        <v>8395</v>
      </c>
      <c r="O320" s="158"/>
    </row>
    <row r="321">
      <c r="A321" s="152" t="s">
        <v>8438</v>
      </c>
      <c r="B321" s="152" t="s">
        <v>8439</v>
      </c>
      <c r="C321" s="152">
        <v>2.0</v>
      </c>
      <c r="D321" s="153"/>
      <c r="E321" s="152">
        <v>1.0</v>
      </c>
      <c r="F321" s="153"/>
      <c r="G321" s="152" t="s">
        <v>8393</v>
      </c>
      <c r="H321" s="152" t="s">
        <v>8404</v>
      </c>
      <c r="I321" s="152" t="s">
        <v>8405</v>
      </c>
      <c r="J321" s="153"/>
      <c r="K321" s="153"/>
      <c r="L321" s="153"/>
      <c r="M321" s="154"/>
      <c r="N321" s="152" t="s">
        <v>8395</v>
      </c>
      <c r="O321" s="158"/>
    </row>
    <row r="322">
      <c r="A322" s="152" t="s">
        <v>8438</v>
      </c>
      <c r="B322" s="152" t="s">
        <v>8439</v>
      </c>
      <c r="C322" s="152">
        <v>3.0</v>
      </c>
      <c r="D322" s="153"/>
      <c r="E322" s="153"/>
      <c r="F322" s="153"/>
      <c r="G322" s="152" t="s">
        <v>8436</v>
      </c>
      <c r="H322" s="155" t="s">
        <v>8407</v>
      </c>
      <c r="I322" s="153"/>
      <c r="J322" s="156"/>
      <c r="K322" s="156"/>
      <c r="L322" s="156"/>
      <c r="M322" s="157"/>
      <c r="N322" s="152" t="s">
        <v>8384</v>
      </c>
      <c r="O322" s="158"/>
    </row>
    <row r="323">
      <c r="A323" s="152" t="s">
        <v>8438</v>
      </c>
      <c r="B323" s="152" t="s">
        <v>8439</v>
      </c>
      <c r="C323" s="152">
        <v>3.0</v>
      </c>
      <c r="D323" s="153"/>
      <c r="E323" s="153"/>
      <c r="F323" s="153"/>
      <c r="G323" s="152" t="s">
        <v>8436</v>
      </c>
      <c r="H323" s="155" t="s">
        <v>8408</v>
      </c>
      <c r="I323" s="153"/>
      <c r="J323" s="156"/>
      <c r="K323" s="156"/>
      <c r="L323" s="156"/>
      <c r="M323" s="157"/>
      <c r="N323" s="152" t="s">
        <v>8384</v>
      </c>
      <c r="O323" s="158"/>
    </row>
    <row r="324">
      <c r="A324" s="152" t="s">
        <v>8438</v>
      </c>
      <c r="B324" s="152" t="s">
        <v>8439</v>
      </c>
      <c r="C324" s="152">
        <v>3.0</v>
      </c>
      <c r="D324" s="153"/>
      <c r="E324" s="153"/>
      <c r="F324" s="153"/>
      <c r="G324" s="152" t="s">
        <v>8436</v>
      </c>
      <c r="H324" s="155" t="s">
        <v>8409</v>
      </c>
      <c r="I324" s="153"/>
      <c r="J324" s="156"/>
      <c r="K324" s="156"/>
      <c r="L324" s="156"/>
      <c r="M324" s="157"/>
      <c r="N324" s="152" t="s">
        <v>8384</v>
      </c>
      <c r="O324" s="158"/>
    </row>
    <row r="325">
      <c r="A325" s="152" t="s">
        <v>8438</v>
      </c>
      <c r="B325" s="152" t="s">
        <v>8439</v>
      </c>
      <c r="C325" s="152">
        <v>3.0</v>
      </c>
      <c r="D325" s="153"/>
      <c r="E325" s="153"/>
      <c r="F325" s="153"/>
      <c r="G325" s="152" t="s">
        <v>8436</v>
      </c>
      <c r="H325" s="155" t="s">
        <v>8410</v>
      </c>
      <c r="I325" s="153"/>
      <c r="J325" s="156"/>
      <c r="K325" s="156"/>
      <c r="L325" s="156"/>
      <c r="M325" s="157"/>
      <c r="N325" s="152" t="s">
        <v>8384</v>
      </c>
      <c r="O325" s="158"/>
    </row>
    <row r="326">
      <c r="A326" s="152" t="s">
        <v>8438</v>
      </c>
      <c r="B326" s="152" t="s">
        <v>8439</v>
      </c>
      <c r="C326" s="152">
        <v>3.0</v>
      </c>
      <c r="D326" s="153"/>
      <c r="E326" s="153"/>
      <c r="F326" s="153"/>
      <c r="G326" s="152" t="s">
        <v>8436</v>
      </c>
      <c r="H326" s="155" t="s">
        <v>8411</v>
      </c>
      <c r="I326" s="153"/>
      <c r="J326" s="156"/>
      <c r="K326" s="156"/>
      <c r="L326" s="156"/>
      <c r="M326" s="157"/>
      <c r="N326" s="152" t="s">
        <v>8384</v>
      </c>
      <c r="O326" s="158"/>
    </row>
    <row r="327">
      <c r="A327" s="152" t="s">
        <v>8438</v>
      </c>
      <c r="B327" s="152" t="s">
        <v>8439</v>
      </c>
      <c r="C327" s="152">
        <v>3.0</v>
      </c>
      <c r="D327" s="153"/>
      <c r="E327" s="153"/>
      <c r="F327" s="153"/>
      <c r="G327" s="152" t="s">
        <v>8436</v>
      </c>
      <c r="H327" s="155" t="s">
        <v>8412</v>
      </c>
      <c r="I327" s="153"/>
      <c r="J327" s="156"/>
      <c r="K327" s="156"/>
      <c r="L327" s="156"/>
      <c r="M327" s="157"/>
      <c r="N327" s="152" t="s">
        <v>8384</v>
      </c>
      <c r="O327" s="158"/>
    </row>
    <row r="328">
      <c r="A328" s="152" t="s">
        <v>8438</v>
      </c>
      <c r="B328" s="152" t="s">
        <v>8439</v>
      </c>
      <c r="C328" s="152">
        <v>3.0</v>
      </c>
      <c r="D328" s="153"/>
      <c r="E328" s="153"/>
      <c r="F328" s="153"/>
      <c r="G328" s="152" t="s">
        <v>8436</v>
      </c>
      <c r="H328" s="155" t="s">
        <v>8413</v>
      </c>
      <c r="I328" s="153"/>
      <c r="J328" s="156"/>
      <c r="K328" s="156"/>
      <c r="L328" s="156"/>
      <c r="M328" s="157"/>
      <c r="N328" s="152" t="s">
        <v>8384</v>
      </c>
      <c r="O328" s="158"/>
    </row>
    <row r="329">
      <c r="A329" s="152" t="s">
        <v>8438</v>
      </c>
      <c r="B329" s="152" t="s">
        <v>8439</v>
      </c>
      <c r="C329" s="152">
        <v>3.0</v>
      </c>
      <c r="D329" s="153"/>
      <c r="E329" s="153"/>
      <c r="F329" s="153"/>
      <c r="G329" s="152" t="s">
        <v>8436</v>
      </c>
      <c r="H329" s="155" t="s">
        <v>8414</v>
      </c>
      <c r="I329" s="153"/>
      <c r="J329" s="156"/>
      <c r="K329" s="156"/>
      <c r="L329" s="156"/>
      <c r="M329" s="157"/>
      <c r="N329" s="152" t="s">
        <v>8384</v>
      </c>
      <c r="O329" s="158"/>
    </row>
    <row r="330">
      <c r="A330" s="152" t="s">
        <v>8438</v>
      </c>
      <c r="B330" s="152" t="s">
        <v>8439</v>
      </c>
      <c r="C330" s="152">
        <v>3.0</v>
      </c>
      <c r="D330" s="153"/>
      <c r="E330" s="153"/>
      <c r="F330" s="153"/>
      <c r="G330" s="152" t="s">
        <v>8436</v>
      </c>
      <c r="H330" s="155" t="s">
        <v>8415</v>
      </c>
      <c r="I330" s="153"/>
      <c r="J330" s="156"/>
      <c r="K330" s="156"/>
      <c r="L330" s="156"/>
      <c r="M330" s="157"/>
      <c r="N330" s="152" t="s">
        <v>8384</v>
      </c>
      <c r="O330" s="158"/>
    </row>
    <row r="331">
      <c r="A331" s="152" t="s">
        <v>8438</v>
      </c>
      <c r="B331" s="152" t="s">
        <v>8439</v>
      </c>
      <c r="C331" s="152">
        <v>3.0</v>
      </c>
      <c r="D331" s="153"/>
      <c r="E331" s="153"/>
      <c r="F331" s="153"/>
      <c r="G331" s="152" t="s">
        <v>8436</v>
      </c>
      <c r="H331" s="155" t="s">
        <v>8416</v>
      </c>
      <c r="I331" s="153"/>
      <c r="J331" s="156"/>
      <c r="K331" s="156"/>
      <c r="L331" s="156"/>
      <c r="M331" s="157"/>
      <c r="N331" s="152" t="s">
        <v>8384</v>
      </c>
      <c r="O331" s="158"/>
    </row>
    <row r="332">
      <c r="A332" s="152" t="s">
        <v>8438</v>
      </c>
      <c r="B332" s="152" t="s">
        <v>8439</v>
      </c>
      <c r="C332" s="152">
        <v>4.0</v>
      </c>
      <c r="D332" s="153"/>
      <c r="E332" s="152">
        <v>3.0</v>
      </c>
      <c r="F332" s="153"/>
      <c r="G332" s="152" t="s">
        <v>8436</v>
      </c>
      <c r="H332" s="155" t="s">
        <v>8417</v>
      </c>
      <c r="I332" s="155" t="s">
        <v>6507</v>
      </c>
      <c r="J332" s="156"/>
      <c r="K332" s="156"/>
      <c r="L332" s="156"/>
      <c r="M332" s="157"/>
      <c r="N332" s="152" t="s">
        <v>8395</v>
      </c>
      <c r="O332" s="158"/>
    </row>
    <row r="333">
      <c r="A333" s="152" t="s">
        <v>8438</v>
      </c>
      <c r="B333" s="152" t="s">
        <v>8439</v>
      </c>
      <c r="C333" s="152">
        <v>4.0</v>
      </c>
      <c r="D333" s="153"/>
      <c r="E333" s="152">
        <v>3.0</v>
      </c>
      <c r="F333" s="153"/>
      <c r="G333" s="152" t="s">
        <v>8436</v>
      </c>
      <c r="H333" s="155" t="s">
        <v>8418</v>
      </c>
      <c r="I333" s="155" t="s">
        <v>6492</v>
      </c>
      <c r="J333" s="156"/>
      <c r="K333" s="156"/>
      <c r="L333" s="156"/>
      <c r="M333" s="157"/>
      <c r="N333" s="152" t="s">
        <v>8395</v>
      </c>
      <c r="O333" s="158"/>
    </row>
    <row r="334">
      <c r="A334" s="152" t="s">
        <v>8438</v>
      </c>
      <c r="B334" s="152" t="s">
        <v>8439</v>
      </c>
      <c r="C334" s="152">
        <v>4.0</v>
      </c>
      <c r="D334" s="153"/>
      <c r="E334" s="152">
        <v>3.0</v>
      </c>
      <c r="F334" s="153"/>
      <c r="G334" s="152" t="s">
        <v>8436</v>
      </c>
      <c r="H334" s="155" t="s">
        <v>8419</v>
      </c>
      <c r="I334" s="155" t="s">
        <v>6978</v>
      </c>
      <c r="J334" s="156"/>
      <c r="K334" s="156"/>
      <c r="L334" s="156"/>
      <c r="M334" s="157"/>
      <c r="N334" s="152" t="s">
        <v>8395</v>
      </c>
      <c r="O334" s="158"/>
    </row>
    <row r="335">
      <c r="A335" s="152" t="s">
        <v>8438</v>
      </c>
      <c r="B335" s="152" t="s">
        <v>8439</v>
      </c>
      <c r="C335" s="152">
        <v>4.0</v>
      </c>
      <c r="D335" s="154"/>
      <c r="E335" s="152">
        <v>3.0</v>
      </c>
      <c r="F335" s="154"/>
      <c r="G335" s="152" t="s">
        <v>8436</v>
      </c>
      <c r="H335" s="155" t="s">
        <v>8420</v>
      </c>
      <c r="I335" s="155" t="s">
        <v>6936</v>
      </c>
      <c r="J335" s="157"/>
      <c r="K335" s="157"/>
      <c r="L335" s="156"/>
      <c r="M335" s="157"/>
      <c r="N335" s="152" t="s">
        <v>8395</v>
      </c>
    </row>
    <row r="336">
      <c r="A336" s="152" t="s">
        <v>8438</v>
      </c>
      <c r="B336" s="152" t="s">
        <v>8439</v>
      </c>
      <c r="C336" s="152">
        <v>4.0</v>
      </c>
      <c r="D336" s="154"/>
      <c r="E336" s="152">
        <v>3.0</v>
      </c>
      <c r="F336" s="154"/>
      <c r="G336" s="152" t="s">
        <v>8436</v>
      </c>
      <c r="H336" s="155" t="s">
        <v>8421</v>
      </c>
      <c r="I336" s="155" t="s">
        <v>6620</v>
      </c>
      <c r="J336" s="157"/>
      <c r="K336" s="157"/>
      <c r="L336" s="156"/>
      <c r="M336" s="157"/>
      <c r="N336" s="152" t="s">
        <v>8395</v>
      </c>
    </row>
    <row r="337">
      <c r="A337" s="152" t="s">
        <v>8438</v>
      </c>
      <c r="B337" s="152" t="s">
        <v>8439</v>
      </c>
      <c r="C337" s="152">
        <v>4.0</v>
      </c>
      <c r="D337" s="154"/>
      <c r="E337" s="152">
        <v>3.0</v>
      </c>
      <c r="F337" s="154"/>
      <c r="G337" s="152" t="s">
        <v>8436</v>
      </c>
      <c r="H337" s="155" t="s">
        <v>8422</v>
      </c>
      <c r="I337" s="155" t="s">
        <v>6563</v>
      </c>
      <c r="J337" s="157"/>
      <c r="K337" s="157"/>
      <c r="L337" s="156"/>
      <c r="M337" s="157"/>
      <c r="N337" s="152" t="s">
        <v>8395</v>
      </c>
    </row>
    <row r="338">
      <c r="A338" s="152" t="s">
        <v>8438</v>
      </c>
      <c r="B338" s="152" t="s">
        <v>8439</v>
      </c>
      <c r="C338" s="152">
        <v>4.0</v>
      </c>
      <c r="D338" s="154"/>
      <c r="E338" s="152">
        <v>3.0</v>
      </c>
      <c r="F338" s="154"/>
      <c r="G338" s="152" t="s">
        <v>8436</v>
      </c>
      <c r="H338" s="155" t="s">
        <v>8423</v>
      </c>
      <c r="I338" s="155" t="s">
        <v>6701</v>
      </c>
      <c r="J338" s="157"/>
      <c r="K338" s="157"/>
      <c r="L338" s="156"/>
      <c r="M338" s="157"/>
      <c r="N338" s="152" t="s">
        <v>8395</v>
      </c>
    </row>
    <row r="339">
      <c r="A339" s="152" t="s">
        <v>8438</v>
      </c>
      <c r="B339" s="152" t="s">
        <v>8439</v>
      </c>
      <c r="C339" s="152">
        <v>4.0</v>
      </c>
      <c r="D339" s="154"/>
      <c r="E339" s="152">
        <v>3.0</v>
      </c>
      <c r="F339" s="154"/>
      <c r="G339" s="152" t="s">
        <v>8436</v>
      </c>
      <c r="H339" s="155" t="s">
        <v>8424</v>
      </c>
      <c r="I339" s="155" t="s">
        <v>6684</v>
      </c>
      <c r="J339" s="157"/>
      <c r="K339" s="157"/>
      <c r="L339" s="156"/>
      <c r="M339" s="157"/>
      <c r="N339" s="152" t="s">
        <v>8395</v>
      </c>
    </row>
    <row r="340">
      <c r="A340" s="152" t="s">
        <v>8438</v>
      </c>
      <c r="B340" s="152" t="s">
        <v>8439</v>
      </c>
      <c r="C340" s="152">
        <v>4.0</v>
      </c>
      <c r="D340" s="154"/>
      <c r="E340" s="152">
        <v>3.0</v>
      </c>
      <c r="F340" s="154"/>
      <c r="G340" s="152" t="s">
        <v>8436</v>
      </c>
      <c r="H340" s="155" t="s">
        <v>8425</v>
      </c>
      <c r="I340" s="155" t="s">
        <v>7039</v>
      </c>
      <c r="J340" s="157"/>
      <c r="K340" s="157"/>
      <c r="L340" s="156"/>
      <c r="M340" s="157"/>
      <c r="N340" s="152" t="s">
        <v>8395</v>
      </c>
    </row>
    <row r="341">
      <c r="A341" s="152" t="s">
        <v>8438</v>
      </c>
      <c r="B341" s="152" t="s">
        <v>8439</v>
      </c>
      <c r="C341" s="152">
        <v>4.0</v>
      </c>
      <c r="D341" s="154"/>
      <c r="E341" s="152">
        <v>3.0</v>
      </c>
      <c r="F341" s="154"/>
      <c r="G341" s="152" t="s">
        <v>8436</v>
      </c>
      <c r="H341" s="155" t="s">
        <v>8426</v>
      </c>
      <c r="I341" s="155" t="s">
        <v>7023</v>
      </c>
      <c r="J341" s="157"/>
      <c r="K341" s="157"/>
      <c r="L341" s="157"/>
      <c r="M341" s="157"/>
      <c r="N341" s="152" t="s">
        <v>8395</v>
      </c>
    </row>
    <row r="342">
      <c r="A342" s="152" t="s">
        <v>8440</v>
      </c>
      <c r="B342" s="152" t="s">
        <v>8441</v>
      </c>
      <c r="C342" s="152">
        <v>1.0</v>
      </c>
      <c r="D342" s="153"/>
      <c r="E342" s="153"/>
      <c r="F342" s="153"/>
      <c r="G342" s="152" t="s">
        <v>8382</v>
      </c>
      <c r="H342" s="152" t="s">
        <v>8383</v>
      </c>
      <c r="I342" s="153"/>
      <c r="J342" s="152" t="s">
        <v>23</v>
      </c>
      <c r="K342" s="152">
        <v>669.0</v>
      </c>
      <c r="L342" s="153"/>
      <c r="M342" s="154"/>
      <c r="N342" s="152" t="s">
        <v>8384</v>
      </c>
    </row>
    <row r="343">
      <c r="A343" s="152" t="s">
        <v>8440</v>
      </c>
      <c r="B343" s="152" t="s">
        <v>8441</v>
      </c>
      <c r="C343" s="152">
        <v>1.0</v>
      </c>
      <c r="D343" s="153"/>
      <c r="E343" s="153"/>
      <c r="F343" s="153"/>
      <c r="G343" s="152" t="s">
        <v>8382</v>
      </c>
      <c r="H343" s="152" t="s">
        <v>8385</v>
      </c>
      <c r="I343" s="153"/>
      <c r="J343" s="152" t="s">
        <v>23</v>
      </c>
      <c r="K343" s="152">
        <v>729.0</v>
      </c>
      <c r="L343" s="153"/>
      <c r="M343" s="154"/>
      <c r="N343" s="152" t="s">
        <v>8384</v>
      </c>
    </row>
    <row r="344">
      <c r="A344" s="152" t="s">
        <v>8440</v>
      </c>
      <c r="B344" s="152" t="s">
        <v>8441</v>
      </c>
      <c r="C344" s="152">
        <v>1.0</v>
      </c>
      <c r="D344" s="153"/>
      <c r="E344" s="153"/>
      <c r="F344" s="153"/>
      <c r="G344" s="152" t="s">
        <v>8382</v>
      </c>
      <c r="H344" s="152" t="s">
        <v>8386</v>
      </c>
      <c r="I344" s="153"/>
      <c r="J344" s="152" t="s">
        <v>23</v>
      </c>
      <c r="K344" s="152">
        <v>729.0</v>
      </c>
      <c r="L344" s="153"/>
      <c r="M344" s="154"/>
      <c r="N344" s="152" t="s">
        <v>8384</v>
      </c>
    </row>
    <row r="345">
      <c r="A345" s="152" t="s">
        <v>8440</v>
      </c>
      <c r="B345" s="152" t="s">
        <v>8441</v>
      </c>
      <c r="C345" s="152">
        <v>1.0</v>
      </c>
      <c r="D345" s="154"/>
      <c r="E345" s="154"/>
      <c r="F345" s="154"/>
      <c r="G345" s="152" t="s">
        <v>8382</v>
      </c>
      <c r="H345" s="152" t="s">
        <v>8387</v>
      </c>
      <c r="I345" s="154"/>
      <c r="J345" s="152" t="s">
        <v>23</v>
      </c>
      <c r="K345" s="152">
        <v>729.0</v>
      </c>
      <c r="L345" s="153"/>
      <c r="M345" s="154"/>
      <c r="N345" s="152" t="s">
        <v>8384</v>
      </c>
    </row>
    <row r="346">
      <c r="A346" s="152" t="s">
        <v>8440</v>
      </c>
      <c r="B346" s="152" t="s">
        <v>8441</v>
      </c>
      <c r="C346" s="152">
        <v>1.0</v>
      </c>
      <c r="D346" s="154"/>
      <c r="E346" s="154"/>
      <c r="F346" s="154"/>
      <c r="G346" s="152" t="s">
        <v>8382</v>
      </c>
      <c r="H346" s="152" t="s">
        <v>8388</v>
      </c>
      <c r="I346" s="154"/>
      <c r="J346" s="152" t="s">
        <v>23</v>
      </c>
      <c r="K346" s="152">
        <v>729.0</v>
      </c>
      <c r="L346" s="153"/>
      <c r="M346" s="154"/>
      <c r="N346" s="152" t="s">
        <v>8384</v>
      </c>
    </row>
    <row r="347">
      <c r="A347" s="152" t="s">
        <v>8440</v>
      </c>
      <c r="B347" s="152" t="s">
        <v>8441</v>
      </c>
      <c r="C347" s="152">
        <v>1.0</v>
      </c>
      <c r="D347" s="154"/>
      <c r="E347" s="154"/>
      <c r="F347" s="154"/>
      <c r="G347" s="152" t="s">
        <v>8382</v>
      </c>
      <c r="H347" s="152" t="s">
        <v>8389</v>
      </c>
      <c r="I347" s="154"/>
      <c r="J347" s="152" t="s">
        <v>23</v>
      </c>
      <c r="K347" s="152">
        <v>839.0</v>
      </c>
      <c r="L347" s="153"/>
      <c r="M347" s="154"/>
      <c r="N347" s="152" t="s">
        <v>8384</v>
      </c>
    </row>
    <row r="348">
      <c r="A348" s="152" t="s">
        <v>8440</v>
      </c>
      <c r="B348" s="152" t="s">
        <v>8441</v>
      </c>
      <c r="C348" s="152">
        <v>1.0</v>
      </c>
      <c r="D348" s="154"/>
      <c r="E348" s="154"/>
      <c r="F348" s="154"/>
      <c r="G348" s="152" t="s">
        <v>8382</v>
      </c>
      <c r="H348" s="152" t="s">
        <v>5767</v>
      </c>
      <c r="I348" s="154"/>
      <c r="J348" s="152" t="s">
        <v>23</v>
      </c>
      <c r="K348" s="152">
        <v>839.0</v>
      </c>
      <c r="L348" s="153"/>
      <c r="M348" s="154"/>
      <c r="N348" s="152" t="s">
        <v>8384</v>
      </c>
    </row>
    <row r="349">
      <c r="A349" s="152" t="s">
        <v>8440</v>
      </c>
      <c r="B349" s="152" t="s">
        <v>8441</v>
      </c>
      <c r="C349" s="152">
        <v>1.0</v>
      </c>
      <c r="D349" s="154"/>
      <c r="E349" s="154"/>
      <c r="F349" s="154"/>
      <c r="G349" s="152" t="s">
        <v>8382</v>
      </c>
      <c r="H349" s="152" t="s">
        <v>8390</v>
      </c>
      <c r="I349" s="154"/>
      <c r="J349" s="152" t="s">
        <v>23</v>
      </c>
      <c r="K349" s="152">
        <v>839.0</v>
      </c>
      <c r="L349" s="153"/>
      <c r="M349" s="154"/>
      <c r="N349" s="152" t="s">
        <v>8384</v>
      </c>
    </row>
    <row r="350">
      <c r="A350" s="152" t="s">
        <v>8440</v>
      </c>
      <c r="B350" s="152" t="s">
        <v>8441</v>
      </c>
      <c r="C350" s="152">
        <v>1.0</v>
      </c>
      <c r="D350" s="154"/>
      <c r="E350" s="153"/>
      <c r="F350" s="153"/>
      <c r="G350" s="152" t="s">
        <v>8382</v>
      </c>
      <c r="H350" s="152" t="s">
        <v>8391</v>
      </c>
      <c r="I350" s="154"/>
      <c r="J350" s="152" t="s">
        <v>23</v>
      </c>
      <c r="K350" s="152">
        <v>839.0</v>
      </c>
      <c r="L350" s="153"/>
      <c r="M350" s="154"/>
      <c r="N350" s="152" t="s">
        <v>8384</v>
      </c>
    </row>
    <row r="351">
      <c r="A351" s="152" t="s">
        <v>8440</v>
      </c>
      <c r="B351" s="152" t="s">
        <v>8441</v>
      </c>
      <c r="C351" s="152">
        <v>1.0</v>
      </c>
      <c r="D351" s="153"/>
      <c r="E351" s="153"/>
      <c r="F351" s="153"/>
      <c r="G351" s="152" t="s">
        <v>8382</v>
      </c>
      <c r="H351" s="152" t="s">
        <v>8392</v>
      </c>
      <c r="I351" s="154"/>
      <c r="J351" s="152" t="s">
        <v>23</v>
      </c>
      <c r="K351" s="152">
        <v>839.0</v>
      </c>
      <c r="L351" s="153"/>
      <c r="M351" s="154"/>
      <c r="N351" s="152" t="s">
        <v>8384</v>
      </c>
    </row>
    <row r="352">
      <c r="A352" s="152" t="s">
        <v>8440</v>
      </c>
      <c r="B352" s="152" t="s">
        <v>8441</v>
      </c>
      <c r="C352" s="152">
        <v>2.0</v>
      </c>
      <c r="D352" s="153"/>
      <c r="E352" s="152">
        <v>1.0</v>
      </c>
      <c r="F352" s="153"/>
      <c r="G352" s="152" t="s">
        <v>8393</v>
      </c>
      <c r="H352" s="152" t="s">
        <v>8394</v>
      </c>
      <c r="I352" s="152" t="s">
        <v>6862</v>
      </c>
      <c r="J352" s="154"/>
      <c r="K352" s="154"/>
      <c r="L352" s="153"/>
      <c r="M352" s="154"/>
      <c r="N352" s="152" t="s">
        <v>8395</v>
      </c>
    </row>
    <row r="353">
      <c r="A353" s="152" t="s">
        <v>8440</v>
      </c>
      <c r="B353" s="152" t="s">
        <v>8441</v>
      </c>
      <c r="C353" s="152">
        <v>2.0</v>
      </c>
      <c r="D353" s="153"/>
      <c r="E353" s="152">
        <v>1.0</v>
      </c>
      <c r="F353" s="153"/>
      <c r="G353" s="152" t="s">
        <v>8393</v>
      </c>
      <c r="H353" s="152" t="s">
        <v>8396</v>
      </c>
      <c r="I353" s="152" t="s">
        <v>6893</v>
      </c>
      <c r="J353" s="154"/>
      <c r="K353" s="154"/>
      <c r="L353" s="153"/>
      <c r="M353" s="154"/>
      <c r="N353" s="152" t="s">
        <v>8395</v>
      </c>
    </row>
    <row r="354">
      <c r="A354" s="152" t="s">
        <v>8440</v>
      </c>
      <c r="B354" s="152" t="s">
        <v>8441</v>
      </c>
      <c r="C354" s="152">
        <v>2.0</v>
      </c>
      <c r="D354" s="154"/>
      <c r="E354" s="152">
        <v>1.0</v>
      </c>
      <c r="F354" s="154"/>
      <c r="G354" s="152" t="s">
        <v>8393</v>
      </c>
      <c r="H354" s="152" t="s">
        <v>8397</v>
      </c>
      <c r="I354" s="152" t="s">
        <v>6796</v>
      </c>
      <c r="J354" s="154"/>
      <c r="K354" s="154"/>
      <c r="L354" s="153"/>
      <c r="M354" s="154"/>
      <c r="N354" s="152" t="s">
        <v>8395</v>
      </c>
    </row>
    <row r="355">
      <c r="A355" s="152" t="s">
        <v>8440</v>
      </c>
      <c r="B355" s="152" t="s">
        <v>8441</v>
      </c>
      <c r="C355" s="152">
        <v>2.0</v>
      </c>
      <c r="D355" s="153"/>
      <c r="E355" s="152">
        <v>1.0</v>
      </c>
      <c r="F355" s="153"/>
      <c r="G355" s="152" t="s">
        <v>8393</v>
      </c>
      <c r="H355" s="152" t="s">
        <v>8398</v>
      </c>
      <c r="I355" s="152" t="s">
        <v>6726</v>
      </c>
      <c r="J355" s="154"/>
      <c r="K355" s="154"/>
      <c r="L355" s="153"/>
      <c r="M355" s="154"/>
      <c r="N355" s="152" t="s">
        <v>8395</v>
      </c>
    </row>
    <row r="356">
      <c r="A356" s="152" t="s">
        <v>8440</v>
      </c>
      <c r="B356" s="152" t="s">
        <v>8441</v>
      </c>
      <c r="C356" s="152">
        <v>2.0</v>
      </c>
      <c r="D356" s="154"/>
      <c r="E356" s="152">
        <v>1.0</v>
      </c>
      <c r="F356" s="153"/>
      <c r="G356" s="152" t="s">
        <v>8393</v>
      </c>
      <c r="H356" s="152" t="s">
        <v>8399</v>
      </c>
      <c r="I356" s="152" t="s">
        <v>6924</v>
      </c>
      <c r="J356" s="154"/>
      <c r="K356" s="154"/>
      <c r="L356" s="153"/>
      <c r="M356" s="154"/>
      <c r="N356" s="152" t="s">
        <v>8395</v>
      </c>
    </row>
    <row r="357">
      <c r="A357" s="152" t="s">
        <v>8440</v>
      </c>
      <c r="B357" s="152" t="s">
        <v>8441</v>
      </c>
      <c r="C357" s="152">
        <v>2.0</v>
      </c>
      <c r="D357" s="153"/>
      <c r="E357" s="152">
        <v>1.0</v>
      </c>
      <c r="F357" s="153"/>
      <c r="G357" s="152" t="s">
        <v>8393</v>
      </c>
      <c r="H357" s="152" t="s">
        <v>8400</v>
      </c>
      <c r="I357" s="152" t="s">
        <v>6893</v>
      </c>
      <c r="J357" s="154"/>
      <c r="K357" s="154"/>
      <c r="L357" s="153"/>
      <c r="M357" s="154"/>
      <c r="N357" s="152" t="s">
        <v>8395</v>
      </c>
    </row>
    <row r="358">
      <c r="A358" s="152" t="s">
        <v>8440</v>
      </c>
      <c r="B358" s="152" t="s">
        <v>8441</v>
      </c>
      <c r="C358" s="152">
        <v>2.0</v>
      </c>
      <c r="D358" s="153"/>
      <c r="E358" s="152">
        <v>1.0</v>
      </c>
      <c r="F358" s="153"/>
      <c r="G358" s="152" t="s">
        <v>8393</v>
      </c>
      <c r="H358" s="152" t="s">
        <v>8401</v>
      </c>
      <c r="I358" s="152" t="s">
        <v>6796</v>
      </c>
      <c r="J358" s="154"/>
      <c r="K358" s="154"/>
      <c r="L358" s="153"/>
      <c r="M358" s="154"/>
      <c r="N358" s="152" t="s">
        <v>8395</v>
      </c>
    </row>
    <row r="359">
      <c r="A359" s="152" t="s">
        <v>8440</v>
      </c>
      <c r="B359" s="152" t="s">
        <v>8441</v>
      </c>
      <c r="C359" s="152">
        <v>2.0</v>
      </c>
      <c r="D359" s="153"/>
      <c r="E359" s="152">
        <v>1.0</v>
      </c>
      <c r="F359" s="153"/>
      <c r="G359" s="152" t="s">
        <v>8393</v>
      </c>
      <c r="H359" s="152" t="s">
        <v>8402</v>
      </c>
      <c r="I359" s="152" t="s">
        <v>6831</v>
      </c>
      <c r="J359" s="153"/>
      <c r="K359" s="153"/>
      <c r="L359" s="153"/>
      <c r="M359" s="154"/>
      <c r="N359" s="152" t="s">
        <v>8395</v>
      </c>
    </row>
    <row r="360">
      <c r="A360" s="152" t="s">
        <v>8440</v>
      </c>
      <c r="B360" s="152" t="s">
        <v>8441</v>
      </c>
      <c r="C360" s="152">
        <v>2.0</v>
      </c>
      <c r="D360" s="153"/>
      <c r="E360" s="152">
        <v>1.0</v>
      </c>
      <c r="F360" s="153"/>
      <c r="G360" s="152" t="s">
        <v>8393</v>
      </c>
      <c r="H360" s="152" t="s">
        <v>8403</v>
      </c>
      <c r="I360" s="152" t="s">
        <v>6836</v>
      </c>
      <c r="J360" s="153"/>
      <c r="K360" s="153"/>
      <c r="L360" s="153"/>
      <c r="M360" s="154"/>
      <c r="N360" s="152" t="s">
        <v>8395</v>
      </c>
    </row>
    <row r="361">
      <c r="A361" s="152" t="s">
        <v>8440</v>
      </c>
      <c r="B361" s="152" t="s">
        <v>8441</v>
      </c>
      <c r="C361" s="152">
        <v>2.0</v>
      </c>
      <c r="D361" s="154"/>
      <c r="E361" s="152">
        <v>1.0</v>
      </c>
      <c r="F361" s="154"/>
      <c r="G361" s="152" t="s">
        <v>8393</v>
      </c>
      <c r="H361" s="152" t="s">
        <v>8404</v>
      </c>
      <c r="I361" s="152" t="s">
        <v>8405</v>
      </c>
      <c r="J361" s="154"/>
      <c r="K361" s="154"/>
      <c r="L361" s="154"/>
      <c r="M361" s="154"/>
      <c r="N361" s="152" t="s">
        <v>8395</v>
      </c>
    </row>
    <row r="362">
      <c r="A362" s="152" t="s">
        <v>8440</v>
      </c>
      <c r="B362" s="152" t="s">
        <v>8441</v>
      </c>
      <c r="C362" s="152">
        <v>3.0</v>
      </c>
      <c r="D362" s="154"/>
      <c r="E362" s="154"/>
      <c r="F362" s="154"/>
      <c r="G362" s="152" t="s">
        <v>8436</v>
      </c>
      <c r="H362" s="155" t="s">
        <v>8407</v>
      </c>
      <c r="I362" s="154"/>
      <c r="J362" s="157"/>
      <c r="K362" s="157"/>
      <c r="L362" s="157"/>
      <c r="M362" s="157"/>
      <c r="N362" s="152" t="s">
        <v>8384</v>
      </c>
    </row>
    <row r="363">
      <c r="A363" s="152" t="s">
        <v>8440</v>
      </c>
      <c r="B363" s="152" t="s">
        <v>8441</v>
      </c>
      <c r="C363" s="152">
        <v>3.0</v>
      </c>
      <c r="D363" s="154"/>
      <c r="E363" s="154"/>
      <c r="F363" s="154"/>
      <c r="G363" s="152" t="s">
        <v>8436</v>
      </c>
      <c r="H363" s="155" t="s">
        <v>8408</v>
      </c>
      <c r="I363" s="154"/>
      <c r="J363" s="157"/>
      <c r="K363" s="157"/>
      <c r="L363" s="157"/>
      <c r="M363" s="157"/>
      <c r="N363" s="152" t="s">
        <v>8384</v>
      </c>
    </row>
    <row r="364">
      <c r="A364" s="152" t="s">
        <v>8440</v>
      </c>
      <c r="B364" s="152" t="s">
        <v>8441</v>
      </c>
      <c r="C364" s="152">
        <v>3.0</v>
      </c>
      <c r="D364" s="154"/>
      <c r="E364" s="154"/>
      <c r="F364" s="154"/>
      <c r="G364" s="152" t="s">
        <v>8436</v>
      </c>
      <c r="H364" s="155" t="s">
        <v>8409</v>
      </c>
      <c r="I364" s="154"/>
      <c r="J364" s="157"/>
      <c r="K364" s="157"/>
      <c r="L364" s="157"/>
      <c r="M364" s="157"/>
      <c r="N364" s="152" t="s">
        <v>8384</v>
      </c>
    </row>
    <row r="365">
      <c r="A365" s="152" t="s">
        <v>8440</v>
      </c>
      <c r="B365" s="152" t="s">
        <v>8441</v>
      </c>
      <c r="C365" s="152">
        <v>3.0</v>
      </c>
      <c r="D365" s="154"/>
      <c r="E365" s="154"/>
      <c r="F365" s="154"/>
      <c r="G365" s="152" t="s">
        <v>8436</v>
      </c>
      <c r="H365" s="155" t="s">
        <v>8410</v>
      </c>
      <c r="I365" s="154"/>
      <c r="J365" s="157"/>
      <c r="K365" s="157"/>
      <c r="L365" s="157"/>
      <c r="M365" s="157"/>
      <c r="N365" s="152" t="s">
        <v>8384</v>
      </c>
    </row>
    <row r="366">
      <c r="A366" s="152" t="s">
        <v>8440</v>
      </c>
      <c r="B366" s="152" t="s">
        <v>8441</v>
      </c>
      <c r="C366" s="152">
        <v>3.0</v>
      </c>
      <c r="D366" s="154"/>
      <c r="E366" s="153"/>
      <c r="F366" s="153"/>
      <c r="G366" s="152" t="s">
        <v>8436</v>
      </c>
      <c r="H366" s="155" t="s">
        <v>8411</v>
      </c>
      <c r="I366" s="154"/>
      <c r="J366" s="157"/>
      <c r="K366" s="157"/>
      <c r="L366" s="156"/>
      <c r="M366" s="157"/>
      <c r="N366" s="152" t="s">
        <v>8384</v>
      </c>
    </row>
    <row r="367">
      <c r="A367" s="152" t="s">
        <v>8440</v>
      </c>
      <c r="B367" s="152" t="s">
        <v>8441</v>
      </c>
      <c r="C367" s="152">
        <v>3.0</v>
      </c>
      <c r="D367" s="153"/>
      <c r="E367" s="153"/>
      <c r="F367" s="153"/>
      <c r="G367" s="152" t="s">
        <v>8436</v>
      </c>
      <c r="H367" s="155" t="s">
        <v>8412</v>
      </c>
      <c r="I367" s="154"/>
      <c r="J367" s="157"/>
      <c r="K367" s="157"/>
      <c r="L367" s="156"/>
      <c r="M367" s="157"/>
      <c r="N367" s="152" t="s">
        <v>8384</v>
      </c>
    </row>
    <row r="368">
      <c r="A368" s="152" t="s">
        <v>8440</v>
      </c>
      <c r="B368" s="152" t="s">
        <v>8441</v>
      </c>
      <c r="C368" s="152">
        <v>3.0</v>
      </c>
      <c r="D368" s="153"/>
      <c r="E368" s="153"/>
      <c r="F368" s="153"/>
      <c r="G368" s="152" t="s">
        <v>8436</v>
      </c>
      <c r="H368" s="155" t="s">
        <v>8413</v>
      </c>
      <c r="I368" s="153"/>
      <c r="J368" s="156"/>
      <c r="K368" s="156"/>
      <c r="L368" s="156"/>
      <c r="M368" s="157"/>
      <c r="N368" s="152" t="s">
        <v>8384</v>
      </c>
    </row>
    <row r="369">
      <c r="A369" s="152" t="s">
        <v>8440</v>
      </c>
      <c r="B369" s="152" t="s">
        <v>8441</v>
      </c>
      <c r="C369" s="152">
        <v>3.0</v>
      </c>
      <c r="D369" s="154"/>
      <c r="E369" s="154"/>
      <c r="F369" s="154"/>
      <c r="G369" s="152" t="s">
        <v>8436</v>
      </c>
      <c r="H369" s="155" t="s">
        <v>8414</v>
      </c>
      <c r="I369" s="154"/>
      <c r="J369" s="156"/>
      <c r="K369" s="156"/>
      <c r="L369" s="156"/>
      <c r="M369" s="157"/>
      <c r="N369" s="152" t="s">
        <v>8384</v>
      </c>
    </row>
    <row r="370">
      <c r="A370" s="152" t="s">
        <v>8440</v>
      </c>
      <c r="B370" s="152" t="s">
        <v>8441</v>
      </c>
      <c r="C370" s="152">
        <v>3.0</v>
      </c>
      <c r="D370" s="153"/>
      <c r="E370" s="154"/>
      <c r="F370" s="154"/>
      <c r="G370" s="152" t="s">
        <v>8436</v>
      </c>
      <c r="H370" s="155" t="s">
        <v>8415</v>
      </c>
      <c r="I370" s="154"/>
      <c r="J370" s="156"/>
      <c r="K370" s="156"/>
      <c r="L370" s="156"/>
      <c r="M370" s="157"/>
      <c r="N370" s="152" t="s">
        <v>8384</v>
      </c>
    </row>
    <row r="371">
      <c r="A371" s="152" t="s">
        <v>8440</v>
      </c>
      <c r="B371" s="152" t="s">
        <v>8441</v>
      </c>
      <c r="C371" s="152">
        <v>3.0</v>
      </c>
      <c r="D371" s="153"/>
      <c r="E371" s="154"/>
      <c r="F371" s="154"/>
      <c r="G371" s="152" t="s">
        <v>8436</v>
      </c>
      <c r="H371" s="155" t="s">
        <v>8416</v>
      </c>
      <c r="I371" s="154"/>
      <c r="J371" s="156"/>
      <c r="K371" s="156"/>
      <c r="L371" s="156"/>
      <c r="M371" s="157"/>
      <c r="N371" s="152" t="s">
        <v>8384</v>
      </c>
    </row>
    <row r="372">
      <c r="A372" s="152" t="s">
        <v>8440</v>
      </c>
      <c r="B372" s="152" t="s">
        <v>8441</v>
      </c>
      <c r="C372" s="152">
        <v>4.0</v>
      </c>
      <c r="D372" s="153"/>
      <c r="E372" s="152">
        <v>3.0</v>
      </c>
      <c r="F372" s="154"/>
      <c r="G372" s="152" t="s">
        <v>8436</v>
      </c>
      <c r="H372" s="155" t="s">
        <v>8417</v>
      </c>
      <c r="I372" s="155" t="s">
        <v>6507</v>
      </c>
      <c r="J372" s="156"/>
      <c r="K372" s="156"/>
      <c r="L372" s="156"/>
      <c r="M372" s="157"/>
      <c r="N372" s="152" t="s">
        <v>8395</v>
      </c>
    </row>
    <row r="373">
      <c r="A373" s="152" t="s">
        <v>8440</v>
      </c>
      <c r="B373" s="152" t="s">
        <v>8441</v>
      </c>
      <c r="C373" s="152">
        <v>4.0</v>
      </c>
      <c r="D373" s="154"/>
      <c r="E373" s="152">
        <v>3.0</v>
      </c>
      <c r="F373" s="154"/>
      <c r="G373" s="152" t="s">
        <v>8436</v>
      </c>
      <c r="H373" s="155" t="s">
        <v>8418</v>
      </c>
      <c r="I373" s="155" t="s">
        <v>6492</v>
      </c>
      <c r="J373" s="157"/>
      <c r="K373" s="157"/>
      <c r="L373" s="157"/>
      <c r="M373" s="157"/>
      <c r="N373" s="152" t="s">
        <v>8395</v>
      </c>
    </row>
    <row r="374">
      <c r="A374" s="152" t="s">
        <v>8440</v>
      </c>
      <c r="B374" s="152" t="s">
        <v>8441</v>
      </c>
      <c r="C374" s="152">
        <v>4.0</v>
      </c>
      <c r="D374" s="153"/>
      <c r="E374" s="152">
        <v>3.0</v>
      </c>
      <c r="F374" s="154"/>
      <c r="G374" s="152" t="s">
        <v>8436</v>
      </c>
      <c r="H374" s="155" t="s">
        <v>8419</v>
      </c>
      <c r="I374" s="155" t="s">
        <v>6978</v>
      </c>
      <c r="J374" s="156"/>
      <c r="K374" s="156"/>
      <c r="L374" s="156"/>
      <c r="M374" s="157"/>
      <c r="N374" s="152" t="s">
        <v>8395</v>
      </c>
    </row>
    <row r="375">
      <c r="A375" s="152" t="s">
        <v>8440</v>
      </c>
      <c r="B375" s="152" t="s">
        <v>8441</v>
      </c>
      <c r="C375" s="152">
        <v>4.0</v>
      </c>
      <c r="D375" s="153"/>
      <c r="E375" s="152">
        <v>3.0</v>
      </c>
      <c r="F375" s="154"/>
      <c r="G375" s="152" t="s">
        <v>8436</v>
      </c>
      <c r="H375" s="155" t="s">
        <v>8420</v>
      </c>
      <c r="I375" s="155" t="s">
        <v>6936</v>
      </c>
      <c r="J375" s="156"/>
      <c r="K375" s="156"/>
      <c r="L375" s="156"/>
      <c r="M375" s="157"/>
      <c r="N375" s="152" t="s">
        <v>8395</v>
      </c>
    </row>
    <row r="376">
      <c r="A376" s="152" t="s">
        <v>8440</v>
      </c>
      <c r="B376" s="152" t="s">
        <v>8441</v>
      </c>
      <c r="C376" s="152">
        <v>4.0</v>
      </c>
      <c r="D376" s="153"/>
      <c r="E376" s="152">
        <v>3.0</v>
      </c>
      <c r="F376" s="154"/>
      <c r="G376" s="152" t="s">
        <v>8436</v>
      </c>
      <c r="H376" s="155" t="s">
        <v>8421</v>
      </c>
      <c r="I376" s="155" t="s">
        <v>6620</v>
      </c>
      <c r="J376" s="156"/>
      <c r="K376" s="156"/>
      <c r="L376" s="156"/>
      <c r="M376" s="157"/>
      <c r="N376" s="152" t="s">
        <v>8395</v>
      </c>
    </row>
    <row r="377">
      <c r="A377" s="152" t="s">
        <v>8440</v>
      </c>
      <c r="B377" s="152" t="s">
        <v>8441</v>
      </c>
      <c r="C377" s="152">
        <v>4.0</v>
      </c>
      <c r="D377" s="153"/>
      <c r="E377" s="152">
        <v>3.0</v>
      </c>
      <c r="F377" s="154"/>
      <c r="G377" s="152" t="s">
        <v>8436</v>
      </c>
      <c r="H377" s="155" t="s">
        <v>8422</v>
      </c>
      <c r="I377" s="155" t="s">
        <v>6563</v>
      </c>
      <c r="J377" s="156"/>
      <c r="K377" s="156"/>
      <c r="L377" s="156"/>
      <c r="M377" s="157"/>
      <c r="N377" s="152" t="s">
        <v>8395</v>
      </c>
    </row>
    <row r="378">
      <c r="A378" s="152" t="s">
        <v>8440</v>
      </c>
      <c r="B378" s="152" t="s">
        <v>8441</v>
      </c>
      <c r="C378" s="152">
        <v>4.0</v>
      </c>
      <c r="D378" s="153"/>
      <c r="E378" s="152">
        <v>3.0</v>
      </c>
      <c r="F378" s="153"/>
      <c r="G378" s="152" t="s">
        <v>8436</v>
      </c>
      <c r="H378" s="155" t="s">
        <v>8423</v>
      </c>
      <c r="I378" s="155" t="s">
        <v>6701</v>
      </c>
      <c r="J378" s="156"/>
      <c r="K378" s="156"/>
      <c r="L378" s="156"/>
      <c r="M378" s="157"/>
      <c r="N378" s="152" t="s">
        <v>8395</v>
      </c>
    </row>
    <row r="379">
      <c r="A379" s="152" t="s">
        <v>8440</v>
      </c>
      <c r="B379" s="152" t="s">
        <v>8441</v>
      </c>
      <c r="C379" s="152">
        <v>4.0</v>
      </c>
      <c r="D379" s="153"/>
      <c r="E379" s="152">
        <v>3.0</v>
      </c>
      <c r="F379" s="153"/>
      <c r="G379" s="152" t="s">
        <v>8436</v>
      </c>
      <c r="H379" s="155" t="s">
        <v>8424</v>
      </c>
      <c r="I379" s="155" t="s">
        <v>6684</v>
      </c>
      <c r="J379" s="156"/>
      <c r="K379" s="156"/>
      <c r="L379" s="156"/>
      <c r="M379" s="157"/>
      <c r="N379" s="152" t="s">
        <v>8395</v>
      </c>
    </row>
    <row r="380">
      <c r="A380" s="152" t="s">
        <v>8440</v>
      </c>
      <c r="B380" s="152" t="s">
        <v>8441</v>
      </c>
      <c r="C380" s="152">
        <v>4.0</v>
      </c>
      <c r="D380" s="153"/>
      <c r="E380" s="152">
        <v>3.0</v>
      </c>
      <c r="F380" s="153"/>
      <c r="G380" s="152" t="s">
        <v>8436</v>
      </c>
      <c r="H380" s="155" t="s">
        <v>8425</v>
      </c>
      <c r="I380" s="155" t="s">
        <v>7039</v>
      </c>
      <c r="J380" s="156"/>
      <c r="K380" s="156"/>
      <c r="L380" s="156"/>
      <c r="M380" s="157"/>
      <c r="N380" s="152" t="s">
        <v>8395</v>
      </c>
    </row>
    <row r="381">
      <c r="A381" s="152" t="s">
        <v>8440</v>
      </c>
      <c r="B381" s="152" t="s">
        <v>8441</v>
      </c>
      <c r="C381" s="152">
        <v>4.0</v>
      </c>
      <c r="D381" s="153"/>
      <c r="E381" s="152">
        <v>3.0</v>
      </c>
      <c r="F381" s="153"/>
      <c r="G381" s="152" t="s">
        <v>8436</v>
      </c>
      <c r="H381" s="155" t="s">
        <v>8426</v>
      </c>
      <c r="I381" s="155" t="s">
        <v>7023</v>
      </c>
      <c r="J381" s="156"/>
      <c r="K381" s="156"/>
      <c r="L381" s="156"/>
      <c r="M381" s="157"/>
      <c r="N381" s="152" t="s">
        <v>8395</v>
      </c>
    </row>
    <row r="382">
      <c r="A382" s="152" t="s">
        <v>8442</v>
      </c>
      <c r="B382" s="152" t="s">
        <v>8443</v>
      </c>
      <c r="C382" s="152">
        <v>1.0</v>
      </c>
      <c r="D382" s="153"/>
      <c r="E382" s="153"/>
      <c r="F382" s="153"/>
      <c r="G382" s="152" t="s">
        <v>8382</v>
      </c>
      <c r="H382" s="152" t="s">
        <v>8383</v>
      </c>
      <c r="I382" s="153"/>
      <c r="J382" s="152" t="s">
        <v>23</v>
      </c>
      <c r="K382" s="152">
        <v>2949.0</v>
      </c>
      <c r="L382" s="153"/>
      <c r="M382" s="154"/>
      <c r="N382" s="152" t="s">
        <v>8384</v>
      </c>
    </row>
    <row r="383">
      <c r="A383" s="152" t="s">
        <v>8442</v>
      </c>
      <c r="B383" s="152" t="s">
        <v>8443</v>
      </c>
      <c r="C383" s="152">
        <v>1.0</v>
      </c>
      <c r="D383" s="153"/>
      <c r="E383" s="153"/>
      <c r="F383" s="153"/>
      <c r="G383" s="152" t="s">
        <v>8382</v>
      </c>
      <c r="H383" s="152" t="s">
        <v>8385</v>
      </c>
      <c r="I383" s="153"/>
      <c r="J383" s="152" t="s">
        <v>23</v>
      </c>
      <c r="K383" s="152">
        <v>3139.0</v>
      </c>
      <c r="L383" s="153"/>
      <c r="M383" s="154"/>
      <c r="N383" s="152" t="s">
        <v>8384</v>
      </c>
    </row>
    <row r="384">
      <c r="A384" s="152" t="s">
        <v>8442</v>
      </c>
      <c r="B384" s="152" t="s">
        <v>8443</v>
      </c>
      <c r="C384" s="152">
        <v>1.0</v>
      </c>
      <c r="D384" s="153"/>
      <c r="E384" s="153"/>
      <c r="F384" s="153"/>
      <c r="G384" s="152" t="s">
        <v>8382</v>
      </c>
      <c r="H384" s="152" t="s">
        <v>8386</v>
      </c>
      <c r="I384" s="153"/>
      <c r="J384" s="152" t="s">
        <v>23</v>
      </c>
      <c r="K384" s="152">
        <v>3139.0</v>
      </c>
      <c r="L384" s="153"/>
      <c r="M384" s="154"/>
      <c r="N384" s="152" t="s">
        <v>8384</v>
      </c>
    </row>
    <row r="385">
      <c r="A385" s="152" t="s">
        <v>8442</v>
      </c>
      <c r="B385" s="152" t="s">
        <v>8443</v>
      </c>
      <c r="C385" s="152">
        <v>1.0</v>
      </c>
      <c r="D385" s="153"/>
      <c r="E385" s="153"/>
      <c r="F385" s="153"/>
      <c r="G385" s="152" t="s">
        <v>8382</v>
      </c>
      <c r="H385" s="152" t="s">
        <v>8387</v>
      </c>
      <c r="I385" s="153"/>
      <c r="J385" s="152" t="s">
        <v>23</v>
      </c>
      <c r="K385" s="152">
        <v>3139.0</v>
      </c>
      <c r="L385" s="153"/>
      <c r="M385" s="154"/>
      <c r="N385" s="152" t="s">
        <v>8384</v>
      </c>
    </row>
    <row r="386">
      <c r="A386" s="152" t="s">
        <v>8442</v>
      </c>
      <c r="B386" s="152" t="s">
        <v>8443</v>
      </c>
      <c r="C386" s="152">
        <v>1.0</v>
      </c>
      <c r="D386" s="153"/>
      <c r="E386" s="153"/>
      <c r="F386" s="153"/>
      <c r="G386" s="152" t="s">
        <v>8382</v>
      </c>
      <c r="H386" s="152" t="s">
        <v>8388</v>
      </c>
      <c r="I386" s="153"/>
      <c r="J386" s="152" t="s">
        <v>23</v>
      </c>
      <c r="K386" s="152">
        <v>3139.0</v>
      </c>
      <c r="L386" s="153"/>
      <c r="M386" s="154"/>
      <c r="N386" s="152" t="s">
        <v>8384</v>
      </c>
    </row>
    <row r="387">
      <c r="A387" s="152" t="s">
        <v>8442</v>
      </c>
      <c r="B387" s="152" t="s">
        <v>8443</v>
      </c>
      <c r="C387" s="152">
        <v>1.0</v>
      </c>
      <c r="D387" s="153"/>
      <c r="E387" s="153"/>
      <c r="F387" s="153"/>
      <c r="G387" s="152" t="s">
        <v>8382</v>
      </c>
      <c r="H387" s="152" t="s">
        <v>8389</v>
      </c>
      <c r="I387" s="153"/>
      <c r="J387" s="152" t="s">
        <v>23</v>
      </c>
      <c r="K387" s="152">
        <v>3659.0</v>
      </c>
      <c r="L387" s="153"/>
      <c r="M387" s="154"/>
      <c r="N387" s="152" t="s">
        <v>8384</v>
      </c>
    </row>
    <row r="388">
      <c r="A388" s="152" t="s">
        <v>8442</v>
      </c>
      <c r="B388" s="152" t="s">
        <v>8443</v>
      </c>
      <c r="C388" s="152">
        <v>1.0</v>
      </c>
      <c r="D388" s="153"/>
      <c r="E388" s="153"/>
      <c r="F388" s="153"/>
      <c r="G388" s="152" t="s">
        <v>8382</v>
      </c>
      <c r="H388" s="152" t="s">
        <v>5767</v>
      </c>
      <c r="I388" s="153"/>
      <c r="J388" s="152" t="s">
        <v>23</v>
      </c>
      <c r="K388" s="152">
        <v>3659.0</v>
      </c>
      <c r="L388" s="153"/>
      <c r="M388" s="154"/>
      <c r="N388" s="152" t="s">
        <v>8384</v>
      </c>
    </row>
    <row r="389">
      <c r="A389" s="152" t="s">
        <v>8442</v>
      </c>
      <c r="B389" s="152" t="s">
        <v>8443</v>
      </c>
      <c r="C389" s="152">
        <v>1.0</v>
      </c>
      <c r="D389" s="153"/>
      <c r="E389" s="153"/>
      <c r="F389" s="153"/>
      <c r="G389" s="152" t="s">
        <v>8382</v>
      </c>
      <c r="H389" s="152" t="s">
        <v>8390</v>
      </c>
      <c r="I389" s="153"/>
      <c r="J389" s="152" t="s">
        <v>23</v>
      </c>
      <c r="K389" s="152">
        <v>3659.0</v>
      </c>
      <c r="L389" s="153"/>
      <c r="M389" s="154"/>
      <c r="N389" s="152" t="s">
        <v>8384</v>
      </c>
    </row>
    <row r="390">
      <c r="A390" s="152" t="s">
        <v>8442</v>
      </c>
      <c r="B390" s="152" t="s">
        <v>8443</v>
      </c>
      <c r="C390" s="152">
        <v>1.0</v>
      </c>
      <c r="D390" s="153"/>
      <c r="E390" s="153"/>
      <c r="F390" s="153"/>
      <c r="G390" s="152" t="s">
        <v>8382</v>
      </c>
      <c r="H390" s="152" t="s">
        <v>8391</v>
      </c>
      <c r="I390" s="153"/>
      <c r="J390" s="152" t="s">
        <v>23</v>
      </c>
      <c r="K390" s="152">
        <v>3659.0</v>
      </c>
      <c r="L390" s="153"/>
      <c r="M390" s="154"/>
      <c r="N390" s="152" t="s">
        <v>8384</v>
      </c>
    </row>
    <row r="391">
      <c r="A391" s="152" t="s">
        <v>8442</v>
      </c>
      <c r="B391" s="152" t="s">
        <v>8443</v>
      </c>
      <c r="C391" s="152">
        <v>1.0</v>
      </c>
      <c r="D391" s="153"/>
      <c r="E391" s="153"/>
      <c r="F391" s="153"/>
      <c r="G391" s="152" t="s">
        <v>8382</v>
      </c>
      <c r="H391" s="152" t="s">
        <v>8392</v>
      </c>
      <c r="I391" s="153"/>
      <c r="J391" s="152" t="s">
        <v>23</v>
      </c>
      <c r="K391" s="152">
        <v>3659.0</v>
      </c>
      <c r="L391" s="153"/>
      <c r="M391" s="154"/>
      <c r="N391" s="152" t="s">
        <v>8384</v>
      </c>
    </row>
    <row r="392">
      <c r="A392" s="152" t="s">
        <v>8442</v>
      </c>
      <c r="B392" s="152" t="s">
        <v>8443</v>
      </c>
      <c r="C392" s="152">
        <v>2.0</v>
      </c>
      <c r="D392" s="153"/>
      <c r="E392" s="152">
        <v>1.0</v>
      </c>
      <c r="F392" s="153"/>
      <c r="G392" s="152" t="s">
        <v>8393</v>
      </c>
      <c r="H392" s="152" t="s">
        <v>8394</v>
      </c>
      <c r="I392" s="152" t="s">
        <v>6862</v>
      </c>
      <c r="J392" s="153"/>
      <c r="K392" s="153"/>
      <c r="L392" s="153"/>
      <c r="M392" s="154"/>
      <c r="N392" s="152" t="s">
        <v>8395</v>
      </c>
    </row>
    <row r="393">
      <c r="A393" s="152" t="s">
        <v>8442</v>
      </c>
      <c r="B393" s="152" t="s">
        <v>8443</v>
      </c>
      <c r="C393" s="152">
        <v>2.0</v>
      </c>
      <c r="D393" s="153"/>
      <c r="E393" s="152">
        <v>1.0</v>
      </c>
      <c r="F393" s="153"/>
      <c r="G393" s="152" t="s">
        <v>8393</v>
      </c>
      <c r="H393" s="152" t="s">
        <v>8396</v>
      </c>
      <c r="I393" s="152" t="s">
        <v>6893</v>
      </c>
      <c r="J393" s="153"/>
      <c r="K393" s="153"/>
      <c r="L393" s="153"/>
      <c r="M393" s="154"/>
      <c r="N393" s="152" t="s">
        <v>8395</v>
      </c>
    </row>
    <row r="394">
      <c r="A394" s="152" t="s">
        <v>8442</v>
      </c>
      <c r="B394" s="152" t="s">
        <v>8443</v>
      </c>
      <c r="C394" s="152">
        <v>2.0</v>
      </c>
      <c r="D394" s="153"/>
      <c r="E394" s="152">
        <v>1.0</v>
      </c>
      <c r="F394" s="153"/>
      <c r="G394" s="152" t="s">
        <v>8393</v>
      </c>
      <c r="H394" s="152" t="s">
        <v>8397</v>
      </c>
      <c r="I394" s="152" t="s">
        <v>6796</v>
      </c>
      <c r="J394" s="153"/>
      <c r="K394" s="153"/>
      <c r="L394" s="153"/>
      <c r="M394" s="154"/>
      <c r="N394" s="152" t="s">
        <v>8395</v>
      </c>
    </row>
    <row r="395">
      <c r="A395" s="152" t="s">
        <v>8442</v>
      </c>
      <c r="B395" s="152" t="s">
        <v>8443</v>
      </c>
      <c r="C395" s="152">
        <v>2.0</v>
      </c>
      <c r="D395" s="153"/>
      <c r="E395" s="152">
        <v>1.0</v>
      </c>
      <c r="F395" s="153"/>
      <c r="G395" s="152" t="s">
        <v>8393</v>
      </c>
      <c r="H395" s="152" t="s">
        <v>8398</v>
      </c>
      <c r="I395" s="152" t="s">
        <v>6726</v>
      </c>
      <c r="J395" s="153"/>
      <c r="K395" s="153"/>
      <c r="L395" s="153"/>
      <c r="M395" s="154"/>
      <c r="N395" s="152" t="s">
        <v>8395</v>
      </c>
    </row>
    <row r="396">
      <c r="A396" s="152" t="s">
        <v>8442</v>
      </c>
      <c r="B396" s="152" t="s">
        <v>8443</v>
      </c>
      <c r="C396" s="152">
        <v>2.0</v>
      </c>
      <c r="D396" s="153"/>
      <c r="E396" s="152">
        <v>1.0</v>
      </c>
      <c r="F396" s="153"/>
      <c r="G396" s="152" t="s">
        <v>8393</v>
      </c>
      <c r="H396" s="152" t="s">
        <v>8399</v>
      </c>
      <c r="I396" s="152" t="s">
        <v>6924</v>
      </c>
      <c r="J396" s="153"/>
      <c r="K396" s="153"/>
      <c r="L396" s="153"/>
      <c r="M396" s="154"/>
      <c r="N396" s="152" t="s">
        <v>8395</v>
      </c>
    </row>
    <row r="397">
      <c r="A397" s="152" t="s">
        <v>8442</v>
      </c>
      <c r="B397" s="152" t="s">
        <v>8443</v>
      </c>
      <c r="C397" s="152">
        <v>2.0</v>
      </c>
      <c r="D397" s="153"/>
      <c r="E397" s="152">
        <v>1.0</v>
      </c>
      <c r="F397" s="153"/>
      <c r="G397" s="152" t="s">
        <v>8393</v>
      </c>
      <c r="H397" s="152" t="s">
        <v>8400</v>
      </c>
      <c r="I397" s="152" t="s">
        <v>6893</v>
      </c>
      <c r="J397" s="153"/>
      <c r="K397" s="153"/>
      <c r="L397" s="153"/>
      <c r="M397" s="154"/>
      <c r="N397" s="152" t="s">
        <v>8395</v>
      </c>
    </row>
    <row r="398">
      <c r="A398" s="152" t="s">
        <v>8442</v>
      </c>
      <c r="B398" s="152" t="s">
        <v>8443</v>
      </c>
      <c r="C398" s="152">
        <v>2.0</v>
      </c>
      <c r="D398" s="153"/>
      <c r="E398" s="152">
        <v>1.0</v>
      </c>
      <c r="F398" s="153"/>
      <c r="G398" s="152" t="s">
        <v>8393</v>
      </c>
      <c r="H398" s="152" t="s">
        <v>8401</v>
      </c>
      <c r="I398" s="152" t="s">
        <v>6796</v>
      </c>
      <c r="J398" s="153"/>
      <c r="K398" s="153"/>
      <c r="L398" s="153"/>
      <c r="M398" s="154"/>
      <c r="N398" s="152" t="s">
        <v>8395</v>
      </c>
    </row>
    <row r="399">
      <c r="A399" s="152" t="s">
        <v>8442</v>
      </c>
      <c r="B399" s="152" t="s">
        <v>8443</v>
      </c>
      <c r="C399" s="152">
        <v>2.0</v>
      </c>
      <c r="D399" s="153"/>
      <c r="E399" s="152">
        <v>1.0</v>
      </c>
      <c r="F399" s="153"/>
      <c r="G399" s="152" t="s">
        <v>8393</v>
      </c>
      <c r="H399" s="152" t="s">
        <v>8402</v>
      </c>
      <c r="I399" s="152" t="s">
        <v>6831</v>
      </c>
      <c r="J399" s="153"/>
      <c r="K399" s="153"/>
      <c r="L399" s="153"/>
      <c r="M399" s="154"/>
      <c r="N399" s="152" t="s">
        <v>8395</v>
      </c>
    </row>
    <row r="400">
      <c r="A400" s="152" t="s">
        <v>8442</v>
      </c>
      <c r="B400" s="152" t="s">
        <v>8443</v>
      </c>
      <c r="C400" s="152">
        <v>2.0</v>
      </c>
      <c r="D400" s="153"/>
      <c r="E400" s="152">
        <v>1.0</v>
      </c>
      <c r="F400" s="153"/>
      <c r="G400" s="152" t="s">
        <v>8393</v>
      </c>
      <c r="H400" s="152" t="s">
        <v>8403</v>
      </c>
      <c r="I400" s="152" t="s">
        <v>6836</v>
      </c>
      <c r="J400" s="153"/>
      <c r="K400" s="153"/>
      <c r="L400" s="153"/>
      <c r="M400" s="154"/>
      <c r="N400" s="152" t="s">
        <v>8395</v>
      </c>
    </row>
    <row r="401">
      <c r="A401" s="152" t="s">
        <v>8442</v>
      </c>
      <c r="B401" s="152" t="s">
        <v>8443</v>
      </c>
      <c r="C401" s="152">
        <v>2.0</v>
      </c>
      <c r="D401" s="153"/>
      <c r="E401" s="152">
        <v>1.0</v>
      </c>
      <c r="F401" s="153"/>
      <c r="G401" s="152" t="s">
        <v>8393</v>
      </c>
      <c r="H401" s="152" t="s">
        <v>8404</v>
      </c>
      <c r="I401" s="152" t="s">
        <v>8405</v>
      </c>
      <c r="J401" s="153"/>
      <c r="K401" s="153"/>
      <c r="L401" s="153"/>
      <c r="M401" s="154"/>
      <c r="N401" s="152" t="s">
        <v>8395</v>
      </c>
    </row>
    <row r="402">
      <c r="A402" s="152" t="s">
        <v>8442</v>
      </c>
      <c r="B402" s="152" t="s">
        <v>8443</v>
      </c>
      <c r="C402" s="152">
        <v>3.0</v>
      </c>
      <c r="D402" s="153"/>
      <c r="E402" s="153"/>
      <c r="F402" s="153"/>
      <c r="G402" s="152" t="s">
        <v>8436</v>
      </c>
      <c r="H402" s="155" t="s">
        <v>8407</v>
      </c>
      <c r="I402" s="153"/>
      <c r="J402" s="156"/>
      <c r="K402" s="156"/>
      <c r="L402" s="156"/>
      <c r="M402" s="157"/>
      <c r="N402" s="152" t="s">
        <v>8384</v>
      </c>
    </row>
    <row r="403">
      <c r="A403" s="152" t="s">
        <v>8442</v>
      </c>
      <c r="B403" s="152" t="s">
        <v>8443</v>
      </c>
      <c r="C403" s="152">
        <v>3.0</v>
      </c>
      <c r="D403" s="153"/>
      <c r="E403" s="153"/>
      <c r="F403" s="153"/>
      <c r="G403" s="152" t="s">
        <v>8436</v>
      </c>
      <c r="H403" s="155" t="s">
        <v>8408</v>
      </c>
      <c r="I403" s="153"/>
      <c r="J403" s="156"/>
      <c r="K403" s="156"/>
      <c r="L403" s="156"/>
      <c r="M403" s="157"/>
      <c r="N403" s="152" t="s">
        <v>8384</v>
      </c>
    </row>
    <row r="404">
      <c r="A404" s="152" t="s">
        <v>8442</v>
      </c>
      <c r="B404" s="152" t="s">
        <v>8443</v>
      </c>
      <c r="C404" s="152">
        <v>3.0</v>
      </c>
      <c r="D404" s="153"/>
      <c r="E404" s="153"/>
      <c r="F404" s="153"/>
      <c r="G404" s="152" t="s">
        <v>8436</v>
      </c>
      <c r="H404" s="155" t="s">
        <v>8409</v>
      </c>
      <c r="I404" s="153"/>
      <c r="J404" s="156"/>
      <c r="K404" s="156"/>
      <c r="L404" s="156"/>
      <c r="M404" s="157"/>
      <c r="N404" s="152" t="s">
        <v>8384</v>
      </c>
    </row>
    <row r="405">
      <c r="A405" s="152" t="s">
        <v>8442</v>
      </c>
      <c r="B405" s="152" t="s">
        <v>8443</v>
      </c>
      <c r="C405" s="152">
        <v>3.0</v>
      </c>
      <c r="D405" s="153"/>
      <c r="E405" s="153"/>
      <c r="F405" s="153"/>
      <c r="G405" s="152" t="s">
        <v>8436</v>
      </c>
      <c r="H405" s="155" t="s">
        <v>8410</v>
      </c>
      <c r="I405" s="153"/>
      <c r="J405" s="156"/>
      <c r="K405" s="156"/>
      <c r="L405" s="156"/>
      <c r="M405" s="157"/>
      <c r="N405" s="152" t="s">
        <v>8384</v>
      </c>
    </row>
    <row r="406">
      <c r="A406" s="152" t="s">
        <v>8442</v>
      </c>
      <c r="B406" s="152" t="s">
        <v>8443</v>
      </c>
      <c r="C406" s="152">
        <v>3.0</v>
      </c>
      <c r="D406" s="153"/>
      <c r="E406" s="153"/>
      <c r="F406" s="153"/>
      <c r="G406" s="152" t="s">
        <v>8436</v>
      </c>
      <c r="H406" s="155" t="s">
        <v>8411</v>
      </c>
      <c r="I406" s="153"/>
      <c r="J406" s="156"/>
      <c r="K406" s="156"/>
      <c r="L406" s="156"/>
      <c r="M406" s="157"/>
      <c r="N406" s="152" t="s">
        <v>8384</v>
      </c>
    </row>
    <row r="407">
      <c r="A407" s="152" t="s">
        <v>8442</v>
      </c>
      <c r="B407" s="152" t="s">
        <v>8443</v>
      </c>
      <c r="C407" s="152">
        <v>3.0</v>
      </c>
      <c r="D407" s="153"/>
      <c r="E407" s="153"/>
      <c r="F407" s="153"/>
      <c r="G407" s="152" t="s">
        <v>8436</v>
      </c>
      <c r="H407" s="155" t="s">
        <v>8412</v>
      </c>
      <c r="I407" s="153"/>
      <c r="J407" s="156"/>
      <c r="K407" s="156"/>
      <c r="L407" s="156"/>
      <c r="M407" s="157"/>
      <c r="N407" s="152" t="s">
        <v>8384</v>
      </c>
    </row>
    <row r="408">
      <c r="A408" s="152" t="s">
        <v>8442</v>
      </c>
      <c r="B408" s="152" t="s">
        <v>8443</v>
      </c>
      <c r="C408" s="152">
        <v>3.0</v>
      </c>
      <c r="D408" s="153"/>
      <c r="E408" s="153"/>
      <c r="F408" s="153"/>
      <c r="G408" s="152" t="s">
        <v>8436</v>
      </c>
      <c r="H408" s="155" t="s">
        <v>8413</v>
      </c>
      <c r="I408" s="153"/>
      <c r="J408" s="156"/>
      <c r="K408" s="156"/>
      <c r="L408" s="156"/>
      <c r="M408" s="157"/>
      <c r="N408" s="152" t="s">
        <v>8384</v>
      </c>
    </row>
    <row r="409">
      <c r="A409" s="152" t="s">
        <v>8442</v>
      </c>
      <c r="B409" s="152" t="s">
        <v>8443</v>
      </c>
      <c r="C409" s="152">
        <v>3.0</v>
      </c>
      <c r="D409" s="153"/>
      <c r="E409" s="153"/>
      <c r="F409" s="153"/>
      <c r="G409" s="152" t="s">
        <v>8436</v>
      </c>
      <c r="H409" s="155" t="s">
        <v>8414</v>
      </c>
      <c r="I409" s="153"/>
      <c r="J409" s="156"/>
      <c r="K409" s="156"/>
      <c r="L409" s="156"/>
      <c r="M409" s="157"/>
      <c r="N409" s="152" t="s">
        <v>8384</v>
      </c>
    </row>
    <row r="410">
      <c r="A410" s="152" t="s">
        <v>8442</v>
      </c>
      <c r="B410" s="152" t="s">
        <v>8443</v>
      </c>
      <c r="C410" s="152">
        <v>3.0</v>
      </c>
      <c r="D410" s="153"/>
      <c r="E410" s="153"/>
      <c r="F410" s="153"/>
      <c r="G410" s="152" t="s">
        <v>8436</v>
      </c>
      <c r="H410" s="155" t="s">
        <v>8415</v>
      </c>
      <c r="I410" s="153"/>
      <c r="J410" s="156"/>
      <c r="K410" s="156"/>
      <c r="L410" s="156"/>
      <c r="M410" s="157"/>
      <c r="N410" s="152" t="s">
        <v>8384</v>
      </c>
    </row>
    <row r="411">
      <c r="A411" s="152" t="s">
        <v>8442</v>
      </c>
      <c r="B411" s="152" t="s">
        <v>8443</v>
      </c>
      <c r="C411" s="152">
        <v>3.0</v>
      </c>
      <c r="D411" s="153"/>
      <c r="E411" s="153"/>
      <c r="F411" s="153"/>
      <c r="G411" s="152" t="s">
        <v>8436</v>
      </c>
      <c r="H411" s="155" t="s">
        <v>8416</v>
      </c>
      <c r="I411" s="153"/>
      <c r="J411" s="156"/>
      <c r="K411" s="156"/>
      <c r="L411" s="156"/>
      <c r="M411" s="157"/>
      <c r="N411" s="152" t="s">
        <v>8384</v>
      </c>
    </row>
    <row r="412">
      <c r="A412" s="152" t="s">
        <v>8442</v>
      </c>
      <c r="B412" s="152" t="s">
        <v>8443</v>
      </c>
      <c r="C412" s="152">
        <v>4.0</v>
      </c>
      <c r="D412" s="153"/>
      <c r="E412" s="152">
        <v>3.0</v>
      </c>
      <c r="F412" s="153"/>
      <c r="G412" s="152" t="s">
        <v>8436</v>
      </c>
      <c r="H412" s="155" t="s">
        <v>8417</v>
      </c>
      <c r="I412" s="155" t="s">
        <v>6507</v>
      </c>
      <c r="J412" s="156"/>
      <c r="K412" s="156"/>
      <c r="L412" s="156"/>
      <c r="M412" s="157"/>
      <c r="N412" s="152" t="s">
        <v>8395</v>
      </c>
    </row>
    <row r="413">
      <c r="A413" s="152" t="s">
        <v>8442</v>
      </c>
      <c r="B413" s="152" t="s">
        <v>8443</v>
      </c>
      <c r="C413" s="152">
        <v>4.0</v>
      </c>
      <c r="D413" s="153"/>
      <c r="E413" s="152">
        <v>3.0</v>
      </c>
      <c r="F413" s="153"/>
      <c r="G413" s="152" t="s">
        <v>8436</v>
      </c>
      <c r="H413" s="155" t="s">
        <v>8418</v>
      </c>
      <c r="I413" s="155" t="s">
        <v>6492</v>
      </c>
      <c r="J413" s="156"/>
      <c r="K413" s="156"/>
      <c r="L413" s="156"/>
      <c r="M413" s="157"/>
      <c r="N413" s="152" t="s">
        <v>8395</v>
      </c>
    </row>
    <row r="414">
      <c r="A414" s="152" t="s">
        <v>8442</v>
      </c>
      <c r="B414" s="152" t="s">
        <v>8443</v>
      </c>
      <c r="C414" s="152">
        <v>4.0</v>
      </c>
      <c r="D414" s="153"/>
      <c r="E414" s="152">
        <v>3.0</v>
      </c>
      <c r="F414" s="153"/>
      <c r="G414" s="152" t="s">
        <v>8436</v>
      </c>
      <c r="H414" s="155" t="s">
        <v>8419</v>
      </c>
      <c r="I414" s="155" t="s">
        <v>6978</v>
      </c>
      <c r="J414" s="156"/>
      <c r="K414" s="156"/>
      <c r="L414" s="156"/>
      <c r="M414" s="157"/>
      <c r="N414" s="152" t="s">
        <v>8395</v>
      </c>
    </row>
    <row r="415">
      <c r="A415" s="152" t="s">
        <v>8442</v>
      </c>
      <c r="B415" s="152" t="s">
        <v>8443</v>
      </c>
      <c r="C415" s="152">
        <v>4.0</v>
      </c>
      <c r="D415" s="153"/>
      <c r="E415" s="152">
        <v>3.0</v>
      </c>
      <c r="F415" s="153"/>
      <c r="G415" s="152" t="s">
        <v>8436</v>
      </c>
      <c r="H415" s="155" t="s">
        <v>8420</v>
      </c>
      <c r="I415" s="155" t="s">
        <v>6936</v>
      </c>
      <c r="J415" s="156"/>
      <c r="K415" s="156"/>
      <c r="L415" s="156"/>
      <c r="M415" s="157"/>
      <c r="N415" s="152" t="s">
        <v>8395</v>
      </c>
    </row>
    <row r="416">
      <c r="A416" s="152" t="s">
        <v>8442</v>
      </c>
      <c r="B416" s="152" t="s">
        <v>8443</v>
      </c>
      <c r="C416" s="152">
        <v>4.0</v>
      </c>
      <c r="D416" s="153"/>
      <c r="E416" s="152">
        <v>3.0</v>
      </c>
      <c r="F416" s="153"/>
      <c r="G416" s="152" t="s">
        <v>8436</v>
      </c>
      <c r="H416" s="155" t="s">
        <v>8421</v>
      </c>
      <c r="I416" s="155" t="s">
        <v>6620</v>
      </c>
      <c r="J416" s="156"/>
      <c r="K416" s="156"/>
      <c r="L416" s="156"/>
      <c r="M416" s="157"/>
      <c r="N416" s="152" t="s">
        <v>8395</v>
      </c>
    </row>
    <row r="417">
      <c r="A417" s="152" t="s">
        <v>8442</v>
      </c>
      <c r="B417" s="152" t="s">
        <v>8443</v>
      </c>
      <c r="C417" s="152">
        <v>4.0</v>
      </c>
      <c r="D417" s="153"/>
      <c r="E417" s="152">
        <v>3.0</v>
      </c>
      <c r="F417" s="153"/>
      <c r="G417" s="152" t="s">
        <v>8436</v>
      </c>
      <c r="H417" s="155" t="s">
        <v>8422</v>
      </c>
      <c r="I417" s="155" t="s">
        <v>6563</v>
      </c>
      <c r="J417" s="156"/>
      <c r="K417" s="156"/>
      <c r="L417" s="156"/>
      <c r="M417" s="157"/>
      <c r="N417" s="152" t="s">
        <v>8395</v>
      </c>
    </row>
    <row r="418">
      <c r="A418" s="152" t="s">
        <v>8442</v>
      </c>
      <c r="B418" s="152" t="s">
        <v>8443</v>
      </c>
      <c r="C418" s="152">
        <v>4.0</v>
      </c>
      <c r="D418" s="153"/>
      <c r="E418" s="152">
        <v>3.0</v>
      </c>
      <c r="F418" s="153"/>
      <c r="G418" s="152" t="s">
        <v>8436</v>
      </c>
      <c r="H418" s="155" t="s">
        <v>8423</v>
      </c>
      <c r="I418" s="155" t="s">
        <v>6701</v>
      </c>
      <c r="J418" s="156"/>
      <c r="K418" s="156"/>
      <c r="L418" s="156"/>
      <c r="M418" s="157"/>
      <c r="N418" s="152" t="s">
        <v>8395</v>
      </c>
    </row>
    <row r="419">
      <c r="A419" s="152" t="s">
        <v>8442</v>
      </c>
      <c r="B419" s="152" t="s">
        <v>8443</v>
      </c>
      <c r="C419" s="152">
        <v>4.0</v>
      </c>
      <c r="D419" s="153"/>
      <c r="E419" s="152">
        <v>3.0</v>
      </c>
      <c r="F419" s="153"/>
      <c r="G419" s="152" t="s">
        <v>8436</v>
      </c>
      <c r="H419" s="155" t="s">
        <v>8424</v>
      </c>
      <c r="I419" s="155" t="s">
        <v>6684</v>
      </c>
      <c r="J419" s="156"/>
      <c r="K419" s="156"/>
      <c r="L419" s="156"/>
      <c r="M419" s="157"/>
      <c r="N419" s="152" t="s">
        <v>8395</v>
      </c>
    </row>
    <row r="420">
      <c r="A420" s="152" t="s">
        <v>8442</v>
      </c>
      <c r="B420" s="152" t="s">
        <v>8443</v>
      </c>
      <c r="C420" s="152">
        <v>4.0</v>
      </c>
      <c r="D420" s="153"/>
      <c r="E420" s="152">
        <v>3.0</v>
      </c>
      <c r="F420" s="153"/>
      <c r="G420" s="152" t="s">
        <v>8436</v>
      </c>
      <c r="H420" s="155" t="s">
        <v>8425</v>
      </c>
      <c r="I420" s="155" t="s">
        <v>7039</v>
      </c>
      <c r="J420" s="156"/>
      <c r="K420" s="156"/>
      <c r="L420" s="156"/>
      <c r="M420" s="157"/>
      <c r="N420" s="152" t="s">
        <v>8395</v>
      </c>
    </row>
    <row r="421">
      <c r="A421" s="152" t="s">
        <v>8442</v>
      </c>
      <c r="B421" s="152" t="s">
        <v>8443</v>
      </c>
      <c r="C421" s="152">
        <v>4.0</v>
      </c>
      <c r="D421" s="153"/>
      <c r="E421" s="152">
        <v>3.0</v>
      </c>
      <c r="F421" s="153"/>
      <c r="G421" s="152" t="s">
        <v>8436</v>
      </c>
      <c r="H421" s="155" t="s">
        <v>8426</v>
      </c>
      <c r="I421" s="155" t="s">
        <v>7023</v>
      </c>
      <c r="J421" s="156"/>
      <c r="K421" s="156"/>
      <c r="L421" s="156"/>
      <c r="M421" s="157"/>
      <c r="N421" s="152" t="s">
        <v>8395</v>
      </c>
    </row>
    <row r="422">
      <c r="A422" s="152" t="s">
        <v>8442</v>
      </c>
      <c r="B422" s="152" t="s">
        <v>8443</v>
      </c>
      <c r="C422" s="152">
        <v>5.0</v>
      </c>
      <c r="D422" s="153"/>
      <c r="E422" s="153"/>
      <c r="F422" s="153"/>
      <c r="G422" s="152" t="s">
        <v>8437</v>
      </c>
      <c r="H422" s="155" t="s">
        <v>8407</v>
      </c>
      <c r="I422" s="153"/>
      <c r="J422" s="156"/>
      <c r="K422" s="156"/>
      <c r="L422" s="156"/>
      <c r="M422" s="157"/>
      <c r="N422" s="152" t="s">
        <v>8384</v>
      </c>
    </row>
    <row r="423">
      <c r="A423" s="152" t="s">
        <v>8442</v>
      </c>
      <c r="B423" s="152" t="s">
        <v>8443</v>
      </c>
      <c r="C423" s="152">
        <v>5.0</v>
      </c>
      <c r="D423" s="153"/>
      <c r="E423" s="153"/>
      <c r="F423" s="153"/>
      <c r="G423" s="152" t="s">
        <v>8437</v>
      </c>
      <c r="H423" s="155" t="s">
        <v>8408</v>
      </c>
      <c r="I423" s="153"/>
      <c r="J423" s="156"/>
      <c r="K423" s="156"/>
      <c r="L423" s="156"/>
      <c r="M423" s="157"/>
      <c r="N423" s="152" t="s">
        <v>8384</v>
      </c>
    </row>
    <row r="424">
      <c r="A424" s="152" t="s">
        <v>8442</v>
      </c>
      <c r="B424" s="152" t="s">
        <v>8443</v>
      </c>
      <c r="C424" s="152">
        <v>5.0</v>
      </c>
      <c r="D424" s="153"/>
      <c r="E424" s="153"/>
      <c r="F424" s="153"/>
      <c r="G424" s="152" t="s">
        <v>8437</v>
      </c>
      <c r="H424" s="155" t="s">
        <v>8409</v>
      </c>
      <c r="I424" s="153"/>
      <c r="J424" s="156"/>
      <c r="K424" s="156"/>
      <c r="L424" s="156"/>
      <c r="M424" s="157"/>
      <c r="N424" s="152" t="s">
        <v>8384</v>
      </c>
    </row>
    <row r="425">
      <c r="A425" s="152" t="s">
        <v>8442</v>
      </c>
      <c r="B425" s="152" t="s">
        <v>8443</v>
      </c>
      <c r="C425" s="152">
        <v>5.0</v>
      </c>
      <c r="D425" s="153"/>
      <c r="E425" s="153"/>
      <c r="F425" s="153"/>
      <c r="G425" s="152" t="s">
        <v>8437</v>
      </c>
      <c r="H425" s="155" t="s">
        <v>8410</v>
      </c>
      <c r="I425" s="153"/>
      <c r="J425" s="156"/>
      <c r="K425" s="156"/>
      <c r="L425" s="156"/>
      <c r="M425" s="157"/>
      <c r="N425" s="152" t="s">
        <v>8384</v>
      </c>
    </row>
    <row r="426">
      <c r="A426" s="152" t="s">
        <v>8442</v>
      </c>
      <c r="B426" s="152" t="s">
        <v>8443</v>
      </c>
      <c r="C426" s="152">
        <v>5.0</v>
      </c>
      <c r="D426" s="153"/>
      <c r="E426" s="153"/>
      <c r="F426" s="153"/>
      <c r="G426" s="152" t="s">
        <v>8437</v>
      </c>
      <c r="H426" s="155" t="s">
        <v>8411</v>
      </c>
      <c r="I426" s="153"/>
      <c r="J426" s="156"/>
      <c r="K426" s="156"/>
      <c r="L426" s="156"/>
      <c r="M426" s="157"/>
      <c r="N426" s="152" t="s">
        <v>8384</v>
      </c>
    </row>
    <row r="427">
      <c r="A427" s="152" t="s">
        <v>8442</v>
      </c>
      <c r="B427" s="152" t="s">
        <v>8443</v>
      </c>
      <c r="C427" s="152">
        <v>5.0</v>
      </c>
      <c r="D427" s="153"/>
      <c r="E427" s="153"/>
      <c r="F427" s="153"/>
      <c r="G427" s="152" t="s">
        <v>8437</v>
      </c>
      <c r="H427" s="155" t="s">
        <v>8412</v>
      </c>
      <c r="I427" s="153"/>
      <c r="J427" s="156"/>
      <c r="K427" s="156"/>
      <c r="L427" s="156"/>
      <c r="M427" s="157"/>
      <c r="N427" s="152" t="s">
        <v>8384</v>
      </c>
    </row>
    <row r="428">
      <c r="A428" s="152" t="s">
        <v>8442</v>
      </c>
      <c r="B428" s="152" t="s">
        <v>8443</v>
      </c>
      <c r="C428" s="152">
        <v>5.0</v>
      </c>
      <c r="D428" s="153"/>
      <c r="E428" s="153"/>
      <c r="F428" s="153"/>
      <c r="G428" s="152" t="s">
        <v>8437</v>
      </c>
      <c r="H428" s="155" t="s">
        <v>8413</v>
      </c>
      <c r="I428" s="153"/>
      <c r="J428" s="156"/>
      <c r="K428" s="156"/>
      <c r="L428" s="156"/>
      <c r="M428" s="157"/>
      <c r="N428" s="152" t="s">
        <v>8384</v>
      </c>
    </row>
    <row r="429">
      <c r="A429" s="152" t="s">
        <v>8442</v>
      </c>
      <c r="B429" s="152" t="s">
        <v>8443</v>
      </c>
      <c r="C429" s="152">
        <v>5.0</v>
      </c>
      <c r="D429" s="153"/>
      <c r="E429" s="153"/>
      <c r="F429" s="153"/>
      <c r="G429" s="152" t="s">
        <v>8437</v>
      </c>
      <c r="H429" s="155" t="s">
        <v>8414</v>
      </c>
      <c r="I429" s="153"/>
      <c r="J429" s="156"/>
      <c r="K429" s="156"/>
      <c r="L429" s="156"/>
      <c r="M429" s="157"/>
      <c r="N429" s="152" t="s">
        <v>8384</v>
      </c>
    </row>
    <row r="430">
      <c r="A430" s="152" t="s">
        <v>8442</v>
      </c>
      <c r="B430" s="152" t="s">
        <v>8443</v>
      </c>
      <c r="C430" s="152">
        <v>5.0</v>
      </c>
      <c r="D430" s="153"/>
      <c r="E430" s="153"/>
      <c r="F430" s="153"/>
      <c r="G430" s="152" t="s">
        <v>8437</v>
      </c>
      <c r="H430" s="155" t="s">
        <v>8415</v>
      </c>
      <c r="I430" s="153"/>
      <c r="J430" s="156"/>
      <c r="K430" s="156"/>
      <c r="L430" s="156"/>
      <c r="M430" s="157"/>
      <c r="N430" s="152" t="s">
        <v>8384</v>
      </c>
    </row>
    <row r="431">
      <c r="A431" s="152" t="s">
        <v>8442</v>
      </c>
      <c r="B431" s="152" t="s">
        <v>8443</v>
      </c>
      <c r="C431" s="152">
        <v>5.0</v>
      </c>
      <c r="D431" s="153"/>
      <c r="E431" s="153"/>
      <c r="F431" s="153"/>
      <c r="G431" s="152" t="s">
        <v>8437</v>
      </c>
      <c r="H431" s="155" t="s">
        <v>8416</v>
      </c>
      <c r="I431" s="153"/>
      <c r="J431" s="156"/>
      <c r="K431" s="156"/>
      <c r="L431" s="156"/>
      <c r="M431" s="157"/>
      <c r="N431" s="152" t="s">
        <v>8384</v>
      </c>
    </row>
    <row r="432">
      <c r="A432" s="152" t="s">
        <v>8442</v>
      </c>
      <c r="B432" s="152" t="s">
        <v>8443</v>
      </c>
      <c r="C432" s="152">
        <v>6.0</v>
      </c>
      <c r="D432" s="153"/>
      <c r="E432" s="152">
        <v>5.0</v>
      </c>
      <c r="F432" s="153"/>
      <c r="G432" s="152" t="s">
        <v>8437</v>
      </c>
      <c r="H432" s="155" t="s">
        <v>8417</v>
      </c>
      <c r="I432" s="155" t="s">
        <v>6507</v>
      </c>
      <c r="J432" s="156"/>
      <c r="K432" s="156"/>
      <c r="L432" s="156"/>
      <c r="M432" s="157"/>
      <c r="N432" s="152" t="s">
        <v>8395</v>
      </c>
    </row>
    <row r="433">
      <c r="A433" s="152" t="s">
        <v>8442</v>
      </c>
      <c r="B433" s="152" t="s">
        <v>8443</v>
      </c>
      <c r="C433" s="152">
        <v>6.0</v>
      </c>
      <c r="D433" s="153"/>
      <c r="E433" s="152">
        <v>5.0</v>
      </c>
      <c r="F433" s="153"/>
      <c r="G433" s="152" t="s">
        <v>8437</v>
      </c>
      <c r="H433" s="155" t="s">
        <v>8418</v>
      </c>
      <c r="I433" s="155" t="s">
        <v>6492</v>
      </c>
      <c r="J433" s="156"/>
      <c r="K433" s="156"/>
      <c r="L433" s="156"/>
      <c r="M433" s="157"/>
      <c r="N433" s="152" t="s">
        <v>8395</v>
      </c>
    </row>
    <row r="434">
      <c r="A434" s="152" t="s">
        <v>8442</v>
      </c>
      <c r="B434" s="152" t="s">
        <v>8443</v>
      </c>
      <c r="C434" s="152">
        <v>6.0</v>
      </c>
      <c r="D434" s="153"/>
      <c r="E434" s="152">
        <v>5.0</v>
      </c>
      <c r="F434" s="153"/>
      <c r="G434" s="152" t="s">
        <v>8437</v>
      </c>
      <c r="H434" s="155" t="s">
        <v>8419</v>
      </c>
      <c r="I434" s="155" t="s">
        <v>6978</v>
      </c>
      <c r="J434" s="156"/>
      <c r="K434" s="156"/>
      <c r="L434" s="156"/>
      <c r="M434" s="157"/>
      <c r="N434" s="152" t="s">
        <v>8395</v>
      </c>
    </row>
    <row r="435">
      <c r="A435" s="152" t="s">
        <v>8442</v>
      </c>
      <c r="B435" s="152" t="s">
        <v>8443</v>
      </c>
      <c r="C435" s="152">
        <v>6.0</v>
      </c>
      <c r="D435" s="153"/>
      <c r="E435" s="152">
        <v>5.0</v>
      </c>
      <c r="F435" s="153"/>
      <c r="G435" s="152" t="s">
        <v>8437</v>
      </c>
      <c r="H435" s="155" t="s">
        <v>8420</v>
      </c>
      <c r="I435" s="155" t="s">
        <v>6936</v>
      </c>
      <c r="J435" s="156"/>
      <c r="K435" s="156"/>
      <c r="L435" s="156"/>
      <c r="M435" s="157"/>
      <c r="N435" s="152" t="s">
        <v>8395</v>
      </c>
    </row>
    <row r="436">
      <c r="A436" s="152" t="s">
        <v>8442</v>
      </c>
      <c r="B436" s="152" t="s">
        <v>8443</v>
      </c>
      <c r="C436" s="152">
        <v>6.0</v>
      </c>
      <c r="D436" s="153"/>
      <c r="E436" s="152">
        <v>5.0</v>
      </c>
      <c r="F436" s="153"/>
      <c r="G436" s="152" t="s">
        <v>8437</v>
      </c>
      <c r="H436" s="155" t="s">
        <v>8421</v>
      </c>
      <c r="I436" s="155" t="s">
        <v>6620</v>
      </c>
      <c r="J436" s="156"/>
      <c r="K436" s="156"/>
      <c r="L436" s="156"/>
      <c r="M436" s="157"/>
      <c r="N436" s="152" t="s">
        <v>8395</v>
      </c>
    </row>
    <row r="437">
      <c r="A437" s="152" t="s">
        <v>8442</v>
      </c>
      <c r="B437" s="152" t="s">
        <v>8443</v>
      </c>
      <c r="C437" s="152">
        <v>6.0</v>
      </c>
      <c r="D437" s="153"/>
      <c r="E437" s="152">
        <v>5.0</v>
      </c>
      <c r="F437" s="153"/>
      <c r="G437" s="152" t="s">
        <v>8437</v>
      </c>
      <c r="H437" s="155" t="s">
        <v>8422</v>
      </c>
      <c r="I437" s="155" t="s">
        <v>6563</v>
      </c>
      <c r="J437" s="156"/>
      <c r="K437" s="156"/>
      <c r="L437" s="156"/>
      <c r="M437" s="157"/>
      <c r="N437" s="152" t="s">
        <v>8395</v>
      </c>
    </row>
    <row r="438">
      <c r="A438" s="152" t="s">
        <v>8442</v>
      </c>
      <c r="B438" s="152" t="s">
        <v>8443</v>
      </c>
      <c r="C438" s="152">
        <v>6.0</v>
      </c>
      <c r="D438" s="153"/>
      <c r="E438" s="152">
        <v>5.0</v>
      </c>
      <c r="F438" s="153"/>
      <c r="G438" s="152" t="s">
        <v>8437</v>
      </c>
      <c r="H438" s="155" t="s">
        <v>8423</v>
      </c>
      <c r="I438" s="155" t="s">
        <v>6701</v>
      </c>
      <c r="J438" s="156"/>
      <c r="K438" s="156"/>
      <c r="L438" s="156"/>
      <c r="M438" s="157"/>
      <c r="N438" s="152" t="s">
        <v>8395</v>
      </c>
    </row>
    <row r="439">
      <c r="A439" s="152" t="s">
        <v>8442</v>
      </c>
      <c r="B439" s="152" t="s">
        <v>8443</v>
      </c>
      <c r="C439" s="152">
        <v>6.0</v>
      </c>
      <c r="D439" s="153"/>
      <c r="E439" s="152">
        <v>5.0</v>
      </c>
      <c r="F439" s="153"/>
      <c r="G439" s="152" t="s">
        <v>8437</v>
      </c>
      <c r="H439" s="155" t="s">
        <v>8424</v>
      </c>
      <c r="I439" s="155" t="s">
        <v>6684</v>
      </c>
      <c r="J439" s="156"/>
      <c r="K439" s="156"/>
      <c r="L439" s="156"/>
      <c r="M439" s="157"/>
      <c r="N439" s="152" t="s">
        <v>8395</v>
      </c>
    </row>
    <row r="440">
      <c r="A440" s="152" t="s">
        <v>8442</v>
      </c>
      <c r="B440" s="152" t="s">
        <v>8443</v>
      </c>
      <c r="C440" s="152">
        <v>6.0</v>
      </c>
      <c r="D440" s="153"/>
      <c r="E440" s="152">
        <v>5.0</v>
      </c>
      <c r="F440" s="153"/>
      <c r="G440" s="152" t="s">
        <v>8437</v>
      </c>
      <c r="H440" s="155" t="s">
        <v>8425</v>
      </c>
      <c r="I440" s="155" t="s">
        <v>7039</v>
      </c>
      <c r="J440" s="156"/>
      <c r="K440" s="156"/>
      <c r="L440" s="156"/>
      <c r="M440" s="157"/>
      <c r="N440" s="152" t="s">
        <v>8395</v>
      </c>
    </row>
    <row r="441">
      <c r="A441" s="152" t="s">
        <v>8442</v>
      </c>
      <c r="B441" s="152" t="s">
        <v>8443</v>
      </c>
      <c r="C441" s="152">
        <v>6.0</v>
      </c>
      <c r="D441" s="153"/>
      <c r="E441" s="152">
        <v>5.0</v>
      </c>
      <c r="F441" s="153"/>
      <c r="G441" s="152" t="s">
        <v>8437</v>
      </c>
      <c r="H441" s="155" t="s">
        <v>8426</v>
      </c>
      <c r="I441" s="155" t="s">
        <v>7023</v>
      </c>
      <c r="J441" s="156"/>
      <c r="K441" s="156"/>
      <c r="L441" s="156"/>
      <c r="M441" s="157"/>
      <c r="N441" s="152" t="s">
        <v>8395</v>
      </c>
    </row>
    <row r="442">
      <c r="A442" s="152" t="s">
        <v>8444</v>
      </c>
      <c r="B442" s="152" t="s">
        <v>8445</v>
      </c>
      <c r="C442" s="152">
        <v>1.0</v>
      </c>
      <c r="D442" s="153"/>
      <c r="E442" s="153"/>
      <c r="F442" s="153"/>
      <c r="G442" s="152" t="s">
        <v>8382</v>
      </c>
      <c r="H442" s="152" t="s">
        <v>8383</v>
      </c>
      <c r="I442" s="153"/>
      <c r="J442" s="152" t="s">
        <v>23</v>
      </c>
      <c r="K442" s="152">
        <v>659.0</v>
      </c>
      <c r="L442" s="153"/>
      <c r="M442" s="154"/>
      <c r="N442" s="152" t="s">
        <v>8384</v>
      </c>
    </row>
    <row r="443">
      <c r="A443" s="152" t="s">
        <v>8444</v>
      </c>
      <c r="B443" s="152" t="s">
        <v>8445</v>
      </c>
      <c r="C443" s="152">
        <v>1.0</v>
      </c>
      <c r="D443" s="153"/>
      <c r="E443" s="153"/>
      <c r="F443" s="153"/>
      <c r="G443" s="152" t="s">
        <v>8382</v>
      </c>
      <c r="H443" s="152" t="s">
        <v>8385</v>
      </c>
      <c r="I443" s="153"/>
      <c r="J443" s="152" t="s">
        <v>23</v>
      </c>
      <c r="K443" s="152">
        <v>709.0</v>
      </c>
      <c r="L443" s="153"/>
      <c r="M443" s="154"/>
      <c r="N443" s="152" t="s">
        <v>8384</v>
      </c>
    </row>
    <row r="444">
      <c r="A444" s="152" t="s">
        <v>8444</v>
      </c>
      <c r="B444" s="152" t="s">
        <v>8445</v>
      </c>
      <c r="C444" s="152">
        <v>1.0</v>
      </c>
      <c r="D444" s="153"/>
      <c r="E444" s="153"/>
      <c r="F444" s="153"/>
      <c r="G444" s="152" t="s">
        <v>8382</v>
      </c>
      <c r="H444" s="152" t="s">
        <v>8386</v>
      </c>
      <c r="I444" s="153"/>
      <c r="J444" s="152" t="s">
        <v>23</v>
      </c>
      <c r="K444" s="152">
        <v>709.0</v>
      </c>
      <c r="L444" s="153"/>
      <c r="M444" s="154"/>
      <c r="N444" s="152" t="s">
        <v>8384</v>
      </c>
    </row>
    <row r="445">
      <c r="A445" s="152" t="s">
        <v>8444</v>
      </c>
      <c r="B445" s="152" t="s">
        <v>8445</v>
      </c>
      <c r="C445" s="152">
        <v>1.0</v>
      </c>
      <c r="D445" s="153"/>
      <c r="E445" s="153"/>
      <c r="F445" s="153"/>
      <c r="G445" s="152" t="s">
        <v>8382</v>
      </c>
      <c r="H445" s="152" t="s">
        <v>8387</v>
      </c>
      <c r="I445" s="153"/>
      <c r="J445" s="152" t="s">
        <v>23</v>
      </c>
      <c r="K445" s="152">
        <v>709.0</v>
      </c>
      <c r="L445" s="153"/>
      <c r="M445" s="154"/>
      <c r="N445" s="152" t="s">
        <v>8384</v>
      </c>
    </row>
    <row r="446">
      <c r="A446" s="152" t="s">
        <v>8444</v>
      </c>
      <c r="B446" s="152" t="s">
        <v>8445</v>
      </c>
      <c r="C446" s="152">
        <v>1.0</v>
      </c>
      <c r="D446" s="153"/>
      <c r="E446" s="153"/>
      <c r="F446" s="153"/>
      <c r="G446" s="152" t="s">
        <v>8382</v>
      </c>
      <c r="H446" s="152" t="s">
        <v>8388</v>
      </c>
      <c r="I446" s="153"/>
      <c r="J446" s="152" t="s">
        <v>23</v>
      </c>
      <c r="K446" s="152">
        <v>709.0</v>
      </c>
      <c r="L446" s="153"/>
      <c r="M446" s="154"/>
      <c r="N446" s="152" t="s">
        <v>8384</v>
      </c>
    </row>
    <row r="447">
      <c r="A447" s="152" t="s">
        <v>8444</v>
      </c>
      <c r="B447" s="152" t="s">
        <v>8445</v>
      </c>
      <c r="C447" s="152">
        <v>1.0</v>
      </c>
      <c r="D447" s="153"/>
      <c r="E447" s="153"/>
      <c r="F447" s="153"/>
      <c r="G447" s="152" t="s">
        <v>8382</v>
      </c>
      <c r="H447" s="152" t="s">
        <v>8389</v>
      </c>
      <c r="I447" s="153"/>
      <c r="J447" s="152" t="s">
        <v>23</v>
      </c>
      <c r="K447" s="152">
        <v>819.0</v>
      </c>
      <c r="L447" s="153"/>
      <c r="M447" s="154"/>
      <c r="N447" s="152" t="s">
        <v>8384</v>
      </c>
    </row>
    <row r="448">
      <c r="A448" s="152" t="s">
        <v>8444</v>
      </c>
      <c r="B448" s="152" t="s">
        <v>8445</v>
      </c>
      <c r="C448" s="152">
        <v>1.0</v>
      </c>
      <c r="D448" s="153"/>
      <c r="E448" s="153"/>
      <c r="F448" s="153"/>
      <c r="G448" s="152" t="s">
        <v>8382</v>
      </c>
      <c r="H448" s="152" t="s">
        <v>5767</v>
      </c>
      <c r="I448" s="153"/>
      <c r="J448" s="152" t="s">
        <v>23</v>
      </c>
      <c r="K448" s="152">
        <v>819.0</v>
      </c>
      <c r="L448" s="153"/>
      <c r="M448" s="154"/>
      <c r="N448" s="152" t="s">
        <v>8384</v>
      </c>
    </row>
    <row r="449">
      <c r="A449" s="152" t="s">
        <v>8444</v>
      </c>
      <c r="B449" s="152" t="s">
        <v>8445</v>
      </c>
      <c r="C449" s="152">
        <v>1.0</v>
      </c>
      <c r="D449" s="153"/>
      <c r="E449" s="153"/>
      <c r="F449" s="153"/>
      <c r="G449" s="152" t="s">
        <v>8382</v>
      </c>
      <c r="H449" s="152" t="s">
        <v>8390</v>
      </c>
      <c r="I449" s="153"/>
      <c r="J449" s="152" t="s">
        <v>23</v>
      </c>
      <c r="K449" s="152">
        <v>819.0</v>
      </c>
      <c r="L449" s="153"/>
      <c r="M449" s="154"/>
      <c r="N449" s="152" t="s">
        <v>8384</v>
      </c>
    </row>
    <row r="450">
      <c r="A450" s="152" t="s">
        <v>8444</v>
      </c>
      <c r="B450" s="152" t="s">
        <v>8445</v>
      </c>
      <c r="C450" s="152">
        <v>1.0</v>
      </c>
      <c r="D450" s="153"/>
      <c r="E450" s="153"/>
      <c r="F450" s="153"/>
      <c r="G450" s="152" t="s">
        <v>8382</v>
      </c>
      <c r="H450" s="152" t="s">
        <v>8391</v>
      </c>
      <c r="I450" s="153"/>
      <c r="J450" s="152" t="s">
        <v>23</v>
      </c>
      <c r="K450" s="152">
        <v>819.0</v>
      </c>
      <c r="L450" s="153"/>
      <c r="M450" s="154"/>
      <c r="N450" s="152" t="s">
        <v>8384</v>
      </c>
    </row>
    <row r="451">
      <c r="A451" s="152" t="s">
        <v>8444</v>
      </c>
      <c r="B451" s="152" t="s">
        <v>8445</v>
      </c>
      <c r="C451" s="152">
        <v>1.0</v>
      </c>
      <c r="D451" s="153"/>
      <c r="E451" s="153"/>
      <c r="F451" s="153"/>
      <c r="G451" s="152" t="s">
        <v>8382</v>
      </c>
      <c r="H451" s="152" t="s">
        <v>8392</v>
      </c>
      <c r="I451" s="153"/>
      <c r="J451" s="152" t="s">
        <v>23</v>
      </c>
      <c r="K451" s="152">
        <v>819.0</v>
      </c>
      <c r="L451" s="153"/>
      <c r="M451" s="154"/>
      <c r="N451" s="152" t="s">
        <v>8384</v>
      </c>
    </row>
    <row r="452">
      <c r="A452" s="152" t="s">
        <v>8444</v>
      </c>
      <c r="B452" s="152" t="s">
        <v>8445</v>
      </c>
      <c r="C452" s="152">
        <v>2.0</v>
      </c>
      <c r="D452" s="153"/>
      <c r="E452" s="152">
        <v>1.0</v>
      </c>
      <c r="F452" s="153"/>
      <c r="G452" s="152" t="s">
        <v>8393</v>
      </c>
      <c r="H452" s="152" t="s">
        <v>8394</v>
      </c>
      <c r="I452" s="152" t="s">
        <v>6862</v>
      </c>
      <c r="J452" s="153"/>
      <c r="K452" s="153"/>
      <c r="L452" s="153"/>
      <c r="M452" s="154"/>
      <c r="N452" s="152" t="s">
        <v>8395</v>
      </c>
    </row>
    <row r="453">
      <c r="A453" s="152" t="s">
        <v>8444</v>
      </c>
      <c r="B453" s="152" t="s">
        <v>8445</v>
      </c>
      <c r="C453" s="152">
        <v>2.0</v>
      </c>
      <c r="D453" s="153"/>
      <c r="E453" s="152">
        <v>1.0</v>
      </c>
      <c r="F453" s="153"/>
      <c r="G453" s="152" t="s">
        <v>8393</v>
      </c>
      <c r="H453" s="152" t="s">
        <v>8396</v>
      </c>
      <c r="I453" s="152" t="s">
        <v>6893</v>
      </c>
      <c r="J453" s="153"/>
      <c r="K453" s="153"/>
      <c r="L453" s="153"/>
      <c r="M453" s="154"/>
      <c r="N453" s="152" t="s">
        <v>8395</v>
      </c>
    </row>
    <row r="454">
      <c r="A454" s="152" t="s">
        <v>8444</v>
      </c>
      <c r="B454" s="152" t="s">
        <v>8445</v>
      </c>
      <c r="C454" s="152">
        <v>2.0</v>
      </c>
      <c r="D454" s="153"/>
      <c r="E454" s="152">
        <v>1.0</v>
      </c>
      <c r="F454" s="153"/>
      <c r="G454" s="152" t="s">
        <v>8393</v>
      </c>
      <c r="H454" s="152" t="s">
        <v>8397</v>
      </c>
      <c r="I454" s="152" t="s">
        <v>6796</v>
      </c>
      <c r="J454" s="153"/>
      <c r="K454" s="153"/>
      <c r="L454" s="153"/>
      <c r="M454" s="154"/>
      <c r="N454" s="152" t="s">
        <v>8395</v>
      </c>
    </row>
    <row r="455">
      <c r="A455" s="152" t="s">
        <v>8444</v>
      </c>
      <c r="B455" s="152" t="s">
        <v>8445</v>
      </c>
      <c r="C455" s="152">
        <v>2.0</v>
      </c>
      <c r="D455" s="153"/>
      <c r="E455" s="152">
        <v>1.0</v>
      </c>
      <c r="F455" s="153"/>
      <c r="G455" s="152" t="s">
        <v>8393</v>
      </c>
      <c r="H455" s="152" t="s">
        <v>8398</v>
      </c>
      <c r="I455" s="152" t="s">
        <v>6726</v>
      </c>
      <c r="J455" s="153"/>
      <c r="K455" s="153"/>
      <c r="L455" s="153"/>
      <c r="M455" s="154"/>
      <c r="N455" s="152" t="s">
        <v>8395</v>
      </c>
    </row>
    <row r="456">
      <c r="A456" s="152" t="s">
        <v>8444</v>
      </c>
      <c r="B456" s="152" t="s">
        <v>8445</v>
      </c>
      <c r="C456" s="152">
        <v>2.0</v>
      </c>
      <c r="D456" s="153"/>
      <c r="E456" s="152">
        <v>1.0</v>
      </c>
      <c r="F456" s="153"/>
      <c r="G456" s="152" t="s">
        <v>8393</v>
      </c>
      <c r="H456" s="152" t="s">
        <v>8399</v>
      </c>
      <c r="I456" s="152" t="s">
        <v>6924</v>
      </c>
      <c r="J456" s="153"/>
      <c r="K456" s="153"/>
      <c r="L456" s="153"/>
      <c r="M456" s="154"/>
      <c r="N456" s="152" t="s">
        <v>8395</v>
      </c>
    </row>
    <row r="457">
      <c r="A457" s="152" t="s">
        <v>8444</v>
      </c>
      <c r="B457" s="152" t="s">
        <v>8445</v>
      </c>
      <c r="C457" s="152">
        <v>2.0</v>
      </c>
      <c r="D457" s="153"/>
      <c r="E457" s="152">
        <v>1.0</v>
      </c>
      <c r="F457" s="153"/>
      <c r="G457" s="152" t="s">
        <v>8393</v>
      </c>
      <c r="H457" s="152" t="s">
        <v>8400</v>
      </c>
      <c r="I457" s="152" t="s">
        <v>6893</v>
      </c>
      <c r="J457" s="153"/>
      <c r="K457" s="153"/>
      <c r="L457" s="153"/>
      <c r="M457" s="154"/>
      <c r="N457" s="152" t="s">
        <v>8395</v>
      </c>
    </row>
    <row r="458">
      <c r="A458" s="152" t="s">
        <v>8444</v>
      </c>
      <c r="B458" s="152" t="s">
        <v>8445</v>
      </c>
      <c r="C458" s="152">
        <v>2.0</v>
      </c>
      <c r="D458" s="153"/>
      <c r="E458" s="152">
        <v>1.0</v>
      </c>
      <c r="F458" s="153"/>
      <c r="G458" s="152" t="s">
        <v>8393</v>
      </c>
      <c r="H458" s="152" t="s">
        <v>8401</v>
      </c>
      <c r="I458" s="152" t="s">
        <v>6796</v>
      </c>
      <c r="J458" s="153"/>
      <c r="K458" s="153"/>
      <c r="L458" s="153"/>
      <c r="M458" s="154"/>
      <c r="N458" s="152" t="s">
        <v>8395</v>
      </c>
    </row>
    <row r="459">
      <c r="A459" s="152" t="s">
        <v>8444</v>
      </c>
      <c r="B459" s="152" t="s">
        <v>8445</v>
      </c>
      <c r="C459" s="152">
        <v>2.0</v>
      </c>
      <c r="D459" s="153"/>
      <c r="E459" s="152">
        <v>1.0</v>
      </c>
      <c r="F459" s="153"/>
      <c r="G459" s="152" t="s">
        <v>8393</v>
      </c>
      <c r="H459" s="152" t="s">
        <v>8402</v>
      </c>
      <c r="I459" s="152" t="s">
        <v>6831</v>
      </c>
      <c r="J459" s="153"/>
      <c r="K459" s="153"/>
      <c r="L459" s="153"/>
      <c r="M459" s="154"/>
      <c r="N459" s="152" t="s">
        <v>8395</v>
      </c>
    </row>
    <row r="460">
      <c r="A460" s="152" t="s">
        <v>8444</v>
      </c>
      <c r="B460" s="152" t="s">
        <v>8445</v>
      </c>
      <c r="C460" s="152">
        <v>2.0</v>
      </c>
      <c r="D460" s="153"/>
      <c r="E460" s="152">
        <v>1.0</v>
      </c>
      <c r="F460" s="153"/>
      <c r="G460" s="152" t="s">
        <v>8393</v>
      </c>
      <c r="H460" s="152" t="s">
        <v>8403</v>
      </c>
      <c r="I460" s="152" t="s">
        <v>6836</v>
      </c>
      <c r="J460" s="153"/>
      <c r="K460" s="153"/>
      <c r="L460" s="153"/>
      <c r="M460" s="154"/>
      <c r="N460" s="152" t="s">
        <v>8395</v>
      </c>
    </row>
    <row r="461">
      <c r="A461" s="152" t="s">
        <v>8444</v>
      </c>
      <c r="B461" s="152" t="s">
        <v>8445</v>
      </c>
      <c r="C461" s="152">
        <v>2.0</v>
      </c>
      <c r="D461" s="153"/>
      <c r="E461" s="152">
        <v>1.0</v>
      </c>
      <c r="F461" s="153"/>
      <c r="G461" s="152" t="s">
        <v>8393</v>
      </c>
      <c r="H461" s="152" t="s">
        <v>8404</v>
      </c>
      <c r="I461" s="152" t="s">
        <v>8405</v>
      </c>
      <c r="J461" s="153"/>
      <c r="K461" s="153"/>
      <c r="L461" s="153"/>
      <c r="M461" s="154"/>
      <c r="N461" s="152" t="s">
        <v>8395</v>
      </c>
    </row>
    <row r="462">
      <c r="A462" s="152" t="s">
        <v>8444</v>
      </c>
      <c r="B462" s="152" t="s">
        <v>8445</v>
      </c>
      <c r="C462" s="152">
        <v>3.0</v>
      </c>
      <c r="D462" s="153"/>
      <c r="E462" s="153"/>
      <c r="F462" s="153"/>
      <c r="G462" s="152" t="s">
        <v>8436</v>
      </c>
      <c r="H462" s="155" t="s">
        <v>8407</v>
      </c>
      <c r="I462" s="153"/>
      <c r="J462" s="156"/>
      <c r="K462" s="156"/>
      <c r="L462" s="156"/>
      <c r="M462" s="157"/>
      <c r="N462" s="152" t="s">
        <v>8384</v>
      </c>
    </row>
    <row r="463">
      <c r="A463" s="152" t="s">
        <v>8444</v>
      </c>
      <c r="B463" s="152" t="s">
        <v>8445</v>
      </c>
      <c r="C463" s="152">
        <v>3.0</v>
      </c>
      <c r="D463" s="153"/>
      <c r="E463" s="153"/>
      <c r="F463" s="153"/>
      <c r="G463" s="152" t="s">
        <v>8436</v>
      </c>
      <c r="H463" s="155" t="s">
        <v>8408</v>
      </c>
      <c r="I463" s="153"/>
      <c r="J463" s="156"/>
      <c r="K463" s="156"/>
      <c r="L463" s="156"/>
      <c r="M463" s="157"/>
      <c r="N463" s="152" t="s">
        <v>8384</v>
      </c>
    </row>
    <row r="464">
      <c r="A464" s="152" t="s">
        <v>8444</v>
      </c>
      <c r="B464" s="152" t="s">
        <v>8445</v>
      </c>
      <c r="C464" s="152">
        <v>3.0</v>
      </c>
      <c r="D464" s="153"/>
      <c r="E464" s="153"/>
      <c r="F464" s="153"/>
      <c r="G464" s="152" t="s">
        <v>8436</v>
      </c>
      <c r="H464" s="155" t="s">
        <v>8409</v>
      </c>
      <c r="I464" s="153"/>
      <c r="J464" s="156"/>
      <c r="K464" s="156"/>
      <c r="L464" s="156"/>
      <c r="M464" s="157"/>
      <c r="N464" s="152" t="s">
        <v>8384</v>
      </c>
    </row>
    <row r="465">
      <c r="A465" s="152" t="s">
        <v>8444</v>
      </c>
      <c r="B465" s="152" t="s">
        <v>8445</v>
      </c>
      <c r="C465" s="152">
        <v>3.0</v>
      </c>
      <c r="D465" s="153"/>
      <c r="E465" s="153"/>
      <c r="F465" s="153"/>
      <c r="G465" s="152" t="s">
        <v>8436</v>
      </c>
      <c r="H465" s="155" t="s">
        <v>8410</v>
      </c>
      <c r="I465" s="153"/>
      <c r="J465" s="156"/>
      <c r="K465" s="156"/>
      <c r="L465" s="156"/>
      <c r="M465" s="157"/>
      <c r="N465" s="152" t="s">
        <v>8384</v>
      </c>
    </row>
    <row r="466">
      <c r="A466" s="152" t="s">
        <v>8444</v>
      </c>
      <c r="B466" s="152" t="s">
        <v>8445</v>
      </c>
      <c r="C466" s="152">
        <v>3.0</v>
      </c>
      <c r="D466" s="153"/>
      <c r="E466" s="153"/>
      <c r="F466" s="153"/>
      <c r="G466" s="152" t="s">
        <v>8436</v>
      </c>
      <c r="H466" s="155" t="s">
        <v>8411</v>
      </c>
      <c r="I466" s="153"/>
      <c r="J466" s="156"/>
      <c r="K466" s="156"/>
      <c r="L466" s="156"/>
      <c r="M466" s="157"/>
      <c r="N466" s="152" t="s">
        <v>8384</v>
      </c>
    </row>
    <row r="467">
      <c r="A467" s="152" t="s">
        <v>8444</v>
      </c>
      <c r="B467" s="152" t="s">
        <v>8445</v>
      </c>
      <c r="C467" s="152">
        <v>3.0</v>
      </c>
      <c r="D467" s="153"/>
      <c r="E467" s="153"/>
      <c r="F467" s="153"/>
      <c r="G467" s="152" t="s">
        <v>8436</v>
      </c>
      <c r="H467" s="155" t="s">
        <v>8412</v>
      </c>
      <c r="I467" s="153"/>
      <c r="J467" s="156"/>
      <c r="K467" s="156"/>
      <c r="L467" s="156"/>
      <c r="M467" s="157"/>
      <c r="N467" s="152" t="s">
        <v>8384</v>
      </c>
    </row>
    <row r="468">
      <c r="A468" s="152" t="s">
        <v>8444</v>
      </c>
      <c r="B468" s="152" t="s">
        <v>8445</v>
      </c>
      <c r="C468" s="152">
        <v>3.0</v>
      </c>
      <c r="D468" s="153"/>
      <c r="E468" s="153"/>
      <c r="F468" s="153"/>
      <c r="G468" s="152" t="s">
        <v>8436</v>
      </c>
      <c r="H468" s="155" t="s">
        <v>8413</v>
      </c>
      <c r="I468" s="153"/>
      <c r="J468" s="156"/>
      <c r="K468" s="156"/>
      <c r="L468" s="156"/>
      <c r="M468" s="157"/>
      <c r="N468" s="152" t="s">
        <v>8384</v>
      </c>
    </row>
    <row r="469">
      <c r="A469" s="152" t="s">
        <v>8444</v>
      </c>
      <c r="B469" s="152" t="s">
        <v>8445</v>
      </c>
      <c r="C469" s="152">
        <v>3.0</v>
      </c>
      <c r="D469" s="153"/>
      <c r="E469" s="153"/>
      <c r="F469" s="153"/>
      <c r="G469" s="152" t="s">
        <v>8436</v>
      </c>
      <c r="H469" s="155" t="s">
        <v>8414</v>
      </c>
      <c r="I469" s="153"/>
      <c r="J469" s="156"/>
      <c r="K469" s="156"/>
      <c r="L469" s="156"/>
      <c r="M469" s="157"/>
      <c r="N469" s="152" t="s">
        <v>8384</v>
      </c>
    </row>
    <row r="470">
      <c r="A470" s="152" t="s">
        <v>8444</v>
      </c>
      <c r="B470" s="152" t="s">
        <v>8445</v>
      </c>
      <c r="C470" s="152">
        <v>3.0</v>
      </c>
      <c r="D470" s="153"/>
      <c r="E470" s="153"/>
      <c r="F470" s="153"/>
      <c r="G470" s="152" t="s">
        <v>8436</v>
      </c>
      <c r="H470" s="155" t="s">
        <v>8415</v>
      </c>
      <c r="I470" s="153"/>
      <c r="J470" s="156"/>
      <c r="K470" s="156"/>
      <c r="L470" s="156"/>
      <c r="M470" s="157"/>
      <c r="N470" s="152" t="s">
        <v>8384</v>
      </c>
    </row>
    <row r="471">
      <c r="A471" s="152" t="s">
        <v>8444</v>
      </c>
      <c r="B471" s="152" t="s">
        <v>8445</v>
      </c>
      <c r="C471" s="152">
        <v>3.0</v>
      </c>
      <c r="D471" s="153"/>
      <c r="E471" s="153"/>
      <c r="F471" s="153"/>
      <c r="G471" s="152" t="s">
        <v>8436</v>
      </c>
      <c r="H471" s="155" t="s">
        <v>8416</v>
      </c>
      <c r="I471" s="153"/>
      <c r="J471" s="156"/>
      <c r="K471" s="156"/>
      <c r="L471" s="156"/>
      <c r="M471" s="157"/>
      <c r="N471" s="152" t="s">
        <v>8384</v>
      </c>
    </row>
    <row r="472">
      <c r="A472" s="152" t="s">
        <v>8444</v>
      </c>
      <c r="B472" s="152" t="s">
        <v>8445</v>
      </c>
      <c r="C472" s="152">
        <v>4.0</v>
      </c>
      <c r="D472" s="153"/>
      <c r="E472" s="152">
        <v>3.0</v>
      </c>
      <c r="F472" s="153"/>
      <c r="G472" s="152" t="s">
        <v>8436</v>
      </c>
      <c r="H472" s="155" t="s">
        <v>8417</v>
      </c>
      <c r="I472" s="155" t="s">
        <v>6507</v>
      </c>
      <c r="J472" s="156"/>
      <c r="K472" s="156"/>
      <c r="L472" s="156"/>
      <c r="M472" s="157"/>
      <c r="N472" s="152" t="s">
        <v>8395</v>
      </c>
    </row>
    <row r="473">
      <c r="A473" s="152" t="s">
        <v>8444</v>
      </c>
      <c r="B473" s="152" t="s">
        <v>8445</v>
      </c>
      <c r="C473" s="152">
        <v>4.0</v>
      </c>
      <c r="D473" s="153"/>
      <c r="E473" s="152">
        <v>3.0</v>
      </c>
      <c r="F473" s="153"/>
      <c r="G473" s="152" t="s">
        <v>8436</v>
      </c>
      <c r="H473" s="155" t="s">
        <v>8418</v>
      </c>
      <c r="I473" s="155" t="s">
        <v>6492</v>
      </c>
      <c r="J473" s="156"/>
      <c r="K473" s="156"/>
      <c r="L473" s="156"/>
      <c r="M473" s="157"/>
      <c r="N473" s="152" t="s">
        <v>8395</v>
      </c>
    </row>
    <row r="474">
      <c r="A474" s="152" t="s">
        <v>8444</v>
      </c>
      <c r="B474" s="152" t="s">
        <v>8445</v>
      </c>
      <c r="C474" s="152">
        <v>4.0</v>
      </c>
      <c r="D474" s="153"/>
      <c r="E474" s="152">
        <v>3.0</v>
      </c>
      <c r="F474" s="153"/>
      <c r="G474" s="152" t="s">
        <v>8436</v>
      </c>
      <c r="H474" s="155" t="s">
        <v>8419</v>
      </c>
      <c r="I474" s="155" t="s">
        <v>6978</v>
      </c>
      <c r="J474" s="156"/>
      <c r="K474" s="156"/>
      <c r="L474" s="156"/>
      <c r="M474" s="157"/>
      <c r="N474" s="152" t="s">
        <v>8395</v>
      </c>
    </row>
    <row r="475">
      <c r="A475" s="152" t="s">
        <v>8444</v>
      </c>
      <c r="B475" s="152" t="s">
        <v>8445</v>
      </c>
      <c r="C475" s="152">
        <v>4.0</v>
      </c>
      <c r="D475" s="153"/>
      <c r="E475" s="152">
        <v>3.0</v>
      </c>
      <c r="F475" s="153"/>
      <c r="G475" s="152" t="s">
        <v>8436</v>
      </c>
      <c r="H475" s="155" t="s">
        <v>8420</v>
      </c>
      <c r="I475" s="155" t="s">
        <v>6936</v>
      </c>
      <c r="J475" s="156"/>
      <c r="K475" s="156"/>
      <c r="L475" s="156"/>
      <c r="M475" s="157"/>
      <c r="N475" s="152" t="s">
        <v>8395</v>
      </c>
    </row>
    <row r="476">
      <c r="A476" s="152" t="s">
        <v>8444</v>
      </c>
      <c r="B476" s="152" t="s">
        <v>8445</v>
      </c>
      <c r="C476" s="152">
        <v>4.0</v>
      </c>
      <c r="D476" s="153"/>
      <c r="E476" s="152">
        <v>3.0</v>
      </c>
      <c r="F476" s="153"/>
      <c r="G476" s="152" t="s">
        <v>8436</v>
      </c>
      <c r="H476" s="155" t="s">
        <v>8421</v>
      </c>
      <c r="I476" s="155" t="s">
        <v>6620</v>
      </c>
      <c r="J476" s="156"/>
      <c r="K476" s="156"/>
      <c r="L476" s="156"/>
      <c r="M476" s="157"/>
      <c r="N476" s="152" t="s">
        <v>8395</v>
      </c>
    </row>
    <row r="477">
      <c r="A477" s="152" t="s">
        <v>8444</v>
      </c>
      <c r="B477" s="152" t="s">
        <v>8445</v>
      </c>
      <c r="C477" s="152">
        <v>4.0</v>
      </c>
      <c r="D477" s="153"/>
      <c r="E477" s="152">
        <v>3.0</v>
      </c>
      <c r="F477" s="153"/>
      <c r="G477" s="152" t="s">
        <v>8436</v>
      </c>
      <c r="H477" s="155" t="s">
        <v>8422</v>
      </c>
      <c r="I477" s="155" t="s">
        <v>6563</v>
      </c>
      <c r="J477" s="156"/>
      <c r="K477" s="156"/>
      <c r="L477" s="156"/>
      <c r="M477" s="157"/>
      <c r="N477" s="152" t="s">
        <v>8395</v>
      </c>
    </row>
    <row r="478">
      <c r="A478" s="152" t="s">
        <v>8444</v>
      </c>
      <c r="B478" s="152" t="s">
        <v>8445</v>
      </c>
      <c r="C478" s="152">
        <v>4.0</v>
      </c>
      <c r="D478" s="153"/>
      <c r="E478" s="152">
        <v>3.0</v>
      </c>
      <c r="F478" s="153"/>
      <c r="G478" s="152" t="s">
        <v>8436</v>
      </c>
      <c r="H478" s="155" t="s">
        <v>8423</v>
      </c>
      <c r="I478" s="155" t="s">
        <v>6701</v>
      </c>
      <c r="J478" s="156"/>
      <c r="K478" s="156"/>
      <c r="L478" s="156"/>
      <c r="M478" s="157"/>
      <c r="N478" s="152" t="s">
        <v>8395</v>
      </c>
    </row>
    <row r="479">
      <c r="A479" s="152" t="s">
        <v>8444</v>
      </c>
      <c r="B479" s="152" t="s">
        <v>8445</v>
      </c>
      <c r="C479" s="152">
        <v>4.0</v>
      </c>
      <c r="D479" s="153"/>
      <c r="E479" s="152">
        <v>3.0</v>
      </c>
      <c r="F479" s="153"/>
      <c r="G479" s="152" t="s">
        <v>8436</v>
      </c>
      <c r="H479" s="155" t="s">
        <v>8424</v>
      </c>
      <c r="I479" s="155" t="s">
        <v>6684</v>
      </c>
      <c r="J479" s="156"/>
      <c r="K479" s="156"/>
      <c r="L479" s="156"/>
      <c r="M479" s="157"/>
      <c r="N479" s="152" t="s">
        <v>8395</v>
      </c>
    </row>
    <row r="480">
      <c r="A480" s="152" t="s">
        <v>8444</v>
      </c>
      <c r="B480" s="152" t="s">
        <v>8445</v>
      </c>
      <c r="C480" s="152">
        <v>4.0</v>
      </c>
      <c r="D480" s="153"/>
      <c r="E480" s="152">
        <v>3.0</v>
      </c>
      <c r="F480" s="153"/>
      <c r="G480" s="152" t="s">
        <v>8436</v>
      </c>
      <c r="H480" s="155" t="s">
        <v>8425</v>
      </c>
      <c r="I480" s="155" t="s">
        <v>7039</v>
      </c>
      <c r="J480" s="156"/>
      <c r="K480" s="156"/>
      <c r="L480" s="156"/>
      <c r="M480" s="157"/>
      <c r="N480" s="152" t="s">
        <v>8395</v>
      </c>
    </row>
    <row r="481">
      <c r="A481" s="152" t="s">
        <v>8444</v>
      </c>
      <c r="B481" s="152" t="s">
        <v>8445</v>
      </c>
      <c r="C481" s="152">
        <v>4.0</v>
      </c>
      <c r="D481" s="153"/>
      <c r="E481" s="152">
        <v>3.0</v>
      </c>
      <c r="F481" s="153"/>
      <c r="G481" s="152" t="s">
        <v>8436</v>
      </c>
      <c r="H481" s="155" t="s">
        <v>8426</v>
      </c>
      <c r="I481" s="155" t="s">
        <v>7023</v>
      </c>
      <c r="J481" s="156"/>
      <c r="K481" s="156"/>
      <c r="L481" s="156"/>
      <c r="M481" s="157"/>
      <c r="N481" s="152" t="s">
        <v>8395</v>
      </c>
    </row>
    <row r="482">
      <c r="A482" s="152" t="s">
        <v>8446</v>
      </c>
      <c r="B482" s="152" t="s">
        <v>8447</v>
      </c>
      <c r="C482" s="152">
        <v>1.0</v>
      </c>
      <c r="D482" s="153"/>
      <c r="E482" s="153"/>
      <c r="F482" s="153"/>
      <c r="G482" s="152" t="s">
        <v>8382</v>
      </c>
      <c r="H482" s="152" t="s">
        <v>8383</v>
      </c>
      <c r="I482" s="153"/>
      <c r="J482" s="152" t="s">
        <v>23</v>
      </c>
      <c r="K482" s="152">
        <v>2039.0</v>
      </c>
      <c r="L482" s="153"/>
      <c r="M482" s="154"/>
      <c r="N482" s="152" t="s">
        <v>8384</v>
      </c>
    </row>
    <row r="483">
      <c r="A483" s="152" t="s">
        <v>8446</v>
      </c>
      <c r="B483" s="152" t="s">
        <v>8447</v>
      </c>
      <c r="C483" s="152">
        <v>1.0</v>
      </c>
      <c r="D483" s="153"/>
      <c r="E483" s="153"/>
      <c r="F483" s="153"/>
      <c r="G483" s="152" t="s">
        <v>8382</v>
      </c>
      <c r="H483" s="152" t="s">
        <v>8385</v>
      </c>
      <c r="I483" s="153"/>
      <c r="J483" s="152" t="s">
        <v>23</v>
      </c>
      <c r="K483" s="152">
        <v>2169.0</v>
      </c>
      <c r="L483" s="153"/>
      <c r="M483" s="154"/>
      <c r="N483" s="152" t="s">
        <v>8384</v>
      </c>
    </row>
    <row r="484">
      <c r="A484" s="152" t="s">
        <v>8446</v>
      </c>
      <c r="B484" s="152" t="s">
        <v>8447</v>
      </c>
      <c r="C484" s="152">
        <v>1.0</v>
      </c>
      <c r="D484" s="153"/>
      <c r="E484" s="153"/>
      <c r="F484" s="153"/>
      <c r="G484" s="152" t="s">
        <v>8382</v>
      </c>
      <c r="H484" s="152" t="s">
        <v>8386</v>
      </c>
      <c r="I484" s="153"/>
      <c r="J484" s="152" t="s">
        <v>23</v>
      </c>
      <c r="K484" s="152">
        <v>2169.0</v>
      </c>
      <c r="L484" s="153"/>
      <c r="M484" s="154"/>
      <c r="N484" s="152" t="s">
        <v>8384</v>
      </c>
    </row>
    <row r="485">
      <c r="A485" s="152" t="s">
        <v>8446</v>
      </c>
      <c r="B485" s="152" t="s">
        <v>8447</v>
      </c>
      <c r="C485" s="152">
        <v>1.0</v>
      </c>
      <c r="D485" s="153"/>
      <c r="E485" s="153"/>
      <c r="F485" s="153"/>
      <c r="G485" s="152" t="s">
        <v>8382</v>
      </c>
      <c r="H485" s="152" t="s">
        <v>8387</v>
      </c>
      <c r="I485" s="153"/>
      <c r="J485" s="152" t="s">
        <v>23</v>
      </c>
      <c r="K485" s="152">
        <v>2169.0</v>
      </c>
      <c r="L485" s="153"/>
      <c r="M485" s="154"/>
      <c r="N485" s="152" t="s">
        <v>8384</v>
      </c>
    </row>
    <row r="486">
      <c r="A486" s="152" t="s">
        <v>8446</v>
      </c>
      <c r="B486" s="152" t="s">
        <v>8447</v>
      </c>
      <c r="C486" s="152">
        <v>1.0</v>
      </c>
      <c r="D486" s="153"/>
      <c r="E486" s="153"/>
      <c r="F486" s="153"/>
      <c r="G486" s="152" t="s">
        <v>8382</v>
      </c>
      <c r="H486" s="152" t="s">
        <v>8388</v>
      </c>
      <c r="I486" s="153"/>
      <c r="J486" s="152" t="s">
        <v>23</v>
      </c>
      <c r="K486" s="152">
        <v>2169.0</v>
      </c>
      <c r="L486" s="153"/>
      <c r="M486" s="154"/>
      <c r="N486" s="152" t="s">
        <v>8384</v>
      </c>
    </row>
    <row r="487">
      <c r="A487" s="152" t="s">
        <v>8446</v>
      </c>
      <c r="B487" s="152" t="s">
        <v>8447</v>
      </c>
      <c r="C487" s="152">
        <v>1.0</v>
      </c>
      <c r="D487" s="153"/>
      <c r="E487" s="153"/>
      <c r="F487" s="153"/>
      <c r="G487" s="152" t="s">
        <v>8382</v>
      </c>
      <c r="H487" s="152" t="s">
        <v>8389</v>
      </c>
      <c r="I487" s="153"/>
      <c r="J487" s="152" t="s">
        <v>23</v>
      </c>
      <c r="K487" s="152">
        <v>2529.0</v>
      </c>
      <c r="L487" s="153"/>
      <c r="M487" s="154"/>
      <c r="N487" s="152" t="s">
        <v>8384</v>
      </c>
    </row>
    <row r="488">
      <c r="A488" s="152" t="s">
        <v>8446</v>
      </c>
      <c r="B488" s="152" t="s">
        <v>8447</v>
      </c>
      <c r="C488" s="152">
        <v>1.0</v>
      </c>
      <c r="D488" s="153"/>
      <c r="E488" s="153"/>
      <c r="F488" s="153"/>
      <c r="G488" s="152" t="s">
        <v>8382</v>
      </c>
      <c r="H488" s="152" t="s">
        <v>5767</v>
      </c>
      <c r="I488" s="153"/>
      <c r="J488" s="152" t="s">
        <v>23</v>
      </c>
      <c r="K488" s="152">
        <v>2529.0</v>
      </c>
      <c r="L488" s="153"/>
      <c r="M488" s="154"/>
      <c r="N488" s="152" t="s">
        <v>8384</v>
      </c>
    </row>
    <row r="489">
      <c r="A489" s="152" t="s">
        <v>8446</v>
      </c>
      <c r="B489" s="152" t="s">
        <v>8447</v>
      </c>
      <c r="C489" s="152">
        <v>1.0</v>
      </c>
      <c r="D489" s="153"/>
      <c r="E489" s="153"/>
      <c r="F489" s="153"/>
      <c r="G489" s="152" t="s">
        <v>8382</v>
      </c>
      <c r="H489" s="152" t="s">
        <v>8390</v>
      </c>
      <c r="I489" s="153"/>
      <c r="J489" s="152" t="s">
        <v>23</v>
      </c>
      <c r="K489" s="152">
        <v>2529.0</v>
      </c>
      <c r="L489" s="153"/>
      <c r="M489" s="154"/>
      <c r="N489" s="152" t="s">
        <v>8384</v>
      </c>
    </row>
    <row r="490">
      <c r="A490" s="152" t="s">
        <v>8446</v>
      </c>
      <c r="B490" s="152" t="s">
        <v>8447</v>
      </c>
      <c r="C490" s="152">
        <v>1.0</v>
      </c>
      <c r="D490" s="153"/>
      <c r="E490" s="153"/>
      <c r="F490" s="153"/>
      <c r="G490" s="152" t="s">
        <v>8382</v>
      </c>
      <c r="H490" s="152" t="s">
        <v>8391</v>
      </c>
      <c r="I490" s="153"/>
      <c r="J490" s="152" t="s">
        <v>23</v>
      </c>
      <c r="K490" s="152">
        <v>2529.0</v>
      </c>
      <c r="L490" s="153"/>
      <c r="M490" s="154"/>
      <c r="N490" s="152" t="s">
        <v>8384</v>
      </c>
    </row>
    <row r="491">
      <c r="A491" s="152" t="s">
        <v>8446</v>
      </c>
      <c r="B491" s="152" t="s">
        <v>8447</v>
      </c>
      <c r="C491" s="152">
        <v>1.0</v>
      </c>
      <c r="D491" s="153"/>
      <c r="E491" s="153"/>
      <c r="F491" s="153"/>
      <c r="G491" s="152" t="s">
        <v>8382</v>
      </c>
      <c r="H491" s="152" t="s">
        <v>8392</v>
      </c>
      <c r="I491" s="153"/>
      <c r="J491" s="152" t="s">
        <v>23</v>
      </c>
      <c r="K491" s="152">
        <v>2529.0</v>
      </c>
      <c r="L491" s="153"/>
      <c r="M491" s="154"/>
      <c r="N491" s="152" t="s">
        <v>8384</v>
      </c>
    </row>
    <row r="492">
      <c r="A492" s="152" t="s">
        <v>8446</v>
      </c>
      <c r="B492" s="152" t="s">
        <v>8447</v>
      </c>
      <c r="C492" s="152">
        <v>2.0</v>
      </c>
      <c r="D492" s="153"/>
      <c r="E492" s="152">
        <v>1.0</v>
      </c>
      <c r="F492" s="153"/>
      <c r="G492" s="152" t="s">
        <v>8393</v>
      </c>
      <c r="H492" s="152" t="s">
        <v>8394</v>
      </c>
      <c r="I492" s="152" t="s">
        <v>6862</v>
      </c>
      <c r="J492" s="153"/>
      <c r="K492" s="153"/>
      <c r="L492" s="153"/>
      <c r="M492" s="154"/>
      <c r="N492" s="152" t="s">
        <v>8395</v>
      </c>
    </row>
    <row r="493">
      <c r="A493" s="152" t="s">
        <v>8446</v>
      </c>
      <c r="B493" s="152" t="s">
        <v>8447</v>
      </c>
      <c r="C493" s="152">
        <v>2.0</v>
      </c>
      <c r="D493" s="153"/>
      <c r="E493" s="152">
        <v>1.0</v>
      </c>
      <c r="F493" s="153"/>
      <c r="G493" s="152" t="s">
        <v>8393</v>
      </c>
      <c r="H493" s="152" t="s">
        <v>8396</v>
      </c>
      <c r="I493" s="152" t="s">
        <v>6893</v>
      </c>
      <c r="J493" s="153"/>
      <c r="K493" s="153"/>
      <c r="L493" s="153"/>
      <c r="M493" s="154"/>
      <c r="N493" s="152" t="s">
        <v>8395</v>
      </c>
    </row>
    <row r="494">
      <c r="A494" s="152" t="s">
        <v>8446</v>
      </c>
      <c r="B494" s="152" t="s">
        <v>8447</v>
      </c>
      <c r="C494" s="152">
        <v>2.0</v>
      </c>
      <c r="D494" s="153"/>
      <c r="E494" s="152">
        <v>1.0</v>
      </c>
      <c r="F494" s="153"/>
      <c r="G494" s="152" t="s">
        <v>8393</v>
      </c>
      <c r="H494" s="152" t="s">
        <v>8397</v>
      </c>
      <c r="I494" s="152" t="s">
        <v>6796</v>
      </c>
      <c r="J494" s="153"/>
      <c r="K494" s="153"/>
      <c r="L494" s="153"/>
      <c r="M494" s="154"/>
      <c r="N494" s="152" t="s">
        <v>8395</v>
      </c>
    </row>
    <row r="495">
      <c r="A495" s="152" t="s">
        <v>8446</v>
      </c>
      <c r="B495" s="152" t="s">
        <v>8447</v>
      </c>
      <c r="C495" s="152">
        <v>2.0</v>
      </c>
      <c r="D495" s="153"/>
      <c r="E495" s="152">
        <v>1.0</v>
      </c>
      <c r="F495" s="153"/>
      <c r="G495" s="152" t="s">
        <v>8393</v>
      </c>
      <c r="H495" s="152" t="s">
        <v>8398</v>
      </c>
      <c r="I495" s="152" t="s">
        <v>6726</v>
      </c>
      <c r="J495" s="153"/>
      <c r="K495" s="153"/>
      <c r="L495" s="153"/>
      <c r="M495" s="154"/>
      <c r="N495" s="152" t="s">
        <v>8395</v>
      </c>
    </row>
    <row r="496">
      <c r="A496" s="152" t="s">
        <v>8446</v>
      </c>
      <c r="B496" s="152" t="s">
        <v>8447</v>
      </c>
      <c r="C496" s="152">
        <v>2.0</v>
      </c>
      <c r="D496" s="153"/>
      <c r="E496" s="152">
        <v>1.0</v>
      </c>
      <c r="F496" s="153"/>
      <c r="G496" s="152" t="s">
        <v>8393</v>
      </c>
      <c r="H496" s="152" t="s">
        <v>8399</v>
      </c>
      <c r="I496" s="152" t="s">
        <v>6924</v>
      </c>
      <c r="J496" s="153"/>
      <c r="K496" s="153"/>
      <c r="L496" s="153"/>
      <c r="M496" s="154"/>
      <c r="N496" s="152" t="s">
        <v>8395</v>
      </c>
    </row>
    <row r="497">
      <c r="A497" s="152" t="s">
        <v>8446</v>
      </c>
      <c r="B497" s="152" t="s">
        <v>8447</v>
      </c>
      <c r="C497" s="152">
        <v>2.0</v>
      </c>
      <c r="D497" s="153"/>
      <c r="E497" s="152">
        <v>1.0</v>
      </c>
      <c r="F497" s="153"/>
      <c r="G497" s="152" t="s">
        <v>8393</v>
      </c>
      <c r="H497" s="152" t="s">
        <v>8400</v>
      </c>
      <c r="I497" s="152" t="s">
        <v>6893</v>
      </c>
      <c r="J497" s="153"/>
      <c r="K497" s="153"/>
      <c r="L497" s="153"/>
      <c r="M497" s="154"/>
      <c r="N497" s="152" t="s">
        <v>8395</v>
      </c>
    </row>
    <row r="498">
      <c r="A498" s="152" t="s">
        <v>8446</v>
      </c>
      <c r="B498" s="152" t="s">
        <v>8447</v>
      </c>
      <c r="C498" s="152">
        <v>2.0</v>
      </c>
      <c r="D498" s="153"/>
      <c r="E498" s="152">
        <v>1.0</v>
      </c>
      <c r="F498" s="153"/>
      <c r="G498" s="152" t="s">
        <v>8393</v>
      </c>
      <c r="H498" s="152" t="s">
        <v>8401</v>
      </c>
      <c r="I498" s="152" t="s">
        <v>6796</v>
      </c>
      <c r="J498" s="153"/>
      <c r="K498" s="153"/>
      <c r="L498" s="153"/>
      <c r="M498" s="154"/>
      <c r="N498" s="152" t="s">
        <v>8395</v>
      </c>
    </row>
    <row r="499">
      <c r="A499" s="152" t="s">
        <v>8446</v>
      </c>
      <c r="B499" s="152" t="s">
        <v>8447</v>
      </c>
      <c r="C499" s="152">
        <v>2.0</v>
      </c>
      <c r="D499" s="153"/>
      <c r="E499" s="152">
        <v>1.0</v>
      </c>
      <c r="F499" s="153"/>
      <c r="G499" s="152" t="s">
        <v>8393</v>
      </c>
      <c r="H499" s="152" t="s">
        <v>8402</v>
      </c>
      <c r="I499" s="152" t="s">
        <v>6831</v>
      </c>
      <c r="J499" s="153"/>
      <c r="K499" s="153"/>
      <c r="L499" s="153"/>
      <c r="M499" s="154"/>
      <c r="N499" s="152" t="s">
        <v>8395</v>
      </c>
    </row>
    <row r="500">
      <c r="A500" s="152" t="s">
        <v>8446</v>
      </c>
      <c r="B500" s="152" t="s">
        <v>8447</v>
      </c>
      <c r="C500" s="152">
        <v>2.0</v>
      </c>
      <c r="D500" s="153"/>
      <c r="E500" s="152">
        <v>1.0</v>
      </c>
      <c r="F500" s="153"/>
      <c r="G500" s="152" t="s">
        <v>8393</v>
      </c>
      <c r="H500" s="152" t="s">
        <v>8403</v>
      </c>
      <c r="I500" s="152" t="s">
        <v>6836</v>
      </c>
      <c r="J500" s="153"/>
      <c r="K500" s="153"/>
      <c r="L500" s="153"/>
      <c r="M500" s="154"/>
      <c r="N500" s="152" t="s">
        <v>8395</v>
      </c>
    </row>
    <row r="501">
      <c r="A501" s="152" t="s">
        <v>8446</v>
      </c>
      <c r="B501" s="152" t="s">
        <v>8447</v>
      </c>
      <c r="C501" s="152">
        <v>2.0</v>
      </c>
      <c r="D501" s="153"/>
      <c r="E501" s="152">
        <v>1.0</v>
      </c>
      <c r="F501" s="153"/>
      <c r="G501" s="152" t="s">
        <v>8393</v>
      </c>
      <c r="H501" s="152" t="s">
        <v>8404</v>
      </c>
      <c r="I501" s="152" t="s">
        <v>8405</v>
      </c>
      <c r="J501" s="153"/>
      <c r="K501" s="153"/>
      <c r="L501" s="153"/>
      <c r="M501" s="154"/>
      <c r="N501" s="152" t="s">
        <v>8395</v>
      </c>
    </row>
    <row r="502">
      <c r="A502" s="152" t="s">
        <v>8446</v>
      </c>
      <c r="B502" s="152" t="s">
        <v>8447</v>
      </c>
      <c r="C502" s="152">
        <v>3.0</v>
      </c>
      <c r="D502" s="153"/>
      <c r="E502" s="153"/>
      <c r="F502" s="153"/>
      <c r="G502" s="152" t="s">
        <v>8406</v>
      </c>
      <c r="H502" s="155" t="s">
        <v>8407</v>
      </c>
      <c r="I502" s="153"/>
      <c r="J502" s="156"/>
      <c r="K502" s="156"/>
      <c r="L502" s="156"/>
      <c r="M502" s="157"/>
      <c r="N502" s="152" t="s">
        <v>8384</v>
      </c>
    </row>
    <row r="503">
      <c r="A503" s="152" t="s">
        <v>8446</v>
      </c>
      <c r="B503" s="152" t="s">
        <v>8447</v>
      </c>
      <c r="C503" s="152">
        <v>3.0</v>
      </c>
      <c r="D503" s="153"/>
      <c r="E503" s="153"/>
      <c r="F503" s="153"/>
      <c r="G503" s="152" t="s">
        <v>8406</v>
      </c>
      <c r="H503" s="155" t="s">
        <v>8408</v>
      </c>
      <c r="I503" s="153"/>
      <c r="J503" s="156"/>
      <c r="K503" s="156"/>
      <c r="L503" s="156"/>
      <c r="M503" s="157"/>
      <c r="N503" s="152" t="s">
        <v>8384</v>
      </c>
    </row>
    <row r="504">
      <c r="A504" s="152" t="s">
        <v>8446</v>
      </c>
      <c r="B504" s="152" t="s">
        <v>8447</v>
      </c>
      <c r="C504" s="152">
        <v>3.0</v>
      </c>
      <c r="D504" s="153"/>
      <c r="E504" s="153"/>
      <c r="F504" s="153"/>
      <c r="G504" s="152" t="s">
        <v>8406</v>
      </c>
      <c r="H504" s="155" t="s">
        <v>8409</v>
      </c>
      <c r="I504" s="153"/>
      <c r="J504" s="156"/>
      <c r="K504" s="156"/>
      <c r="L504" s="156"/>
      <c r="M504" s="157"/>
      <c r="N504" s="152" t="s">
        <v>8384</v>
      </c>
    </row>
    <row r="505">
      <c r="A505" s="152" t="s">
        <v>8446</v>
      </c>
      <c r="B505" s="152" t="s">
        <v>8447</v>
      </c>
      <c r="C505" s="152">
        <v>3.0</v>
      </c>
      <c r="D505" s="153"/>
      <c r="E505" s="153"/>
      <c r="F505" s="153"/>
      <c r="G505" s="152" t="s">
        <v>8406</v>
      </c>
      <c r="H505" s="155" t="s">
        <v>8410</v>
      </c>
      <c r="I505" s="153"/>
      <c r="J505" s="156"/>
      <c r="K505" s="156"/>
      <c r="L505" s="156"/>
      <c r="M505" s="157"/>
      <c r="N505" s="152" t="s">
        <v>8384</v>
      </c>
    </row>
    <row r="506">
      <c r="A506" s="152" t="s">
        <v>8446</v>
      </c>
      <c r="B506" s="152" t="s">
        <v>8447</v>
      </c>
      <c r="C506" s="152">
        <v>3.0</v>
      </c>
      <c r="D506" s="153"/>
      <c r="E506" s="153"/>
      <c r="F506" s="153"/>
      <c r="G506" s="152" t="s">
        <v>8406</v>
      </c>
      <c r="H506" s="155" t="s">
        <v>8411</v>
      </c>
      <c r="I506" s="153"/>
      <c r="J506" s="156"/>
      <c r="K506" s="156"/>
      <c r="L506" s="156"/>
      <c r="M506" s="157"/>
      <c r="N506" s="152" t="s">
        <v>8384</v>
      </c>
    </row>
    <row r="507">
      <c r="A507" s="152" t="s">
        <v>8446</v>
      </c>
      <c r="B507" s="152" t="s">
        <v>8447</v>
      </c>
      <c r="C507" s="152">
        <v>3.0</v>
      </c>
      <c r="D507" s="153"/>
      <c r="E507" s="153"/>
      <c r="F507" s="153"/>
      <c r="G507" s="152" t="s">
        <v>8406</v>
      </c>
      <c r="H507" s="155" t="s">
        <v>8412</v>
      </c>
      <c r="I507" s="153"/>
      <c r="J507" s="156"/>
      <c r="K507" s="156"/>
      <c r="L507" s="156"/>
      <c r="M507" s="157"/>
      <c r="N507" s="152" t="s">
        <v>8384</v>
      </c>
    </row>
    <row r="508">
      <c r="A508" s="152" t="s">
        <v>8446</v>
      </c>
      <c r="B508" s="152" t="s">
        <v>8447</v>
      </c>
      <c r="C508" s="152">
        <v>3.0</v>
      </c>
      <c r="D508" s="153"/>
      <c r="E508" s="153"/>
      <c r="F508" s="153"/>
      <c r="G508" s="152" t="s">
        <v>8406</v>
      </c>
      <c r="H508" s="155" t="s">
        <v>8413</v>
      </c>
      <c r="I508" s="153"/>
      <c r="J508" s="156"/>
      <c r="K508" s="156"/>
      <c r="L508" s="156"/>
      <c r="M508" s="157"/>
      <c r="N508" s="152" t="s">
        <v>8384</v>
      </c>
    </row>
    <row r="509">
      <c r="A509" s="152" t="s">
        <v>8446</v>
      </c>
      <c r="B509" s="152" t="s">
        <v>8447</v>
      </c>
      <c r="C509" s="152">
        <v>3.0</v>
      </c>
      <c r="D509" s="153"/>
      <c r="E509" s="153"/>
      <c r="F509" s="153"/>
      <c r="G509" s="152" t="s">
        <v>8406</v>
      </c>
      <c r="H509" s="155" t="s">
        <v>8414</v>
      </c>
      <c r="I509" s="153"/>
      <c r="J509" s="156"/>
      <c r="K509" s="156"/>
      <c r="L509" s="156"/>
      <c r="M509" s="157"/>
      <c r="N509" s="152" t="s">
        <v>8384</v>
      </c>
    </row>
    <row r="510">
      <c r="A510" s="152" t="s">
        <v>8446</v>
      </c>
      <c r="B510" s="152" t="s">
        <v>8447</v>
      </c>
      <c r="C510" s="152">
        <v>3.0</v>
      </c>
      <c r="D510" s="153"/>
      <c r="E510" s="153"/>
      <c r="F510" s="153"/>
      <c r="G510" s="152" t="s">
        <v>8406</v>
      </c>
      <c r="H510" s="155" t="s">
        <v>8415</v>
      </c>
      <c r="I510" s="153"/>
      <c r="J510" s="156"/>
      <c r="K510" s="156"/>
      <c r="L510" s="156"/>
      <c r="M510" s="157"/>
      <c r="N510" s="152" t="s">
        <v>8384</v>
      </c>
    </row>
    <row r="511">
      <c r="A511" s="152" t="s">
        <v>8446</v>
      </c>
      <c r="B511" s="152" t="s">
        <v>8447</v>
      </c>
      <c r="C511" s="152">
        <v>3.0</v>
      </c>
      <c r="D511" s="153"/>
      <c r="E511" s="153"/>
      <c r="F511" s="153"/>
      <c r="G511" s="152" t="s">
        <v>8406</v>
      </c>
      <c r="H511" s="155" t="s">
        <v>8416</v>
      </c>
      <c r="I511" s="153"/>
      <c r="J511" s="156"/>
      <c r="K511" s="156"/>
      <c r="L511" s="156"/>
      <c r="M511" s="157"/>
      <c r="N511" s="152" t="s">
        <v>8384</v>
      </c>
    </row>
    <row r="512">
      <c r="A512" s="152" t="s">
        <v>8446</v>
      </c>
      <c r="B512" s="152" t="s">
        <v>8447</v>
      </c>
      <c r="C512" s="152">
        <v>4.0</v>
      </c>
      <c r="D512" s="153"/>
      <c r="E512" s="152">
        <v>3.0</v>
      </c>
      <c r="F512" s="153"/>
      <c r="G512" s="152" t="s">
        <v>8406</v>
      </c>
      <c r="H512" s="155" t="s">
        <v>8417</v>
      </c>
      <c r="I512" s="155" t="s">
        <v>6507</v>
      </c>
      <c r="J512" s="156"/>
      <c r="K512" s="156"/>
      <c r="L512" s="156"/>
      <c r="M512" s="157"/>
      <c r="N512" s="152" t="s">
        <v>8395</v>
      </c>
    </row>
    <row r="513">
      <c r="A513" s="152" t="s">
        <v>8446</v>
      </c>
      <c r="B513" s="152" t="s">
        <v>8447</v>
      </c>
      <c r="C513" s="152">
        <v>4.0</v>
      </c>
      <c r="D513" s="153"/>
      <c r="E513" s="152">
        <v>3.0</v>
      </c>
      <c r="F513" s="153"/>
      <c r="G513" s="152" t="s">
        <v>8406</v>
      </c>
      <c r="H513" s="155" t="s">
        <v>8418</v>
      </c>
      <c r="I513" s="155" t="s">
        <v>6492</v>
      </c>
      <c r="J513" s="156"/>
      <c r="K513" s="156"/>
      <c r="L513" s="156"/>
      <c r="M513" s="157"/>
      <c r="N513" s="152" t="s">
        <v>8395</v>
      </c>
    </row>
    <row r="514">
      <c r="A514" s="152" t="s">
        <v>8446</v>
      </c>
      <c r="B514" s="152" t="s">
        <v>8447</v>
      </c>
      <c r="C514" s="152">
        <v>4.0</v>
      </c>
      <c r="D514" s="153"/>
      <c r="E514" s="152">
        <v>3.0</v>
      </c>
      <c r="F514" s="153"/>
      <c r="G514" s="152" t="s">
        <v>8406</v>
      </c>
      <c r="H514" s="155" t="s">
        <v>8419</v>
      </c>
      <c r="I514" s="155" t="s">
        <v>6978</v>
      </c>
      <c r="J514" s="156"/>
      <c r="K514" s="156"/>
      <c r="L514" s="156"/>
      <c r="M514" s="157"/>
      <c r="N514" s="152" t="s">
        <v>8395</v>
      </c>
    </row>
    <row r="515">
      <c r="A515" s="152" t="s">
        <v>8446</v>
      </c>
      <c r="B515" s="152" t="s">
        <v>8447</v>
      </c>
      <c r="C515" s="152">
        <v>4.0</v>
      </c>
      <c r="D515" s="153"/>
      <c r="E515" s="152">
        <v>3.0</v>
      </c>
      <c r="F515" s="153"/>
      <c r="G515" s="152" t="s">
        <v>8406</v>
      </c>
      <c r="H515" s="155" t="s">
        <v>8420</v>
      </c>
      <c r="I515" s="155" t="s">
        <v>6936</v>
      </c>
      <c r="J515" s="156"/>
      <c r="K515" s="156"/>
      <c r="L515" s="156"/>
      <c r="M515" s="157"/>
      <c r="N515" s="152" t="s">
        <v>8395</v>
      </c>
    </row>
    <row r="516">
      <c r="A516" s="152" t="s">
        <v>8446</v>
      </c>
      <c r="B516" s="152" t="s">
        <v>8447</v>
      </c>
      <c r="C516" s="152">
        <v>4.0</v>
      </c>
      <c r="D516" s="153"/>
      <c r="E516" s="152">
        <v>3.0</v>
      </c>
      <c r="F516" s="153"/>
      <c r="G516" s="152" t="s">
        <v>8406</v>
      </c>
      <c r="H516" s="155" t="s">
        <v>8421</v>
      </c>
      <c r="I516" s="155" t="s">
        <v>6620</v>
      </c>
      <c r="J516" s="156"/>
      <c r="K516" s="156"/>
      <c r="L516" s="156"/>
      <c r="M516" s="157"/>
      <c r="N516" s="152" t="s">
        <v>8395</v>
      </c>
    </row>
    <row r="517">
      <c r="A517" s="152" t="s">
        <v>8446</v>
      </c>
      <c r="B517" s="152" t="s">
        <v>8447</v>
      </c>
      <c r="C517" s="152">
        <v>4.0</v>
      </c>
      <c r="D517" s="153"/>
      <c r="E517" s="152">
        <v>3.0</v>
      </c>
      <c r="F517" s="153"/>
      <c r="G517" s="152" t="s">
        <v>8406</v>
      </c>
      <c r="H517" s="155" t="s">
        <v>8422</v>
      </c>
      <c r="I517" s="155" t="s">
        <v>6563</v>
      </c>
      <c r="J517" s="156"/>
      <c r="K517" s="156"/>
      <c r="L517" s="156"/>
      <c r="M517" s="157"/>
      <c r="N517" s="152" t="s">
        <v>8395</v>
      </c>
    </row>
    <row r="518">
      <c r="A518" s="152" t="s">
        <v>8446</v>
      </c>
      <c r="B518" s="152" t="s">
        <v>8447</v>
      </c>
      <c r="C518" s="152">
        <v>4.0</v>
      </c>
      <c r="D518" s="153"/>
      <c r="E518" s="152">
        <v>3.0</v>
      </c>
      <c r="F518" s="153"/>
      <c r="G518" s="152" t="s">
        <v>8406</v>
      </c>
      <c r="H518" s="155" t="s">
        <v>8423</v>
      </c>
      <c r="I518" s="155" t="s">
        <v>6701</v>
      </c>
      <c r="J518" s="156"/>
      <c r="K518" s="156"/>
      <c r="L518" s="156"/>
      <c r="M518" s="157"/>
      <c r="N518" s="152" t="s">
        <v>8395</v>
      </c>
    </row>
    <row r="519">
      <c r="A519" s="152" t="s">
        <v>8446</v>
      </c>
      <c r="B519" s="152" t="s">
        <v>8447</v>
      </c>
      <c r="C519" s="152">
        <v>4.0</v>
      </c>
      <c r="D519" s="153"/>
      <c r="E519" s="152">
        <v>3.0</v>
      </c>
      <c r="F519" s="153"/>
      <c r="G519" s="152" t="s">
        <v>8406</v>
      </c>
      <c r="H519" s="155" t="s">
        <v>8424</v>
      </c>
      <c r="I519" s="155" t="s">
        <v>6684</v>
      </c>
      <c r="J519" s="156"/>
      <c r="K519" s="156"/>
      <c r="L519" s="156"/>
      <c r="M519" s="157"/>
      <c r="N519" s="152" t="s">
        <v>8395</v>
      </c>
    </row>
    <row r="520">
      <c r="A520" s="152" t="s">
        <v>8446</v>
      </c>
      <c r="B520" s="152" t="s">
        <v>8447</v>
      </c>
      <c r="C520" s="152">
        <v>4.0</v>
      </c>
      <c r="D520" s="153"/>
      <c r="E520" s="152">
        <v>3.0</v>
      </c>
      <c r="F520" s="153"/>
      <c r="G520" s="152" t="s">
        <v>8406</v>
      </c>
      <c r="H520" s="155" t="s">
        <v>8425</v>
      </c>
      <c r="I520" s="155" t="s">
        <v>7039</v>
      </c>
      <c r="J520" s="156"/>
      <c r="K520" s="156"/>
      <c r="L520" s="156"/>
      <c r="M520" s="157"/>
      <c r="N520" s="152" t="s">
        <v>8395</v>
      </c>
    </row>
    <row r="521">
      <c r="A521" s="152" t="s">
        <v>8446</v>
      </c>
      <c r="B521" s="152" t="s">
        <v>8447</v>
      </c>
      <c r="C521" s="152">
        <v>4.0</v>
      </c>
      <c r="D521" s="153"/>
      <c r="E521" s="152">
        <v>3.0</v>
      </c>
      <c r="F521" s="153"/>
      <c r="G521" s="152" t="s">
        <v>8406</v>
      </c>
      <c r="H521" s="155" t="s">
        <v>8426</v>
      </c>
      <c r="I521" s="155" t="s">
        <v>7023</v>
      </c>
      <c r="J521" s="156"/>
      <c r="K521" s="156"/>
      <c r="L521" s="156"/>
      <c r="M521" s="157"/>
      <c r="N521" s="152" t="s">
        <v>8395</v>
      </c>
    </row>
    <row r="522">
      <c r="A522" s="152" t="s">
        <v>8446</v>
      </c>
      <c r="B522" s="152" t="s">
        <v>8447</v>
      </c>
      <c r="C522" s="152">
        <v>5.0</v>
      </c>
      <c r="D522" s="153"/>
      <c r="E522" s="153"/>
      <c r="F522" s="153"/>
      <c r="G522" s="152" t="s">
        <v>8427</v>
      </c>
      <c r="H522" s="155" t="s">
        <v>8407</v>
      </c>
      <c r="I522" s="153"/>
      <c r="J522" s="156"/>
      <c r="K522" s="156"/>
      <c r="L522" s="156"/>
      <c r="M522" s="157"/>
      <c r="N522" s="152" t="s">
        <v>8384</v>
      </c>
    </row>
    <row r="523">
      <c r="A523" s="152" t="s">
        <v>8446</v>
      </c>
      <c r="B523" s="152" t="s">
        <v>8447</v>
      </c>
      <c r="C523" s="152">
        <v>5.0</v>
      </c>
      <c r="D523" s="153"/>
      <c r="E523" s="153"/>
      <c r="F523" s="153"/>
      <c r="G523" s="152" t="s">
        <v>8427</v>
      </c>
      <c r="H523" s="155" t="s">
        <v>8408</v>
      </c>
      <c r="I523" s="153"/>
      <c r="J523" s="156"/>
      <c r="K523" s="156"/>
      <c r="L523" s="156"/>
      <c r="M523" s="157"/>
      <c r="N523" s="152" t="s">
        <v>8384</v>
      </c>
    </row>
    <row r="524">
      <c r="A524" s="152" t="s">
        <v>8446</v>
      </c>
      <c r="B524" s="152" t="s">
        <v>8447</v>
      </c>
      <c r="C524" s="152">
        <v>5.0</v>
      </c>
      <c r="D524" s="153"/>
      <c r="E524" s="153"/>
      <c r="F524" s="153"/>
      <c r="G524" s="152" t="s">
        <v>8427</v>
      </c>
      <c r="H524" s="155" t="s">
        <v>8409</v>
      </c>
      <c r="I524" s="153"/>
      <c r="J524" s="156"/>
      <c r="K524" s="156"/>
      <c r="L524" s="156"/>
      <c r="M524" s="157"/>
      <c r="N524" s="152" t="s">
        <v>8384</v>
      </c>
    </row>
    <row r="525">
      <c r="A525" s="152" t="s">
        <v>8446</v>
      </c>
      <c r="B525" s="152" t="s">
        <v>8447</v>
      </c>
      <c r="C525" s="152">
        <v>5.0</v>
      </c>
      <c r="D525" s="153"/>
      <c r="E525" s="153"/>
      <c r="F525" s="153"/>
      <c r="G525" s="152" t="s">
        <v>8427</v>
      </c>
      <c r="H525" s="155" t="s">
        <v>8410</v>
      </c>
      <c r="I525" s="153"/>
      <c r="J525" s="156"/>
      <c r="K525" s="156"/>
      <c r="L525" s="156"/>
      <c r="M525" s="157"/>
      <c r="N525" s="152" t="s">
        <v>8384</v>
      </c>
    </row>
    <row r="526">
      <c r="A526" s="152" t="s">
        <v>8446</v>
      </c>
      <c r="B526" s="152" t="s">
        <v>8447</v>
      </c>
      <c r="C526" s="152">
        <v>5.0</v>
      </c>
      <c r="D526" s="153"/>
      <c r="E526" s="153"/>
      <c r="F526" s="153"/>
      <c r="G526" s="152" t="s">
        <v>8427</v>
      </c>
      <c r="H526" s="155" t="s">
        <v>8411</v>
      </c>
      <c r="I526" s="153"/>
      <c r="J526" s="156"/>
      <c r="K526" s="156"/>
      <c r="L526" s="156"/>
      <c r="M526" s="157"/>
      <c r="N526" s="152" t="s">
        <v>8384</v>
      </c>
    </row>
    <row r="527">
      <c r="A527" s="152" t="s">
        <v>8446</v>
      </c>
      <c r="B527" s="152" t="s">
        <v>8447</v>
      </c>
      <c r="C527" s="152">
        <v>5.0</v>
      </c>
      <c r="D527" s="153"/>
      <c r="E527" s="153"/>
      <c r="F527" s="153"/>
      <c r="G527" s="152" t="s">
        <v>8427</v>
      </c>
      <c r="H527" s="155" t="s">
        <v>8412</v>
      </c>
      <c r="I527" s="153"/>
      <c r="J527" s="156"/>
      <c r="K527" s="156"/>
      <c r="L527" s="156"/>
      <c r="M527" s="157"/>
      <c r="N527" s="152" t="s">
        <v>8384</v>
      </c>
    </row>
    <row r="528">
      <c r="A528" s="152" t="s">
        <v>8446</v>
      </c>
      <c r="B528" s="152" t="s">
        <v>8447</v>
      </c>
      <c r="C528" s="152">
        <v>5.0</v>
      </c>
      <c r="D528" s="153"/>
      <c r="E528" s="153"/>
      <c r="F528" s="153"/>
      <c r="G528" s="152" t="s">
        <v>8427</v>
      </c>
      <c r="H528" s="155" t="s">
        <v>8413</v>
      </c>
      <c r="I528" s="153"/>
      <c r="J528" s="156"/>
      <c r="K528" s="156"/>
      <c r="L528" s="156"/>
      <c r="M528" s="157"/>
      <c r="N528" s="152" t="s">
        <v>8384</v>
      </c>
    </row>
    <row r="529">
      <c r="A529" s="152" t="s">
        <v>8446</v>
      </c>
      <c r="B529" s="152" t="s">
        <v>8447</v>
      </c>
      <c r="C529" s="152">
        <v>5.0</v>
      </c>
      <c r="D529" s="153"/>
      <c r="E529" s="153"/>
      <c r="F529" s="153"/>
      <c r="G529" s="152" t="s">
        <v>8427</v>
      </c>
      <c r="H529" s="155" t="s">
        <v>8414</v>
      </c>
      <c r="I529" s="153"/>
      <c r="J529" s="156"/>
      <c r="K529" s="156"/>
      <c r="L529" s="156"/>
      <c r="M529" s="157"/>
      <c r="N529" s="152" t="s">
        <v>8384</v>
      </c>
    </row>
    <row r="530">
      <c r="A530" s="152" t="s">
        <v>8446</v>
      </c>
      <c r="B530" s="152" t="s">
        <v>8447</v>
      </c>
      <c r="C530" s="152">
        <v>5.0</v>
      </c>
      <c r="D530" s="153"/>
      <c r="E530" s="153"/>
      <c r="F530" s="153"/>
      <c r="G530" s="152" t="s">
        <v>8427</v>
      </c>
      <c r="H530" s="155" t="s">
        <v>8415</v>
      </c>
      <c r="I530" s="153"/>
      <c r="J530" s="156"/>
      <c r="K530" s="156"/>
      <c r="L530" s="156"/>
      <c r="M530" s="157"/>
      <c r="N530" s="152" t="s">
        <v>8384</v>
      </c>
    </row>
    <row r="531">
      <c r="A531" s="152" t="s">
        <v>8446</v>
      </c>
      <c r="B531" s="152" t="s">
        <v>8447</v>
      </c>
      <c r="C531" s="152">
        <v>5.0</v>
      </c>
      <c r="D531" s="153"/>
      <c r="E531" s="153"/>
      <c r="F531" s="153"/>
      <c r="G531" s="152" t="s">
        <v>8427</v>
      </c>
      <c r="H531" s="155" t="s">
        <v>8416</v>
      </c>
      <c r="I531" s="153"/>
      <c r="J531" s="156"/>
      <c r="K531" s="156"/>
      <c r="L531" s="156"/>
      <c r="M531" s="157"/>
      <c r="N531" s="152" t="s">
        <v>8384</v>
      </c>
    </row>
    <row r="532">
      <c r="A532" s="152" t="s">
        <v>8446</v>
      </c>
      <c r="B532" s="152" t="s">
        <v>8447</v>
      </c>
      <c r="C532" s="152">
        <v>6.0</v>
      </c>
      <c r="D532" s="153"/>
      <c r="E532" s="152">
        <v>5.0</v>
      </c>
      <c r="F532" s="153"/>
      <c r="G532" s="152" t="s">
        <v>8427</v>
      </c>
      <c r="H532" s="155" t="s">
        <v>8417</v>
      </c>
      <c r="I532" s="155" t="s">
        <v>6507</v>
      </c>
      <c r="J532" s="156"/>
      <c r="K532" s="156"/>
      <c r="L532" s="156"/>
      <c r="M532" s="157"/>
      <c r="N532" s="152" t="s">
        <v>8395</v>
      </c>
    </row>
    <row r="533">
      <c r="A533" s="152" t="s">
        <v>8446</v>
      </c>
      <c r="B533" s="152" t="s">
        <v>8447</v>
      </c>
      <c r="C533" s="152">
        <v>6.0</v>
      </c>
      <c r="D533" s="153"/>
      <c r="E533" s="152">
        <v>5.0</v>
      </c>
      <c r="F533" s="153"/>
      <c r="G533" s="152" t="s">
        <v>8427</v>
      </c>
      <c r="H533" s="155" t="s">
        <v>8418</v>
      </c>
      <c r="I533" s="155" t="s">
        <v>6492</v>
      </c>
      <c r="J533" s="156"/>
      <c r="K533" s="156"/>
      <c r="L533" s="156"/>
      <c r="M533" s="157"/>
      <c r="N533" s="152" t="s">
        <v>8395</v>
      </c>
    </row>
    <row r="534">
      <c r="A534" s="152" t="s">
        <v>8446</v>
      </c>
      <c r="B534" s="152" t="s">
        <v>8447</v>
      </c>
      <c r="C534" s="152">
        <v>6.0</v>
      </c>
      <c r="D534" s="153"/>
      <c r="E534" s="152">
        <v>5.0</v>
      </c>
      <c r="F534" s="153"/>
      <c r="G534" s="152" t="s">
        <v>8427</v>
      </c>
      <c r="H534" s="155" t="s">
        <v>8419</v>
      </c>
      <c r="I534" s="155" t="s">
        <v>6978</v>
      </c>
      <c r="J534" s="156"/>
      <c r="K534" s="156"/>
      <c r="L534" s="156"/>
      <c r="M534" s="157"/>
      <c r="N534" s="152" t="s">
        <v>8395</v>
      </c>
    </row>
    <row r="535">
      <c r="A535" s="152" t="s">
        <v>8446</v>
      </c>
      <c r="B535" s="152" t="s">
        <v>8447</v>
      </c>
      <c r="C535" s="152">
        <v>6.0</v>
      </c>
      <c r="D535" s="153"/>
      <c r="E535" s="152">
        <v>5.0</v>
      </c>
      <c r="F535" s="153"/>
      <c r="G535" s="152" t="s">
        <v>8427</v>
      </c>
      <c r="H535" s="155" t="s">
        <v>8420</v>
      </c>
      <c r="I535" s="155" t="s">
        <v>6936</v>
      </c>
      <c r="J535" s="156"/>
      <c r="K535" s="156"/>
      <c r="L535" s="156"/>
      <c r="M535" s="157"/>
      <c r="N535" s="152" t="s">
        <v>8395</v>
      </c>
    </row>
    <row r="536">
      <c r="A536" s="152" t="s">
        <v>8446</v>
      </c>
      <c r="B536" s="152" t="s">
        <v>8447</v>
      </c>
      <c r="C536" s="152">
        <v>6.0</v>
      </c>
      <c r="D536" s="153"/>
      <c r="E536" s="152">
        <v>5.0</v>
      </c>
      <c r="F536" s="153"/>
      <c r="G536" s="152" t="s">
        <v>8427</v>
      </c>
      <c r="H536" s="155" t="s">
        <v>8421</v>
      </c>
      <c r="I536" s="155" t="s">
        <v>6620</v>
      </c>
      <c r="J536" s="156"/>
      <c r="K536" s="156"/>
      <c r="L536" s="156"/>
      <c r="M536" s="157"/>
      <c r="N536" s="152" t="s">
        <v>8395</v>
      </c>
    </row>
    <row r="537">
      <c r="A537" s="152" t="s">
        <v>8446</v>
      </c>
      <c r="B537" s="152" t="s">
        <v>8447</v>
      </c>
      <c r="C537" s="152">
        <v>6.0</v>
      </c>
      <c r="D537" s="153"/>
      <c r="E537" s="152">
        <v>5.0</v>
      </c>
      <c r="F537" s="153"/>
      <c r="G537" s="152" t="s">
        <v>8427</v>
      </c>
      <c r="H537" s="155" t="s">
        <v>8422</v>
      </c>
      <c r="I537" s="155" t="s">
        <v>6563</v>
      </c>
      <c r="J537" s="156"/>
      <c r="K537" s="156"/>
      <c r="L537" s="156"/>
      <c r="M537" s="157"/>
      <c r="N537" s="152" t="s">
        <v>8395</v>
      </c>
    </row>
    <row r="538">
      <c r="A538" s="152" t="s">
        <v>8446</v>
      </c>
      <c r="B538" s="152" t="s">
        <v>8447</v>
      </c>
      <c r="C538" s="152">
        <v>6.0</v>
      </c>
      <c r="D538" s="153"/>
      <c r="E538" s="152">
        <v>5.0</v>
      </c>
      <c r="F538" s="153"/>
      <c r="G538" s="152" t="s">
        <v>8427</v>
      </c>
      <c r="H538" s="155" t="s">
        <v>8423</v>
      </c>
      <c r="I538" s="155" t="s">
        <v>6701</v>
      </c>
      <c r="J538" s="156"/>
      <c r="K538" s="156"/>
      <c r="L538" s="156"/>
      <c r="M538" s="157"/>
      <c r="N538" s="152" t="s">
        <v>8395</v>
      </c>
    </row>
    <row r="539">
      <c r="A539" s="152" t="s">
        <v>8446</v>
      </c>
      <c r="B539" s="152" t="s">
        <v>8447</v>
      </c>
      <c r="C539" s="152">
        <v>6.0</v>
      </c>
      <c r="D539" s="153"/>
      <c r="E539" s="152">
        <v>5.0</v>
      </c>
      <c r="F539" s="153"/>
      <c r="G539" s="152" t="s">
        <v>8427</v>
      </c>
      <c r="H539" s="155" t="s">
        <v>8424</v>
      </c>
      <c r="I539" s="155" t="s">
        <v>6684</v>
      </c>
      <c r="J539" s="156"/>
      <c r="K539" s="156"/>
      <c r="L539" s="156"/>
      <c r="M539" s="157"/>
      <c r="N539" s="152" t="s">
        <v>8395</v>
      </c>
    </row>
    <row r="540">
      <c r="A540" s="152" t="s">
        <v>8446</v>
      </c>
      <c r="B540" s="152" t="s">
        <v>8447</v>
      </c>
      <c r="C540" s="152">
        <v>6.0</v>
      </c>
      <c r="D540" s="153"/>
      <c r="E540" s="152">
        <v>5.0</v>
      </c>
      <c r="F540" s="153"/>
      <c r="G540" s="152" t="s">
        <v>8427</v>
      </c>
      <c r="H540" s="155" t="s">
        <v>8425</v>
      </c>
      <c r="I540" s="155" t="s">
        <v>7039</v>
      </c>
      <c r="J540" s="156"/>
      <c r="K540" s="156"/>
      <c r="L540" s="156"/>
      <c r="M540" s="157"/>
      <c r="N540" s="152" t="s">
        <v>8395</v>
      </c>
    </row>
    <row r="541">
      <c r="A541" s="152" t="s">
        <v>8446</v>
      </c>
      <c r="B541" s="152" t="s">
        <v>8447</v>
      </c>
      <c r="C541" s="152">
        <v>6.0</v>
      </c>
      <c r="D541" s="153"/>
      <c r="E541" s="152">
        <v>5.0</v>
      </c>
      <c r="F541" s="153"/>
      <c r="G541" s="152" t="s">
        <v>8427</v>
      </c>
      <c r="H541" s="155" t="s">
        <v>8426</v>
      </c>
      <c r="I541" s="155" t="s">
        <v>7023</v>
      </c>
      <c r="J541" s="156"/>
      <c r="K541" s="156"/>
      <c r="L541" s="156"/>
      <c r="M541" s="157"/>
      <c r="N541" s="152" t="s">
        <v>8395</v>
      </c>
    </row>
    <row r="542">
      <c r="A542" s="152" t="s">
        <v>8448</v>
      </c>
      <c r="B542" s="152" t="s">
        <v>8449</v>
      </c>
      <c r="C542" s="152">
        <v>1.0</v>
      </c>
      <c r="D542" s="153"/>
      <c r="E542" s="153"/>
      <c r="F542" s="153"/>
      <c r="G542" s="152" t="s">
        <v>8382</v>
      </c>
      <c r="H542" s="152" t="s">
        <v>8383</v>
      </c>
      <c r="I542" s="153"/>
      <c r="J542" s="152" t="s">
        <v>23</v>
      </c>
      <c r="K542" s="152">
        <v>2619.0</v>
      </c>
      <c r="L542" s="153"/>
      <c r="M542" s="154"/>
      <c r="N542" s="152" t="s">
        <v>8384</v>
      </c>
    </row>
    <row r="543">
      <c r="A543" s="152" t="s">
        <v>8448</v>
      </c>
      <c r="B543" s="152" t="s">
        <v>8449</v>
      </c>
      <c r="C543" s="152">
        <v>1.0</v>
      </c>
      <c r="D543" s="153"/>
      <c r="E543" s="153"/>
      <c r="F543" s="153"/>
      <c r="G543" s="152" t="s">
        <v>8382</v>
      </c>
      <c r="H543" s="152" t="s">
        <v>8385</v>
      </c>
      <c r="I543" s="153"/>
      <c r="J543" s="152" t="s">
        <v>23</v>
      </c>
      <c r="K543" s="152">
        <v>2819.0</v>
      </c>
      <c r="L543" s="153"/>
      <c r="M543" s="154"/>
      <c r="N543" s="152" t="s">
        <v>8384</v>
      </c>
    </row>
    <row r="544">
      <c r="A544" s="152" t="s">
        <v>8448</v>
      </c>
      <c r="B544" s="152" t="s">
        <v>8449</v>
      </c>
      <c r="C544" s="152">
        <v>1.0</v>
      </c>
      <c r="D544" s="153"/>
      <c r="E544" s="153"/>
      <c r="F544" s="153"/>
      <c r="G544" s="152" t="s">
        <v>8382</v>
      </c>
      <c r="H544" s="152" t="s">
        <v>8386</v>
      </c>
      <c r="I544" s="153"/>
      <c r="J544" s="152" t="s">
        <v>23</v>
      </c>
      <c r="K544" s="152">
        <v>2819.0</v>
      </c>
      <c r="L544" s="153"/>
      <c r="M544" s="154"/>
      <c r="N544" s="152" t="s">
        <v>8384</v>
      </c>
    </row>
    <row r="545">
      <c r="A545" s="152" t="s">
        <v>8448</v>
      </c>
      <c r="B545" s="152" t="s">
        <v>8449</v>
      </c>
      <c r="C545" s="152">
        <v>1.0</v>
      </c>
      <c r="D545" s="153"/>
      <c r="E545" s="153"/>
      <c r="F545" s="153"/>
      <c r="G545" s="152" t="s">
        <v>8382</v>
      </c>
      <c r="H545" s="152" t="s">
        <v>8387</v>
      </c>
      <c r="I545" s="153"/>
      <c r="J545" s="152" t="s">
        <v>23</v>
      </c>
      <c r="K545" s="152">
        <v>2819.0</v>
      </c>
      <c r="L545" s="153"/>
      <c r="M545" s="154"/>
      <c r="N545" s="152" t="s">
        <v>8384</v>
      </c>
    </row>
    <row r="546">
      <c r="A546" s="152" t="s">
        <v>8448</v>
      </c>
      <c r="B546" s="152" t="s">
        <v>8449</v>
      </c>
      <c r="C546" s="152">
        <v>1.0</v>
      </c>
      <c r="D546" s="153"/>
      <c r="E546" s="153"/>
      <c r="F546" s="153"/>
      <c r="G546" s="152" t="s">
        <v>8382</v>
      </c>
      <c r="H546" s="152" t="s">
        <v>8388</v>
      </c>
      <c r="I546" s="153"/>
      <c r="J546" s="152" t="s">
        <v>23</v>
      </c>
      <c r="K546" s="152">
        <v>2819.0</v>
      </c>
      <c r="L546" s="153"/>
      <c r="M546" s="154"/>
      <c r="N546" s="152" t="s">
        <v>8384</v>
      </c>
    </row>
    <row r="547">
      <c r="A547" s="152" t="s">
        <v>8448</v>
      </c>
      <c r="B547" s="152" t="s">
        <v>8449</v>
      </c>
      <c r="C547" s="152">
        <v>1.0</v>
      </c>
      <c r="D547" s="153"/>
      <c r="E547" s="153"/>
      <c r="F547" s="153"/>
      <c r="G547" s="152" t="s">
        <v>8382</v>
      </c>
      <c r="H547" s="152" t="s">
        <v>8389</v>
      </c>
      <c r="I547" s="153"/>
      <c r="J547" s="152" t="s">
        <v>23</v>
      </c>
      <c r="K547" s="152">
        <v>3249.0</v>
      </c>
      <c r="L547" s="153"/>
      <c r="M547" s="154"/>
      <c r="N547" s="152" t="s">
        <v>8384</v>
      </c>
    </row>
    <row r="548">
      <c r="A548" s="152" t="s">
        <v>8448</v>
      </c>
      <c r="B548" s="152" t="s">
        <v>8449</v>
      </c>
      <c r="C548" s="152">
        <v>1.0</v>
      </c>
      <c r="D548" s="153"/>
      <c r="E548" s="153"/>
      <c r="F548" s="153"/>
      <c r="G548" s="152" t="s">
        <v>8382</v>
      </c>
      <c r="H548" s="152" t="s">
        <v>5767</v>
      </c>
      <c r="I548" s="153"/>
      <c r="J548" s="152" t="s">
        <v>23</v>
      </c>
      <c r="K548" s="152">
        <v>3249.0</v>
      </c>
      <c r="L548" s="153"/>
      <c r="M548" s="154"/>
      <c r="N548" s="152" t="s">
        <v>8384</v>
      </c>
    </row>
    <row r="549">
      <c r="A549" s="152" t="s">
        <v>8448</v>
      </c>
      <c r="B549" s="152" t="s">
        <v>8449</v>
      </c>
      <c r="C549" s="152">
        <v>1.0</v>
      </c>
      <c r="D549" s="153"/>
      <c r="E549" s="153"/>
      <c r="F549" s="153"/>
      <c r="G549" s="152" t="s">
        <v>8382</v>
      </c>
      <c r="H549" s="152" t="s">
        <v>8390</v>
      </c>
      <c r="I549" s="153"/>
      <c r="J549" s="152" t="s">
        <v>23</v>
      </c>
      <c r="K549" s="152">
        <v>3249.0</v>
      </c>
      <c r="L549" s="153"/>
      <c r="M549" s="154"/>
      <c r="N549" s="152" t="s">
        <v>8384</v>
      </c>
    </row>
    <row r="550">
      <c r="A550" s="152" t="s">
        <v>8448</v>
      </c>
      <c r="B550" s="152" t="s">
        <v>8449</v>
      </c>
      <c r="C550" s="152">
        <v>1.0</v>
      </c>
      <c r="D550" s="153"/>
      <c r="E550" s="153"/>
      <c r="F550" s="153"/>
      <c r="G550" s="152" t="s">
        <v>8382</v>
      </c>
      <c r="H550" s="152" t="s">
        <v>8391</v>
      </c>
      <c r="I550" s="153"/>
      <c r="J550" s="152" t="s">
        <v>23</v>
      </c>
      <c r="K550" s="152">
        <v>3249.0</v>
      </c>
      <c r="L550" s="153"/>
      <c r="M550" s="154"/>
      <c r="N550" s="152" t="s">
        <v>8384</v>
      </c>
    </row>
    <row r="551">
      <c r="A551" s="152" t="s">
        <v>8448</v>
      </c>
      <c r="B551" s="152" t="s">
        <v>8449</v>
      </c>
      <c r="C551" s="152">
        <v>1.0</v>
      </c>
      <c r="D551" s="153"/>
      <c r="E551" s="153"/>
      <c r="F551" s="153"/>
      <c r="G551" s="152" t="s">
        <v>8382</v>
      </c>
      <c r="H551" s="152" t="s">
        <v>8392</v>
      </c>
      <c r="I551" s="153"/>
      <c r="J551" s="152" t="s">
        <v>23</v>
      </c>
      <c r="K551" s="152">
        <v>3249.0</v>
      </c>
      <c r="L551" s="153"/>
      <c r="M551" s="154"/>
      <c r="N551" s="152" t="s">
        <v>8384</v>
      </c>
    </row>
    <row r="552">
      <c r="A552" s="152" t="s">
        <v>8448</v>
      </c>
      <c r="B552" s="152" t="s">
        <v>8449</v>
      </c>
      <c r="C552" s="152">
        <v>2.0</v>
      </c>
      <c r="D552" s="153"/>
      <c r="E552" s="152">
        <v>1.0</v>
      </c>
      <c r="F552" s="153"/>
      <c r="G552" s="152" t="s">
        <v>8393</v>
      </c>
      <c r="H552" s="152" t="s">
        <v>8394</v>
      </c>
      <c r="I552" s="152" t="s">
        <v>6862</v>
      </c>
      <c r="J552" s="153"/>
      <c r="K552" s="153"/>
      <c r="L552" s="153"/>
      <c r="M552" s="154"/>
      <c r="N552" s="152" t="s">
        <v>8395</v>
      </c>
    </row>
    <row r="553">
      <c r="A553" s="152" t="s">
        <v>8448</v>
      </c>
      <c r="B553" s="152" t="s">
        <v>8449</v>
      </c>
      <c r="C553" s="152">
        <v>2.0</v>
      </c>
      <c r="D553" s="153"/>
      <c r="E553" s="152">
        <v>1.0</v>
      </c>
      <c r="F553" s="153"/>
      <c r="G553" s="152" t="s">
        <v>8393</v>
      </c>
      <c r="H553" s="152" t="s">
        <v>8396</v>
      </c>
      <c r="I553" s="152" t="s">
        <v>6893</v>
      </c>
      <c r="J553" s="153"/>
      <c r="K553" s="153"/>
      <c r="L553" s="153"/>
      <c r="M553" s="154"/>
      <c r="N553" s="152" t="s">
        <v>8395</v>
      </c>
    </row>
    <row r="554">
      <c r="A554" s="152" t="s">
        <v>8448</v>
      </c>
      <c r="B554" s="152" t="s">
        <v>8449</v>
      </c>
      <c r="C554" s="152">
        <v>2.0</v>
      </c>
      <c r="D554" s="153"/>
      <c r="E554" s="152">
        <v>1.0</v>
      </c>
      <c r="F554" s="153"/>
      <c r="G554" s="152" t="s">
        <v>8393</v>
      </c>
      <c r="H554" s="152" t="s">
        <v>8397</v>
      </c>
      <c r="I554" s="152" t="s">
        <v>6796</v>
      </c>
      <c r="J554" s="153"/>
      <c r="K554" s="153"/>
      <c r="L554" s="153"/>
      <c r="M554" s="154"/>
      <c r="N554" s="152" t="s">
        <v>8395</v>
      </c>
    </row>
    <row r="555">
      <c r="A555" s="152" t="s">
        <v>8448</v>
      </c>
      <c r="B555" s="152" t="s">
        <v>8449</v>
      </c>
      <c r="C555" s="152">
        <v>2.0</v>
      </c>
      <c r="D555" s="154"/>
      <c r="E555" s="152">
        <v>1.0</v>
      </c>
      <c r="F555" s="154"/>
      <c r="G555" s="152" t="s">
        <v>8393</v>
      </c>
      <c r="H555" s="152" t="s">
        <v>8398</v>
      </c>
      <c r="I555" s="152" t="s">
        <v>6726</v>
      </c>
      <c r="J555" s="154"/>
      <c r="K555" s="154"/>
      <c r="L555" s="154"/>
      <c r="M555" s="154"/>
      <c r="N555" s="152" t="s">
        <v>8395</v>
      </c>
    </row>
    <row r="556">
      <c r="A556" s="152" t="s">
        <v>8448</v>
      </c>
      <c r="B556" s="152" t="s">
        <v>8449</v>
      </c>
      <c r="C556" s="152">
        <v>2.0</v>
      </c>
      <c r="D556" s="154"/>
      <c r="E556" s="152">
        <v>1.0</v>
      </c>
      <c r="F556" s="154"/>
      <c r="G556" s="152" t="s">
        <v>8393</v>
      </c>
      <c r="H556" s="152" t="s">
        <v>8399</v>
      </c>
      <c r="I556" s="152" t="s">
        <v>6924</v>
      </c>
      <c r="J556" s="154"/>
      <c r="K556" s="154"/>
      <c r="L556" s="154"/>
      <c r="M556" s="154"/>
      <c r="N556" s="152" t="s">
        <v>8395</v>
      </c>
    </row>
    <row r="557">
      <c r="A557" s="152" t="s">
        <v>8448</v>
      </c>
      <c r="B557" s="152" t="s">
        <v>8449</v>
      </c>
      <c r="C557" s="152">
        <v>2.0</v>
      </c>
      <c r="D557" s="154"/>
      <c r="E557" s="152">
        <v>1.0</v>
      </c>
      <c r="F557" s="154"/>
      <c r="G557" s="152" t="s">
        <v>8393</v>
      </c>
      <c r="H557" s="152" t="s">
        <v>8400</v>
      </c>
      <c r="I557" s="152" t="s">
        <v>6893</v>
      </c>
      <c r="J557" s="154"/>
      <c r="K557" s="154"/>
      <c r="L557" s="154"/>
      <c r="M557" s="154"/>
      <c r="N557" s="152" t="s">
        <v>8395</v>
      </c>
    </row>
    <row r="558">
      <c r="A558" s="152" t="s">
        <v>8448</v>
      </c>
      <c r="B558" s="152" t="s">
        <v>8449</v>
      </c>
      <c r="C558" s="152">
        <v>2.0</v>
      </c>
      <c r="D558" s="154"/>
      <c r="E558" s="152">
        <v>1.0</v>
      </c>
      <c r="F558" s="154"/>
      <c r="G558" s="152" t="s">
        <v>8393</v>
      </c>
      <c r="H558" s="152" t="s">
        <v>8401</v>
      </c>
      <c r="I558" s="152" t="s">
        <v>6796</v>
      </c>
      <c r="J558" s="154"/>
      <c r="K558" s="154"/>
      <c r="L558" s="154"/>
      <c r="M558" s="154"/>
      <c r="N558" s="152" t="s">
        <v>8395</v>
      </c>
    </row>
    <row r="559">
      <c r="A559" s="152" t="s">
        <v>8448</v>
      </c>
      <c r="B559" s="152" t="s">
        <v>8449</v>
      </c>
      <c r="C559" s="152">
        <v>2.0</v>
      </c>
      <c r="D559" s="154"/>
      <c r="E559" s="152">
        <v>1.0</v>
      </c>
      <c r="F559" s="154"/>
      <c r="G559" s="152" t="s">
        <v>8393</v>
      </c>
      <c r="H559" s="152" t="s">
        <v>8402</v>
      </c>
      <c r="I559" s="152" t="s">
        <v>6831</v>
      </c>
      <c r="J559" s="154"/>
      <c r="K559" s="154"/>
      <c r="L559" s="154"/>
      <c r="M559" s="154"/>
      <c r="N559" s="152" t="s">
        <v>8395</v>
      </c>
    </row>
    <row r="560">
      <c r="A560" s="152" t="s">
        <v>8448</v>
      </c>
      <c r="B560" s="152" t="s">
        <v>8449</v>
      </c>
      <c r="C560" s="152">
        <v>2.0</v>
      </c>
      <c r="D560" s="154"/>
      <c r="E560" s="152">
        <v>1.0</v>
      </c>
      <c r="F560" s="154"/>
      <c r="G560" s="152" t="s">
        <v>8393</v>
      </c>
      <c r="H560" s="152" t="s">
        <v>8403</v>
      </c>
      <c r="I560" s="152" t="s">
        <v>6836</v>
      </c>
      <c r="J560" s="154"/>
      <c r="K560" s="154"/>
      <c r="L560" s="154"/>
      <c r="M560" s="154"/>
      <c r="N560" s="152" t="s">
        <v>8395</v>
      </c>
    </row>
    <row r="561">
      <c r="A561" s="152" t="s">
        <v>8448</v>
      </c>
      <c r="B561" s="152" t="s">
        <v>8449</v>
      </c>
      <c r="C561" s="152">
        <v>2.0</v>
      </c>
      <c r="D561" s="154"/>
      <c r="E561" s="152">
        <v>1.0</v>
      </c>
      <c r="F561" s="154"/>
      <c r="G561" s="152" t="s">
        <v>8393</v>
      </c>
      <c r="H561" s="152" t="s">
        <v>8404</v>
      </c>
      <c r="I561" s="152" t="s">
        <v>8405</v>
      </c>
      <c r="J561" s="154"/>
      <c r="K561" s="154"/>
      <c r="L561" s="154"/>
      <c r="M561" s="154"/>
      <c r="N561" s="152" t="s">
        <v>8395</v>
      </c>
    </row>
    <row r="562">
      <c r="A562" s="152" t="s">
        <v>8448</v>
      </c>
      <c r="B562" s="152" t="s">
        <v>8449</v>
      </c>
      <c r="C562" s="152">
        <v>3.0</v>
      </c>
      <c r="D562" s="154"/>
      <c r="E562" s="154"/>
      <c r="F562" s="154"/>
      <c r="G562" s="152" t="s">
        <v>8406</v>
      </c>
      <c r="H562" s="155" t="s">
        <v>8407</v>
      </c>
      <c r="I562" s="154"/>
      <c r="J562" s="157"/>
      <c r="K562" s="157"/>
      <c r="L562" s="157"/>
      <c r="M562" s="157"/>
      <c r="N562" s="152" t="s">
        <v>8384</v>
      </c>
    </row>
    <row r="563">
      <c r="A563" s="152" t="s">
        <v>8448</v>
      </c>
      <c r="B563" s="152" t="s">
        <v>8449</v>
      </c>
      <c r="C563" s="152">
        <v>3.0</v>
      </c>
      <c r="D563" s="154"/>
      <c r="E563" s="154"/>
      <c r="F563" s="154"/>
      <c r="G563" s="152" t="s">
        <v>8406</v>
      </c>
      <c r="H563" s="155" t="s">
        <v>8408</v>
      </c>
      <c r="I563" s="154"/>
      <c r="J563" s="157"/>
      <c r="K563" s="157"/>
      <c r="L563" s="157"/>
      <c r="M563" s="157"/>
      <c r="N563" s="152" t="s">
        <v>8384</v>
      </c>
    </row>
    <row r="564">
      <c r="A564" s="152" t="s">
        <v>8448</v>
      </c>
      <c r="B564" s="152" t="s">
        <v>8449</v>
      </c>
      <c r="C564" s="152">
        <v>3.0</v>
      </c>
      <c r="D564" s="154"/>
      <c r="E564" s="154"/>
      <c r="F564" s="154"/>
      <c r="G564" s="152" t="s">
        <v>8406</v>
      </c>
      <c r="H564" s="155" t="s">
        <v>8409</v>
      </c>
      <c r="I564" s="154"/>
      <c r="J564" s="157"/>
      <c r="K564" s="157"/>
      <c r="L564" s="157"/>
      <c r="M564" s="157"/>
      <c r="N564" s="152" t="s">
        <v>8384</v>
      </c>
    </row>
    <row r="565">
      <c r="A565" s="152" t="s">
        <v>8448</v>
      </c>
      <c r="B565" s="152" t="s">
        <v>8449</v>
      </c>
      <c r="C565" s="152">
        <v>3.0</v>
      </c>
      <c r="D565" s="154"/>
      <c r="E565" s="154"/>
      <c r="F565" s="154"/>
      <c r="G565" s="152" t="s">
        <v>8406</v>
      </c>
      <c r="H565" s="155" t="s">
        <v>8410</v>
      </c>
      <c r="I565" s="154"/>
      <c r="J565" s="157"/>
      <c r="K565" s="157"/>
      <c r="L565" s="157"/>
      <c r="M565" s="157"/>
      <c r="N565" s="152" t="s">
        <v>8384</v>
      </c>
    </row>
    <row r="566">
      <c r="A566" s="152" t="s">
        <v>8448</v>
      </c>
      <c r="B566" s="152" t="s">
        <v>8449</v>
      </c>
      <c r="C566" s="152">
        <v>3.0</v>
      </c>
      <c r="D566" s="154"/>
      <c r="E566" s="154"/>
      <c r="F566" s="154"/>
      <c r="G566" s="152" t="s">
        <v>8406</v>
      </c>
      <c r="H566" s="155" t="s">
        <v>8411</v>
      </c>
      <c r="I566" s="154"/>
      <c r="J566" s="157"/>
      <c r="K566" s="157"/>
      <c r="L566" s="157"/>
      <c r="M566" s="157"/>
      <c r="N566" s="152" t="s">
        <v>8384</v>
      </c>
    </row>
    <row r="567">
      <c r="A567" s="152" t="s">
        <v>8448</v>
      </c>
      <c r="B567" s="152" t="s">
        <v>8449</v>
      </c>
      <c r="C567" s="152">
        <v>3.0</v>
      </c>
      <c r="D567" s="154"/>
      <c r="E567" s="154"/>
      <c r="F567" s="154"/>
      <c r="G567" s="152" t="s">
        <v>8406</v>
      </c>
      <c r="H567" s="155" t="s">
        <v>8412</v>
      </c>
      <c r="I567" s="154"/>
      <c r="J567" s="157"/>
      <c r="K567" s="157"/>
      <c r="L567" s="157"/>
      <c r="M567" s="157"/>
      <c r="N567" s="152" t="s">
        <v>8384</v>
      </c>
    </row>
    <row r="568">
      <c r="A568" s="152" t="s">
        <v>8448</v>
      </c>
      <c r="B568" s="152" t="s">
        <v>8449</v>
      </c>
      <c r="C568" s="152">
        <v>3.0</v>
      </c>
      <c r="D568" s="154"/>
      <c r="E568" s="154"/>
      <c r="F568" s="154"/>
      <c r="G568" s="152" t="s">
        <v>8406</v>
      </c>
      <c r="H568" s="155" t="s">
        <v>8413</v>
      </c>
      <c r="I568" s="154"/>
      <c r="J568" s="157"/>
      <c r="K568" s="157"/>
      <c r="L568" s="157"/>
      <c r="M568" s="157"/>
      <c r="N568" s="152" t="s">
        <v>8384</v>
      </c>
    </row>
    <row r="569">
      <c r="A569" s="152" t="s">
        <v>8448</v>
      </c>
      <c r="B569" s="152" t="s">
        <v>8449</v>
      </c>
      <c r="C569" s="152">
        <v>3.0</v>
      </c>
      <c r="D569" s="154"/>
      <c r="E569" s="154"/>
      <c r="F569" s="154"/>
      <c r="G569" s="152" t="s">
        <v>8406</v>
      </c>
      <c r="H569" s="155" t="s">
        <v>8414</v>
      </c>
      <c r="I569" s="154"/>
      <c r="J569" s="157"/>
      <c r="K569" s="157"/>
      <c r="L569" s="157"/>
      <c r="M569" s="157"/>
      <c r="N569" s="152" t="s">
        <v>8384</v>
      </c>
    </row>
    <row r="570">
      <c r="A570" s="152" t="s">
        <v>8448</v>
      </c>
      <c r="B570" s="152" t="s">
        <v>8449</v>
      </c>
      <c r="C570" s="152">
        <v>3.0</v>
      </c>
      <c r="D570" s="154"/>
      <c r="E570" s="154"/>
      <c r="F570" s="154"/>
      <c r="G570" s="152" t="s">
        <v>8406</v>
      </c>
      <c r="H570" s="155" t="s">
        <v>8415</v>
      </c>
      <c r="I570" s="154"/>
      <c r="J570" s="157"/>
      <c r="K570" s="157"/>
      <c r="L570" s="157"/>
      <c r="M570" s="157"/>
      <c r="N570" s="152" t="s">
        <v>8384</v>
      </c>
    </row>
    <row r="571">
      <c r="A571" s="152" t="s">
        <v>8448</v>
      </c>
      <c r="B571" s="152" t="s">
        <v>8449</v>
      </c>
      <c r="C571" s="152">
        <v>3.0</v>
      </c>
      <c r="D571" s="154"/>
      <c r="E571" s="154"/>
      <c r="F571" s="154"/>
      <c r="G571" s="152" t="s">
        <v>8406</v>
      </c>
      <c r="H571" s="155" t="s">
        <v>8416</v>
      </c>
      <c r="I571" s="154"/>
      <c r="J571" s="157"/>
      <c r="K571" s="157"/>
      <c r="L571" s="157"/>
      <c r="M571" s="157"/>
      <c r="N571" s="152" t="s">
        <v>8384</v>
      </c>
    </row>
    <row r="572">
      <c r="A572" s="152" t="s">
        <v>8448</v>
      </c>
      <c r="B572" s="152" t="s">
        <v>8449</v>
      </c>
      <c r="C572" s="152">
        <v>4.0</v>
      </c>
      <c r="D572" s="154"/>
      <c r="E572" s="152">
        <v>3.0</v>
      </c>
      <c r="F572" s="154"/>
      <c r="G572" s="152" t="s">
        <v>8406</v>
      </c>
      <c r="H572" s="155" t="s">
        <v>8417</v>
      </c>
      <c r="I572" s="155" t="s">
        <v>6507</v>
      </c>
      <c r="J572" s="157"/>
      <c r="K572" s="157"/>
      <c r="L572" s="157"/>
      <c r="M572" s="157"/>
      <c r="N572" s="152" t="s">
        <v>8395</v>
      </c>
    </row>
    <row r="573">
      <c r="A573" s="152" t="s">
        <v>8448</v>
      </c>
      <c r="B573" s="152" t="s">
        <v>8449</v>
      </c>
      <c r="C573" s="152">
        <v>4.0</v>
      </c>
      <c r="D573" s="154"/>
      <c r="E573" s="152">
        <v>3.0</v>
      </c>
      <c r="F573" s="154"/>
      <c r="G573" s="152" t="s">
        <v>8406</v>
      </c>
      <c r="H573" s="155" t="s">
        <v>8418</v>
      </c>
      <c r="I573" s="155" t="s">
        <v>6492</v>
      </c>
      <c r="J573" s="157"/>
      <c r="K573" s="157"/>
      <c r="L573" s="157"/>
      <c r="M573" s="157"/>
      <c r="N573" s="152" t="s">
        <v>8395</v>
      </c>
    </row>
    <row r="574">
      <c r="A574" s="152" t="s">
        <v>8448</v>
      </c>
      <c r="B574" s="152" t="s">
        <v>8449</v>
      </c>
      <c r="C574" s="152">
        <v>4.0</v>
      </c>
      <c r="D574" s="154"/>
      <c r="E574" s="152">
        <v>3.0</v>
      </c>
      <c r="F574" s="154"/>
      <c r="G574" s="152" t="s">
        <v>8406</v>
      </c>
      <c r="H574" s="155" t="s">
        <v>8419</v>
      </c>
      <c r="I574" s="155" t="s">
        <v>6978</v>
      </c>
      <c r="J574" s="157"/>
      <c r="K574" s="157"/>
      <c r="L574" s="157"/>
      <c r="M574" s="157"/>
      <c r="N574" s="152" t="s">
        <v>8395</v>
      </c>
    </row>
    <row r="575">
      <c r="A575" s="152" t="s">
        <v>8448</v>
      </c>
      <c r="B575" s="152" t="s">
        <v>8449</v>
      </c>
      <c r="C575" s="152">
        <v>4.0</v>
      </c>
      <c r="D575" s="154"/>
      <c r="E575" s="152">
        <v>3.0</v>
      </c>
      <c r="F575" s="154"/>
      <c r="G575" s="152" t="s">
        <v>8406</v>
      </c>
      <c r="H575" s="155" t="s">
        <v>8420</v>
      </c>
      <c r="I575" s="155" t="s">
        <v>6936</v>
      </c>
      <c r="J575" s="157"/>
      <c r="K575" s="157"/>
      <c r="L575" s="157"/>
      <c r="M575" s="157"/>
      <c r="N575" s="152" t="s">
        <v>8395</v>
      </c>
    </row>
    <row r="576">
      <c r="A576" s="152" t="s">
        <v>8448</v>
      </c>
      <c r="B576" s="152" t="s">
        <v>8449</v>
      </c>
      <c r="C576" s="152">
        <v>4.0</v>
      </c>
      <c r="D576" s="154"/>
      <c r="E576" s="152">
        <v>3.0</v>
      </c>
      <c r="F576" s="154"/>
      <c r="G576" s="152" t="s">
        <v>8406</v>
      </c>
      <c r="H576" s="155" t="s">
        <v>8421</v>
      </c>
      <c r="I576" s="155" t="s">
        <v>6620</v>
      </c>
      <c r="J576" s="157"/>
      <c r="K576" s="157"/>
      <c r="L576" s="157"/>
      <c r="M576" s="157"/>
      <c r="N576" s="152" t="s">
        <v>8395</v>
      </c>
    </row>
    <row r="577">
      <c r="A577" s="152" t="s">
        <v>8448</v>
      </c>
      <c r="B577" s="152" t="s">
        <v>8449</v>
      </c>
      <c r="C577" s="152">
        <v>4.0</v>
      </c>
      <c r="D577" s="154"/>
      <c r="E577" s="152">
        <v>3.0</v>
      </c>
      <c r="F577" s="154"/>
      <c r="G577" s="152" t="s">
        <v>8406</v>
      </c>
      <c r="H577" s="155" t="s">
        <v>8422</v>
      </c>
      <c r="I577" s="155" t="s">
        <v>6563</v>
      </c>
      <c r="J577" s="157"/>
      <c r="K577" s="157"/>
      <c r="L577" s="157"/>
      <c r="M577" s="157"/>
      <c r="N577" s="152" t="s">
        <v>8395</v>
      </c>
    </row>
    <row r="578">
      <c r="A578" s="152" t="s">
        <v>8448</v>
      </c>
      <c r="B578" s="152" t="s">
        <v>8449</v>
      </c>
      <c r="C578" s="152">
        <v>4.0</v>
      </c>
      <c r="D578" s="154"/>
      <c r="E578" s="152">
        <v>3.0</v>
      </c>
      <c r="F578" s="154"/>
      <c r="G578" s="152" t="s">
        <v>8406</v>
      </c>
      <c r="H578" s="155" t="s">
        <v>8423</v>
      </c>
      <c r="I578" s="155" t="s">
        <v>6701</v>
      </c>
      <c r="J578" s="157"/>
      <c r="K578" s="157"/>
      <c r="L578" s="157"/>
      <c r="M578" s="157"/>
      <c r="N578" s="152" t="s">
        <v>8395</v>
      </c>
    </row>
    <row r="579">
      <c r="A579" s="152" t="s">
        <v>8448</v>
      </c>
      <c r="B579" s="152" t="s">
        <v>8449</v>
      </c>
      <c r="C579" s="152">
        <v>4.0</v>
      </c>
      <c r="D579" s="154"/>
      <c r="E579" s="152">
        <v>3.0</v>
      </c>
      <c r="F579" s="154"/>
      <c r="G579" s="152" t="s">
        <v>8406</v>
      </c>
      <c r="H579" s="155" t="s">
        <v>8424</v>
      </c>
      <c r="I579" s="155" t="s">
        <v>6684</v>
      </c>
      <c r="J579" s="157"/>
      <c r="K579" s="157"/>
      <c r="L579" s="157"/>
      <c r="M579" s="157"/>
      <c r="N579" s="152" t="s">
        <v>8395</v>
      </c>
    </row>
    <row r="580">
      <c r="A580" s="152" t="s">
        <v>8448</v>
      </c>
      <c r="B580" s="152" t="s">
        <v>8449</v>
      </c>
      <c r="C580" s="152">
        <v>4.0</v>
      </c>
      <c r="D580" s="154"/>
      <c r="E580" s="152">
        <v>3.0</v>
      </c>
      <c r="F580" s="154"/>
      <c r="G580" s="152" t="s">
        <v>8406</v>
      </c>
      <c r="H580" s="155" t="s">
        <v>8425</v>
      </c>
      <c r="I580" s="155" t="s">
        <v>7039</v>
      </c>
      <c r="J580" s="157"/>
      <c r="K580" s="157"/>
      <c r="L580" s="157"/>
      <c r="M580" s="157"/>
      <c r="N580" s="152" t="s">
        <v>8395</v>
      </c>
    </row>
    <row r="581">
      <c r="A581" s="152" t="s">
        <v>8448</v>
      </c>
      <c r="B581" s="152" t="s">
        <v>8449</v>
      </c>
      <c r="C581" s="152">
        <v>4.0</v>
      </c>
      <c r="D581" s="154"/>
      <c r="E581" s="152">
        <v>3.0</v>
      </c>
      <c r="F581" s="154"/>
      <c r="G581" s="152" t="s">
        <v>8406</v>
      </c>
      <c r="H581" s="155" t="s">
        <v>8426</v>
      </c>
      <c r="I581" s="155" t="s">
        <v>7023</v>
      </c>
      <c r="J581" s="157"/>
      <c r="K581" s="157"/>
      <c r="L581" s="157"/>
      <c r="M581" s="157"/>
      <c r="N581" s="152" t="s">
        <v>8395</v>
      </c>
    </row>
    <row r="582">
      <c r="A582" s="152" t="s">
        <v>8448</v>
      </c>
      <c r="B582" s="152" t="s">
        <v>8449</v>
      </c>
      <c r="C582" s="152">
        <v>5.0</v>
      </c>
      <c r="D582" s="154"/>
      <c r="E582" s="154"/>
      <c r="F582" s="154"/>
      <c r="G582" s="152" t="s">
        <v>8427</v>
      </c>
      <c r="H582" s="155" t="s">
        <v>8407</v>
      </c>
      <c r="I582" s="154"/>
      <c r="J582" s="157"/>
      <c r="K582" s="157"/>
      <c r="L582" s="157"/>
      <c r="M582" s="157"/>
      <c r="N582" s="152" t="s">
        <v>8384</v>
      </c>
    </row>
    <row r="583">
      <c r="A583" s="152" t="s">
        <v>8448</v>
      </c>
      <c r="B583" s="152" t="s">
        <v>8449</v>
      </c>
      <c r="C583" s="152">
        <v>5.0</v>
      </c>
      <c r="D583" s="154"/>
      <c r="E583" s="154"/>
      <c r="F583" s="154"/>
      <c r="G583" s="152" t="s">
        <v>8427</v>
      </c>
      <c r="H583" s="155" t="s">
        <v>8408</v>
      </c>
      <c r="I583" s="154"/>
      <c r="J583" s="157"/>
      <c r="K583" s="157"/>
      <c r="L583" s="157"/>
      <c r="M583" s="157"/>
      <c r="N583" s="152" t="s">
        <v>8384</v>
      </c>
    </row>
    <row r="584">
      <c r="A584" s="152" t="s">
        <v>8448</v>
      </c>
      <c r="B584" s="152" t="s">
        <v>8449</v>
      </c>
      <c r="C584" s="152">
        <v>5.0</v>
      </c>
      <c r="D584" s="154"/>
      <c r="E584" s="154"/>
      <c r="F584" s="154"/>
      <c r="G584" s="152" t="s">
        <v>8427</v>
      </c>
      <c r="H584" s="155" t="s">
        <v>8409</v>
      </c>
      <c r="I584" s="154"/>
      <c r="J584" s="157"/>
      <c r="K584" s="157"/>
      <c r="L584" s="157"/>
      <c r="M584" s="157"/>
      <c r="N584" s="152" t="s">
        <v>8384</v>
      </c>
    </row>
    <row r="585">
      <c r="A585" s="152" t="s">
        <v>8448</v>
      </c>
      <c r="B585" s="152" t="s">
        <v>8449</v>
      </c>
      <c r="C585" s="152">
        <v>5.0</v>
      </c>
      <c r="D585" s="154"/>
      <c r="E585" s="154"/>
      <c r="F585" s="154"/>
      <c r="G585" s="152" t="s">
        <v>8427</v>
      </c>
      <c r="H585" s="155" t="s">
        <v>8410</v>
      </c>
      <c r="I585" s="154"/>
      <c r="J585" s="157"/>
      <c r="K585" s="157"/>
      <c r="L585" s="157"/>
      <c r="M585" s="157"/>
      <c r="N585" s="152" t="s">
        <v>8384</v>
      </c>
    </row>
    <row r="586">
      <c r="A586" s="152" t="s">
        <v>8448</v>
      </c>
      <c r="B586" s="152" t="s">
        <v>8449</v>
      </c>
      <c r="C586" s="152">
        <v>5.0</v>
      </c>
      <c r="D586" s="154"/>
      <c r="E586" s="154"/>
      <c r="F586" s="154"/>
      <c r="G586" s="152" t="s">
        <v>8427</v>
      </c>
      <c r="H586" s="155" t="s">
        <v>8411</v>
      </c>
      <c r="I586" s="154"/>
      <c r="J586" s="157"/>
      <c r="K586" s="157"/>
      <c r="L586" s="157"/>
      <c r="M586" s="157"/>
      <c r="N586" s="152" t="s">
        <v>8384</v>
      </c>
    </row>
    <row r="587">
      <c r="A587" s="152" t="s">
        <v>8448</v>
      </c>
      <c r="B587" s="152" t="s">
        <v>8449</v>
      </c>
      <c r="C587" s="152">
        <v>5.0</v>
      </c>
      <c r="D587" s="154"/>
      <c r="E587" s="154"/>
      <c r="F587" s="154"/>
      <c r="G587" s="152" t="s">
        <v>8427</v>
      </c>
      <c r="H587" s="155" t="s">
        <v>8412</v>
      </c>
      <c r="I587" s="154"/>
      <c r="J587" s="157"/>
      <c r="K587" s="157"/>
      <c r="L587" s="157"/>
      <c r="M587" s="157"/>
      <c r="N587" s="152" t="s">
        <v>8384</v>
      </c>
    </row>
    <row r="588">
      <c r="A588" s="152" t="s">
        <v>8448</v>
      </c>
      <c r="B588" s="152" t="s">
        <v>8449</v>
      </c>
      <c r="C588" s="152">
        <v>5.0</v>
      </c>
      <c r="D588" s="154"/>
      <c r="E588" s="154"/>
      <c r="F588" s="154"/>
      <c r="G588" s="152" t="s">
        <v>8427</v>
      </c>
      <c r="H588" s="155" t="s">
        <v>8413</v>
      </c>
      <c r="I588" s="154"/>
      <c r="J588" s="157"/>
      <c r="K588" s="157"/>
      <c r="L588" s="157"/>
      <c r="M588" s="157"/>
      <c r="N588" s="152" t="s">
        <v>8384</v>
      </c>
    </row>
    <row r="589">
      <c r="A589" s="152" t="s">
        <v>8448</v>
      </c>
      <c r="B589" s="152" t="s">
        <v>8449</v>
      </c>
      <c r="C589" s="152">
        <v>5.0</v>
      </c>
      <c r="D589" s="154"/>
      <c r="E589" s="154"/>
      <c r="F589" s="154"/>
      <c r="G589" s="152" t="s">
        <v>8427</v>
      </c>
      <c r="H589" s="155" t="s">
        <v>8414</v>
      </c>
      <c r="I589" s="154"/>
      <c r="J589" s="157"/>
      <c r="K589" s="157"/>
      <c r="L589" s="157"/>
      <c r="M589" s="157"/>
      <c r="N589" s="152" t="s">
        <v>8384</v>
      </c>
    </row>
    <row r="590">
      <c r="A590" s="152" t="s">
        <v>8448</v>
      </c>
      <c r="B590" s="152" t="s">
        <v>8449</v>
      </c>
      <c r="C590" s="152">
        <v>5.0</v>
      </c>
      <c r="D590" s="154"/>
      <c r="E590" s="154"/>
      <c r="F590" s="154"/>
      <c r="G590" s="152" t="s">
        <v>8427</v>
      </c>
      <c r="H590" s="155" t="s">
        <v>8415</v>
      </c>
      <c r="I590" s="154"/>
      <c r="J590" s="157"/>
      <c r="K590" s="157"/>
      <c r="L590" s="157"/>
      <c r="M590" s="157"/>
      <c r="N590" s="152" t="s">
        <v>8384</v>
      </c>
    </row>
    <row r="591">
      <c r="A591" s="152" t="s">
        <v>8448</v>
      </c>
      <c r="B591" s="152" t="s">
        <v>8449</v>
      </c>
      <c r="C591" s="152">
        <v>5.0</v>
      </c>
      <c r="D591" s="154"/>
      <c r="E591" s="154"/>
      <c r="F591" s="154"/>
      <c r="G591" s="152" t="s">
        <v>8427</v>
      </c>
      <c r="H591" s="155" t="s">
        <v>8416</v>
      </c>
      <c r="I591" s="154"/>
      <c r="J591" s="157"/>
      <c r="K591" s="157"/>
      <c r="L591" s="157"/>
      <c r="M591" s="157"/>
      <c r="N591" s="152" t="s">
        <v>8384</v>
      </c>
    </row>
    <row r="592">
      <c r="A592" s="152" t="s">
        <v>8448</v>
      </c>
      <c r="B592" s="152" t="s">
        <v>8449</v>
      </c>
      <c r="C592" s="152">
        <v>6.0</v>
      </c>
      <c r="D592" s="154"/>
      <c r="E592" s="152">
        <v>5.0</v>
      </c>
      <c r="F592" s="154"/>
      <c r="G592" s="152" t="s">
        <v>8427</v>
      </c>
      <c r="H592" s="155" t="s">
        <v>8417</v>
      </c>
      <c r="I592" s="155" t="s">
        <v>6507</v>
      </c>
      <c r="J592" s="157"/>
      <c r="K592" s="157"/>
      <c r="L592" s="157"/>
      <c r="M592" s="157"/>
      <c r="N592" s="152" t="s">
        <v>8395</v>
      </c>
    </row>
    <row r="593">
      <c r="A593" s="152" t="s">
        <v>8448</v>
      </c>
      <c r="B593" s="152" t="s">
        <v>8449</v>
      </c>
      <c r="C593" s="152">
        <v>6.0</v>
      </c>
      <c r="D593" s="154"/>
      <c r="E593" s="152">
        <v>5.0</v>
      </c>
      <c r="F593" s="154"/>
      <c r="G593" s="152" t="s">
        <v>8427</v>
      </c>
      <c r="H593" s="155" t="s">
        <v>8418</v>
      </c>
      <c r="I593" s="155" t="s">
        <v>6492</v>
      </c>
      <c r="J593" s="157"/>
      <c r="K593" s="157"/>
      <c r="L593" s="157"/>
      <c r="M593" s="157"/>
      <c r="N593" s="152" t="s">
        <v>8395</v>
      </c>
    </row>
    <row r="594">
      <c r="A594" s="152" t="s">
        <v>8448</v>
      </c>
      <c r="B594" s="152" t="s">
        <v>8449</v>
      </c>
      <c r="C594" s="152">
        <v>6.0</v>
      </c>
      <c r="D594" s="154"/>
      <c r="E594" s="152">
        <v>5.0</v>
      </c>
      <c r="F594" s="154"/>
      <c r="G594" s="152" t="s">
        <v>8427</v>
      </c>
      <c r="H594" s="155" t="s">
        <v>8419</v>
      </c>
      <c r="I594" s="155" t="s">
        <v>6978</v>
      </c>
      <c r="J594" s="157"/>
      <c r="K594" s="157"/>
      <c r="L594" s="157"/>
      <c r="M594" s="157"/>
      <c r="N594" s="152" t="s">
        <v>8395</v>
      </c>
    </row>
    <row r="595">
      <c r="A595" s="152" t="s">
        <v>8448</v>
      </c>
      <c r="B595" s="152" t="s">
        <v>8449</v>
      </c>
      <c r="C595" s="152">
        <v>6.0</v>
      </c>
      <c r="D595" s="154"/>
      <c r="E595" s="152">
        <v>5.0</v>
      </c>
      <c r="F595" s="154"/>
      <c r="G595" s="152" t="s">
        <v>8427</v>
      </c>
      <c r="H595" s="155" t="s">
        <v>8420</v>
      </c>
      <c r="I595" s="155" t="s">
        <v>6936</v>
      </c>
      <c r="J595" s="157"/>
      <c r="K595" s="157"/>
      <c r="L595" s="157"/>
      <c r="M595" s="157"/>
      <c r="N595" s="152" t="s">
        <v>8395</v>
      </c>
    </row>
    <row r="596">
      <c r="A596" s="152" t="s">
        <v>8448</v>
      </c>
      <c r="B596" s="152" t="s">
        <v>8449</v>
      </c>
      <c r="C596" s="152">
        <v>6.0</v>
      </c>
      <c r="D596" s="154"/>
      <c r="E596" s="152">
        <v>5.0</v>
      </c>
      <c r="F596" s="154"/>
      <c r="G596" s="152" t="s">
        <v>8427</v>
      </c>
      <c r="H596" s="155" t="s">
        <v>8421</v>
      </c>
      <c r="I596" s="155" t="s">
        <v>6620</v>
      </c>
      <c r="J596" s="157"/>
      <c r="K596" s="157"/>
      <c r="L596" s="157"/>
      <c r="M596" s="157"/>
      <c r="N596" s="152" t="s">
        <v>8395</v>
      </c>
    </row>
    <row r="597">
      <c r="A597" s="152" t="s">
        <v>8448</v>
      </c>
      <c r="B597" s="152" t="s">
        <v>8449</v>
      </c>
      <c r="C597" s="152">
        <v>6.0</v>
      </c>
      <c r="D597" s="154"/>
      <c r="E597" s="152">
        <v>5.0</v>
      </c>
      <c r="F597" s="154"/>
      <c r="G597" s="152" t="s">
        <v>8427</v>
      </c>
      <c r="H597" s="155" t="s">
        <v>8422</v>
      </c>
      <c r="I597" s="155" t="s">
        <v>6563</v>
      </c>
      <c r="J597" s="157"/>
      <c r="K597" s="157"/>
      <c r="L597" s="157"/>
      <c r="M597" s="157"/>
      <c r="N597" s="152" t="s">
        <v>8395</v>
      </c>
    </row>
    <row r="598">
      <c r="A598" s="152" t="s">
        <v>8448</v>
      </c>
      <c r="B598" s="152" t="s">
        <v>8449</v>
      </c>
      <c r="C598" s="152">
        <v>6.0</v>
      </c>
      <c r="D598" s="154"/>
      <c r="E598" s="152">
        <v>5.0</v>
      </c>
      <c r="F598" s="154"/>
      <c r="G598" s="152" t="s">
        <v>8427</v>
      </c>
      <c r="H598" s="155" t="s">
        <v>8423</v>
      </c>
      <c r="I598" s="155" t="s">
        <v>6701</v>
      </c>
      <c r="J598" s="157"/>
      <c r="K598" s="157"/>
      <c r="L598" s="157"/>
      <c r="M598" s="157"/>
      <c r="N598" s="152" t="s">
        <v>8395</v>
      </c>
    </row>
    <row r="599">
      <c r="A599" s="152" t="s">
        <v>8448</v>
      </c>
      <c r="B599" s="152" t="s">
        <v>8449</v>
      </c>
      <c r="C599" s="152">
        <v>6.0</v>
      </c>
      <c r="D599" s="154"/>
      <c r="E599" s="152">
        <v>5.0</v>
      </c>
      <c r="F599" s="154"/>
      <c r="G599" s="152" t="s">
        <v>8427</v>
      </c>
      <c r="H599" s="155" t="s">
        <v>8424</v>
      </c>
      <c r="I599" s="155" t="s">
        <v>6684</v>
      </c>
      <c r="J599" s="157"/>
      <c r="K599" s="157"/>
      <c r="L599" s="157"/>
      <c r="M599" s="157"/>
      <c r="N599" s="152" t="s">
        <v>8395</v>
      </c>
    </row>
    <row r="600">
      <c r="A600" s="152" t="s">
        <v>8448</v>
      </c>
      <c r="B600" s="152" t="s">
        <v>8449</v>
      </c>
      <c r="C600" s="152">
        <v>6.0</v>
      </c>
      <c r="D600" s="154"/>
      <c r="E600" s="152">
        <v>5.0</v>
      </c>
      <c r="F600" s="154"/>
      <c r="G600" s="152" t="s">
        <v>8427</v>
      </c>
      <c r="H600" s="155" t="s">
        <v>8425</v>
      </c>
      <c r="I600" s="155" t="s">
        <v>7039</v>
      </c>
      <c r="J600" s="157"/>
      <c r="K600" s="157"/>
      <c r="L600" s="157"/>
      <c r="M600" s="157"/>
      <c r="N600" s="152" t="s">
        <v>8395</v>
      </c>
    </row>
    <row r="601">
      <c r="A601" s="152" t="s">
        <v>8448</v>
      </c>
      <c r="B601" s="152" t="s">
        <v>8449</v>
      </c>
      <c r="C601" s="152">
        <v>6.0</v>
      </c>
      <c r="D601" s="154"/>
      <c r="E601" s="152">
        <v>5.0</v>
      </c>
      <c r="F601" s="154"/>
      <c r="G601" s="152" t="s">
        <v>8427</v>
      </c>
      <c r="H601" s="155" t="s">
        <v>8426</v>
      </c>
      <c r="I601" s="155" t="s">
        <v>7023</v>
      </c>
      <c r="J601" s="157"/>
      <c r="K601" s="157"/>
      <c r="L601" s="157"/>
      <c r="M601" s="157"/>
      <c r="N601" s="152" t="s">
        <v>8395</v>
      </c>
    </row>
    <row r="602">
      <c r="A602" s="152" t="s">
        <v>8450</v>
      </c>
      <c r="B602" s="152" t="s">
        <v>8451</v>
      </c>
      <c r="C602" s="152">
        <v>1.0</v>
      </c>
      <c r="D602" s="154"/>
      <c r="E602" s="154"/>
      <c r="F602" s="154"/>
      <c r="G602" s="152" t="s">
        <v>8382</v>
      </c>
      <c r="H602" s="152" t="s">
        <v>8383</v>
      </c>
      <c r="I602" s="154"/>
      <c r="J602" s="152" t="s">
        <v>23</v>
      </c>
      <c r="K602" s="152">
        <v>2719.0</v>
      </c>
      <c r="L602" s="154"/>
      <c r="M602" s="154"/>
      <c r="N602" s="152" t="s">
        <v>8384</v>
      </c>
    </row>
    <row r="603">
      <c r="A603" s="152" t="s">
        <v>8450</v>
      </c>
      <c r="B603" s="152" t="s">
        <v>8451</v>
      </c>
      <c r="C603" s="152">
        <v>1.0</v>
      </c>
      <c r="D603" s="154"/>
      <c r="E603" s="154"/>
      <c r="F603" s="154"/>
      <c r="G603" s="152" t="s">
        <v>8382</v>
      </c>
      <c r="H603" s="152" t="s">
        <v>8385</v>
      </c>
      <c r="I603" s="154"/>
      <c r="J603" s="152" t="s">
        <v>23</v>
      </c>
      <c r="K603" s="152">
        <v>2899.0</v>
      </c>
      <c r="L603" s="154"/>
      <c r="M603" s="154"/>
      <c r="N603" s="152" t="s">
        <v>8384</v>
      </c>
    </row>
    <row r="604">
      <c r="A604" s="152" t="s">
        <v>8450</v>
      </c>
      <c r="B604" s="152" t="s">
        <v>8451</v>
      </c>
      <c r="C604" s="152">
        <v>1.0</v>
      </c>
      <c r="D604" s="154"/>
      <c r="E604" s="154"/>
      <c r="F604" s="154"/>
      <c r="G604" s="152" t="s">
        <v>8382</v>
      </c>
      <c r="H604" s="152" t="s">
        <v>8386</v>
      </c>
      <c r="I604" s="154"/>
      <c r="J604" s="152" t="s">
        <v>23</v>
      </c>
      <c r="K604" s="152">
        <v>2899.0</v>
      </c>
      <c r="L604" s="154"/>
      <c r="M604" s="154"/>
      <c r="N604" s="152" t="s">
        <v>8384</v>
      </c>
    </row>
    <row r="605">
      <c r="A605" s="152" t="s">
        <v>8450</v>
      </c>
      <c r="B605" s="152" t="s">
        <v>8451</v>
      </c>
      <c r="C605" s="152">
        <v>1.0</v>
      </c>
      <c r="D605" s="154"/>
      <c r="E605" s="154"/>
      <c r="F605" s="154"/>
      <c r="G605" s="152" t="s">
        <v>8382</v>
      </c>
      <c r="H605" s="152" t="s">
        <v>8387</v>
      </c>
      <c r="I605" s="154"/>
      <c r="J605" s="152" t="s">
        <v>23</v>
      </c>
      <c r="K605" s="152">
        <v>2899.0</v>
      </c>
      <c r="L605" s="154"/>
      <c r="M605" s="154"/>
      <c r="N605" s="152" t="s">
        <v>8384</v>
      </c>
    </row>
    <row r="606">
      <c r="A606" s="152" t="s">
        <v>8450</v>
      </c>
      <c r="B606" s="152" t="s">
        <v>8451</v>
      </c>
      <c r="C606" s="152">
        <v>1.0</v>
      </c>
      <c r="D606" s="154"/>
      <c r="E606" s="154"/>
      <c r="F606" s="154"/>
      <c r="G606" s="152" t="s">
        <v>8382</v>
      </c>
      <c r="H606" s="152" t="s">
        <v>8388</v>
      </c>
      <c r="I606" s="154"/>
      <c r="J606" s="152" t="s">
        <v>23</v>
      </c>
      <c r="K606" s="152">
        <v>2899.0</v>
      </c>
      <c r="L606" s="154"/>
      <c r="M606" s="154"/>
      <c r="N606" s="152" t="s">
        <v>8384</v>
      </c>
    </row>
    <row r="607">
      <c r="A607" s="152" t="s">
        <v>8450</v>
      </c>
      <c r="B607" s="152" t="s">
        <v>8451</v>
      </c>
      <c r="C607" s="152">
        <v>1.0</v>
      </c>
      <c r="D607" s="154"/>
      <c r="E607" s="154"/>
      <c r="F607" s="154"/>
      <c r="G607" s="152" t="s">
        <v>8382</v>
      </c>
      <c r="H607" s="152" t="s">
        <v>8389</v>
      </c>
      <c r="I607" s="154"/>
      <c r="J607" s="152" t="s">
        <v>23</v>
      </c>
      <c r="K607" s="152">
        <v>3379.0</v>
      </c>
      <c r="L607" s="154"/>
      <c r="M607" s="154"/>
      <c r="N607" s="152" t="s">
        <v>8384</v>
      </c>
    </row>
    <row r="608">
      <c r="A608" s="152" t="s">
        <v>8450</v>
      </c>
      <c r="B608" s="152" t="s">
        <v>8451</v>
      </c>
      <c r="C608" s="152">
        <v>1.0</v>
      </c>
      <c r="D608" s="154"/>
      <c r="E608" s="154"/>
      <c r="F608" s="154"/>
      <c r="G608" s="152" t="s">
        <v>8382</v>
      </c>
      <c r="H608" s="152" t="s">
        <v>5767</v>
      </c>
      <c r="I608" s="154"/>
      <c r="J608" s="152" t="s">
        <v>23</v>
      </c>
      <c r="K608" s="152">
        <v>3379.0</v>
      </c>
      <c r="L608" s="154"/>
      <c r="M608" s="154"/>
      <c r="N608" s="152" t="s">
        <v>8384</v>
      </c>
    </row>
    <row r="609">
      <c r="A609" s="152" t="s">
        <v>8450</v>
      </c>
      <c r="B609" s="152" t="s">
        <v>8451</v>
      </c>
      <c r="C609" s="152">
        <v>1.0</v>
      </c>
      <c r="D609" s="154"/>
      <c r="E609" s="154"/>
      <c r="F609" s="154"/>
      <c r="G609" s="152" t="s">
        <v>8382</v>
      </c>
      <c r="H609" s="152" t="s">
        <v>8390</v>
      </c>
      <c r="I609" s="154"/>
      <c r="J609" s="152" t="s">
        <v>23</v>
      </c>
      <c r="K609" s="152">
        <v>3379.0</v>
      </c>
      <c r="L609" s="154"/>
      <c r="M609" s="154"/>
      <c r="N609" s="152" t="s">
        <v>8384</v>
      </c>
    </row>
    <row r="610">
      <c r="A610" s="152" t="s">
        <v>8450</v>
      </c>
      <c r="B610" s="152" t="s">
        <v>8451</v>
      </c>
      <c r="C610" s="152">
        <v>1.0</v>
      </c>
      <c r="D610" s="154"/>
      <c r="E610" s="154"/>
      <c r="F610" s="154"/>
      <c r="G610" s="152" t="s">
        <v>8382</v>
      </c>
      <c r="H610" s="152" t="s">
        <v>8391</v>
      </c>
      <c r="I610" s="154"/>
      <c r="J610" s="152" t="s">
        <v>23</v>
      </c>
      <c r="K610" s="152">
        <v>3379.0</v>
      </c>
      <c r="L610" s="154"/>
      <c r="M610" s="154"/>
      <c r="N610" s="152" t="s">
        <v>8384</v>
      </c>
    </row>
    <row r="611">
      <c r="A611" s="152" t="s">
        <v>8450</v>
      </c>
      <c r="B611" s="152" t="s">
        <v>8451</v>
      </c>
      <c r="C611" s="152">
        <v>1.0</v>
      </c>
      <c r="D611" s="154"/>
      <c r="E611" s="154"/>
      <c r="F611" s="154"/>
      <c r="G611" s="152" t="s">
        <v>8382</v>
      </c>
      <c r="H611" s="152" t="s">
        <v>8392</v>
      </c>
      <c r="I611" s="154"/>
      <c r="J611" s="152" t="s">
        <v>23</v>
      </c>
      <c r="K611" s="152">
        <v>3379.0</v>
      </c>
      <c r="L611" s="154"/>
      <c r="M611" s="154"/>
      <c r="N611" s="152" t="s">
        <v>8384</v>
      </c>
    </row>
    <row r="612">
      <c r="A612" s="152" t="s">
        <v>8450</v>
      </c>
      <c r="B612" s="152" t="s">
        <v>8451</v>
      </c>
      <c r="C612" s="152">
        <v>2.0</v>
      </c>
      <c r="D612" s="154"/>
      <c r="E612" s="152">
        <v>1.0</v>
      </c>
      <c r="F612" s="154"/>
      <c r="G612" s="152" t="s">
        <v>8393</v>
      </c>
      <c r="H612" s="152" t="s">
        <v>8394</v>
      </c>
      <c r="I612" s="152" t="s">
        <v>6862</v>
      </c>
      <c r="J612" s="154"/>
      <c r="K612" s="154"/>
      <c r="L612" s="154"/>
      <c r="M612" s="154"/>
      <c r="N612" s="152" t="s">
        <v>8395</v>
      </c>
    </row>
    <row r="613">
      <c r="A613" s="152" t="s">
        <v>8450</v>
      </c>
      <c r="B613" s="152" t="s">
        <v>8451</v>
      </c>
      <c r="C613" s="152">
        <v>2.0</v>
      </c>
      <c r="D613" s="154"/>
      <c r="E613" s="152">
        <v>1.0</v>
      </c>
      <c r="F613" s="154"/>
      <c r="G613" s="152" t="s">
        <v>8393</v>
      </c>
      <c r="H613" s="152" t="s">
        <v>8396</v>
      </c>
      <c r="I613" s="152" t="s">
        <v>6893</v>
      </c>
      <c r="J613" s="154"/>
      <c r="K613" s="154"/>
      <c r="L613" s="154"/>
      <c r="M613" s="154"/>
      <c r="N613" s="152" t="s">
        <v>8395</v>
      </c>
    </row>
    <row r="614">
      <c r="A614" s="152" t="s">
        <v>8450</v>
      </c>
      <c r="B614" s="152" t="s">
        <v>8451</v>
      </c>
      <c r="C614" s="152">
        <v>2.0</v>
      </c>
      <c r="D614" s="154"/>
      <c r="E614" s="152">
        <v>1.0</v>
      </c>
      <c r="F614" s="154"/>
      <c r="G614" s="152" t="s">
        <v>8393</v>
      </c>
      <c r="H614" s="152" t="s">
        <v>8397</v>
      </c>
      <c r="I614" s="152" t="s">
        <v>6796</v>
      </c>
      <c r="J614" s="154"/>
      <c r="K614" s="154"/>
      <c r="L614" s="154"/>
      <c r="M614" s="154"/>
      <c r="N614" s="152" t="s">
        <v>8395</v>
      </c>
    </row>
    <row r="615">
      <c r="A615" s="152" t="s">
        <v>8450</v>
      </c>
      <c r="B615" s="152" t="s">
        <v>8451</v>
      </c>
      <c r="C615" s="152">
        <v>2.0</v>
      </c>
      <c r="D615" s="154"/>
      <c r="E615" s="152">
        <v>1.0</v>
      </c>
      <c r="F615" s="154"/>
      <c r="G615" s="152" t="s">
        <v>8393</v>
      </c>
      <c r="H615" s="152" t="s">
        <v>8398</v>
      </c>
      <c r="I615" s="152" t="s">
        <v>6726</v>
      </c>
      <c r="J615" s="154"/>
      <c r="K615" s="154"/>
      <c r="L615" s="154"/>
      <c r="M615" s="154"/>
      <c r="N615" s="152" t="s">
        <v>8395</v>
      </c>
    </row>
    <row r="616">
      <c r="A616" s="152" t="s">
        <v>8450</v>
      </c>
      <c r="B616" s="152" t="s">
        <v>8451</v>
      </c>
      <c r="C616" s="152">
        <v>2.0</v>
      </c>
      <c r="D616" s="154"/>
      <c r="E616" s="152">
        <v>1.0</v>
      </c>
      <c r="F616" s="154"/>
      <c r="G616" s="152" t="s">
        <v>8393</v>
      </c>
      <c r="H616" s="152" t="s">
        <v>8399</v>
      </c>
      <c r="I616" s="152" t="s">
        <v>6924</v>
      </c>
      <c r="J616" s="154"/>
      <c r="K616" s="154"/>
      <c r="L616" s="154"/>
      <c r="M616" s="154"/>
      <c r="N616" s="152" t="s">
        <v>8395</v>
      </c>
    </row>
    <row r="617">
      <c r="A617" s="152" t="s">
        <v>8450</v>
      </c>
      <c r="B617" s="152" t="s">
        <v>8451</v>
      </c>
      <c r="C617" s="152">
        <v>2.0</v>
      </c>
      <c r="D617" s="154"/>
      <c r="E617" s="152">
        <v>1.0</v>
      </c>
      <c r="F617" s="154"/>
      <c r="G617" s="152" t="s">
        <v>8393</v>
      </c>
      <c r="H617" s="152" t="s">
        <v>8400</v>
      </c>
      <c r="I617" s="152" t="s">
        <v>6893</v>
      </c>
      <c r="J617" s="154"/>
      <c r="K617" s="154"/>
      <c r="L617" s="154"/>
      <c r="M617" s="154"/>
      <c r="N617" s="152" t="s">
        <v>8395</v>
      </c>
    </row>
    <row r="618">
      <c r="A618" s="152" t="s">
        <v>8450</v>
      </c>
      <c r="B618" s="152" t="s">
        <v>8451</v>
      </c>
      <c r="C618" s="152">
        <v>2.0</v>
      </c>
      <c r="D618" s="154"/>
      <c r="E618" s="152">
        <v>1.0</v>
      </c>
      <c r="F618" s="154"/>
      <c r="G618" s="152" t="s">
        <v>8393</v>
      </c>
      <c r="H618" s="152" t="s">
        <v>8401</v>
      </c>
      <c r="I618" s="152" t="s">
        <v>6796</v>
      </c>
      <c r="J618" s="154"/>
      <c r="K618" s="154"/>
      <c r="L618" s="154"/>
      <c r="M618" s="154"/>
      <c r="N618" s="152" t="s">
        <v>8395</v>
      </c>
    </row>
    <row r="619">
      <c r="A619" s="152" t="s">
        <v>8450</v>
      </c>
      <c r="B619" s="152" t="s">
        <v>8451</v>
      </c>
      <c r="C619" s="152">
        <v>2.0</v>
      </c>
      <c r="D619" s="154"/>
      <c r="E619" s="152">
        <v>1.0</v>
      </c>
      <c r="F619" s="154"/>
      <c r="G619" s="152" t="s">
        <v>8393</v>
      </c>
      <c r="H619" s="152" t="s">
        <v>8402</v>
      </c>
      <c r="I619" s="152" t="s">
        <v>6831</v>
      </c>
      <c r="J619" s="154"/>
      <c r="K619" s="154"/>
      <c r="L619" s="154"/>
      <c r="M619" s="154"/>
      <c r="N619" s="152" t="s">
        <v>8395</v>
      </c>
    </row>
    <row r="620">
      <c r="A620" s="152" t="s">
        <v>8450</v>
      </c>
      <c r="B620" s="152" t="s">
        <v>8451</v>
      </c>
      <c r="C620" s="152">
        <v>2.0</v>
      </c>
      <c r="D620" s="154"/>
      <c r="E620" s="152">
        <v>1.0</v>
      </c>
      <c r="F620" s="154"/>
      <c r="G620" s="152" t="s">
        <v>8393</v>
      </c>
      <c r="H620" s="152" t="s">
        <v>8403</v>
      </c>
      <c r="I620" s="152" t="s">
        <v>6836</v>
      </c>
      <c r="J620" s="154"/>
      <c r="K620" s="154"/>
      <c r="L620" s="154"/>
      <c r="M620" s="154"/>
      <c r="N620" s="152" t="s">
        <v>8395</v>
      </c>
    </row>
    <row r="621">
      <c r="A621" s="152" t="s">
        <v>8450</v>
      </c>
      <c r="B621" s="152" t="s">
        <v>8451</v>
      </c>
      <c r="C621" s="152">
        <v>2.0</v>
      </c>
      <c r="D621" s="154"/>
      <c r="E621" s="152">
        <v>1.0</v>
      </c>
      <c r="F621" s="154"/>
      <c r="G621" s="152" t="s">
        <v>8393</v>
      </c>
      <c r="H621" s="152" t="s">
        <v>8404</v>
      </c>
      <c r="I621" s="152" t="s">
        <v>8405</v>
      </c>
      <c r="J621" s="154"/>
      <c r="K621" s="154"/>
      <c r="L621" s="154"/>
      <c r="M621" s="154"/>
      <c r="N621" s="152" t="s">
        <v>8395</v>
      </c>
    </row>
    <row r="622">
      <c r="A622" s="152" t="s">
        <v>8450</v>
      </c>
      <c r="B622" s="152" t="s">
        <v>8451</v>
      </c>
      <c r="C622" s="152">
        <v>3.0</v>
      </c>
      <c r="D622" s="154"/>
      <c r="E622" s="154"/>
      <c r="F622" s="154"/>
      <c r="G622" s="152" t="s">
        <v>8436</v>
      </c>
      <c r="H622" s="155" t="s">
        <v>8407</v>
      </c>
      <c r="I622" s="154"/>
      <c r="J622" s="157"/>
      <c r="K622" s="157"/>
      <c r="L622" s="157"/>
      <c r="M622" s="157"/>
      <c r="N622" s="152" t="s">
        <v>8384</v>
      </c>
    </row>
    <row r="623">
      <c r="A623" s="152" t="s">
        <v>8450</v>
      </c>
      <c r="B623" s="152" t="s">
        <v>8451</v>
      </c>
      <c r="C623" s="152">
        <v>3.0</v>
      </c>
      <c r="D623" s="154"/>
      <c r="E623" s="154"/>
      <c r="F623" s="154"/>
      <c r="G623" s="152" t="s">
        <v>8436</v>
      </c>
      <c r="H623" s="155" t="s">
        <v>8408</v>
      </c>
      <c r="I623" s="154"/>
      <c r="J623" s="157"/>
      <c r="K623" s="157"/>
      <c r="L623" s="157"/>
      <c r="M623" s="157"/>
      <c r="N623" s="152" t="s">
        <v>8384</v>
      </c>
    </row>
    <row r="624">
      <c r="A624" s="152" t="s">
        <v>8450</v>
      </c>
      <c r="B624" s="152" t="s">
        <v>8451</v>
      </c>
      <c r="C624" s="152">
        <v>3.0</v>
      </c>
      <c r="D624" s="154"/>
      <c r="E624" s="154"/>
      <c r="F624" s="154"/>
      <c r="G624" s="152" t="s">
        <v>8436</v>
      </c>
      <c r="H624" s="155" t="s">
        <v>8409</v>
      </c>
      <c r="I624" s="154"/>
      <c r="J624" s="157"/>
      <c r="K624" s="157"/>
      <c r="L624" s="157"/>
      <c r="M624" s="157"/>
      <c r="N624" s="152" t="s">
        <v>8384</v>
      </c>
    </row>
    <row r="625">
      <c r="A625" s="152" t="s">
        <v>8450</v>
      </c>
      <c r="B625" s="152" t="s">
        <v>8451</v>
      </c>
      <c r="C625" s="152">
        <v>3.0</v>
      </c>
      <c r="D625" s="154"/>
      <c r="E625" s="154"/>
      <c r="F625" s="154"/>
      <c r="G625" s="152" t="s">
        <v>8436</v>
      </c>
      <c r="H625" s="155" t="s">
        <v>8410</v>
      </c>
      <c r="I625" s="154"/>
      <c r="J625" s="157"/>
      <c r="K625" s="157"/>
      <c r="L625" s="157"/>
      <c r="M625" s="157"/>
      <c r="N625" s="152" t="s">
        <v>8384</v>
      </c>
    </row>
    <row r="626">
      <c r="A626" s="152" t="s">
        <v>8450</v>
      </c>
      <c r="B626" s="152" t="s">
        <v>8451</v>
      </c>
      <c r="C626" s="152">
        <v>3.0</v>
      </c>
      <c r="D626" s="154"/>
      <c r="E626" s="154"/>
      <c r="F626" s="154"/>
      <c r="G626" s="152" t="s">
        <v>8436</v>
      </c>
      <c r="H626" s="155" t="s">
        <v>8411</v>
      </c>
      <c r="I626" s="154"/>
      <c r="J626" s="157"/>
      <c r="K626" s="157"/>
      <c r="L626" s="157"/>
      <c r="M626" s="157"/>
      <c r="N626" s="152" t="s">
        <v>8384</v>
      </c>
    </row>
    <row r="627">
      <c r="A627" s="152" t="s">
        <v>8450</v>
      </c>
      <c r="B627" s="152" t="s">
        <v>8451</v>
      </c>
      <c r="C627" s="152">
        <v>3.0</v>
      </c>
      <c r="D627" s="154"/>
      <c r="E627" s="154"/>
      <c r="F627" s="154"/>
      <c r="G627" s="152" t="s">
        <v>8436</v>
      </c>
      <c r="H627" s="155" t="s">
        <v>8412</v>
      </c>
      <c r="I627" s="154"/>
      <c r="J627" s="157"/>
      <c r="K627" s="157"/>
      <c r="L627" s="157"/>
      <c r="M627" s="157"/>
      <c r="N627" s="152" t="s">
        <v>8384</v>
      </c>
    </row>
    <row r="628">
      <c r="A628" s="152" t="s">
        <v>8450</v>
      </c>
      <c r="B628" s="152" t="s">
        <v>8451</v>
      </c>
      <c r="C628" s="152">
        <v>3.0</v>
      </c>
      <c r="D628" s="154"/>
      <c r="E628" s="154"/>
      <c r="F628" s="154"/>
      <c r="G628" s="152" t="s">
        <v>8436</v>
      </c>
      <c r="H628" s="155" t="s">
        <v>8413</v>
      </c>
      <c r="I628" s="154"/>
      <c r="J628" s="157"/>
      <c r="K628" s="157"/>
      <c r="L628" s="157"/>
      <c r="M628" s="157"/>
      <c r="N628" s="152" t="s">
        <v>8384</v>
      </c>
    </row>
    <row r="629">
      <c r="A629" s="152" t="s">
        <v>8450</v>
      </c>
      <c r="B629" s="152" t="s">
        <v>8451</v>
      </c>
      <c r="C629" s="152">
        <v>3.0</v>
      </c>
      <c r="D629" s="154"/>
      <c r="E629" s="154"/>
      <c r="F629" s="154"/>
      <c r="G629" s="152" t="s">
        <v>8436</v>
      </c>
      <c r="H629" s="155" t="s">
        <v>8414</v>
      </c>
      <c r="I629" s="154"/>
      <c r="J629" s="157"/>
      <c r="K629" s="157"/>
      <c r="L629" s="157"/>
      <c r="M629" s="157"/>
      <c r="N629" s="152" t="s">
        <v>8384</v>
      </c>
    </row>
    <row r="630">
      <c r="A630" s="152" t="s">
        <v>8450</v>
      </c>
      <c r="B630" s="152" t="s">
        <v>8451</v>
      </c>
      <c r="C630" s="152">
        <v>3.0</v>
      </c>
      <c r="D630" s="154"/>
      <c r="E630" s="154"/>
      <c r="F630" s="154"/>
      <c r="G630" s="152" t="s">
        <v>8436</v>
      </c>
      <c r="H630" s="155" t="s">
        <v>8415</v>
      </c>
      <c r="I630" s="154"/>
      <c r="J630" s="157"/>
      <c r="K630" s="157"/>
      <c r="L630" s="157"/>
      <c r="M630" s="157"/>
      <c r="N630" s="152" t="s">
        <v>8384</v>
      </c>
    </row>
    <row r="631">
      <c r="A631" s="152" t="s">
        <v>8450</v>
      </c>
      <c r="B631" s="152" t="s">
        <v>8451</v>
      </c>
      <c r="C631" s="152">
        <v>3.0</v>
      </c>
      <c r="D631" s="154"/>
      <c r="E631" s="154"/>
      <c r="F631" s="154"/>
      <c r="G631" s="152" t="s">
        <v>8436</v>
      </c>
      <c r="H631" s="155" t="s">
        <v>8416</v>
      </c>
      <c r="I631" s="154"/>
      <c r="J631" s="157"/>
      <c r="K631" s="157"/>
      <c r="L631" s="157"/>
      <c r="M631" s="157"/>
      <c r="N631" s="152" t="s">
        <v>8384</v>
      </c>
    </row>
    <row r="632">
      <c r="A632" s="152" t="s">
        <v>8450</v>
      </c>
      <c r="B632" s="152" t="s">
        <v>8451</v>
      </c>
      <c r="C632" s="152">
        <v>4.0</v>
      </c>
      <c r="D632" s="154"/>
      <c r="E632" s="152">
        <v>3.0</v>
      </c>
      <c r="F632" s="154"/>
      <c r="G632" s="152" t="s">
        <v>8436</v>
      </c>
      <c r="H632" s="155" t="s">
        <v>8417</v>
      </c>
      <c r="I632" s="155" t="s">
        <v>6507</v>
      </c>
      <c r="J632" s="157"/>
      <c r="K632" s="157"/>
      <c r="L632" s="157"/>
      <c r="M632" s="157"/>
      <c r="N632" s="152" t="s">
        <v>8395</v>
      </c>
    </row>
    <row r="633">
      <c r="A633" s="152" t="s">
        <v>8450</v>
      </c>
      <c r="B633" s="152" t="s">
        <v>8451</v>
      </c>
      <c r="C633" s="152">
        <v>4.0</v>
      </c>
      <c r="D633" s="154"/>
      <c r="E633" s="152">
        <v>3.0</v>
      </c>
      <c r="F633" s="154"/>
      <c r="G633" s="152" t="s">
        <v>8436</v>
      </c>
      <c r="H633" s="155" t="s">
        <v>8418</v>
      </c>
      <c r="I633" s="155" t="s">
        <v>6492</v>
      </c>
      <c r="J633" s="157"/>
      <c r="K633" s="157"/>
      <c r="L633" s="157"/>
      <c r="M633" s="157"/>
      <c r="N633" s="152" t="s">
        <v>8395</v>
      </c>
    </row>
    <row r="634">
      <c r="A634" s="152" t="s">
        <v>8450</v>
      </c>
      <c r="B634" s="152" t="s">
        <v>8451</v>
      </c>
      <c r="C634" s="152">
        <v>4.0</v>
      </c>
      <c r="D634" s="154"/>
      <c r="E634" s="152">
        <v>3.0</v>
      </c>
      <c r="F634" s="154"/>
      <c r="G634" s="152" t="s">
        <v>8436</v>
      </c>
      <c r="H634" s="155" t="s">
        <v>8419</v>
      </c>
      <c r="I634" s="155" t="s">
        <v>6978</v>
      </c>
      <c r="J634" s="157"/>
      <c r="K634" s="157"/>
      <c r="L634" s="157"/>
      <c r="M634" s="157"/>
      <c r="N634" s="152" t="s">
        <v>8395</v>
      </c>
    </row>
    <row r="635">
      <c r="A635" s="152" t="s">
        <v>8450</v>
      </c>
      <c r="B635" s="152" t="s">
        <v>8451</v>
      </c>
      <c r="C635" s="152">
        <v>4.0</v>
      </c>
      <c r="D635" s="154"/>
      <c r="E635" s="152">
        <v>3.0</v>
      </c>
      <c r="F635" s="154"/>
      <c r="G635" s="152" t="s">
        <v>8436</v>
      </c>
      <c r="H635" s="155" t="s">
        <v>8420</v>
      </c>
      <c r="I635" s="155" t="s">
        <v>6936</v>
      </c>
      <c r="J635" s="157"/>
      <c r="K635" s="157"/>
      <c r="L635" s="157"/>
      <c r="M635" s="157"/>
      <c r="N635" s="152" t="s">
        <v>8395</v>
      </c>
    </row>
    <row r="636">
      <c r="A636" s="152" t="s">
        <v>8450</v>
      </c>
      <c r="B636" s="152" t="s">
        <v>8451</v>
      </c>
      <c r="C636" s="152">
        <v>4.0</v>
      </c>
      <c r="D636" s="154"/>
      <c r="E636" s="152">
        <v>3.0</v>
      </c>
      <c r="F636" s="154"/>
      <c r="G636" s="152" t="s">
        <v>8436</v>
      </c>
      <c r="H636" s="155" t="s">
        <v>8421</v>
      </c>
      <c r="I636" s="155" t="s">
        <v>6620</v>
      </c>
      <c r="J636" s="157"/>
      <c r="K636" s="157"/>
      <c r="L636" s="157"/>
      <c r="M636" s="157"/>
      <c r="N636" s="152" t="s">
        <v>8395</v>
      </c>
    </row>
    <row r="637">
      <c r="A637" s="152" t="s">
        <v>8450</v>
      </c>
      <c r="B637" s="152" t="s">
        <v>8451</v>
      </c>
      <c r="C637" s="152">
        <v>4.0</v>
      </c>
      <c r="D637" s="154"/>
      <c r="E637" s="152">
        <v>3.0</v>
      </c>
      <c r="F637" s="154"/>
      <c r="G637" s="152" t="s">
        <v>8436</v>
      </c>
      <c r="H637" s="155" t="s">
        <v>8422</v>
      </c>
      <c r="I637" s="155" t="s">
        <v>6563</v>
      </c>
      <c r="J637" s="157"/>
      <c r="K637" s="157"/>
      <c r="L637" s="157"/>
      <c r="M637" s="157"/>
      <c r="N637" s="152" t="s">
        <v>8395</v>
      </c>
    </row>
    <row r="638">
      <c r="A638" s="152" t="s">
        <v>8450</v>
      </c>
      <c r="B638" s="152" t="s">
        <v>8451</v>
      </c>
      <c r="C638" s="152">
        <v>4.0</v>
      </c>
      <c r="D638" s="154"/>
      <c r="E638" s="152">
        <v>3.0</v>
      </c>
      <c r="F638" s="154"/>
      <c r="G638" s="152" t="s">
        <v>8436</v>
      </c>
      <c r="H638" s="155" t="s">
        <v>8423</v>
      </c>
      <c r="I638" s="155" t="s">
        <v>6701</v>
      </c>
      <c r="J638" s="157"/>
      <c r="K638" s="157"/>
      <c r="L638" s="157"/>
      <c r="M638" s="157"/>
      <c r="N638" s="152" t="s">
        <v>8395</v>
      </c>
    </row>
    <row r="639">
      <c r="A639" s="152" t="s">
        <v>8450</v>
      </c>
      <c r="B639" s="152" t="s">
        <v>8451</v>
      </c>
      <c r="C639" s="152">
        <v>4.0</v>
      </c>
      <c r="D639" s="154"/>
      <c r="E639" s="152">
        <v>3.0</v>
      </c>
      <c r="F639" s="154"/>
      <c r="G639" s="152" t="s">
        <v>8436</v>
      </c>
      <c r="H639" s="155" t="s">
        <v>8424</v>
      </c>
      <c r="I639" s="155" t="s">
        <v>6684</v>
      </c>
      <c r="J639" s="157"/>
      <c r="K639" s="157"/>
      <c r="L639" s="157"/>
      <c r="M639" s="157"/>
      <c r="N639" s="152" t="s">
        <v>8395</v>
      </c>
    </row>
    <row r="640">
      <c r="A640" s="152" t="s">
        <v>8450</v>
      </c>
      <c r="B640" s="152" t="s">
        <v>8451</v>
      </c>
      <c r="C640" s="152">
        <v>4.0</v>
      </c>
      <c r="D640" s="154"/>
      <c r="E640" s="152">
        <v>3.0</v>
      </c>
      <c r="F640" s="154"/>
      <c r="G640" s="152" t="s">
        <v>8436</v>
      </c>
      <c r="H640" s="155" t="s">
        <v>8425</v>
      </c>
      <c r="I640" s="155" t="s">
        <v>7039</v>
      </c>
      <c r="J640" s="157"/>
      <c r="K640" s="157"/>
      <c r="L640" s="157"/>
      <c r="M640" s="157"/>
      <c r="N640" s="152" t="s">
        <v>8395</v>
      </c>
    </row>
    <row r="641">
      <c r="A641" s="152" t="s">
        <v>8450</v>
      </c>
      <c r="B641" s="152" t="s">
        <v>8451</v>
      </c>
      <c r="C641" s="152">
        <v>4.0</v>
      </c>
      <c r="D641" s="154"/>
      <c r="E641" s="152">
        <v>3.0</v>
      </c>
      <c r="F641" s="154"/>
      <c r="G641" s="152" t="s">
        <v>8436</v>
      </c>
      <c r="H641" s="155" t="s">
        <v>8426</v>
      </c>
      <c r="I641" s="155" t="s">
        <v>7023</v>
      </c>
      <c r="J641" s="157"/>
      <c r="K641" s="157"/>
      <c r="L641" s="157"/>
      <c r="M641" s="157"/>
      <c r="N641" s="152" t="s">
        <v>8395</v>
      </c>
    </row>
    <row r="642">
      <c r="A642" s="152" t="s">
        <v>8450</v>
      </c>
      <c r="B642" s="152" t="s">
        <v>8451</v>
      </c>
      <c r="C642" s="152">
        <v>5.0</v>
      </c>
      <c r="D642" s="154"/>
      <c r="E642" s="154"/>
      <c r="F642" s="154"/>
      <c r="G642" s="152" t="s">
        <v>8437</v>
      </c>
      <c r="H642" s="155" t="s">
        <v>8407</v>
      </c>
      <c r="I642" s="154"/>
      <c r="J642" s="157"/>
      <c r="K642" s="157"/>
      <c r="L642" s="157"/>
      <c r="M642" s="157"/>
      <c r="N642" s="152" t="s">
        <v>8384</v>
      </c>
    </row>
    <row r="643">
      <c r="A643" s="152" t="s">
        <v>8450</v>
      </c>
      <c r="B643" s="152" t="s">
        <v>8451</v>
      </c>
      <c r="C643" s="152">
        <v>5.0</v>
      </c>
      <c r="D643" s="154"/>
      <c r="E643" s="154"/>
      <c r="F643" s="154"/>
      <c r="G643" s="152" t="s">
        <v>8437</v>
      </c>
      <c r="H643" s="155" t="s">
        <v>8408</v>
      </c>
      <c r="I643" s="154"/>
      <c r="J643" s="157"/>
      <c r="K643" s="157"/>
      <c r="L643" s="157"/>
      <c r="M643" s="157"/>
      <c r="N643" s="152" t="s">
        <v>8384</v>
      </c>
    </row>
    <row r="644">
      <c r="A644" s="152" t="s">
        <v>8450</v>
      </c>
      <c r="B644" s="152" t="s">
        <v>8451</v>
      </c>
      <c r="C644" s="152">
        <v>5.0</v>
      </c>
      <c r="D644" s="154"/>
      <c r="E644" s="154"/>
      <c r="F644" s="154"/>
      <c r="G644" s="152" t="s">
        <v>8437</v>
      </c>
      <c r="H644" s="155" t="s">
        <v>8409</v>
      </c>
      <c r="I644" s="154"/>
      <c r="J644" s="157"/>
      <c r="K644" s="157"/>
      <c r="L644" s="157"/>
      <c r="M644" s="157"/>
      <c r="N644" s="152" t="s">
        <v>8384</v>
      </c>
    </row>
    <row r="645">
      <c r="A645" s="152" t="s">
        <v>8450</v>
      </c>
      <c r="B645" s="152" t="s">
        <v>8451</v>
      </c>
      <c r="C645" s="152">
        <v>5.0</v>
      </c>
      <c r="D645" s="154"/>
      <c r="E645" s="154"/>
      <c r="F645" s="154"/>
      <c r="G645" s="152" t="s">
        <v>8437</v>
      </c>
      <c r="H645" s="155" t="s">
        <v>8410</v>
      </c>
      <c r="I645" s="154"/>
      <c r="J645" s="157"/>
      <c r="K645" s="157"/>
      <c r="L645" s="157"/>
      <c r="M645" s="157"/>
      <c r="N645" s="152" t="s">
        <v>8384</v>
      </c>
    </row>
    <row r="646">
      <c r="A646" s="152" t="s">
        <v>8450</v>
      </c>
      <c r="B646" s="152" t="s">
        <v>8451</v>
      </c>
      <c r="C646" s="152">
        <v>5.0</v>
      </c>
      <c r="D646" s="154"/>
      <c r="E646" s="154"/>
      <c r="F646" s="154"/>
      <c r="G646" s="152" t="s">
        <v>8437</v>
      </c>
      <c r="H646" s="155" t="s">
        <v>8411</v>
      </c>
      <c r="I646" s="154"/>
      <c r="J646" s="157"/>
      <c r="K646" s="157"/>
      <c r="L646" s="157"/>
      <c r="M646" s="157"/>
      <c r="N646" s="152" t="s">
        <v>8384</v>
      </c>
    </row>
    <row r="647">
      <c r="A647" s="152" t="s">
        <v>8450</v>
      </c>
      <c r="B647" s="152" t="s">
        <v>8451</v>
      </c>
      <c r="C647" s="152">
        <v>5.0</v>
      </c>
      <c r="D647" s="154"/>
      <c r="E647" s="154"/>
      <c r="F647" s="154"/>
      <c r="G647" s="152" t="s">
        <v>8437</v>
      </c>
      <c r="H647" s="155" t="s">
        <v>8412</v>
      </c>
      <c r="I647" s="154"/>
      <c r="J647" s="157"/>
      <c r="K647" s="157"/>
      <c r="L647" s="157"/>
      <c r="M647" s="157"/>
      <c r="N647" s="152" t="s">
        <v>8384</v>
      </c>
    </row>
    <row r="648">
      <c r="A648" s="152" t="s">
        <v>8450</v>
      </c>
      <c r="B648" s="152" t="s">
        <v>8451</v>
      </c>
      <c r="C648" s="152">
        <v>5.0</v>
      </c>
      <c r="D648" s="154"/>
      <c r="E648" s="154"/>
      <c r="F648" s="154"/>
      <c r="G648" s="152" t="s">
        <v>8437</v>
      </c>
      <c r="H648" s="155" t="s">
        <v>8413</v>
      </c>
      <c r="I648" s="154"/>
      <c r="J648" s="157"/>
      <c r="K648" s="157"/>
      <c r="L648" s="157"/>
      <c r="M648" s="157"/>
      <c r="N648" s="152" t="s">
        <v>8384</v>
      </c>
    </row>
    <row r="649">
      <c r="A649" s="152" t="s">
        <v>8450</v>
      </c>
      <c r="B649" s="152" t="s">
        <v>8451</v>
      </c>
      <c r="C649" s="152">
        <v>5.0</v>
      </c>
      <c r="D649" s="154"/>
      <c r="E649" s="154"/>
      <c r="F649" s="154"/>
      <c r="G649" s="152" t="s">
        <v>8437</v>
      </c>
      <c r="H649" s="155" t="s">
        <v>8414</v>
      </c>
      <c r="I649" s="154"/>
      <c r="J649" s="157"/>
      <c r="K649" s="157"/>
      <c r="L649" s="157"/>
      <c r="M649" s="157"/>
      <c r="N649" s="152" t="s">
        <v>8384</v>
      </c>
    </row>
    <row r="650">
      <c r="A650" s="152" t="s">
        <v>8450</v>
      </c>
      <c r="B650" s="152" t="s">
        <v>8451</v>
      </c>
      <c r="C650" s="152">
        <v>5.0</v>
      </c>
      <c r="D650" s="154"/>
      <c r="E650" s="154"/>
      <c r="F650" s="154"/>
      <c r="G650" s="152" t="s">
        <v>8437</v>
      </c>
      <c r="H650" s="155" t="s">
        <v>8415</v>
      </c>
      <c r="I650" s="154"/>
      <c r="J650" s="157"/>
      <c r="K650" s="157"/>
      <c r="L650" s="157"/>
      <c r="M650" s="157"/>
      <c r="N650" s="152" t="s">
        <v>8384</v>
      </c>
    </row>
    <row r="651">
      <c r="A651" s="152" t="s">
        <v>8450</v>
      </c>
      <c r="B651" s="152" t="s">
        <v>8451</v>
      </c>
      <c r="C651" s="152">
        <v>5.0</v>
      </c>
      <c r="D651" s="154"/>
      <c r="E651" s="154"/>
      <c r="F651" s="154"/>
      <c r="G651" s="152" t="s">
        <v>8437</v>
      </c>
      <c r="H651" s="155" t="s">
        <v>8416</v>
      </c>
      <c r="I651" s="154"/>
      <c r="J651" s="157"/>
      <c r="K651" s="157"/>
      <c r="L651" s="157"/>
      <c r="M651" s="157"/>
      <c r="N651" s="152" t="s">
        <v>8384</v>
      </c>
    </row>
    <row r="652">
      <c r="A652" s="152" t="s">
        <v>8450</v>
      </c>
      <c r="B652" s="152" t="s">
        <v>8451</v>
      </c>
      <c r="C652" s="152">
        <v>6.0</v>
      </c>
      <c r="D652" s="154"/>
      <c r="E652" s="152">
        <v>5.0</v>
      </c>
      <c r="F652" s="154"/>
      <c r="G652" s="152" t="s">
        <v>8437</v>
      </c>
      <c r="H652" s="155" t="s">
        <v>8417</v>
      </c>
      <c r="I652" s="155" t="s">
        <v>6507</v>
      </c>
      <c r="J652" s="157"/>
      <c r="K652" s="157"/>
      <c r="L652" s="157"/>
      <c r="M652" s="157"/>
      <c r="N652" s="152" t="s">
        <v>8395</v>
      </c>
    </row>
    <row r="653">
      <c r="A653" s="152" t="s">
        <v>8450</v>
      </c>
      <c r="B653" s="152" t="s">
        <v>8451</v>
      </c>
      <c r="C653" s="152">
        <v>6.0</v>
      </c>
      <c r="D653" s="154"/>
      <c r="E653" s="152">
        <v>5.0</v>
      </c>
      <c r="F653" s="154"/>
      <c r="G653" s="152" t="s">
        <v>8437</v>
      </c>
      <c r="H653" s="155" t="s">
        <v>8418</v>
      </c>
      <c r="I653" s="155" t="s">
        <v>6492</v>
      </c>
      <c r="J653" s="157"/>
      <c r="K653" s="157"/>
      <c r="L653" s="157"/>
      <c r="M653" s="157"/>
      <c r="N653" s="152" t="s">
        <v>8395</v>
      </c>
    </row>
    <row r="654">
      <c r="A654" s="152" t="s">
        <v>8450</v>
      </c>
      <c r="B654" s="152" t="s">
        <v>8451</v>
      </c>
      <c r="C654" s="152">
        <v>6.0</v>
      </c>
      <c r="D654" s="154"/>
      <c r="E654" s="152">
        <v>5.0</v>
      </c>
      <c r="F654" s="154"/>
      <c r="G654" s="152" t="s">
        <v>8437</v>
      </c>
      <c r="H654" s="155" t="s">
        <v>8419</v>
      </c>
      <c r="I654" s="155" t="s">
        <v>6978</v>
      </c>
      <c r="J654" s="157"/>
      <c r="K654" s="157"/>
      <c r="L654" s="157"/>
      <c r="M654" s="157"/>
      <c r="N654" s="152" t="s">
        <v>8395</v>
      </c>
    </row>
    <row r="655">
      <c r="A655" s="152" t="s">
        <v>8450</v>
      </c>
      <c r="B655" s="152" t="s">
        <v>8451</v>
      </c>
      <c r="C655" s="152">
        <v>6.0</v>
      </c>
      <c r="D655" s="154"/>
      <c r="E655" s="152">
        <v>5.0</v>
      </c>
      <c r="F655" s="154"/>
      <c r="G655" s="152" t="s">
        <v>8437</v>
      </c>
      <c r="H655" s="155" t="s">
        <v>8420</v>
      </c>
      <c r="I655" s="155" t="s">
        <v>6936</v>
      </c>
      <c r="J655" s="157"/>
      <c r="K655" s="157"/>
      <c r="L655" s="157"/>
      <c r="M655" s="157"/>
      <c r="N655" s="152" t="s">
        <v>8395</v>
      </c>
    </row>
    <row r="656">
      <c r="A656" s="152" t="s">
        <v>8450</v>
      </c>
      <c r="B656" s="152" t="s">
        <v>8451</v>
      </c>
      <c r="C656" s="152">
        <v>6.0</v>
      </c>
      <c r="D656" s="154"/>
      <c r="E656" s="152">
        <v>5.0</v>
      </c>
      <c r="F656" s="154"/>
      <c r="G656" s="152" t="s">
        <v>8437</v>
      </c>
      <c r="H656" s="155" t="s">
        <v>8421</v>
      </c>
      <c r="I656" s="155" t="s">
        <v>6620</v>
      </c>
      <c r="J656" s="157"/>
      <c r="K656" s="157"/>
      <c r="L656" s="157"/>
      <c r="M656" s="157"/>
      <c r="N656" s="152" t="s">
        <v>8395</v>
      </c>
    </row>
    <row r="657">
      <c r="A657" s="152" t="s">
        <v>8450</v>
      </c>
      <c r="B657" s="152" t="s">
        <v>8451</v>
      </c>
      <c r="C657" s="152">
        <v>6.0</v>
      </c>
      <c r="D657" s="154"/>
      <c r="E657" s="152">
        <v>5.0</v>
      </c>
      <c r="F657" s="154"/>
      <c r="G657" s="152" t="s">
        <v>8437</v>
      </c>
      <c r="H657" s="155" t="s">
        <v>8422</v>
      </c>
      <c r="I657" s="155" t="s">
        <v>6563</v>
      </c>
      <c r="J657" s="157"/>
      <c r="K657" s="157"/>
      <c r="L657" s="157"/>
      <c r="M657" s="157"/>
      <c r="N657" s="152" t="s">
        <v>8395</v>
      </c>
    </row>
    <row r="658">
      <c r="A658" s="152" t="s">
        <v>8450</v>
      </c>
      <c r="B658" s="152" t="s">
        <v>8451</v>
      </c>
      <c r="C658" s="152">
        <v>6.0</v>
      </c>
      <c r="D658" s="154"/>
      <c r="E658" s="152">
        <v>5.0</v>
      </c>
      <c r="F658" s="154"/>
      <c r="G658" s="152" t="s">
        <v>8437</v>
      </c>
      <c r="H658" s="155" t="s">
        <v>8423</v>
      </c>
      <c r="I658" s="155" t="s">
        <v>6701</v>
      </c>
      <c r="J658" s="157"/>
      <c r="K658" s="157"/>
      <c r="L658" s="157"/>
      <c r="M658" s="157"/>
      <c r="N658" s="152" t="s">
        <v>8395</v>
      </c>
    </row>
    <row r="659">
      <c r="A659" s="152" t="s">
        <v>8450</v>
      </c>
      <c r="B659" s="152" t="s">
        <v>8451</v>
      </c>
      <c r="C659" s="152">
        <v>6.0</v>
      </c>
      <c r="D659" s="154"/>
      <c r="E659" s="152">
        <v>5.0</v>
      </c>
      <c r="F659" s="154"/>
      <c r="G659" s="152" t="s">
        <v>8437</v>
      </c>
      <c r="H659" s="155" t="s">
        <v>8424</v>
      </c>
      <c r="I659" s="155" t="s">
        <v>6684</v>
      </c>
      <c r="J659" s="157"/>
      <c r="K659" s="157"/>
      <c r="L659" s="157"/>
      <c r="M659" s="157"/>
      <c r="N659" s="152" t="s">
        <v>8395</v>
      </c>
    </row>
    <row r="660">
      <c r="A660" s="152" t="s">
        <v>8450</v>
      </c>
      <c r="B660" s="152" t="s">
        <v>8451</v>
      </c>
      <c r="C660" s="152">
        <v>6.0</v>
      </c>
      <c r="D660" s="154"/>
      <c r="E660" s="152">
        <v>5.0</v>
      </c>
      <c r="F660" s="154"/>
      <c r="G660" s="152" t="s">
        <v>8437</v>
      </c>
      <c r="H660" s="155" t="s">
        <v>8425</v>
      </c>
      <c r="I660" s="155" t="s">
        <v>7039</v>
      </c>
      <c r="J660" s="157"/>
      <c r="K660" s="157"/>
      <c r="L660" s="157"/>
      <c r="M660" s="157"/>
      <c r="N660" s="152" t="s">
        <v>8395</v>
      </c>
    </row>
    <row r="661">
      <c r="A661" s="152" t="s">
        <v>8450</v>
      </c>
      <c r="B661" s="152" t="s">
        <v>8451</v>
      </c>
      <c r="C661" s="152">
        <v>6.0</v>
      </c>
      <c r="D661" s="154"/>
      <c r="E661" s="152">
        <v>5.0</v>
      </c>
      <c r="F661" s="154"/>
      <c r="G661" s="152" t="s">
        <v>8437</v>
      </c>
      <c r="H661" s="155" t="s">
        <v>8426</v>
      </c>
      <c r="I661" s="155" t="s">
        <v>7023</v>
      </c>
      <c r="J661" s="157"/>
      <c r="K661" s="157"/>
      <c r="L661" s="157"/>
      <c r="M661" s="157"/>
      <c r="N661" s="152" t="s">
        <v>8395</v>
      </c>
    </row>
    <row r="662">
      <c r="A662" s="152" t="s">
        <v>8452</v>
      </c>
      <c r="B662" s="152" t="s">
        <v>8453</v>
      </c>
      <c r="C662" s="152">
        <v>1.0</v>
      </c>
      <c r="D662" s="154"/>
      <c r="E662" s="154"/>
      <c r="F662" s="154"/>
      <c r="G662" s="152" t="s">
        <v>8382</v>
      </c>
      <c r="H662" s="152" t="s">
        <v>8383</v>
      </c>
      <c r="I662" s="154"/>
      <c r="J662" s="152" t="s">
        <v>23</v>
      </c>
      <c r="K662" s="152">
        <v>2299.0</v>
      </c>
      <c r="L662" s="154"/>
      <c r="M662" s="154"/>
      <c r="N662" s="152" t="s">
        <v>8384</v>
      </c>
    </row>
    <row r="663">
      <c r="A663" s="152" t="s">
        <v>8452</v>
      </c>
      <c r="B663" s="152" t="s">
        <v>8453</v>
      </c>
      <c r="C663" s="152">
        <v>1.0</v>
      </c>
      <c r="D663" s="154"/>
      <c r="E663" s="154"/>
      <c r="F663" s="154"/>
      <c r="G663" s="152" t="s">
        <v>8382</v>
      </c>
      <c r="H663" s="152" t="s">
        <v>8385</v>
      </c>
      <c r="I663" s="154"/>
      <c r="J663" s="152" t="s">
        <v>23</v>
      </c>
      <c r="K663" s="152">
        <v>2469.0</v>
      </c>
      <c r="L663" s="154"/>
      <c r="M663" s="154"/>
      <c r="N663" s="152" t="s">
        <v>8384</v>
      </c>
    </row>
    <row r="664">
      <c r="A664" s="152" t="s">
        <v>8452</v>
      </c>
      <c r="B664" s="152" t="s">
        <v>8453</v>
      </c>
      <c r="C664" s="152">
        <v>1.0</v>
      </c>
      <c r="D664" s="154"/>
      <c r="E664" s="154"/>
      <c r="F664" s="154"/>
      <c r="G664" s="152" t="s">
        <v>8382</v>
      </c>
      <c r="H664" s="152" t="s">
        <v>8386</v>
      </c>
      <c r="I664" s="154"/>
      <c r="J664" s="152" t="s">
        <v>23</v>
      </c>
      <c r="K664" s="152">
        <v>2469.0</v>
      </c>
      <c r="L664" s="154"/>
      <c r="M664" s="154"/>
      <c r="N664" s="152" t="s">
        <v>8384</v>
      </c>
    </row>
    <row r="665">
      <c r="A665" s="152" t="s">
        <v>8452</v>
      </c>
      <c r="B665" s="152" t="s">
        <v>8453</v>
      </c>
      <c r="C665" s="152">
        <v>1.0</v>
      </c>
      <c r="D665" s="154"/>
      <c r="E665" s="154"/>
      <c r="F665" s="154"/>
      <c r="G665" s="152" t="s">
        <v>8382</v>
      </c>
      <c r="H665" s="152" t="s">
        <v>8387</v>
      </c>
      <c r="I665" s="154"/>
      <c r="J665" s="152" t="s">
        <v>23</v>
      </c>
      <c r="K665" s="152">
        <v>2469.0</v>
      </c>
      <c r="L665" s="154"/>
      <c r="M665" s="154"/>
      <c r="N665" s="152" t="s">
        <v>8384</v>
      </c>
    </row>
    <row r="666">
      <c r="A666" s="152" t="s">
        <v>8452</v>
      </c>
      <c r="B666" s="152" t="s">
        <v>8453</v>
      </c>
      <c r="C666" s="152">
        <v>1.0</v>
      </c>
      <c r="D666" s="154"/>
      <c r="E666" s="154"/>
      <c r="F666" s="154"/>
      <c r="G666" s="152" t="s">
        <v>8382</v>
      </c>
      <c r="H666" s="152" t="s">
        <v>8388</v>
      </c>
      <c r="I666" s="154"/>
      <c r="J666" s="152" t="s">
        <v>23</v>
      </c>
      <c r="K666" s="152">
        <v>2469.0</v>
      </c>
      <c r="L666" s="154"/>
      <c r="M666" s="154"/>
      <c r="N666" s="152" t="s">
        <v>8384</v>
      </c>
    </row>
    <row r="667">
      <c r="A667" s="152" t="s">
        <v>8452</v>
      </c>
      <c r="B667" s="152" t="s">
        <v>8453</v>
      </c>
      <c r="C667" s="152">
        <v>1.0</v>
      </c>
      <c r="D667" s="154"/>
      <c r="E667" s="154"/>
      <c r="F667" s="154"/>
      <c r="G667" s="152" t="s">
        <v>8382</v>
      </c>
      <c r="H667" s="152" t="s">
        <v>8389</v>
      </c>
      <c r="I667" s="154"/>
      <c r="J667" s="152" t="s">
        <v>23</v>
      </c>
      <c r="K667" s="152">
        <v>2829.0</v>
      </c>
      <c r="L667" s="154"/>
      <c r="M667" s="154"/>
      <c r="N667" s="152" t="s">
        <v>8384</v>
      </c>
    </row>
    <row r="668">
      <c r="A668" s="152" t="s">
        <v>8452</v>
      </c>
      <c r="B668" s="152" t="s">
        <v>8453</v>
      </c>
      <c r="C668" s="152">
        <v>1.0</v>
      </c>
      <c r="D668" s="154"/>
      <c r="E668" s="154"/>
      <c r="F668" s="154"/>
      <c r="G668" s="152" t="s">
        <v>8382</v>
      </c>
      <c r="H668" s="152" t="s">
        <v>5767</v>
      </c>
      <c r="I668" s="154"/>
      <c r="J668" s="152" t="s">
        <v>23</v>
      </c>
      <c r="K668" s="152">
        <v>2829.0</v>
      </c>
      <c r="L668" s="154"/>
      <c r="M668" s="154"/>
      <c r="N668" s="152" t="s">
        <v>8384</v>
      </c>
    </row>
    <row r="669">
      <c r="A669" s="152" t="s">
        <v>8452</v>
      </c>
      <c r="B669" s="152" t="s">
        <v>8453</v>
      </c>
      <c r="C669" s="152">
        <v>1.0</v>
      </c>
      <c r="D669" s="154"/>
      <c r="E669" s="154"/>
      <c r="F669" s="154"/>
      <c r="G669" s="152" t="s">
        <v>8382</v>
      </c>
      <c r="H669" s="152" t="s">
        <v>8390</v>
      </c>
      <c r="I669" s="154"/>
      <c r="J669" s="152" t="s">
        <v>23</v>
      </c>
      <c r="K669" s="152">
        <v>2829.0</v>
      </c>
      <c r="L669" s="154"/>
      <c r="M669" s="154"/>
      <c r="N669" s="152" t="s">
        <v>8384</v>
      </c>
    </row>
    <row r="670">
      <c r="A670" s="152" t="s">
        <v>8452</v>
      </c>
      <c r="B670" s="152" t="s">
        <v>8453</v>
      </c>
      <c r="C670" s="152">
        <v>1.0</v>
      </c>
      <c r="D670" s="154"/>
      <c r="E670" s="154"/>
      <c r="F670" s="154"/>
      <c r="G670" s="152" t="s">
        <v>8382</v>
      </c>
      <c r="H670" s="152" t="s">
        <v>8391</v>
      </c>
      <c r="I670" s="154"/>
      <c r="J670" s="152" t="s">
        <v>23</v>
      </c>
      <c r="K670" s="152">
        <v>2829.0</v>
      </c>
      <c r="L670" s="154"/>
      <c r="M670" s="154"/>
      <c r="N670" s="152" t="s">
        <v>8384</v>
      </c>
    </row>
    <row r="671">
      <c r="A671" s="152" t="s">
        <v>8452</v>
      </c>
      <c r="B671" s="152" t="s">
        <v>8453</v>
      </c>
      <c r="C671" s="152">
        <v>1.0</v>
      </c>
      <c r="D671" s="154"/>
      <c r="E671" s="154"/>
      <c r="F671" s="154"/>
      <c r="G671" s="152" t="s">
        <v>8382</v>
      </c>
      <c r="H671" s="152" t="s">
        <v>8392</v>
      </c>
      <c r="I671" s="154"/>
      <c r="J671" s="152" t="s">
        <v>23</v>
      </c>
      <c r="K671" s="152">
        <v>2829.0</v>
      </c>
      <c r="L671" s="154"/>
      <c r="M671" s="154"/>
      <c r="N671" s="152" t="s">
        <v>8384</v>
      </c>
    </row>
    <row r="672">
      <c r="A672" s="152" t="s">
        <v>8452</v>
      </c>
      <c r="B672" s="152" t="s">
        <v>8453</v>
      </c>
      <c r="C672" s="152">
        <v>2.0</v>
      </c>
      <c r="D672" s="154"/>
      <c r="E672" s="152">
        <v>1.0</v>
      </c>
      <c r="F672" s="154"/>
      <c r="G672" s="152" t="s">
        <v>8393</v>
      </c>
      <c r="H672" s="152" t="s">
        <v>8394</v>
      </c>
      <c r="I672" s="152" t="s">
        <v>6862</v>
      </c>
      <c r="J672" s="154"/>
      <c r="K672" s="154"/>
      <c r="L672" s="154"/>
      <c r="M672" s="154"/>
      <c r="N672" s="152" t="s">
        <v>8395</v>
      </c>
    </row>
    <row r="673">
      <c r="A673" s="152" t="s">
        <v>8452</v>
      </c>
      <c r="B673" s="152" t="s">
        <v>8453</v>
      </c>
      <c r="C673" s="152">
        <v>2.0</v>
      </c>
      <c r="D673" s="154"/>
      <c r="E673" s="152">
        <v>1.0</v>
      </c>
      <c r="F673" s="154"/>
      <c r="G673" s="152" t="s">
        <v>8393</v>
      </c>
      <c r="H673" s="152" t="s">
        <v>8396</v>
      </c>
      <c r="I673" s="152" t="s">
        <v>6893</v>
      </c>
      <c r="J673" s="154"/>
      <c r="K673" s="154"/>
      <c r="L673" s="154"/>
      <c r="M673" s="154"/>
      <c r="N673" s="152" t="s">
        <v>8395</v>
      </c>
    </row>
    <row r="674">
      <c r="A674" s="152" t="s">
        <v>8452</v>
      </c>
      <c r="B674" s="152" t="s">
        <v>8453</v>
      </c>
      <c r="C674" s="152">
        <v>2.0</v>
      </c>
      <c r="D674" s="154"/>
      <c r="E674" s="152">
        <v>1.0</v>
      </c>
      <c r="F674" s="154"/>
      <c r="G674" s="152" t="s">
        <v>8393</v>
      </c>
      <c r="H674" s="152" t="s">
        <v>8397</v>
      </c>
      <c r="I674" s="152" t="s">
        <v>6796</v>
      </c>
      <c r="J674" s="154"/>
      <c r="K674" s="154"/>
      <c r="L674" s="154"/>
      <c r="M674" s="154"/>
      <c r="N674" s="152" t="s">
        <v>8395</v>
      </c>
    </row>
    <row r="675">
      <c r="A675" s="152" t="s">
        <v>8452</v>
      </c>
      <c r="B675" s="152" t="s">
        <v>8453</v>
      </c>
      <c r="C675" s="152">
        <v>2.0</v>
      </c>
      <c r="D675" s="154"/>
      <c r="E675" s="152">
        <v>1.0</v>
      </c>
      <c r="F675" s="154"/>
      <c r="G675" s="152" t="s">
        <v>8393</v>
      </c>
      <c r="H675" s="152" t="s">
        <v>8398</v>
      </c>
      <c r="I675" s="152" t="s">
        <v>6726</v>
      </c>
      <c r="J675" s="154"/>
      <c r="K675" s="154"/>
      <c r="L675" s="154"/>
      <c r="M675" s="154"/>
      <c r="N675" s="152" t="s">
        <v>8395</v>
      </c>
    </row>
    <row r="676">
      <c r="A676" s="152" t="s">
        <v>8452</v>
      </c>
      <c r="B676" s="152" t="s">
        <v>8453</v>
      </c>
      <c r="C676" s="152">
        <v>2.0</v>
      </c>
      <c r="D676" s="154"/>
      <c r="E676" s="152">
        <v>1.0</v>
      </c>
      <c r="F676" s="154"/>
      <c r="G676" s="152" t="s">
        <v>8393</v>
      </c>
      <c r="H676" s="152" t="s">
        <v>8399</v>
      </c>
      <c r="I676" s="152" t="s">
        <v>6924</v>
      </c>
      <c r="J676" s="154"/>
      <c r="K676" s="154"/>
      <c r="L676" s="154"/>
      <c r="M676" s="154"/>
      <c r="N676" s="152" t="s">
        <v>8395</v>
      </c>
    </row>
    <row r="677">
      <c r="A677" s="152" t="s">
        <v>8452</v>
      </c>
      <c r="B677" s="152" t="s">
        <v>8453</v>
      </c>
      <c r="C677" s="152">
        <v>2.0</v>
      </c>
      <c r="D677" s="154"/>
      <c r="E677" s="152">
        <v>1.0</v>
      </c>
      <c r="F677" s="154"/>
      <c r="G677" s="152" t="s">
        <v>8393</v>
      </c>
      <c r="H677" s="152" t="s">
        <v>8400</v>
      </c>
      <c r="I677" s="152" t="s">
        <v>6893</v>
      </c>
      <c r="J677" s="154"/>
      <c r="K677" s="154"/>
      <c r="L677" s="154"/>
      <c r="M677" s="154"/>
      <c r="N677" s="152" t="s">
        <v>8395</v>
      </c>
    </row>
    <row r="678">
      <c r="A678" s="152" t="s">
        <v>8452</v>
      </c>
      <c r="B678" s="152" t="s">
        <v>8453</v>
      </c>
      <c r="C678" s="152">
        <v>2.0</v>
      </c>
      <c r="D678" s="154"/>
      <c r="E678" s="152">
        <v>1.0</v>
      </c>
      <c r="F678" s="154"/>
      <c r="G678" s="152" t="s">
        <v>8393</v>
      </c>
      <c r="H678" s="152" t="s">
        <v>8401</v>
      </c>
      <c r="I678" s="152" t="s">
        <v>6796</v>
      </c>
      <c r="J678" s="154"/>
      <c r="K678" s="154"/>
      <c r="L678" s="154"/>
      <c r="M678" s="154"/>
      <c r="N678" s="152" t="s">
        <v>8395</v>
      </c>
    </row>
    <row r="679">
      <c r="A679" s="152" t="s">
        <v>8452</v>
      </c>
      <c r="B679" s="152" t="s">
        <v>8453</v>
      </c>
      <c r="C679" s="152">
        <v>2.0</v>
      </c>
      <c r="D679" s="154"/>
      <c r="E679" s="152">
        <v>1.0</v>
      </c>
      <c r="F679" s="154"/>
      <c r="G679" s="152" t="s">
        <v>8393</v>
      </c>
      <c r="H679" s="152" t="s">
        <v>8402</v>
      </c>
      <c r="I679" s="152" t="s">
        <v>6831</v>
      </c>
      <c r="J679" s="154"/>
      <c r="K679" s="154"/>
      <c r="L679" s="154"/>
      <c r="M679" s="154"/>
      <c r="N679" s="152" t="s">
        <v>8395</v>
      </c>
    </row>
    <row r="680">
      <c r="A680" s="152" t="s">
        <v>8452</v>
      </c>
      <c r="B680" s="152" t="s">
        <v>8453</v>
      </c>
      <c r="C680" s="152">
        <v>2.0</v>
      </c>
      <c r="D680" s="154"/>
      <c r="E680" s="152">
        <v>1.0</v>
      </c>
      <c r="F680" s="154"/>
      <c r="G680" s="152" t="s">
        <v>8393</v>
      </c>
      <c r="H680" s="152" t="s">
        <v>8403</v>
      </c>
      <c r="I680" s="152" t="s">
        <v>6836</v>
      </c>
      <c r="J680" s="154"/>
      <c r="K680" s="154"/>
      <c r="L680" s="154"/>
      <c r="M680" s="154"/>
      <c r="N680" s="152" t="s">
        <v>8395</v>
      </c>
    </row>
    <row r="681">
      <c r="A681" s="152" t="s">
        <v>8452</v>
      </c>
      <c r="B681" s="152" t="s">
        <v>8453</v>
      </c>
      <c r="C681" s="152">
        <v>2.0</v>
      </c>
      <c r="D681" s="154"/>
      <c r="E681" s="152">
        <v>1.0</v>
      </c>
      <c r="F681" s="154"/>
      <c r="G681" s="152" t="s">
        <v>8393</v>
      </c>
      <c r="H681" s="152" t="s">
        <v>8404</v>
      </c>
      <c r="I681" s="152" t="s">
        <v>8405</v>
      </c>
      <c r="J681" s="154"/>
      <c r="K681" s="154"/>
      <c r="L681" s="154"/>
      <c r="M681" s="154"/>
      <c r="N681" s="152" t="s">
        <v>8395</v>
      </c>
    </row>
    <row r="682">
      <c r="A682" s="152" t="s">
        <v>8452</v>
      </c>
      <c r="B682" s="152" t="s">
        <v>8453</v>
      </c>
      <c r="C682" s="152">
        <v>3.0</v>
      </c>
      <c r="D682" s="154"/>
      <c r="E682" s="154"/>
      <c r="F682" s="154"/>
      <c r="G682" s="152" t="s">
        <v>8406</v>
      </c>
      <c r="H682" s="155" t="s">
        <v>8407</v>
      </c>
      <c r="I682" s="154"/>
      <c r="J682" s="157"/>
      <c r="K682" s="157"/>
      <c r="L682" s="157"/>
      <c r="M682" s="157"/>
      <c r="N682" s="152" t="s">
        <v>8384</v>
      </c>
    </row>
    <row r="683">
      <c r="A683" s="152" t="s">
        <v>8452</v>
      </c>
      <c r="B683" s="152" t="s">
        <v>8453</v>
      </c>
      <c r="C683" s="152">
        <v>3.0</v>
      </c>
      <c r="D683" s="154"/>
      <c r="E683" s="154"/>
      <c r="F683" s="154"/>
      <c r="G683" s="152" t="s">
        <v>8406</v>
      </c>
      <c r="H683" s="155" t="s">
        <v>8408</v>
      </c>
      <c r="I683" s="154"/>
      <c r="J683" s="157"/>
      <c r="K683" s="157"/>
      <c r="L683" s="157"/>
      <c r="M683" s="157"/>
      <c r="N683" s="152" t="s">
        <v>8384</v>
      </c>
    </row>
    <row r="684">
      <c r="A684" s="152" t="s">
        <v>8452</v>
      </c>
      <c r="B684" s="152" t="s">
        <v>8453</v>
      </c>
      <c r="C684" s="152">
        <v>3.0</v>
      </c>
      <c r="D684" s="154"/>
      <c r="E684" s="154"/>
      <c r="F684" s="154"/>
      <c r="G684" s="152" t="s">
        <v>8406</v>
      </c>
      <c r="H684" s="155" t="s">
        <v>8409</v>
      </c>
      <c r="I684" s="154"/>
      <c r="J684" s="157"/>
      <c r="K684" s="157"/>
      <c r="L684" s="157"/>
      <c r="M684" s="157"/>
      <c r="N684" s="152" t="s">
        <v>8384</v>
      </c>
    </row>
    <row r="685">
      <c r="A685" s="152" t="s">
        <v>8452</v>
      </c>
      <c r="B685" s="152" t="s">
        <v>8453</v>
      </c>
      <c r="C685" s="152">
        <v>3.0</v>
      </c>
      <c r="D685" s="154"/>
      <c r="E685" s="154"/>
      <c r="F685" s="154"/>
      <c r="G685" s="152" t="s">
        <v>8406</v>
      </c>
      <c r="H685" s="155" t="s">
        <v>8410</v>
      </c>
      <c r="I685" s="154"/>
      <c r="J685" s="157"/>
      <c r="K685" s="157"/>
      <c r="L685" s="157"/>
      <c r="M685" s="157"/>
      <c r="N685" s="152" t="s">
        <v>8384</v>
      </c>
    </row>
    <row r="686">
      <c r="A686" s="152" t="s">
        <v>8452</v>
      </c>
      <c r="B686" s="152" t="s">
        <v>8453</v>
      </c>
      <c r="C686" s="152">
        <v>3.0</v>
      </c>
      <c r="D686" s="154"/>
      <c r="E686" s="154"/>
      <c r="F686" s="154"/>
      <c r="G686" s="152" t="s">
        <v>8406</v>
      </c>
      <c r="H686" s="155" t="s">
        <v>8411</v>
      </c>
      <c r="I686" s="154"/>
      <c r="J686" s="157"/>
      <c r="K686" s="157"/>
      <c r="L686" s="157"/>
      <c r="M686" s="157"/>
      <c r="N686" s="152" t="s">
        <v>8384</v>
      </c>
    </row>
    <row r="687">
      <c r="A687" s="152" t="s">
        <v>8452</v>
      </c>
      <c r="B687" s="152" t="s">
        <v>8453</v>
      </c>
      <c r="C687" s="152">
        <v>3.0</v>
      </c>
      <c r="D687" s="154"/>
      <c r="E687" s="154"/>
      <c r="F687" s="154"/>
      <c r="G687" s="152" t="s">
        <v>8406</v>
      </c>
      <c r="H687" s="155" t="s">
        <v>8412</v>
      </c>
      <c r="I687" s="154"/>
      <c r="J687" s="157"/>
      <c r="K687" s="157"/>
      <c r="L687" s="157"/>
      <c r="M687" s="157"/>
      <c r="N687" s="152" t="s">
        <v>8384</v>
      </c>
    </row>
    <row r="688">
      <c r="A688" s="152" t="s">
        <v>8452</v>
      </c>
      <c r="B688" s="152" t="s">
        <v>8453</v>
      </c>
      <c r="C688" s="152">
        <v>3.0</v>
      </c>
      <c r="D688" s="154"/>
      <c r="E688" s="154"/>
      <c r="F688" s="154"/>
      <c r="G688" s="152" t="s">
        <v>8406</v>
      </c>
      <c r="H688" s="155" t="s">
        <v>8413</v>
      </c>
      <c r="I688" s="154"/>
      <c r="J688" s="157"/>
      <c r="K688" s="157"/>
      <c r="L688" s="157"/>
      <c r="M688" s="157"/>
      <c r="N688" s="152" t="s">
        <v>8384</v>
      </c>
    </row>
    <row r="689">
      <c r="A689" s="152" t="s">
        <v>8452</v>
      </c>
      <c r="B689" s="152" t="s">
        <v>8453</v>
      </c>
      <c r="C689" s="152">
        <v>3.0</v>
      </c>
      <c r="D689" s="154"/>
      <c r="E689" s="154"/>
      <c r="F689" s="154"/>
      <c r="G689" s="152" t="s">
        <v>8406</v>
      </c>
      <c r="H689" s="155" t="s">
        <v>8414</v>
      </c>
      <c r="I689" s="154"/>
      <c r="J689" s="157"/>
      <c r="K689" s="157"/>
      <c r="L689" s="157"/>
      <c r="M689" s="157"/>
      <c r="N689" s="152" t="s">
        <v>8384</v>
      </c>
    </row>
    <row r="690">
      <c r="A690" s="152" t="s">
        <v>8452</v>
      </c>
      <c r="B690" s="152" t="s">
        <v>8453</v>
      </c>
      <c r="C690" s="152">
        <v>3.0</v>
      </c>
      <c r="D690" s="154"/>
      <c r="E690" s="154"/>
      <c r="F690" s="154"/>
      <c r="G690" s="152" t="s">
        <v>8406</v>
      </c>
      <c r="H690" s="155" t="s">
        <v>8415</v>
      </c>
      <c r="I690" s="154"/>
      <c r="J690" s="157"/>
      <c r="K690" s="157"/>
      <c r="L690" s="157"/>
      <c r="M690" s="157"/>
      <c r="N690" s="152" t="s">
        <v>8384</v>
      </c>
    </row>
    <row r="691">
      <c r="A691" s="152" t="s">
        <v>8452</v>
      </c>
      <c r="B691" s="152" t="s">
        <v>8453</v>
      </c>
      <c r="C691" s="152">
        <v>3.0</v>
      </c>
      <c r="D691" s="154"/>
      <c r="E691" s="154"/>
      <c r="F691" s="154"/>
      <c r="G691" s="152" t="s">
        <v>8406</v>
      </c>
      <c r="H691" s="155" t="s">
        <v>8416</v>
      </c>
      <c r="I691" s="154"/>
      <c r="J691" s="157"/>
      <c r="K691" s="157"/>
      <c r="L691" s="157"/>
      <c r="M691" s="157"/>
      <c r="N691" s="152" t="s">
        <v>8384</v>
      </c>
    </row>
    <row r="692">
      <c r="A692" s="152" t="s">
        <v>8452</v>
      </c>
      <c r="B692" s="152" t="s">
        <v>8453</v>
      </c>
      <c r="C692" s="152">
        <v>4.0</v>
      </c>
      <c r="D692" s="154"/>
      <c r="E692" s="152">
        <v>3.0</v>
      </c>
      <c r="F692" s="154"/>
      <c r="G692" s="152" t="s">
        <v>8406</v>
      </c>
      <c r="H692" s="155" t="s">
        <v>8417</v>
      </c>
      <c r="I692" s="155" t="s">
        <v>6507</v>
      </c>
      <c r="J692" s="157"/>
      <c r="K692" s="157"/>
      <c r="L692" s="157"/>
      <c r="M692" s="157"/>
      <c r="N692" s="152" t="s">
        <v>8395</v>
      </c>
    </row>
    <row r="693">
      <c r="A693" s="152" t="s">
        <v>8452</v>
      </c>
      <c r="B693" s="152" t="s">
        <v>8453</v>
      </c>
      <c r="C693" s="152">
        <v>4.0</v>
      </c>
      <c r="D693" s="154"/>
      <c r="E693" s="152">
        <v>3.0</v>
      </c>
      <c r="F693" s="154"/>
      <c r="G693" s="152" t="s">
        <v>8406</v>
      </c>
      <c r="H693" s="155" t="s">
        <v>8418</v>
      </c>
      <c r="I693" s="155" t="s">
        <v>6492</v>
      </c>
      <c r="J693" s="157"/>
      <c r="K693" s="157"/>
      <c r="L693" s="157"/>
      <c r="M693" s="157"/>
      <c r="N693" s="152" t="s">
        <v>8395</v>
      </c>
    </row>
    <row r="694">
      <c r="A694" s="152" t="s">
        <v>8452</v>
      </c>
      <c r="B694" s="152" t="s">
        <v>8453</v>
      </c>
      <c r="C694" s="152">
        <v>4.0</v>
      </c>
      <c r="D694" s="154"/>
      <c r="E694" s="152">
        <v>3.0</v>
      </c>
      <c r="F694" s="154"/>
      <c r="G694" s="152" t="s">
        <v>8406</v>
      </c>
      <c r="H694" s="155" t="s">
        <v>8419</v>
      </c>
      <c r="I694" s="155" t="s">
        <v>6978</v>
      </c>
      <c r="J694" s="157"/>
      <c r="K694" s="157"/>
      <c r="L694" s="157"/>
      <c r="M694" s="157"/>
      <c r="N694" s="152" t="s">
        <v>8395</v>
      </c>
    </row>
    <row r="695">
      <c r="A695" s="152" t="s">
        <v>8452</v>
      </c>
      <c r="B695" s="152" t="s">
        <v>8453</v>
      </c>
      <c r="C695" s="152">
        <v>4.0</v>
      </c>
      <c r="D695" s="154"/>
      <c r="E695" s="152">
        <v>3.0</v>
      </c>
      <c r="F695" s="154"/>
      <c r="G695" s="152" t="s">
        <v>8406</v>
      </c>
      <c r="H695" s="155" t="s">
        <v>8420</v>
      </c>
      <c r="I695" s="155" t="s">
        <v>6936</v>
      </c>
      <c r="J695" s="157"/>
      <c r="K695" s="157"/>
      <c r="L695" s="157"/>
      <c r="M695" s="157"/>
      <c r="N695" s="152" t="s">
        <v>8395</v>
      </c>
    </row>
    <row r="696">
      <c r="A696" s="152" t="s">
        <v>8452</v>
      </c>
      <c r="B696" s="152" t="s">
        <v>8453</v>
      </c>
      <c r="C696" s="152">
        <v>4.0</v>
      </c>
      <c r="D696" s="154"/>
      <c r="E696" s="152">
        <v>3.0</v>
      </c>
      <c r="F696" s="154"/>
      <c r="G696" s="152" t="s">
        <v>8406</v>
      </c>
      <c r="H696" s="155" t="s">
        <v>8421</v>
      </c>
      <c r="I696" s="155" t="s">
        <v>6620</v>
      </c>
      <c r="J696" s="157"/>
      <c r="K696" s="157"/>
      <c r="L696" s="157"/>
      <c r="M696" s="157"/>
      <c r="N696" s="152" t="s">
        <v>8395</v>
      </c>
    </row>
    <row r="697">
      <c r="A697" s="152" t="s">
        <v>8452</v>
      </c>
      <c r="B697" s="152" t="s">
        <v>8453</v>
      </c>
      <c r="C697" s="152">
        <v>4.0</v>
      </c>
      <c r="D697" s="154"/>
      <c r="E697" s="152">
        <v>3.0</v>
      </c>
      <c r="F697" s="154"/>
      <c r="G697" s="152" t="s">
        <v>8406</v>
      </c>
      <c r="H697" s="155" t="s">
        <v>8422</v>
      </c>
      <c r="I697" s="155" t="s">
        <v>6563</v>
      </c>
      <c r="J697" s="157"/>
      <c r="K697" s="157"/>
      <c r="L697" s="157"/>
      <c r="M697" s="157"/>
      <c r="N697" s="152" t="s">
        <v>8395</v>
      </c>
    </row>
    <row r="698">
      <c r="A698" s="152" t="s">
        <v>8452</v>
      </c>
      <c r="B698" s="152" t="s">
        <v>8453</v>
      </c>
      <c r="C698" s="152">
        <v>4.0</v>
      </c>
      <c r="D698" s="154"/>
      <c r="E698" s="152">
        <v>3.0</v>
      </c>
      <c r="F698" s="154"/>
      <c r="G698" s="152" t="s">
        <v>8406</v>
      </c>
      <c r="H698" s="155" t="s">
        <v>8423</v>
      </c>
      <c r="I698" s="155" t="s">
        <v>6701</v>
      </c>
      <c r="J698" s="157"/>
      <c r="K698" s="157"/>
      <c r="L698" s="157"/>
      <c r="M698" s="157"/>
      <c r="N698" s="152" t="s">
        <v>8395</v>
      </c>
    </row>
    <row r="699">
      <c r="A699" s="152" t="s">
        <v>8452</v>
      </c>
      <c r="B699" s="152" t="s">
        <v>8453</v>
      </c>
      <c r="C699" s="152">
        <v>4.0</v>
      </c>
      <c r="D699" s="154"/>
      <c r="E699" s="152">
        <v>3.0</v>
      </c>
      <c r="F699" s="154"/>
      <c r="G699" s="152" t="s">
        <v>8406</v>
      </c>
      <c r="H699" s="155" t="s">
        <v>8424</v>
      </c>
      <c r="I699" s="155" t="s">
        <v>6684</v>
      </c>
      <c r="J699" s="157"/>
      <c r="K699" s="157"/>
      <c r="L699" s="157"/>
      <c r="M699" s="157"/>
      <c r="N699" s="152" t="s">
        <v>8395</v>
      </c>
    </row>
    <row r="700">
      <c r="A700" s="152" t="s">
        <v>8452</v>
      </c>
      <c r="B700" s="152" t="s">
        <v>8453</v>
      </c>
      <c r="C700" s="152">
        <v>4.0</v>
      </c>
      <c r="D700" s="154"/>
      <c r="E700" s="152">
        <v>3.0</v>
      </c>
      <c r="F700" s="154"/>
      <c r="G700" s="152" t="s">
        <v>8406</v>
      </c>
      <c r="H700" s="155" t="s">
        <v>8425</v>
      </c>
      <c r="I700" s="155" t="s">
        <v>7039</v>
      </c>
      <c r="J700" s="157"/>
      <c r="K700" s="157"/>
      <c r="L700" s="157"/>
      <c r="M700" s="157"/>
      <c r="N700" s="152" t="s">
        <v>8395</v>
      </c>
    </row>
    <row r="701">
      <c r="A701" s="152" t="s">
        <v>8452</v>
      </c>
      <c r="B701" s="152" t="s">
        <v>8453</v>
      </c>
      <c r="C701" s="152">
        <v>4.0</v>
      </c>
      <c r="D701" s="154"/>
      <c r="E701" s="152">
        <v>3.0</v>
      </c>
      <c r="F701" s="154"/>
      <c r="G701" s="152" t="s">
        <v>8406</v>
      </c>
      <c r="H701" s="155" t="s">
        <v>8426</v>
      </c>
      <c r="I701" s="155" t="s">
        <v>7023</v>
      </c>
      <c r="J701" s="157"/>
      <c r="K701" s="157"/>
      <c r="L701" s="157"/>
      <c r="M701" s="157"/>
      <c r="N701" s="152" t="s">
        <v>8395</v>
      </c>
    </row>
    <row r="702">
      <c r="A702" s="152" t="s">
        <v>8452</v>
      </c>
      <c r="B702" s="152" t="s">
        <v>8453</v>
      </c>
      <c r="C702" s="152">
        <v>5.0</v>
      </c>
      <c r="D702" s="154"/>
      <c r="E702" s="154"/>
      <c r="F702" s="154"/>
      <c r="G702" s="152" t="s">
        <v>8427</v>
      </c>
      <c r="H702" s="155" t="s">
        <v>8407</v>
      </c>
      <c r="I702" s="154"/>
      <c r="J702" s="157"/>
      <c r="K702" s="157"/>
      <c r="L702" s="157"/>
      <c r="M702" s="157"/>
      <c r="N702" s="152" t="s">
        <v>8384</v>
      </c>
    </row>
    <row r="703">
      <c r="A703" s="152" t="s">
        <v>8452</v>
      </c>
      <c r="B703" s="152" t="s">
        <v>8453</v>
      </c>
      <c r="C703" s="152">
        <v>5.0</v>
      </c>
      <c r="D703" s="154"/>
      <c r="E703" s="154"/>
      <c r="F703" s="154"/>
      <c r="G703" s="152" t="s">
        <v>8427</v>
      </c>
      <c r="H703" s="155" t="s">
        <v>8408</v>
      </c>
      <c r="I703" s="154"/>
      <c r="J703" s="157"/>
      <c r="K703" s="157"/>
      <c r="L703" s="157"/>
      <c r="M703" s="157"/>
      <c r="N703" s="152" t="s">
        <v>8384</v>
      </c>
    </row>
    <row r="704">
      <c r="A704" s="152" t="s">
        <v>8452</v>
      </c>
      <c r="B704" s="152" t="s">
        <v>8453</v>
      </c>
      <c r="C704" s="152">
        <v>5.0</v>
      </c>
      <c r="D704" s="154"/>
      <c r="E704" s="154"/>
      <c r="F704" s="154"/>
      <c r="G704" s="152" t="s">
        <v>8427</v>
      </c>
      <c r="H704" s="155" t="s">
        <v>8409</v>
      </c>
      <c r="I704" s="154"/>
      <c r="J704" s="157"/>
      <c r="K704" s="157"/>
      <c r="L704" s="157"/>
      <c r="M704" s="157"/>
      <c r="N704" s="152" t="s">
        <v>8384</v>
      </c>
    </row>
    <row r="705">
      <c r="A705" s="152" t="s">
        <v>8452</v>
      </c>
      <c r="B705" s="152" t="s">
        <v>8453</v>
      </c>
      <c r="C705" s="152">
        <v>5.0</v>
      </c>
      <c r="D705" s="154"/>
      <c r="E705" s="154"/>
      <c r="F705" s="154"/>
      <c r="G705" s="152" t="s">
        <v>8427</v>
      </c>
      <c r="H705" s="155" t="s">
        <v>8410</v>
      </c>
      <c r="I705" s="154"/>
      <c r="J705" s="157"/>
      <c r="K705" s="157"/>
      <c r="L705" s="157"/>
      <c r="M705" s="157"/>
      <c r="N705" s="152" t="s">
        <v>8384</v>
      </c>
    </row>
    <row r="706">
      <c r="A706" s="152" t="s">
        <v>8452</v>
      </c>
      <c r="B706" s="152" t="s">
        <v>8453</v>
      </c>
      <c r="C706" s="152">
        <v>5.0</v>
      </c>
      <c r="D706" s="154"/>
      <c r="E706" s="154"/>
      <c r="F706" s="154"/>
      <c r="G706" s="152" t="s">
        <v>8427</v>
      </c>
      <c r="H706" s="155" t="s">
        <v>8411</v>
      </c>
      <c r="I706" s="154"/>
      <c r="J706" s="157"/>
      <c r="K706" s="157"/>
      <c r="L706" s="157"/>
      <c r="M706" s="157"/>
      <c r="N706" s="152" t="s">
        <v>8384</v>
      </c>
    </row>
    <row r="707">
      <c r="A707" s="152" t="s">
        <v>8452</v>
      </c>
      <c r="B707" s="152" t="s">
        <v>8453</v>
      </c>
      <c r="C707" s="152">
        <v>5.0</v>
      </c>
      <c r="D707" s="154"/>
      <c r="E707" s="154"/>
      <c r="F707" s="154"/>
      <c r="G707" s="152" t="s">
        <v>8427</v>
      </c>
      <c r="H707" s="155" t="s">
        <v>8412</v>
      </c>
      <c r="I707" s="154"/>
      <c r="J707" s="157"/>
      <c r="K707" s="157"/>
      <c r="L707" s="157"/>
      <c r="M707" s="157"/>
      <c r="N707" s="152" t="s">
        <v>8384</v>
      </c>
    </row>
    <row r="708">
      <c r="A708" s="152" t="s">
        <v>8452</v>
      </c>
      <c r="B708" s="152" t="s">
        <v>8453</v>
      </c>
      <c r="C708" s="152">
        <v>5.0</v>
      </c>
      <c r="D708" s="154"/>
      <c r="E708" s="154"/>
      <c r="F708" s="154"/>
      <c r="G708" s="152" t="s">
        <v>8427</v>
      </c>
      <c r="H708" s="155" t="s">
        <v>8413</v>
      </c>
      <c r="I708" s="154"/>
      <c r="J708" s="157"/>
      <c r="K708" s="157"/>
      <c r="L708" s="157"/>
      <c r="M708" s="157"/>
      <c r="N708" s="152" t="s">
        <v>8384</v>
      </c>
    </row>
    <row r="709">
      <c r="A709" s="152" t="s">
        <v>8452</v>
      </c>
      <c r="B709" s="152" t="s">
        <v>8453</v>
      </c>
      <c r="C709" s="152">
        <v>5.0</v>
      </c>
      <c r="D709" s="154"/>
      <c r="E709" s="154"/>
      <c r="F709" s="154"/>
      <c r="G709" s="152" t="s">
        <v>8427</v>
      </c>
      <c r="H709" s="155" t="s">
        <v>8414</v>
      </c>
      <c r="I709" s="154"/>
      <c r="J709" s="157"/>
      <c r="K709" s="157"/>
      <c r="L709" s="157"/>
      <c r="M709" s="157"/>
      <c r="N709" s="152" t="s">
        <v>8384</v>
      </c>
    </row>
    <row r="710">
      <c r="A710" s="152" t="s">
        <v>8452</v>
      </c>
      <c r="B710" s="152" t="s">
        <v>8453</v>
      </c>
      <c r="C710" s="152">
        <v>5.0</v>
      </c>
      <c r="D710" s="154"/>
      <c r="E710" s="154"/>
      <c r="F710" s="154"/>
      <c r="G710" s="152" t="s">
        <v>8427</v>
      </c>
      <c r="H710" s="155" t="s">
        <v>8415</v>
      </c>
      <c r="I710" s="154"/>
      <c r="J710" s="157"/>
      <c r="K710" s="157"/>
      <c r="L710" s="157"/>
      <c r="M710" s="157"/>
      <c r="N710" s="152" t="s">
        <v>8384</v>
      </c>
    </row>
    <row r="711">
      <c r="A711" s="152" t="s">
        <v>8452</v>
      </c>
      <c r="B711" s="152" t="s">
        <v>8453</v>
      </c>
      <c r="C711" s="152">
        <v>5.0</v>
      </c>
      <c r="D711" s="154"/>
      <c r="E711" s="154"/>
      <c r="F711" s="154"/>
      <c r="G711" s="152" t="s">
        <v>8427</v>
      </c>
      <c r="H711" s="155" t="s">
        <v>8416</v>
      </c>
      <c r="I711" s="154"/>
      <c r="J711" s="157"/>
      <c r="K711" s="157"/>
      <c r="L711" s="157"/>
      <c r="M711" s="157"/>
      <c r="N711" s="152" t="s">
        <v>8384</v>
      </c>
    </row>
    <row r="712">
      <c r="A712" s="152" t="s">
        <v>8452</v>
      </c>
      <c r="B712" s="152" t="s">
        <v>8453</v>
      </c>
      <c r="C712" s="152">
        <v>6.0</v>
      </c>
      <c r="D712" s="154"/>
      <c r="E712" s="152">
        <v>5.0</v>
      </c>
      <c r="F712" s="154"/>
      <c r="G712" s="152" t="s">
        <v>8427</v>
      </c>
      <c r="H712" s="155" t="s">
        <v>8417</v>
      </c>
      <c r="I712" s="155" t="s">
        <v>6507</v>
      </c>
      <c r="J712" s="157"/>
      <c r="K712" s="157"/>
      <c r="L712" s="157"/>
      <c r="M712" s="157"/>
      <c r="N712" s="152" t="s">
        <v>8395</v>
      </c>
    </row>
    <row r="713">
      <c r="A713" s="152" t="s">
        <v>8452</v>
      </c>
      <c r="B713" s="152" t="s">
        <v>8453</v>
      </c>
      <c r="C713" s="152">
        <v>6.0</v>
      </c>
      <c r="D713" s="154"/>
      <c r="E713" s="152">
        <v>5.0</v>
      </c>
      <c r="F713" s="154"/>
      <c r="G713" s="152" t="s">
        <v>8427</v>
      </c>
      <c r="H713" s="155" t="s">
        <v>8418</v>
      </c>
      <c r="I713" s="155" t="s">
        <v>6492</v>
      </c>
      <c r="J713" s="157"/>
      <c r="K713" s="157"/>
      <c r="L713" s="157"/>
      <c r="M713" s="157"/>
      <c r="N713" s="152" t="s">
        <v>8395</v>
      </c>
    </row>
    <row r="714">
      <c r="A714" s="152" t="s">
        <v>8452</v>
      </c>
      <c r="B714" s="152" t="s">
        <v>8453</v>
      </c>
      <c r="C714" s="152">
        <v>6.0</v>
      </c>
      <c r="D714" s="154"/>
      <c r="E714" s="152">
        <v>5.0</v>
      </c>
      <c r="F714" s="154"/>
      <c r="G714" s="152" t="s">
        <v>8427</v>
      </c>
      <c r="H714" s="155" t="s">
        <v>8419</v>
      </c>
      <c r="I714" s="155" t="s">
        <v>6978</v>
      </c>
      <c r="J714" s="157"/>
      <c r="K714" s="157"/>
      <c r="L714" s="157"/>
      <c r="M714" s="157"/>
      <c r="N714" s="152" t="s">
        <v>8395</v>
      </c>
    </row>
    <row r="715">
      <c r="A715" s="152" t="s">
        <v>8452</v>
      </c>
      <c r="B715" s="152" t="s">
        <v>8453</v>
      </c>
      <c r="C715" s="152">
        <v>6.0</v>
      </c>
      <c r="D715" s="154"/>
      <c r="E715" s="152">
        <v>5.0</v>
      </c>
      <c r="F715" s="154"/>
      <c r="G715" s="152" t="s">
        <v>8427</v>
      </c>
      <c r="H715" s="155" t="s">
        <v>8420</v>
      </c>
      <c r="I715" s="155" t="s">
        <v>6936</v>
      </c>
      <c r="J715" s="157"/>
      <c r="K715" s="157"/>
      <c r="L715" s="157"/>
      <c r="M715" s="157"/>
      <c r="N715" s="152" t="s">
        <v>8395</v>
      </c>
    </row>
    <row r="716">
      <c r="A716" s="152" t="s">
        <v>8452</v>
      </c>
      <c r="B716" s="152" t="s">
        <v>8453</v>
      </c>
      <c r="C716" s="152">
        <v>6.0</v>
      </c>
      <c r="D716" s="154"/>
      <c r="E716" s="152">
        <v>5.0</v>
      </c>
      <c r="F716" s="154"/>
      <c r="G716" s="152" t="s">
        <v>8427</v>
      </c>
      <c r="H716" s="155" t="s">
        <v>8421</v>
      </c>
      <c r="I716" s="155" t="s">
        <v>6620</v>
      </c>
      <c r="J716" s="157"/>
      <c r="K716" s="157"/>
      <c r="L716" s="157"/>
      <c r="M716" s="157"/>
      <c r="N716" s="152" t="s">
        <v>8395</v>
      </c>
    </row>
    <row r="717">
      <c r="A717" s="152" t="s">
        <v>8452</v>
      </c>
      <c r="B717" s="152" t="s">
        <v>8453</v>
      </c>
      <c r="C717" s="152">
        <v>6.0</v>
      </c>
      <c r="D717" s="154"/>
      <c r="E717" s="152">
        <v>5.0</v>
      </c>
      <c r="F717" s="154"/>
      <c r="G717" s="152" t="s">
        <v>8427</v>
      </c>
      <c r="H717" s="155" t="s">
        <v>8422</v>
      </c>
      <c r="I717" s="155" t="s">
        <v>6563</v>
      </c>
      <c r="J717" s="157"/>
      <c r="K717" s="157"/>
      <c r="L717" s="157"/>
      <c r="M717" s="157"/>
      <c r="N717" s="152" t="s">
        <v>8395</v>
      </c>
    </row>
    <row r="718">
      <c r="A718" s="152" t="s">
        <v>8452</v>
      </c>
      <c r="B718" s="152" t="s">
        <v>8453</v>
      </c>
      <c r="C718" s="152">
        <v>6.0</v>
      </c>
      <c r="D718" s="154"/>
      <c r="E718" s="152">
        <v>5.0</v>
      </c>
      <c r="F718" s="154"/>
      <c r="G718" s="152" t="s">
        <v>8427</v>
      </c>
      <c r="H718" s="155" t="s">
        <v>8423</v>
      </c>
      <c r="I718" s="155" t="s">
        <v>6701</v>
      </c>
      <c r="J718" s="157"/>
      <c r="K718" s="157"/>
      <c r="L718" s="157"/>
      <c r="M718" s="157"/>
      <c r="N718" s="152" t="s">
        <v>8395</v>
      </c>
    </row>
    <row r="719">
      <c r="A719" s="152" t="s">
        <v>8452</v>
      </c>
      <c r="B719" s="152" t="s">
        <v>8453</v>
      </c>
      <c r="C719" s="152">
        <v>6.0</v>
      </c>
      <c r="D719" s="154"/>
      <c r="E719" s="152">
        <v>5.0</v>
      </c>
      <c r="F719" s="154"/>
      <c r="G719" s="152" t="s">
        <v>8427</v>
      </c>
      <c r="H719" s="155" t="s">
        <v>8424</v>
      </c>
      <c r="I719" s="155" t="s">
        <v>6684</v>
      </c>
      <c r="J719" s="157"/>
      <c r="K719" s="157"/>
      <c r="L719" s="157"/>
      <c r="M719" s="157"/>
      <c r="N719" s="152" t="s">
        <v>8395</v>
      </c>
    </row>
    <row r="720">
      <c r="A720" s="152" t="s">
        <v>8452</v>
      </c>
      <c r="B720" s="152" t="s">
        <v>8453</v>
      </c>
      <c r="C720" s="152">
        <v>6.0</v>
      </c>
      <c r="D720" s="154"/>
      <c r="E720" s="152">
        <v>5.0</v>
      </c>
      <c r="F720" s="154"/>
      <c r="G720" s="152" t="s">
        <v>8427</v>
      </c>
      <c r="H720" s="155" t="s">
        <v>8425</v>
      </c>
      <c r="I720" s="155" t="s">
        <v>7039</v>
      </c>
      <c r="J720" s="157"/>
      <c r="K720" s="157"/>
      <c r="L720" s="157"/>
      <c r="M720" s="157"/>
      <c r="N720" s="152" t="s">
        <v>8395</v>
      </c>
    </row>
    <row r="721">
      <c r="A721" s="152" t="s">
        <v>8452</v>
      </c>
      <c r="B721" s="152" t="s">
        <v>8453</v>
      </c>
      <c r="C721" s="152">
        <v>6.0</v>
      </c>
      <c r="D721" s="154"/>
      <c r="E721" s="152">
        <v>5.0</v>
      </c>
      <c r="F721" s="154"/>
      <c r="G721" s="152" t="s">
        <v>8427</v>
      </c>
      <c r="H721" s="155" t="s">
        <v>8426</v>
      </c>
      <c r="I721" s="155" t="s">
        <v>7023</v>
      </c>
      <c r="J721" s="157"/>
      <c r="K721" s="157"/>
      <c r="L721" s="157"/>
      <c r="M721" s="157"/>
      <c r="N721" s="152" t="s">
        <v>8395</v>
      </c>
    </row>
    <row r="722">
      <c r="A722" s="152" t="s">
        <v>8454</v>
      </c>
      <c r="B722" s="152" t="s">
        <v>8455</v>
      </c>
      <c r="C722" s="152">
        <v>1.0</v>
      </c>
      <c r="D722" s="154"/>
      <c r="E722" s="154"/>
      <c r="F722" s="154"/>
      <c r="G722" s="152" t="s">
        <v>8382</v>
      </c>
      <c r="H722" s="152" t="s">
        <v>8383</v>
      </c>
      <c r="I722" s="154"/>
      <c r="J722" s="152" t="s">
        <v>23</v>
      </c>
      <c r="K722" s="152">
        <v>1629.0</v>
      </c>
      <c r="L722" s="154"/>
      <c r="M722" s="154"/>
      <c r="N722" s="152" t="s">
        <v>8384</v>
      </c>
    </row>
    <row r="723">
      <c r="A723" s="152" t="s">
        <v>8454</v>
      </c>
      <c r="B723" s="152" t="s">
        <v>8455</v>
      </c>
      <c r="C723" s="152">
        <v>1.0</v>
      </c>
      <c r="D723" s="154"/>
      <c r="E723" s="154"/>
      <c r="F723" s="154"/>
      <c r="G723" s="152" t="s">
        <v>8382</v>
      </c>
      <c r="H723" s="152" t="s">
        <v>8385</v>
      </c>
      <c r="I723" s="154"/>
      <c r="J723" s="152" t="s">
        <v>23</v>
      </c>
      <c r="K723" s="152">
        <v>1729.0</v>
      </c>
      <c r="L723" s="154"/>
      <c r="M723" s="154"/>
      <c r="N723" s="152" t="s">
        <v>8384</v>
      </c>
    </row>
    <row r="724">
      <c r="A724" s="152" t="s">
        <v>8454</v>
      </c>
      <c r="B724" s="152" t="s">
        <v>8455</v>
      </c>
      <c r="C724" s="152">
        <v>1.0</v>
      </c>
      <c r="D724" s="154"/>
      <c r="E724" s="154"/>
      <c r="F724" s="154"/>
      <c r="G724" s="152" t="s">
        <v>8382</v>
      </c>
      <c r="H724" s="152" t="s">
        <v>8386</v>
      </c>
      <c r="I724" s="154"/>
      <c r="J724" s="152" t="s">
        <v>23</v>
      </c>
      <c r="K724" s="152">
        <v>1729.0</v>
      </c>
      <c r="L724" s="154"/>
      <c r="M724" s="154"/>
      <c r="N724" s="152" t="s">
        <v>8384</v>
      </c>
    </row>
    <row r="725">
      <c r="A725" s="152" t="s">
        <v>8454</v>
      </c>
      <c r="B725" s="152" t="s">
        <v>8455</v>
      </c>
      <c r="C725" s="152">
        <v>1.0</v>
      </c>
      <c r="D725" s="154"/>
      <c r="E725" s="154"/>
      <c r="F725" s="154"/>
      <c r="G725" s="152" t="s">
        <v>8382</v>
      </c>
      <c r="H725" s="152" t="s">
        <v>8387</v>
      </c>
      <c r="I725" s="154"/>
      <c r="J725" s="152" t="s">
        <v>23</v>
      </c>
      <c r="K725" s="152">
        <v>1729.0</v>
      </c>
      <c r="L725" s="154"/>
      <c r="M725" s="154"/>
      <c r="N725" s="152" t="s">
        <v>8384</v>
      </c>
    </row>
    <row r="726">
      <c r="A726" s="152" t="s">
        <v>8454</v>
      </c>
      <c r="B726" s="152" t="s">
        <v>8455</v>
      </c>
      <c r="C726" s="152">
        <v>1.0</v>
      </c>
      <c r="D726" s="154"/>
      <c r="E726" s="154"/>
      <c r="F726" s="154"/>
      <c r="G726" s="152" t="s">
        <v>8382</v>
      </c>
      <c r="H726" s="152" t="s">
        <v>8388</v>
      </c>
      <c r="I726" s="154"/>
      <c r="J726" s="152" t="s">
        <v>23</v>
      </c>
      <c r="K726" s="152">
        <v>1729.0</v>
      </c>
      <c r="L726" s="154"/>
      <c r="M726" s="154"/>
      <c r="N726" s="152" t="s">
        <v>8384</v>
      </c>
    </row>
    <row r="727">
      <c r="A727" s="152" t="s">
        <v>8454</v>
      </c>
      <c r="B727" s="152" t="s">
        <v>8455</v>
      </c>
      <c r="C727" s="152">
        <v>1.0</v>
      </c>
      <c r="D727" s="154"/>
      <c r="E727" s="154"/>
      <c r="F727" s="154"/>
      <c r="G727" s="152" t="s">
        <v>8382</v>
      </c>
      <c r="H727" s="152" t="s">
        <v>8389</v>
      </c>
      <c r="I727" s="154"/>
      <c r="J727" s="152" t="s">
        <v>23</v>
      </c>
      <c r="K727" s="152">
        <v>2009.0</v>
      </c>
      <c r="L727" s="154"/>
      <c r="M727" s="154"/>
      <c r="N727" s="152" t="s">
        <v>8384</v>
      </c>
    </row>
    <row r="728">
      <c r="A728" s="152" t="s">
        <v>8454</v>
      </c>
      <c r="B728" s="152" t="s">
        <v>8455</v>
      </c>
      <c r="C728" s="152">
        <v>1.0</v>
      </c>
      <c r="D728" s="154"/>
      <c r="E728" s="154"/>
      <c r="F728" s="154"/>
      <c r="G728" s="152" t="s">
        <v>8382</v>
      </c>
      <c r="H728" s="152" t="s">
        <v>5767</v>
      </c>
      <c r="I728" s="154"/>
      <c r="J728" s="152" t="s">
        <v>23</v>
      </c>
      <c r="K728" s="152">
        <v>2009.0</v>
      </c>
      <c r="L728" s="154"/>
      <c r="M728" s="154"/>
      <c r="N728" s="152" t="s">
        <v>8384</v>
      </c>
    </row>
    <row r="729">
      <c r="A729" s="152" t="s">
        <v>8454</v>
      </c>
      <c r="B729" s="152" t="s">
        <v>8455</v>
      </c>
      <c r="C729" s="152">
        <v>1.0</v>
      </c>
      <c r="D729" s="154"/>
      <c r="E729" s="154"/>
      <c r="F729" s="154"/>
      <c r="G729" s="152" t="s">
        <v>8382</v>
      </c>
      <c r="H729" s="152" t="s">
        <v>8390</v>
      </c>
      <c r="I729" s="154"/>
      <c r="J729" s="152" t="s">
        <v>23</v>
      </c>
      <c r="K729" s="152">
        <v>2009.0</v>
      </c>
      <c r="L729" s="154"/>
      <c r="M729" s="154"/>
      <c r="N729" s="152" t="s">
        <v>8384</v>
      </c>
    </row>
    <row r="730">
      <c r="A730" s="152" t="s">
        <v>8454</v>
      </c>
      <c r="B730" s="152" t="s">
        <v>8455</v>
      </c>
      <c r="C730" s="152">
        <v>1.0</v>
      </c>
      <c r="D730" s="154"/>
      <c r="E730" s="154"/>
      <c r="F730" s="154"/>
      <c r="G730" s="152" t="s">
        <v>8382</v>
      </c>
      <c r="H730" s="152" t="s">
        <v>8391</v>
      </c>
      <c r="I730" s="154"/>
      <c r="J730" s="152" t="s">
        <v>23</v>
      </c>
      <c r="K730" s="152">
        <v>2009.0</v>
      </c>
      <c r="L730" s="154"/>
      <c r="M730" s="154"/>
      <c r="N730" s="152" t="s">
        <v>8384</v>
      </c>
    </row>
    <row r="731">
      <c r="A731" s="152" t="s">
        <v>8454</v>
      </c>
      <c r="B731" s="152" t="s">
        <v>8455</v>
      </c>
      <c r="C731" s="152">
        <v>1.0</v>
      </c>
      <c r="D731" s="154"/>
      <c r="E731" s="154"/>
      <c r="F731" s="154"/>
      <c r="G731" s="152" t="s">
        <v>8382</v>
      </c>
      <c r="H731" s="152" t="s">
        <v>8392</v>
      </c>
      <c r="I731" s="154"/>
      <c r="J731" s="152" t="s">
        <v>23</v>
      </c>
      <c r="K731" s="152">
        <v>2009.0</v>
      </c>
      <c r="L731" s="154"/>
      <c r="M731" s="154"/>
      <c r="N731" s="152" t="s">
        <v>8384</v>
      </c>
    </row>
    <row r="732">
      <c r="A732" s="152" t="s">
        <v>8454</v>
      </c>
      <c r="B732" s="152" t="s">
        <v>8455</v>
      </c>
      <c r="C732" s="152">
        <v>2.0</v>
      </c>
      <c r="D732" s="154"/>
      <c r="E732" s="152">
        <v>1.0</v>
      </c>
      <c r="F732" s="154"/>
      <c r="G732" s="152" t="s">
        <v>8393</v>
      </c>
      <c r="H732" s="152" t="s">
        <v>8394</v>
      </c>
      <c r="I732" s="152" t="s">
        <v>6862</v>
      </c>
      <c r="J732" s="154"/>
      <c r="K732" s="154"/>
      <c r="L732" s="154"/>
      <c r="M732" s="154"/>
      <c r="N732" s="152" t="s">
        <v>8395</v>
      </c>
    </row>
    <row r="733">
      <c r="A733" s="152" t="s">
        <v>8454</v>
      </c>
      <c r="B733" s="152" t="s">
        <v>8455</v>
      </c>
      <c r="C733" s="152">
        <v>2.0</v>
      </c>
      <c r="D733" s="154"/>
      <c r="E733" s="152">
        <v>1.0</v>
      </c>
      <c r="F733" s="154"/>
      <c r="G733" s="152" t="s">
        <v>8393</v>
      </c>
      <c r="H733" s="152" t="s">
        <v>8396</v>
      </c>
      <c r="I733" s="152" t="s">
        <v>6893</v>
      </c>
      <c r="J733" s="154"/>
      <c r="K733" s="154"/>
      <c r="L733" s="154"/>
      <c r="M733" s="154"/>
      <c r="N733" s="152" t="s">
        <v>8395</v>
      </c>
    </row>
    <row r="734">
      <c r="A734" s="152" t="s">
        <v>8454</v>
      </c>
      <c r="B734" s="152" t="s">
        <v>8455</v>
      </c>
      <c r="C734" s="152">
        <v>2.0</v>
      </c>
      <c r="D734" s="154"/>
      <c r="E734" s="152">
        <v>1.0</v>
      </c>
      <c r="F734" s="154"/>
      <c r="G734" s="152" t="s">
        <v>8393</v>
      </c>
      <c r="H734" s="152" t="s">
        <v>8397</v>
      </c>
      <c r="I734" s="152" t="s">
        <v>6796</v>
      </c>
      <c r="J734" s="154"/>
      <c r="K734" s="154"/>
      <c r="L734" s="154"/>
      <c r="M734" s="154"/>
      <c r="N734" s="152" t="s">
        <v>8395</v>
      </c>
    </row>
    <row r="735">
      <c r="A735" s="152" t="s">
        <v>8454</v>
      </c>
      <c r="B735" s="152" t="s">
        <v>8455</v>
      </c>
      <c r="C735" s="152">
        <v>2.0</v>
      </c>
      <c r="D735" s="154"/>
      <c r="E735" s="152">
        <v>1.0</v>
      </c>
      <c r="F735" s="154"/>
      <c r="G735" s="152" t="s">
        <v>8393</v>
      </c>
      <c r="H735" s="152" t="s">
        <v>8398</v>
      </c>
      <c r="I735" s="152" t="s">
        <v>6726</v>
      </c>
      <c r="J735" s="154"/>
      <c r="K735" s="154"/>
      <c r="L735" s="154"/>
      <c r="M735" s="154"/>
      <c r="N735" s="152" t="s">
        <v>8395</v>
      </c>
    </row>
    <row r="736">
      <c r="A736" s="152" t="s">
        <v>8454</v>
      </c>
      <c r="B736" s="152" t="s">
        <v>8455</v>
      </c>
      <c r="C736" s="152">
        <v>2.0</v>
      </c>
      <c r="D736" s="154"/>
      <c r="E736" s="152">
        <v>1.0</v>
      </c>
      <c r="F736" s="154"/>
      <c r="G736" s="152" t="s">
        <v>8393</v>
      </c>
      <c r="H736" s="152" t="s">
        <v>8399</v>
      </c>
      <c r="I736" s="152" t="s">
        <v>6924</v>
      </c>
      <c r="J736" s="154"/>
      <c r="K736" s="154"/>
      <c r="L736" s="154"/>
      <c r="M736" s="154"/>
      <c r="N736" s="152" t="s">
        <v>8395</v>
      </c>
    </row>
    <row r="737">
      <c r="A737" s="152" t="s">
        <v>8454</v>
      </c>
      <c r="B737" s="152" t="s">
        <v>8455</v>
      </c>
      <c r="C737" s="152">
        <v>2.0</v>
      </c>
      <c r="D737" s="154"/>
      <c r="E737" s="152">
        <v>1.0</v>
      </c>
      <c r="F737" s="154"/>
      <c r="G737" s="152" t="s">
        <v>8393</v>
      </c>
      <c r="H737" s="152" t="s">
        <v>8400</v>
      </c>
      <c r="I737" s="152" t="s">
        <v>6893</v>
      </c>
      <c r="J737" s="154"/>
      <c r="K737" s="154"/>
      <c r="L737" s="154"/>
      <c r="M737" s="154"/>
      <c r="N737" s="152" t="s">
        <v>8395</v>
      </c>
    </row>
    <row r="738">
      <c r="A738" s="152" t="s">
        <v>8454</v>
      </c>
      <c r="B738" s="152" t="s">
        <v>8455</v>
      </c>
      <c r="C738" s="152">
        <v>2.0</v>
      </c>
      <c r="D738" s="154"/>
      <c r="E738" s="152">
        <v>1.0</v>
      </c>
      <c r="F738" s="154"/>
      <c r="G738" s="152" t="s">
        <v>8393</v>
      </c>
      <c r="H738" s="152" t="s">
        <v>8401</v>
      </c>
      <c r="I738" s="152" t="s">
        <v>6796</v>
      </c>
      <c r="J738" s="154"/>
      <c r="K738" s="154"/>
      <c r="L738" s="154"/>
      <c r="M738" s="154"/>
      <c r="N738" s="152" t="s">
        <v>8395</v>
      </c>
    </row>
    <row r="739">
      <c r="A739" s="152" t="s">
        <v>8454</v>
      </c>
      <c r="B739" s="152" t="s">
        <v>8455</v>
      </c>
      <c r="C739" s="152">
        <v>2.0</v>
      </c>
      <c r="D739" s="154"/>
      <c r="E739" s="152">
        <v>1.0</v>
      </c>
      <c r="F739" s="154"/>
      <c r="G739" s="152" t="s">
        <v>8393</v>
      </c>
      <c r="H739" s="152" t="s">
        <v>8402</v>
      </c>
      <c r="I739" s="152" t="s">
        <v>6831</v>
      </c>
      <c r="J739" s="154"/>
      <c r="K739" s="154"/>
      <c r="L739" s="154"/>
      <c r="M739" s="154"/>
      <c r="N739" s="152" t="s">
        <v>8395</v>
      </c>
    </row>
    <row r="740">
      <c r="A740" s="152" t="s">
        <v>8454</v>
      </c>
      <c r="B740" s="152" t="s">
        <v>8455</v>
      </c>
      <c r="C740" s="152">
        <v>2.0</v>
      </c>
      <c r="D740" s="154"/>
      <c r="E740" s="152">
        <v>1.0</v>
      </c>
      <c r="F740" s="154"/>
      <c r="G740" s="152" t="s">
        <v>8393</v>
      </c>
      <c r="H740" s="152" t="s">
        <v>8403</v>
      </c>
      <c r="I740" s="152" t="s">
        <v>6836</v>
      </c>
      <c r="J740" s="154"/>
      <c r="K740" s="154"/>
      <c r="L740" s="154"/>
      <c r="M740" s="154"/>
      <c r="N740" s="152" t="s">
        <v>8395</v>
      </c>
    </row>
    <row r="741">
      <c r="A741" s="152" t="s">
        <v>8454</v>
      </c>
      <c r="B741" s="152" t="s">
        <v>8455</v>
      </c>
      <c r="C741" s="152">
        <v>2.0</v>
      </c>
      <c r="D741" s="154"/>
      <c r="E741" s="152">
        <v>1.0</v>
      </c>
      <c r="F741" s="154"/>
      <c r="G741" s="152" t="s">
        <v>8393</v>
      </c>
      <c r="H741" s="152" t="s">
        <v>8404</v>
      </c>
      <c r="I741" s="152" t="s">
        <v>8405</v>
      </c>
      <c r="J741" s="154"/>
      <c r="K741" s="154"/>
      <c r="L741" s="154"/>
      <c r="M741" s="154"/>
      <c r="N741" s="152" t="s">
        <v>8395</v>
      </c>
    </row>
    <row r="742">
      <c r="A742" s="152" t="s">
        <v>8454</v>
      </c>
      <c r="B742" s="152" t="s">
        <v>8455</v>
      </c>
      <c r="C742" s="152">
        <v>3.0</v>
      </c>
      <c r="D742" s="154"/>
      <c r="E742" s="154"/>
      <c r="F742" s="154"/>
      <c r="G742" s="152" t="s">
        <v>8436</v>
      </c>
      <c r="H742" s="155" t="s">
        <v>8407</v>
      </c>
      <c r="I742" s="154"/>
      <c r="J742" s="157"/>
      <c r="K742" s="157"/>
      <c r="L742" s="157"/>
      <c r="M742" s="157"/>
      <c r="N742" s="152" t="s">
        <v>8384</v>
      </c>
    </row>
    <row r="743">
      <c r="A743" s="152" t="s">
        <v>8454</v>
      </c>
      <c r="B743" s="152" t="s">
        <v>8455</v>
      </c>
      <c r="C743" s="152">
        <v>3.0</v>
      </c>
      <c r="D743" s="154"/>
      <c r="E743" s="154"/>
      <c r="F743" s="154"/>
      <c r="G743" s="152" t="s">
        <v>8436</v>
      </c>
      <c r="H743" s="155" t="s">
        <v>8408</v>
      </c>
      <c r="I743" s="154"/>
      <c r="J743" s="157"/>
      <c r="K743" s="157"/>
      <c r="L743" s="157"/>
      <c r="M743" s="157"/>
      <c r="N743" s="152" t="s">
        <v>8384</v>
      </c>
    </row>
    <row r="744">
      <c r="A744" s="152" t="s">
        <v>8454</v>
      </c>
      <c r="B744" s="152" t="s">
        <v>8455</v>
      </c>
      <c r="C744" s="152">
        <v>3.0</v>
      </c>
      <c r="D744" s="154"/>
      <c r="E744" s="154"/>
      <c r="F744" s="154"/>
      <c r="G744" s="152" t="s">
        <v>8436</v>
      </c>
      <c r="H744" s="155" t="s">
        <v>8409</v>
      </c>
      <c r="I744" s="154"/>
      <c r="J744" s="157"/>
      <c r="K744" s="157"/>
      <c r="L744" s="157"/>
      <c r="M744" s="157"/>
      <c r="N744" s="152" t="s">
        <v>8384</v>
      </c>
    </row>
    <row r="745">
      <c r="A745" s="152" t="s">
        <v>8454</v>
      </c>
      <c r="B745" s="152" t="s">
        <v>8455</v>
      </c>
      <c r="C745" s="152">
        <v>3.0</v>
      </c>
      <c r="D745" s="154"/>
      <c r="E745" s="154"/>
      <c r="F745" s="154"/>
      <c r="G745" s="152" t="s">
        <v>8436</v>
      </c>
      <c r="H745" s="155" t="s">
        <v>8410</v>
      </c>
      <c r="I745" s="154"/>
      <c r="J745" s="157"/>
      <c r="K745" s="157"/>
      <c r="L745" s="157"/>
      <c r="M745" s="157"/>
      <c r="N745" s="152" t="s">
        <v>8384</v>
      </c>
    </row>
    <row r="746">
      <c r="A746" s="152" t="s">
        <v>8454</v>
      </c>
      <c r="B746" s="152" t="s">
        <v>8455</v>
      </c>
      <c r="C746" s="152">
        <v>3.0</v>
      </c>
      <c r="D746" s="154"/>
      <c r="E746" s="154"/>
      <c r="F746" s="154"/>
      <c r="G746" s="152" t="s">
        <v>8436</v>
      </c>
      <c r="H746" s="155" t="s">
        <v>8411</v>
      </c>
      <c r="I746" s="154"/>
      <c r="J746" s="157"/>
      <c r="K746" s="157"/>
      <c r="L746" s="157"/>
      <c r="M746" s="157"/>
      <c r="N746" s="152" t="s">
        <v>8384</v>
      </c>
    </row>
    <row r="747">
      <c r="A747" s="152" t="s">
        <v>8454</v>
      </c>
      <c r="B747" s="152" t="s">
        <v>8455</v>
      </c>
      <c r="C747" s="152">
        <v>3.0</v>
      </c>
      <c r="D747" s="154"/>
      <c r="E747" s="154"/>
      <c r="F747" s="154"/>
      <c r="G747" s="152" t="s">
        <v>8436</v>
      </c>
      <c r="H747" s="155" t="s">
        <v>8412</v>
      </c>
      <c r="I747" s="154"/>
      <c r="J747" s="157"/>
      <c r="K747" s="157"/>
      <c r="L747" s="157"/>
      <c r="M747" s="157"/>
      <c r="N747" s="152" t="s">
        <v>8384</v>
      </c>
    </row>
    <row r="748">
      <c r="A748" s="152" t="s">
        <v>8454</v>
      </c>
      <c r="B748" s="152" t="s">
        <v>8455</v>
      </c>
      <c r="C748" s="152">
        <v>3.0</v>
      </c>
      <c r="D748" s="154"/>
      <c r="E748" s="154"/>
      <c r="F748" s="154"/>
      <c r="G748" s="152" t="s">
        <v>8436</v>
      </c>
      <c r="H748" s="155" t="s">
        <v>8413</v>
      </c>
      <c r="I748" s="154"/>
      <c r="J748" s="157"/>
      <c r="K748" s="157"/>
      <c r="L748" s="157"/>
      <c r="M748" s="157"/>
      <c r="N748" s="152" t="s">
        <v>8384</v>
      </c>
    </row>
    <row r="749">
      <c r="A749" s="152" t="s">
        <v>8454</v>
      </c>
      <c r="B749" s="152" t="s">
        <v>8455</v>
      </c>
      <c r="C749" s="152">
        <v>3.0</v>
      </c>
      <c r="D749" s="154"/>
      <c r="E749" s="154"/>
      <c r="F749" s="154"/>
      <c r="G749" s="152" t="s">
        <v>8436</v>
      </c>
      <c r="H749" s="155" t="s">
        <v>8414</v>
      </c>
      <c r="I749" s="154"/>
      <c r="J749" s="157"/>
      <c r="K749" s="157"/>
      <c r="L749" s="157"/>
      <c r="M749" s="157"/>
      <c r="N749" s="152" t="s">
        <v>8384</v>
      </c>
    </row>
    <row r="750">
      <c r="A750" s="152" t="s">
        <v>8454</v>
      </c>
      <c r="B750" s="152" t="s">
        <v>8455</v>
      </c>
      <c r="C750" s="152">
        <v>3.0</v>
      </c>
      <c r="D750" s="154"/>
      <c r="E750" s="154"/>
      <c r="F750" s="154"/>
      <c r="G750" s="152" t="s">
        <v>8436</v>
      </c>
      <c r="H750" s="155" t="s">
        <v>8415</v>
      </c>
      <c r="I750" s="154"/>
      <c r="J750" s="157"/>
      <c r="K750" s="157"/>
      <c r="L750" s="157"/>
      <c r="M750" s="157"/>
      <c r="N750" s="152" t="s">
        <v>8384</v>
      </c>
    </row>
    <row r="751">
      <c r="A751" s="152" t="s">
        <v>8454</v>
      </c>
      <c r="B751" s="152" t="s">
        <v>8455</v>
      </c>
      <c r="C751" s="152">
        <v>3.0</v>
      </c>
      <c r="D751" s="154"/>
      <c r="E751" s="154"/>
      <c r="F751" s="154"/>
      <c r="G751" s="152" t="s">
        <v>8436</v>
      </c>
      <c r="H751" s="155" t="s">
        <v>8416</v>
      </c>
      <c r="I751" s="154"/>
      <c r="J751" s="157"/>
      <c r="K751" s="157"/>
      <c r="L751" s="157"/>
      <c r="M751" s="157"/>
      <c r="N751" s="152" t="s">
        <v>8384</v>
      </c>
    </row>
    <row r="752">
      <c r="A752" s="152" t="s">
        <v>8454</v>
      </c>
      <c r="B752" s="152" t="s">
        <v>8455</v>
      </c>
      <c r="C752" s="152">
        <v>4.0</v>
      </c>
      <c r="D752" s="154"/>
      <c r="E752" s="152">
        <v>3.0</v>
      </c>
      <c r="F752" s="154"/>
      <c r="G752" s="152" t="s">
        <v>8436</v>
      </c>
      <c r="H752" s="155" t="s">
        <v>8417</v>
      </c>
      <c r="I752" s="155" t="s">
        <v>6507</v>
      </c>
      <c r="J752" s="157"/>
      <c r="K752" s="157"/>
      <c r="L752" s="157"/>
      <c r="M752" s="157"/>
      <c r="N752" s="152" t="s">
        <v>8395</v>
      </c>
    </row>
    <row r="753">
      <c r="A753" s="152" t="s">
        <v>8454</v>
      </c>
      <c r="B753" s="152" t="s">
        <v>8455</v>
      </c>
      <c r="C753" s="152">
        <v>4.0</v>
      </c>
      <c r="D753" s="154"/>
      <c r="E753" s="152">
        <v>3.0</v>
      </c>
      <c r="F753" s="154"/>
      <c r="G753" s="152" t="s">
        <v>8436</v>
      </c>
      <c r="H753" s="155" t="s">
        <v>8418</v>
      </c>
      <c r="I753" s="155" t="s">
        <v>6492</v>
      </c>
      <c r="J753" s="157"/>
      <c r="K753" s="157"/>
      <c r="L753" s="157"/>
      <c r="M753" s="157"/>
      <c r="N753" s="152" t="s">
        <v>8395</v>
      </c>
    </row>
    <row r="754">
      <c r="A754" s="152" t="s">
        <v>8454</v>
      </c>
      <c r="B754" s="152" t="s">
        <v>8455</v>
      </c>
      <c r="C754" s="152">
        <v>4.0</v>
      </c>
      <c r="D754" s="154"/>
      <c r="E754" s="152">
        <v>3.0</v>
      </c>
      <c r="F754" s="154"/>
      <c r="G754" s="152" t="s">
        <v>8436</v>
      </c>
      <c r="H754" s="155" t="s">
        <v>8419</v>
      </c>
      <c r="I754" s="155" t="s">
        <v>6978</v>
      </c>
      <c r="J754" s="157"/>
      <c r="K754" s="157"/>
      <c r="L754" s="157"/>
      <c r="M754" s="157"/>
      <c r="N754" s="152" t="s">
        <v>8395</v>
      </c>
    </row>
    <row r="755">
      <c r="A755" s="152" t="s">
        <v>8454</v>
      </c>
      <c r="B755" s="152" t="s">
        <v>8455</v>
      </c>
      <c r="C755" s="152">
        <v>4.0</v>
      </c>
      <c r="D755" s="154"/>
      <c r="E755" s="152">
        <v>3.0</v>
      </c>
      <c r="F755" s="154"/>
      <c r="G755" s="152" t="s">
        <v>8436</v>
      </c>
      <c r="H755" s="155" t="s">
        <v>8420</v>
      </c>
      <c r="I755" s="155" t="s">
        <v>6936</v>
      </c>
      <c r="J755" s="157"/>
      <c r="K755" s="157"/>
      <c r="L755" s="157"/>
      <c r="M755" s="157"/>
      <c r="N755" s="152" t="s">
        <v>8395</v>
      </c>
    </row>
    <row r="756">
      <c r="A756" s="152" t="s">
        <v>8454</v>
      </c>
      <c r="B756" s="152" t="s">
        <v>8455</v>
      </c>
      <c r="C756" s="152">
        <v>4.0</v>
      </c>
      <c r="D756" s="154"/>
      <c r="E756" s="152">
        <v>3.0</v>
      </c>
      <c r="F756" s="154"/>
      <c r="G756" s="152" t="s">
        <v>8436</v>
      </c>
      <c r="H756" s="155" t="s">
        <v>8421</v>
      </c>
      <c r="I756" s="155" t="s">
        <v>6620</v>
      </c>
      <c r="J756" s="157"/>
      <c r="K756" s="157"/>
      <c r="L756" s="157"/>
      <c r="M756" s="157"/>
      <c r="N756" s="152" t="s">
        <v>8395</v>
      </c>
    </row>
    <row r="757">
      <c r="A757" s="152" t="s">
        <v>8454</v>
      </c>
      <c r="B757" s="152" t="s">
        <v>8455</v>
      </c>
      <c r="C757" s="152">
        <v>4.0</v>
      </c>
      <c r="D757" s="154"/>
      <c r="E757" s="152">
        <v>3.0</v>
      </c>
      <c r="F757" s="154"/>
      <c r="G757" s="152" t="s">
        <v>8436</v>
      </c>
      <c r="H757" s="155" t="s">
        <v>8422</v>
      </c>
      <c r="I757" s="155" t="s">
        <v>6563</v>
      </c>
      <c r="J757" s="157"/>
      <c r="K757" s="157"/>
      <c r="L757" s="157"/>
      <c r="M757" s="157"/>
      <c r="N757" s="152" t="s">
        <v>8395</v>
      </c>
    </row>
    <row r="758">
      <c r="A758" s="152" t="s">
        <v>8454</v>
      </c>
      <c r="B758" s="152" t="s">
        <v>8455</v>
      </c>
      <c r="C758" s="152">
        <v>4.0</v>
      </c>
      <c r="D758" s="154"/>
      <c r="E758" s="152">
        <v>3.0</v>
      </c>
      <c r="F758" s="154"/>
      <c r="G758" s="152" t="s">
        <v>8436</v>
      </c>
      <c r="H758" s="155" t="s">
        <v>8423</v>
      </c>
      <c r="I758" s="155" t="s">
        <v>6701</v>
      </c>
      <c r="J758" s="157"/>
      <c r="K758" s="157"/>
      <c r="L758" s="157"/>
      <c r="M758" s="157"/>
      <c r="N758" s="152" t="s">
        <v>8395</v>
      </c>
    </row>
    <row r="759">
      <c r="A759" s="152" t="s">
        <v>8454</v>
      </c>
      <c r="B759" s="152" t="s">
        <v>8455</v>
      </c>
      <c r="C759" s="152">
        <v>4.0</v>
      </c>
      <c r="D759" s="154"/>
      <c r="E759" s="152">
        <v>3.0</v>
      </c>
      <c r="F759" s="154"/>
      <c r="G759" s="152" t="s">
        <v>8436</v>
      </c>
      <c r="H759" s="155" t="s">
        <v>8424</v>
      </c>
      <c r="I759" s="155" t="s">
        <v>6684</v>
      </c>
      <c r="J759" s="157"/>
      <c r="K759" s="157"/>
      <c r="L759" s="157"/>
      <c r="M759" s="157"/>
      <c r="N759" s="152" t="s">
        <v>8395</v>
      </c>
    </row>
    <row r="760">
      <c r="A760" s="152" t="s">
        <v>8454</v>
      </c>
      <c r="B760" s="152" t="s">
        <v>8455</v>
      </c>
      <c r="C760" s="152">
        <v>4.0</v>
      </c>
      <c r="D760" s="154"/>
      <c r="E760" s="152">
        <v>3.0</v>
      </c>
      <c r="F760" s="154"/>
      <c r="G760" s="152" t="s">
        <v>8436</v>
      </c>
      <c r="H760" s="155" t="s">
        <v>8425</v>
      </c>
      <c r="I760" s="155" t="s">
        <v>7039</v>
      </c>
      <c r="J760" s="157"/>
      <c r="K760" s="157"/>
      <c r="L760" s="157"/>
      <c r="M760" s="157"/>
      <c r="N760" s="152" t="s">
        <v>8395</v>
      </c>
    </row>
    <row r="761">
      <c r="A761" s="152" t="s">
        <v>8454</v>
      </c>
      <c r="B761" s="152" t="s">
        <v>8455</v>
      </c>
      <c r="C761" s="152">
        <v>4.0</v>
      </c>
      <c r="D761" s="154"/>
      <c r="E761" s="152">
        <v>3.0</v>
      </c>
      <c r="F761" s="154"/>
      <c r="G761" s="152" t="s">
        <v>8436</v>
      </c>
      <c r="H761" s="155" t="s">
        <v>8426</v>
      </c>
      <c r="I761" s="155" t="s">
        <v>7023</v>
      </c>
      <c r="J761" s="157"/>
      <c r="K761" s="157"/>
      <c r="L761" s="157"/>
      <c r="M761" s="157"/>
      <c r="N761" s="152" t="s">
        <v>8395</v>
      </c>
    </row>
    <row r="762">
      <c r="A762" s="152" t="s">
        <v>8456</v>
      </c>
      <c r="B762" s="152" t="s">
        <v>8457</v>
      </c>
      <c r="C762" s="152">
        <v>1.0</v>
      </c>
      <c r="D762" s="154"/>
      <c r="E762" s="154"/>
      <c r="F762" s="154"/>
      <c r="G762" s="152" t="s">
        <v>8382</v>
      </c>
      <c r="H762" s="152" t="s">
        <v>8383</v>
      </c>
      <c r="I762" s="154"/>
      <c r="J762" s="152" t="s">
        <v>23</v>
      </c>
      <c r="K762" s="152">
        <v>489.0</v>
      </c>
      <c r="L762" s="154"/>
      <c r="M762" s="154"/>
      <c r="N762" s="152" t="s">
        <v>8384</v>
      </c>
    </row>
    <row r="763">
      <c r="A763" s="152" t="s">
        <v>8456</v>
      </c>
      <c r="B763" s="152" t="s">
        <v>8457</v>
      </c>
      <c r="C763" s="152">
        <v>1.0</v>
      </c>
      <c r="D763" s="154"/>
      <c r="E763" s="154"/>
      <c r="F763" s="154"/>
      <c r="G763" s="152" t="s">
        <v>8382</v>
      </c>
      <c r="H763" s="152" t="s">
        <v>8385</v>
      </c>
      <c r="I763" s="154"/>
      <c r="J763" s="152" t="s">
        <v>23</v>
      </c>
      <c r="K763" s="152">
        <v>519.0</v>
      </c>
      <c r="L763" s="154"/>
      <c r="M763" s="154"/>
      <c r="N763" s="152" t="s">
        <v>8384</v>
      </c>
    </row>
    <row r="764">
      <c r="A764" s="152" t="s">
        <v>8456</v>
      </c>
      <c r="B764" s="152" t="s">
        <v>8457</v>
      </c>
      <c r="C764" s="152">
        <v>1.0</v>
      </c>
      <c r="D764" s="154"/>
      <c r="E764" s="154"/>
      <c r="F764" s="154"/>
      <c r="G764" s="152" t="s">
        <v>8382</v>
      </c>
      <c r="H764" s="152" t="s">
        <v>8386</v>
      </c>
      <c r="I764" s="154"/>
      <c r="J764" s="152" t="s">
        <v>23</v>
      </c>
      <c r="K764" s="152">
        <v>519.0</v>
      </c>
      <c r="L764" s="154"/>
      <c r="M764" s="154"/>
      <c r="N764" s="152" t="s">
        <v>8384</v>
      </c>
    </row>
    <row r="765">
      <c r="A765" s="152" t="s">
        <v>8456</v>
      </c>
      <c r="B765" s="152" t="s">
        <v>8457</v>
      </c>
      <c r="C765" s="152">
        <v>1.0</v>
      </c>
      <c r="D765" s="154"/>
      <c r="E765" s="154"/>
      <c r="F765" s="154"/>
      <c r="G765" s="152" t="s">
        <v>8382</v>
      </c>
      <c r="H765" s="152" t="s">
        <v>8387</v>
      </c>
      <c r="I765" s="154"/>
      <c r="J765" s="152" t="s">
        <v>23</v>
      </c>
      <c r="K765" s="152">
        <v>519.0</v>
      </c>
      <c r="L765" s="154"/>
      <c r="M765" s="154"/>
      <c r="N765" s="152" t="s">
        <v>8384</v>
      </c>
    </row>
    <row r="766">
      <c r="A766" s="152" t="s">
        <v>8456</v>
      </c>
      <c r="B766" s="152" t="s">
        <v>8457</v>
      </c>
      <c r="C766" s="152">
        <v>1.0</v>
      </c>
      <c r="D766" s="154"/>
      <c r="E766" s="154"/>
      <c r="F766" s="154"/>
      <c r="G766" s="152" t="s">
        <v>8382</v>
      </c>
      <c r="H766" s="152" t="s">
        <v>8388</v>
      </c>
      <c r="I766" s="154"/>
      <c r="J766" s="152" t="s">
        <v>23</v>
      </c>
      <c r="K766" s="152">
        <v>519.0</v>
      </c>
      <c r="L766" s="154"/>
      <c r="M766" s="154"/>
      <c r="N766" s="152" t="s">
        <v>8384</v>
      </c>
    </row>
    <row r="767">
      <c r="A767" s="152" t="s">
        <v>8456</v>
      </c>
      <c r="B767" s="152" t="s">
        <v>8457</v>
      </c>
      <c r="C767" s="152">
        <v>1.0</v>
      </c>
      <c r="D767" s="154"/>
      <c r="E767" s="154"/>
      <c r="F767" s="154"/>
      <c r="G767" s="152" t="s">
        <v>8382</v>
      </c>
      <c r="H767" s="152" t="s">
        <v>8389</v>
      </c>
      <c r="I767" s="154"/>
      <c r="J767" s="152" t="s">
        <v>23</v>
      </c>
      <c r="K767" s="152">
        <v>609.0</v>
      </c>
      <c r="L767" s="154"/>
      <c r="M767" s="154"/>
      <c r="N767" s="152" t="s">
        <v>8384</v>
      </c>
    </row>
    <row r="768">
      <c r="A768" s="152" t="s">
        <v>8456</v>
      </c>
      <c r="B768" s="152" t="s">
        <v>8457</v>
      </c>
      <c r="C768" s="152">
        <v>1.0</v>
      </c>
      <c r="D768" s="154"/>
      <c r="E768" s="154"/>
      <c r="F768" s="154"/>
      <c r="G768" s="152" t="s">
        <v>8382</v>
      </c>
      <c r="H768" s="152" t="s">
        <v>5767</v>
      </c>
      <c r="I768" s="154"/>
      <c r="J768" s="152" t="s">
        <v>23</v>
      </c>
      <c r="K768" s="152">
        <v>609.0</v>
      </c>
      <c r="L768" s="154"/>
      <c r="M768" s="154"/>
      <c r="N768" s="152" t="s">
        <v>8384</v>
      </c>
    </row>
    <row r="769">
      <c r="A769" s="152" t="s">
        <v>8456</v>
      </c>
      <c r="B769" s="152" t="s">
        <v>8457</v>
      </c>
      <c r="C769" s="152">
        <v>1.0</v>
      </c>
      <c r="D769" s="154"/>
      <c r="E769" s="154"/>
      <c r="F769" s="154"/>
      <c r="G769" s="152" t="s">
        <v>8382</v>
      </c>
      <c r="H769" s="152" t="s">
        <v>8390</v>
      </c>
      <c r="I769" s="154"/>
      <c r="J769" s="152" t="s">
        <v>23</v>
      </c>
      <c r="K769" s="152">
        <v>609.0</v>
      </c>
      <c r="L769" s="154"/>
      <c r="M769" s="154"/>
      <c r="N769" s="152" t="s">
        <v>8384</v>
      </c>
    </row>
    <row r="770">
      <c r="A770" s="152" t="s">
        <v>8456</v>
      </c>
      <c r="B770" s="152" t="s">
        <v>8457</v>
      </c>
      <c r="C770" s="152">
        <v>1.0</v>
      </c>
      <c r="D770" s="154"/>
      <c r="E770" s="154"/>
      <c r="F770" s="154"/>
      <c r="G770" s="152" t="s">
        <v>8382</v>
      </c>
      <c r="H770" s="152" t="s">
        <v>8391</v>
      </c>
      <c r="I770" s="154"/>
      <c r="J770" s="152" t="s">
        <v>23</v>
      </c>
      <c r="K770" s="152">
        <v>609.0</v>
      </c>
      <c r="L770" s="154"/>
      <c r="M770" s="154"/>
      <c r="N770" s="152" t="s">
        <v>8384</v>
      </c>
    </row>
    <row r="771">
      <c r="A771" s="152" t="s">
        <v>8456</v>
      </c>
      <c r="B771" s="152" t="s">
        <v>8457</v>
      </c>
      <c r="C771" s="152">
        <v>1.0</v>
      </c>
      <c r="D771" s="154"/>
      <c r="E771" s="154"/>
      <c r="F771" s="154"/>
      <c r="G771" s="152" t="s">
        <v>8382</v>
      </c>
      <c r="H771" s="152" t="s">
        <v>8392</v>
      </c>
      <c r="I771" s="154"/>
      <c r="J771" s="152" t="s">
        <v>23</v>
      </c>
      <c r="K771" s="152">
        <v>609.0</v>
      </c>
      <c r="L771" s="154"/>
      <c r="M771" s="154"/>
      <c r="N771" s="152" t="s">
        <v>8384</v>
      </c>
    </row>
    <row r="772">
      <c r="A772" s="152" t="s">
        <v>8456</v>
      </c>
      <c r="B772" s="152" t="s">
        <v>8457</v>
      </c>
      <c r="C772" s="152">
        <v>2.0</v>
      </c>
      <c r="D772" s="154"/>
      <c r="E772" s="152">
        <v>1.0</v>
      </c>
      <c r="F772" s="154"/>
      <c r="G772" s="152" t="s">
        <v>8393</v>
      </c>
      <c r="H772" s="152" t="s">
        <v>8394</v>
      </c>
      <c r="I772" s="152" t="s">
        <v>6862</v>
      </c>
      <c r="J772" s="154"/>
      <c r="K772" s="154"/>
      <c r="L772" s="154"/>
      <c r="M772" s="154"/>
      <c r="N772" s="152" t="s">
        <v>8395</v>
      </c>
    </row>
    <row r="773">
      <c r="A773" s="152" t="s">
        <v>8456</v>
      </c>
      <c r="B773" s="152" t="s">
        <v>8457</v>
      </c>
      <c r="C773" s="152">
        <v>2.0</v>
      </c>
      <c r="D773" s="154"/>
      <c r="E773" s="152">
        <v>1.0</v>
      </c>
      <c r="F773" s="154"/>
      <c r="G773" s="152" t="s">
        <v>8393</v>
      </c>
      <c r="H773" s="152" t="s">
        <v>8396</v>
      </c>
      <c r="I773" s="152" t="s">
        <v>6893</v>
      </c>
      <c r="J773" s="154"/>
      <c r="K773" s="154"/>
      <c r="L773" s="154"/>
      <c r="M773" s="154"/>
      <c r="N773" s="152" t="s">
        <v>8395</v>
      </c>
    </row>
    <row r="774">
      <c r="A774" s="152" t="s">
        <v>8456</v>
      </c>
      <c r="B774" s="152" t="s">
        <v>8457</v>
      </c>
      <c r="C774" s="152">
        <v>2.0</v>
      </c>
      <c r="D774" s="154"/>
      <c r="E774" s="152">
        <v>1.0</v>
      </c>
      <c r="F774" s="154"/>
      <c r="G774" s="152" t="s">
        <v>8393</v>
      </c>
      <c r="H774" s="152" t="s">
        <v>8397</v>
      </c>
      <c r="I774" s="152" t="s">
        <v>6796</v>
      </c>
      <c r="J774" s="154"/>
      <c r="K774" s="154"/>
      <c r="L774" s="154"/>
      <c r="M774" s="154"/>
      <c r="N774" s="152" t="s">
        <v>8395</v>
      </c>
    </row>
    <row r="775">
      <c r="A775" s="152" t="s">
        <v>8456</v>
      </c>
      <c r="B775" s="152" t="s">
        <v>8457</v>
      </c>
      <c r="C775" s="152">
        <v>2.0</v>
      </c>
      <c r="D775" s="154"/>
      <c r="E775" s="152">
        <v>1.0</v>
      </c>
      <c r="F775" s="154"/>
      <c r="G775" s="152" t="s">
        <v>8393</v>
      </c>
      <c r="H775" s="152" t="s">
        <v>8398</v>
      </c>
      <c r="I775" s="152" t="s">
        <v>6726</v>
      </c>
      <c r="J775" s="154"/>
      <c r="K775" s="154"/>
      <c r="L775" s="154"/>
      <c r="M775" s="154"/>
      <c r="N775" s="152" t="s">
        <v>8395</v>
      </c>
    </row>
    <row r="776">
      <c r="A776" s="152" t="s">
        <v>8456</v>
      </c>
      <c r="B776" s="152" t="s">
        <v>8457</v>
      </c>
      <c r="C776" s="152">
        <v>2.0</v>
      </c>
      <c r="D776" s="154"/>
      <c r="E776" s="152">
        <v>1.0</v>
      </c>
      <c r="F776" s="154"/>
      <c r="G776" s="152" t="s">
        <v>8393</v>
      </c>
      <c r="H776" s="152" t="s">
        <v>8399</v>
      </c>
      <c r="I776" s="152" t="s">
        <v>6924</v>
      </c>
      <c r="J776" s="154"/>
      <c r="K776" s="154"/>
      <c r="L776" s="154"/>
      <c r="M776" s="154"/>
      <c r="N776" s="152" t="s">
        <v>8395</v>
      </c>
    </row>
    <row r="777">
      <c r="A777" s="152" t="s">
        <v>8456</v>
      </c>
      <c r="B777" s="152" t="s">
        <v>8457</v>
      </c>
      <c r="C777" s="152">
        <v>2.0</v>
      </c>
      <c r="D777" s="154"/>
      <c r="E777" s="152">
        <v>1.0</v>
      </c>
      <c r="F777" s="154"/>
      <c r="G777" s="152" t="s">
        <v>8393</v>
      </c>
      <c r="H777" s="152" t="s">
        <v>8400</v>
      </c>
      <c r="I777" s="152" t="s">
        <v>6893</v>
      </c>
      <c r="J777" s="154"/>
      <c r="K777" s="154"/>
      <c r="L777" s="154"/>
      <c r="M777" s="154"/>
      <c r="N777" s="152" t="s">
        <v>8395</v>
      </c>
    </row>
    <row r="778">
      <c r="A778" s="152" t="s">
        <v>8456</v>
      </c>
      <c r="B778" s="152" t="s">
        <v>8457</v>
      </c>
      <c r="C778" s="152">
        <v>2.0</v>
      </c>
      <c r="D778" s="154"/>
      <c r="E778" s="152">
        <v>1.0</v>
      </c>
      <c r="F778" s="154"/>
      <c r="G778" s="152" t="s">
        <v>8393</v>
      </c>
      <c r="H778" s="152" t="s">
        <v>8401</v>
      </c>
      <c r="I778" s="152" t="s">
        <v>6796</v>
      </c>
      <c r="J778" s="154"/>
      <c r="K778" s="154"/>
      <c r="L778" s="154"/>
      <c r="M778" s="154"/>
      <c r="N778" s="152" t="s">
        <v>8395</v>
      </c>
    </row>
    <row r="779">
      <c r="A779" s="152" t="s">
        <v>8456</v>
      </c>
      <c r="B779" s="152" t="s">
        <v>8457</v>
      </c>
      <c r="C779" s="152">
        <v>2.0</v>
      </c>
      <c r="D779" s="154"/>
      <c r="E779" s="152">
        <v>1.0</v>
      </c>
      <c r="F779" s="154"/>
      <c r="G779" s="152" t="s">
        <v>8393</v>
      </c>
      <c r="H779" s="152" t="s">
        <v>8402</v>
      </c>
      <c r="I779" s="152" t="s">
        <v>6831</v>
      </c>
      <c r="J779" s="154"/>
      <c r="K779" s="154"/>
      <c r="L779" s="154"/>
      <c r="M779" s="154"/>
      <c r="N779" s="152" t="s">
        <v>8395</v>
      </c>
    </row>
    <row r="780">
      <c r="A780" s="152" t="s">
        <v>8456</v>
      </c>
      <c r="B780" s="152" t="s">
        <v>8457</v>
      </c>
      <c r="C780" s="152">
        <v>2.0</v>
      </c>
      <c r="D780" s="154"/>
      <c r="E780" s="152">
        <v>1.0</v>
      </c>
      <c r="F780" s="154"/>
      <c r="G780" s="152" t="s">
        <v>8393</v>
      </c>
      <c r="H780" s="152" t="s">
        <v>8403</v>
      </c>
      <c r="I780" s="152" t="s">
        <v>6836</v>
      </c>
      <c r="J780" s="154"/>
      <c r="K780" s="154"/>
      <c r="L780" s="154"/>
      <c r="M780" s="154"/>
      <c r="N780" s="152" t="s">
        <v>8395</v>
      </c>
    </row>
    <row r="781">
      <c r="A781" s="152" t="s">
        <v>8456</v>
      </c>
      <c r="B781" s="152" t="s">
        <v>8457</v>
      </c>
      <c r="C781" s="152">
        <v>2.0</v>
      </c>
      <c r="D781" s="154"/>
      <c r="E781" s="152">
        <v>1.0</v>
      </c>
      <c r="F781" s="154"/>
      <c r="G781" s="152" t="s">
        <v>8393</v>
      </c>
      <c r="H781" s="152" t="s">
        <v>8404</v>
      </c>
      <c r="I781" s="152" t="s">
        <v>8405</v>
      </c>
      <c r="J781" s="154"/>
      <c r="K781" s="154"/>
      <c r="L781" s="154"/>
      <c r="M781" s="154"/>
      <c r="N781" s="152" t="s">
        <v>8395</v>
      </c>
    </row>
    <row r="782">
      <c r="A782" s="152" t="s">
        <v>8458</v>
      </c>
      <c r="B782" s="152" t="s">
        <v>8459</v>
      </c>
      <c r="C782" s="152">
        <v>1.0</v>
      </c>
      <c r="D782" s="154"/>
      <c r="E782" s="154"/>
      <c r="F782" s="154"/>
      <c r="G782" s="152" t="s">
        <v>8382</v>
      </c>
      <c r="H782" s="152" t="s">
        <v>8383</v>
      </c>
      <c r="I782" s="154"/>
      <c r="J782" s="152" t="s">
        <v>23</v>
      </c>
      <c r="K782" s="152">
        <v>869.0</v>
      </c>
      <c r="L782" s="154"/>
      <c r="M782" s="154"/>
      <c r="N782" s="152" t="s">
        <v>8384</v>
      </c>
    </row>
    <row r="783">
      <c r="A783" s="152" t="s">
        <v>8458</v>
      </c>
      <c r="B783" s="152" t="s">
        <v>8459</v>
      </c>
      <c r="C783" s="152">
        <v>1.0</v>
      </c>
      <c r="D783" s="154"/>
      <c r="E783" s="154"/>
      <c r="F783" s="154"/>
      <c r="G783" s="152" t="s">
        <v>8382</v>
      </c>
      <c r="H783" s="152" t="s">
        <v>8385</v>
      </c>
      <c r="I783" s="154"/>
      <c r="J783" s="152" t="s">
        <v>23</v>
      </c>
      <c r="K783" s="152">
        <v>939.0</v>
      </c>
      <c r="L783" s="154"/>
      <c r="M783" s="154"/>
      <c r="N783" s="152" t="s">
        <v>8384</v>
      </c>
    </row>
    <row r="784">
      <c r="A784" s="152" t="s">
        <v>8458</v>
      </c>
      <c r="B784" s="152" t="s">
        <v>8459</v>
      </c>
      <c r="C784" s="152">
        <v>1.0</v>
      </c>
      <c r="D784" s="154"/>
      <c r="E784" s="154"/>
      <c r="F784" s="154"/>
      <c r="G784" s="152" t="s">
        <v>8382</v>
      </c>
      <c r="H784" s="152" t="s">
        <v>8386</v>
      </c>
      <c r="I784" s="154"/>
      <c r="J784" s="152" t="s">
        <v>23</v>
      </c>
      <c r="K784" s="152">
        <v>939.0</v>
      </c>
      <c r="L784" s="154"/>
      <c r="M784" s="154"/>
      <c r="N784" s="152" t="s">
        <v>8384</v>
      </c>
    </row>
    <row r="785">
      <c r="A785" s="152" t="s">
        <v>8458</v>
      </c>
      <c r="B785" s="152" t="s">
        <v>8459</v>
      </c>
      <c r="C785" s="152">
        <v>1.0</v>
      </c>
      <c r="D785" s="154"/>
      <c r="E785" s="154"/>
      <c r="F785" s="154"/>
      <c r="G785" s="152" t="s">
        <v>8382</v>
      </c>
      <c r="H785" s="152" t="s">
        <v>8387</v>
      </c>
      <c r="I785" s="154"/>
      <c r="J785" s="152" t="s">
        <v>23</v>
      </c>
      <c r="K785" s="152">
        <v>939.0</v>
      </c>
      <c r="L785" s="154"/>
      <c r="M785" s="154"/>
      <c r="N785" s="152" t="s">
        <v>8384</v>
      </c>
    </row>
    <row r="786">
      <c r="A786" s="152" t="s">
        <v>8458</v>
      </c>
      <c r="B786" s="152" t="s">
        <v>8459</v>
      </c>
      <c r="C786" s="152">
        <v>1.0</v>
      </c>
      <c r="D786" s="154"/>
      <c r="E786" s="154"/>
      <c r="F786" s="154"/>
      <c r="G786" s="152" t="s">
        <v>8382</v>
      </c>
      <c r="H786" s="152" t="s">
        <v>8388</v>
      </c>
      <c r="I786" s="154"/>
      <c r="J786" s="152" t="s">
        <v>23</v>
      </c>
      <c r="K786" s="152">
        <v>939.0</v>
      </c>
      <c r="L786" s="154"/>
      <c r="M786" s="154"/>
      <c r="N786" s="152" t="s">
        <v>8384</v>
      </c>
    </row>
    <row r="787">
      <c r="A787" s="152" t="s">
        <v>8458</v>
      </c>
      <c r="B787" s="152" t="s">
        <v>8459</v>
      </c>
      <c r="C787" s="152">
        <v>1.0</v>
      </c>
      <c r="D787" s="154"/>
      <c r="E787" s="154"/>
      <c r="F787" s="154"/>
      <c r="G787" s="152" t="s">
        <v>8382</v>
      </c>
      <c r="H787" s="152" t="s">
        <v>8389</v>
      </c>
      <c r="I787" s="154"/>
      <c r="J787" s="152" t="s">
        <v>23</v>
      </c>
      <c r="K787" s="152">
        <v>1089.0</v>
      </c>
      <c r="L787" s="154"/>
      <c r="M787" s="154"/>
      <c r="N787" s="152" t="s">
        <v>8384</v>
      </c>
    </row>
    <row r="788">
      <c r="A788" s="152" t="s">
        <v>8458</v>
      </c>
      <c r="B788" s="152" t="s">
        <v>8459</v>
      </c>
      <c r="C788" s="152">
        <v>1.0</v>
      </c>
      <c r="D788" s="154"/>
      <c r="E788" s="154"/>
      <c r="F788" s="154"/>
      <c r="G788" s="152" t="s">
        <v>8382</v>
      </c>
      <c r="H788" s="152" t="s">
        <v>5767</v>
      </c>
      <c r="I788" s="154"/>
      <c r="J788" s="152" t="s">
        <v>23</v>
      </c>
      <c r="K788" s="152">
        <v>1089.0</v>
      </c>
      <c r="L788" s="154"/>
      <c r="M788" s="154"/>
      <c r="N788" s="152" t="s">
        <v>8384</v>
      </c>
    </row>
    <row r="789">
      <c r="A789" s="152" t="s">
        <v>8458</v>
      </c>
      <c r="B789" s="152" t="s">
        <v>8459</v>
      </c>
      <c r="C789" s="152">
        <v>1.0</v>
      </c>
      <c r="D789" s="154"/>
      <c r="E789" s="154"/>
      <c r="F789" s="154"/>
      <c r="G789" s="152" t="s">
        <v>8382</v>
      </c>
      <c r="H789" s="152" t="s">
        <v>8390</v>
      </c>
      <c r="I789" s="154"/>
      <c r="J789" s="152" t="s">
        <v>23</v>
      </c>
      <c r="K789" s="152">
        <v>1089.0</v>
      </c>
      <c r="L789" s="154"/>
      <c r="M789" s="154"/>
      <c r="N789" s="152" t="s">
        <v>8384</v>
      </c>
    </row>
    <row r="790">
      <c r="A790" s="152" t="s">
        <v>8458</v>
      </c>
      <c r="B790" s="152" t="s">
        <v>8459</v>
      </c>
      <c r="C790" s="152">
        <v>1.0</v>
      </c>
      <c r="D790" s="154"/>
      <c r="E790" s="154"/>
      <c r="F790" s="154"/>
      <c r="G790" s="152" t="s">
        <v>8382</v>
      </c>
      <c r="H790" s="152" t="s">
        <v>8391</v>
      </c>
      <c r="I790" s="154"/>
      <c r="J790" s="152" t="s">
        <v>23</v>
      </c>
      <c r="K790" s="152">
        <v>1089.0</v>
      </c>
      <c r="L790" s="154"/>
      <c r="M790" s="154"/>
      <c r="N790" s="152" t="s">
        <v>8384</v>
      </c>
    </row>
    <row r="791">
      <c r="A791" s="152" t="s">
        <v>8458</v>
      </c>
      <c r="B791" s="152" t="s">
        <v>8459</v>
      </c>
      <c r="C791" s="152">
        <v>1.0</v>
      </c>
      <c r="D791" s="154"/>
      <c r="E791" s="154"/>
      <c r="F791" s="154"/>
      <c r="G791" s="152" t="s">
        <v>8382</v>
      </c>
      <c r="H791" s="152" t="s">
        <v>8392</v>
      </c>
      <c r="I791" s="154"/>
      <c r="J791" s="152" t="s">
        <v>23</v>
      </c>
      <c r="K791" s="152">
        <v>1089.0</v>
      </c>
      <c r="L791" s="154"/>
      <c r="M791" s="154"/>
      <c r="N791" s="152" t="s">
        <v>8384</v>
      </c>
    </row>
    <row r="792">
      <c r="A792" s="152" t="s">
        <v>8458</v>
      </c>
      <c r="B792" s="152" t="s">
        <v>8459</v>
      </c>
      <c r="C792" s="152">
        <v>2.0</v>
      </c>
      <c r="D792" s="154"/>
      <c r="E792" s="152">
        <v>1.0</v>
      </c>
      <c r="F792" s="154"/>
      <c r="G792" s="152" t="s">
        <v>8393</v>
      </c>
      <c r="H792" s="152" t="s">
        <v>8394</v>
      </c>
      <c r="I792" s="152" t="s">
        <v>6862</v>
      </c>
      <c r="J792" s="154"/>
      <c r="K792" s="154"/>
      <c r="L792" s="154"/>
      <c r="M792" s="154"/>
      <c r="N792" s="152" t="s">
        <v>8395</v>
      </c>
    </row>
    <row r="793">
      <c r="A793" s="152" t="s">
        <v>8458</v>
      </c>
      <c r="B793" s="152" t="s">
        <v>8459</v>
      </c>
      <c r="C793" s="152">
        <v>2.0</v>
      </c>
      <c r="D793" s="154"/>
      <c r="E793" s="152">
        <v>1.0</v>
      </c>
      <c r="F793" s="154"/>
      <c r="G793" s="152" t="s">
        <v>8393</v>
      </c>
      <c r="H793" s="152" t="s">
        <v>8396</v>
      </c>
      <c r="I793" s="152" t="s">
        <v>6893</v>
      </c>
      <c r="J793" s="154"/>
      <c r="K793" s="154"/>
      <c r="L793" s="154"/>
      <c r="M793" s="154"/>
      <c r="N793" s="152" t="s">
        <v>8395</v>
      </c>
    </row>
    <row r="794">
      <c r="A794" s="152" t="s">
        <v>8458</v>
      </c>
      <c r="B794" s="152" t="s">
        <v>8459</v>
      </c>
      <c r="C794" s="152">
        <v>2.0</v>
      </c>
      <c r="D794" s="154"/>
      <c r="E794" s="152">
        <v>1.0</v>
      </c>
      <c r="F794" s="154"/>
      <c r="G794" s="152" t="s">
        <v>8393</v>
      </c>
      <c r="H794" s="152" t="s">
        <v>8397</v>
      </c>
      <c r="I794" s="152" t="s">
        <v>6796</v>
      </c>
      <c r="J794" s="154"/>
      <c r="K794" s="154"/>
      <c r="L794" s="154"/>
      <c r="M794" s="154"/>
      <c r="N794" s="152" t="s">
        <v>8395</v>
      </c>
    </row>
    <row r="795">
      <c r="A795" s="152" t="s">
        <v>8458</v>
      </c>
      <c r="B795" s="152" t="s">
        <v>8459</v>
      </c>
      <c r="C795" s="152">
        <v>2.0</v>
      </c>
      <c r="D795" s="154"/>
      <c r="E795" s="152">
        <v>1.0</v>
      </c>
      <c r="F795" s="154"/>
      <c r="G795" s="152" t="s">
        <v>8393</v>
      </c>
      <c r="H795" s="152" t="s">
        <v>8398</v>
      </c>
      <c r="I795" s="152" t="s">
        <v>6726</v>
      </c>
      <c r="J795" s="154"/>
      <c r="K795" s="154"/>
      <c r="L795" s="154"/>
      <c r="M795" s="154"/>
      <c r="N795" s="152" t="s">
        <v>8395</v>
      </c>
    </row>
    <row r="796">
      <c r="A796" s="152" t="s">
        <v>8458</v>
      </c>
      <c r="B796" s="152" t="s">
        <v>8459</v>
      </c>
      <c r="C796" s="152">
        <v>2.0</v>
      </c>
      <c r="D796" s="154"/>
      <c r="E796" s="152">
        <v>1.0</v>
      </c>
      <c r="F796" s="154"/>
      <c r="G796" s="152" t="s">
        <v>8393</v>
      </c>
      <c r="H796" s="152" t="s">
        <v>8399</v>
      </c>
      <c r="I796" s="152" t="s">
        <v>6924</v>
      </c>
      <c r="J796" s="154"/>
      <c r="K796" s="154"/>
      <c r="L796" s="154"/>
      <c r="M796" s="154"/>
      <c r="N796" s="152" t="s">
        <v>8395</v>
      </c>
    </row>
    <row r="797">
      <c r="A797" s="152" t="s">
        <v>8458</v>
      </c>
      <c r="B797" s="152" t="s">
        <v>8459</v>
      </c>
      <c r="C797" s="152">
        <v>2.0</v>
      </c>
      <c r="D797" s="154"/>
      <c r="E797" s="152">
        <v>1.0</v>
      </c>
      <c r="F797" s="154"/>
      <c r="G797" s="152" t="s">
        <v>8393</v>
      </c>
      <c r="H797" s="152" t="s">
        <v>8400</v>
      </c>
      <c r="I797" s="152" t="s">
        <v>6893</v>
      </c>
      <c r="J797" s="154"/>
      <c r="K797" s="154"/>
      <c r="L797" s="154"/>
      <c r="M797" s="154"/>
      <c r="N797" s="152" t="s">
        <v>8395</v>
      </c>
    </row>
    <row r="798">
      <c r="A798" s="152" t="s">
        <v>8458</v>
      </c>
      <c r="B798" s="152" t="s">
        <v>8459</v>
      </c>
      <c r="C798" s="152">
        <v>2.0</v>
      </c>
      <c r="D798" s="154"/>
      <c r="E798" s="152">
        <v>1.0</v>
      </c>
      <c r="F798" s="154"/>
      <c r="G798" s="152" t="s">
        <v>8393</v>
      </c>
      <c r="H798" s="152" t="s">
        <v>8401</v>
      </c>
      <c r="I798" s="152" t="s">
        <v>6796</v>
      </c>
      <c r="J798" s="154"/>
      <c r="K798" s="154"/>
      <c r="L798" s="154"/>
      <c r="M798" s="154"/>
      <c r="N798" s="152" t="s">
        <v>8395</v>
      </c>
    </row>
    <row r="799">
      <c r="A799" s="152" t="s">
        <v>8458</v>
      </c>
      <c r="B799" s="152" t="s">
        <v>8459</v>
      </c>
      <c r="C799" s="152">
        <v>2.0</v>
      </c>
      <c r="D799" s="154"/>
      <c r="E799" s="152">
        <v>1.0</v>
      </c>
      <c r="F799" s="154"/>
      <c r="G799" s="152" t="s">
        <v>8393</v>
      </c>
      <c r="H799" s="152" t="s">
        <v>8402</v>
      </c>
      <c r="I799" s="152" t="s">
        <v>6831</v>
      </c>
      <c r="J799" s="154"/>
      <c r="K799" s="154"/>
      <c r="L799" s="154"/>
      <c r="M799" s="154"/>
      <c r="N799" s="152" t="s">
        <v>8395</v>
      </c>
    </row>
    <row r="800">
      <c r="A800" s="152" t="s">
        <v>8458</v>
      </c>
      <c r="B800" s="152" t="s">
        <v>8459</v>
      </c>
      <c r="C800" s="152">
        <v>2.0</v>
      </c>
      <c r="D800" s="154"/>
      <c r="E800" s="152">
        <v>1.0</v>
      </c>
      <c r="F800" s="154"/>
      <c r="G800" s="152" t="s">
        <v>8393</v>
      </c>
      <c r="H800" s="152" t="s">
        <v>8403</v>
      </c>
      <c r="I800" s="152" t="s">
        <v>6836</v>
      </c>
      <c r="J800" s="154"/>
      <c r="K800" s="154"/>
      <c r="L800" s="154"/>
      <c r="M800" s="154"/>
      <c r="N800" s="152" t="s">
        <v>8395</v>
      </c>
    </row>
    <row r="801">
      <c r="A801" s="152" t="s">
        <v>8458</v>
      </c>
      <c r="B801" s="152" t="s">
        <v>8459</v>
      </c>
      <c r="C801" s="152">
        <v>2.0</v>
      </c>
      <c r="D801" s="154"/>
      <c r="E801" s="152">
        <v>1.0</v>
      </c>
      <c r="F801" s="154"/>
      <c r="G801" s="152" t="s">
        <v>8393</v>
      </c>
      <c r="H801" s="152" t="s">
        <v>8404</v>
      </c>
      <c r="I801" s="152" t="s">
        <v>8405</v>
      </c>
      <c r="J801" s="154"/>
      <c r="K801" s="154"/>
      <c r="L801" s="154"/>
      <c r="M801" s="154"/>
      <c r="N801" s="152" t="s">
        <v>8395</v>
      </c>
    </row>
    <row r="802">
      <c r="A802" s="152" t="s">
        <v>8458</v>
      </c>
      <c r="B802" s="152" t="s">
        <v>8459</v>
      </c>
      <c r="C802" s="152">
        <v>3.0</v>
      </c>
      <c r="D802" s="154"/>
      <c r="E802" s="154"/>
      <c r="F802" s="154"/>
      <c r="G802" s="152" t="s">
        <v>8436</v>
      </c>
      <c r="H802" s="155" t="s">
        <v>8407</v>
      </c>
      <c r="I802" s="154"/>
      <c r="J802" s="157"/>
      <c r="K802" s="157"/>
      <c r="L802" s="157"/>
      <c r="M802" s="157"/>
      <c r="N802" s="152" t="s">
        <v>8384</v>
      </c>
    </row>
    <row r="803">
      <c r="A803" s="152" t="s">
        <v>8458</v>
      </c>
      <c r="B803" s="152" t="s">
        <v>8459</v>
      </c>
      <c r="C803" s="152">
        <v>3.0</v>
      </c>
      <c r="D803" s="154"/>
      <c r="E803" s="154"/>
      <c r="F803" s="154"/>
      <c r="G803" s="152" t="s">
        <v>8436</v>
      </c>
      <c r="H803" s="155" t="s">
        <v>8408</v>
      </c>
      <c r="I803" s="154"/>
      <c r="J803" s="157"/>
      <c r="K803" s="157"/>
      <c r="L803" s="157"/>
      <c r="M803" s="157"/>
      <c r="N803" s="152" t="s">
        <v>8384</v>
      </c>
    </row>
    <row r="804">
      <c r="A804" s="152" t="s">
        <v>8458</v>
      </c>
      <c r="B804" s="152" t="s">
        <v>8459</v>
      </c>
      <c r="C804" s="152">
        <v>3.0</v>
      </c>
      <c r="D804" s="154"/>
      <c r="E804" s="154"/>
      <c r="F804" s="154"/>
      <c r="G804" s="152" t="s">
        <v>8436</v>
      </c>
      <c r="H804" s="155" t="s">
        <v>8409</v>
      </c>
      <c r="I804" s="154"/>
      <c r="J804" s="157"/>
      <c r="K804" s="157"/>
      <c r="L804" s="157"/>
      <c r="M804" s="157"/>
      <c r="N804" s="152" t="s">
        <v>8384</v>
      </c>
    </row>
    <row r="805">
      <c r="A805" s="152" t="s">
        <v>8458</v>
      </c>
      <c r="B805" s="152" t="s">
        <v>8459</v>
      </c>
      <c r="C805" s="152">
        <v>3.0</v>
      </c>
      <c r="D805" s="154"/>
      <c r="E805" s="154"/>
      <c r="F805" s="154"/>
      <c r="G805" s="152" t="s">
        <v>8436</v>
      </c>
      <c r="H805" s="155" t="s">
        <v>8410</v>
      </c>
      <c r="I805" s="154"/>
      <c r="J805" s="157"/>
      <c r="K805" s="157"/>
      <c r="L805" s="157"/>
      <c r="M805" s="157"/>
      <c r="N805" s="152" t="s">
        <v>8384</v>
      </c>
    </row>
    <row r="806">
      <c r="A806" s="152" t="s">
        <v>8458</v>
      </c>
      <c r="B806" s="152" t="s">
        <v>8459</v>
      </c>
      <c r="C806" s="152">
        <v>3.0</v>
      </c>
      <c r="D806" s="154"/>
      <c r="E806" s="154"/>
      <c r="F806" s="154"/>
      <c r="G806" s="152" t="s">
        <v>8436</v>
      </c>
      <c r="H806" s="155" t="s">
        <v>8411</v>
      </c>
      <c r="I806" s="154"/>
      <c r="J806" s="157"/>
      <c r="K806" s="157"/>
      <c r="L806" s="157"/>
      <c r="M806" s="157"/>
      <c r="N806" s="152" t="s">
        <v>8384</v>
      </c>
    </row>
    <row r="807">
      <c r="A807" s="152" t="s">
        <v>8458</v>
      </c>
      <c r="B807" s="152" t="s">
        <v>8459</v>
      </c>
      <c r="C807" s="152">
        <v>3.0</v>
      </c>
      <c r="D807" s="154"/>
      <c r="E807" s="154"/>
      <c r="F807" s="154"/>
      <c r="G807" s="152" t="s">
        <v>8436</v>
      </c>
      <c r="H807" s="155" t="s">
        <v>8412</v>
      </c>
      <c r="I807" s="154"/>
      <c r="J807" s="157"/>
      <c r="K807" s="157"/>
      <c r="L807" s="157"/>
      <c r="M807" s="157"/>
      <c r="N807" s="152" t="s">
        <v>8384</v>
      </c>
    </row>
    <row r="808">
      <c r="A808" s="152" t="s">
        <v>8458</v>
      </c>
      <c r="B808" s="152" t="s">
        <v>8459</v>
      </c>
      <c r="C808" s="152">
        <v>3.0</v>
      </c>
      <c r="D808" s="154"/>
      <c r="E808" s="154"/>
      <c r="F808" s="154"/>
      <c r="G808" s="152" t="s">
        <v>8436</v>
      </c>
      <c r="H808" s="155" t="s">
        <v>8413</v>
      </c>
      <c r="I808" s="154"/>
      <c r="J808" s="157"/>
      <c r="K808" s="157"/>
      <c r="L808" s="157"/>
      <c r="M808" s="157"/>
      <c r="N808" s="152" t="s">
        <v>8384</v>
      </c>
    </row>
    <row r="809">
      <c r="A809" s="152" t="s">
        <v>8458</v>
      </c>
      <c r="B809" s="152" t="s">
        <v>8459</v>
      </c>
      <c r="C809" s="152">
        <v>3.0</v>
      </c>
      <c r="D809" s="154"/>
      <c r="E809" s="154"/>
      <c r="F809" s="154"/>
      <c r="G809" s="152" t="s">
        <v>8436</v>
      </c>
      <c r="H809" s="155" t="s">
        <v>8414</v>
      </c>
      <c r="I809" s="154"/>
      <c r="J809" s="157"/>
      <c r="K809" s="157"/>
      <c r="L809" s="157"/>
      <c r="M809" s="157"/>
      <c r="N809" s="152" t="s">
        <v>8384</v>
      </c>
    </row>
    <row r="810">
      <c r="A810" s="152" t="s">
        <v>8458</v>
      </c>
      <c r="B810" s="152" t="s">
        <v>8459</v>
      </c>
      <c r="C810" s="152">
        <v>3.0</v>
      </c>
      <c r="D810" s="154"/>
      <c r="E810" s="154"/>
      <c r="F810" s="154"/>
      <c r="G810" s="152" t="s">
        <v>8436</v>
      </c>
      <c r="H810" s="155" t="s">
        <v>8415</v>
      </c>
      <c r="I810" s="154"/>
      <c r="J810" s="157"/>
      <c r="K810" s="157"/>
      <c r="L810" s="157"/>
      <c r="M810" s="157"/>
      <c r="N810" s="152" t="s">
        <v>8384</v>
      </c>
    </row>
    <row r="811">
      <c r="A811" s="152" t="s">
        <v>8458</v>
      </c>
      <c r="B811" s="152" t="s">
        <v>8459</v>
      </c>
      <c r="C811" s="152">
        <v>3.0</v>
      </c>
      <c r="D811" s="154"/>
      <c r="E811" s="154"/>
      <c r="F811" s="154"/>
      <c r="G811" s="152" t="s">
        <v>8436</v>
      </c>
      <c r="H811" s="155" t="s">
        <v>8416</v>
      </c>
      <c r="I811" s="154"/>
      <c r="J811" s="157"/>
      <c r="K811" s="157"/>
      <c r="L811" s="157"/>
      <c r="M811" s="157"/>
      <c r="N811" s="152" t="s">
        <v>8384</v>
      </c>
    </row>
    <row r="812">
      <c r="A812" s="152" t="s">
        <v>8458</v>
      </c>
      <c r="B812" s="152" t="s">
        <v>8459</v>
      </c>
      <c r="C812" s="152">
        <v>4.0</v>
      </c>
      <c r="D812" s="154"/>
      <c r="E812" s="152">
        <v>3.0</v>
      </c>
      <c r="F812" s="154"/>
      <c r="G812" s="152" t="s">
        <v>8436</v>
      </c>
      <c r="H812" s="155" t="s">
        <v>8417</v>
      </c>
      <c r="I812" s="155" t="s">
        <v>6507</v>
      </c>
      <c r="J812" s="157"/>
      <c r="K812" s="157"/>
      <c r="L812" s="157"/>
      <c r="M812" s="157"/>
      <c r="N812" s="152" t="s">
        <v>8395</v>
      </c>
    </row>
    <row r="813">
      <c r="A813" s="152" t="s">
        <v>8458</v>
      </c>
      <c r="B813" s="152" t="s">
        <v>8459</v>
      </c>
      <c r="C813" s="152">
        <v>4.0</v>
      </c>
      <c r="D813" s="154"/>
      <c r="E813" s="152">
        <v>3.0</v>
      </c>
      <c r="F813" s="154"/>
      <c r="G813" s="152" t="s">
        <v>8436</v>
      </c>
      <c r="H813" s="155" t="s">
        <v>8418</v>
      </c>
      <c r="I813" s="155" t="s">
        <v>6492</v>
      </c>
      <c r="J813" s="157"/>
      <c r="K813" s="157"/>
      <c r="L813" s="157"/>
      <c r="M813" s="157"/>
      <c r="N813" s="152" t="s">
        <v>8395</v>
      </c>
    </row>
    <row r="814">
      <c r="A814" s="152" t="s">
        <v>8458</v>
      </c>
      <c r="B814" s="152" t="s">
        <v>8459</v>
      </c>
      <c r="C814" s="152">
        <v>4.0</v>
      </c>
      <c r="D814" s="154"/>
      <c r="E814" s="152">
        <v>3.0</v>
      </c>
      <c r="F814" s="154"/>
      <c r="G814" s="152" t="s">
        <v>8436</v>
      </c>
      <c r="H814" s="155" t="s">
        <v>8419</v>
      </c>
      <c r="I814" s="155" t="s">
        <v>6978</v>
      </c>
      <c r="J814" s="157"/>
      <c r="K814" s="157"/>
      <c r="L814" s="157"/>
      <c r="M814" s="157"/>
      <c r="N814" s="152" t="s">
        <v>8395</v>
      </c>
    </row>
    <row r="815">
      <c r="A815" s="152" t="s">
        <v>8458</v>
      </c>
      <c r="B815" s="152" t="s">
        <v>8459</v>
      </c>
      <c r="C815" s="152">
        <v>4.0</v>
      </c>
      <c r="D815" s="154"/>
      <c r="E815" s="152">
        <v>3.0</v>
      </c>
      <c r="F815" s="154"/>
      <c r="G815" s="152" t="s">
        <v>8436</v>
      </c>
      <c r="H815" s="155" t="s">
        <v>8420</v>
      </c>
      <c r="I815" s="155" t="s">
        <v>6936</v>
      </c>
      <c r="J815" s="157"/>
      <c r="K815" s="157"/>
      <c r="L815" s="157"/>
      <c r="M815" s="157"/>
      <c r="N815" s="152" t="s">
        <v>8395</v>
      </c>
    </row>
    <row r="816">
      <c r="A816" s="152" t="s">
        <v>8458</v>
      </c>
      <c r="B816" s="152" t="s">
        <v>8459</v>
      </c>
      <c r="C816" s="152">
        <v>4.0</v>
      </c>
      <c r="D816" s="154"/>
      <c r="E816" s="152">
        <v>3.0</v>
      </c>
      <c r="F816" s="154"/>
      <c r="G816" s="152" t="s">
        <v>8436</v>
      </c>
      <c r="H816" s="155" t="s">
        <v>8421</v>
      </c>
      <c r="I816" s="155" t="s">
        <v>6620</v>
      </c>
      <c r="J816" s="157"/>
      <c r="K816" s="157"/>
      <c r="L816" s="157"/>
      <c r="M816" s="157"/>
      <c r="N816" s="152" t="s">
        <v>8395</v>
      </c>
    </row>
    <row r="817">
      <c r="A817" s="152" t="s">
        <v>8458</v>
      </c>
      <c r="B817" s="152" t="s">
        <v>8459</v>
      </c>
      <c r="C817" s="152">
        <v>4.0</v>
      </c>
      <c r="D817" s="154"/>
      <c r="E817" s="152">
        <v>3.0</v>
      </c>
      <c r="F817" s="154"/>
      <c r="G817" s="152" t="s">
        <v>8436</v>
      </c>
      <c r="H817" s="155" t="s">
        <v>8422</v>
      </c>
      <c r="I817" s="155" t="s">
        <v>6563</v>
      </c>
      <c r="J817" s="157"/>
      <c r="K817" s="157"/>
      <c r="L817" s="157"/>
      <c r="M817" s="157"/>
      <c r="N817" s="152" t="s">
        <v>8395</v>
      </c>
    </row>
    <row r="818">
      <c r="A818" s="152" t="s">
        <v>8458</v>
      </c>
      <c r="B818" s="152" t="s">
        <v>8459</v>
      </c>
      <c r="C818" s="152">
        <v>4.0</v>
      </c>
      <c r="D818" s="154"/>
      <c r="E818" s="152">
        <v>3.0</v>
      </c>
      <c r="F818" s="154"/>
      <c r="G818" s="152" t="s">
        <v>8436</v>
      </c>
      <c r="H818" s="155" t="s">
        <v>8423</v>
      </c>
      <c r="I818" s="155" t="s">
        <v>6701</v>
      </c>
      <c r="J818" s="157"/>
      <c r="K818" s="157"/>
      <c r="L818" s="157"/>
      <c r="M818" s="157"/>
      <c r="N818" s="152" t="s">
        <v>8395</v>
      </c>
    </row>
    <row r="819">
      <c r="A819" s="152" t="s">
        <v>8458</v>
      </c>
      <c r="B819" s="152" t="s">
        <v>8459</v>
      </c>
      <c r="C819" s="152">
        <v>4.0</v>
      </c>
      <c r="D819" s="154"/>
      <c r="E819" s="152">
        <v>3.0</v>
      </c>
      <c r="F819" s="154"/>
      <c r="G819" s="152" t="s">
        <v>8436</v>
      </c>
      <c r="H819" s="155" t="s">
        <v>8424</v>
      </c>
      <c r="I819" s="155" t="s">
        <v>6684</v>
      </c>
      <c r="J819" s="157"/>
      <c r="K819" s="157"/>
      <c r="L819" s="157"/>
      <c r="M819" s="157"/>
      <c r="N819" s="152" t="s">
        <v>8395</v>
      </c>
    </row>
    <row r="820">
      <c r="A820" s="152" t="s">
        <v>8458</v>
      </c>
      <c r="B820" s="152" t="s">
        <v>8459</v>
      </c>
      <c r="C820" s="152">
        <v>4.0</v>
      </c>
      <c r="D820" s="154"/>
      <c r="E820" s="152">
        <v>3.0</v>
      </c>
      <c r="F820" s="154"/>
      <c r="G820" s="152" t="s">
        <v>8436</v>
      </c>
      <c r="H820" s="155" t="s">
        <v>8425</v>
      </c>
      <c r="I820" s="155" t="s">
        <v>7039</v>
      </c>
      <c r="J820" s="157"/>
      <c r="K820" s="157"/>
      <c r="L820" s="157"/>
      <c r="M820" s="157"/>
      <c r="N820" s="152" t="s">
        <v>8395</v>
      </c>
    </row>
    <row r="821">
      <c r="A821" s="152" t="s">
        <v>8458</v>
      </c>
      <c r="B821" s="152" t="s">
        <v>8459</v>
      </c>
      <c r="C821" s="152">
        <v>4.0</v>
      </c>
      <c r="D821" s="154"/>
      <c r="E821" s="152">
        <v>3.0</v>
      </c>
      <c r="F821" s="154"/>
      <c r="G821" s="152" t="s">
        <v>8436</v>
      </c>
      <c r="H821" s="155" t="s">
        <v>8426</v>
      </c>
      <c r="I821" s="155" t="s">
        <v>7023</v>
      </c>
      <c r="J821" s="157"/>
      <c r="K821" s="157"/>
      <c r="L821" s="157"/>
      <c r="M821" s="157"/>
      <c r="N821" s="152" t="s">
        <v>8395</v>
      </c>
    </row>
    <row r="822">
      <c r="A822" s="152" t="s">
        <v>8458</v>
      </c>
      <c r="B822" s="152" t="s">
        <v>8459</v>
      </c>
      <c r="C822" s="152">
        <v>5.0</v>
      </c>
      <c r="D822" s="154"/>
      <c r="E822" s="154"/>
      <c r="F822" s="154"/>
      <c r="G822" s="152" t="s">
        <v>8437</v>
      </c>
      <c r="H822" s="155" t="s">
        <v>8407</v>
      </c>
      <c r="I822" s="154"/>
      <c r="J822" s="157"/>
      <c r="K822" s="157"/>
      <c r="L822" s="157"/>
      <c r="M822" s="157"/>
      <c r="N822" s="152" t="s">
        <v>8384</v>
      </c>
    </row>
    <row r="823">
      <c r="A823" s="152" t="s">
        <v>8458</v>
      </c>
      <c r="B823" s="152" t="s">
        <v>8459</v>
      </c>
      <c r="C823" s="152">
        <v>5.0</v>
      </c>
      <c r="D823" s="154"/>
      <c r="E823" s="154"/>
      <c r="F823" s="154"/>
      <c r="G823" s="152" t="s">
        <v>8437</v>
      </c>
      <c r="H823" s="155" t="s">
        <v>8408</v>
      </c>
      <c r="I823" s="154"/>
      <c r="J823" s="157"/>
      <c r="K823" s="157"/>
      <c r="L823" s="157"/>
      <c r="M823" s="157"/>
      <c r="N823" s="152" t="s">
        <v>8384</v>
      </c>
    </row>
    <row r="824">
      <c r="A824" s="152" t="s">
        <v>8458</v>
      </c>
      <c r="B824" s="152" t="s">
        <v>8459</v>
      </c>
      <c r="C824" s="152">
        <v>5.0</v>
      </c>
      <c r="D824" s="154"/>
      <c r="E824" s="154"/>
      <c r="F824" s="154"/>
      <c r="G824" s="152" t="s">
        <v>8437</v>
      </c>
      <c r="H824" s="155" t="s">
        <v>8409</v>
      </c>
      <c r="I824" s="154"/>
      <c r="J824" s="157"/>
      <c r="K824" s="157"/>
      <c r="L824" s="157"/>
      <c r="M824" s="157"/>
      <c r="N824" s="152" t="s">
        <v>8384</v>
      </c>
    </row>
    <row r="825">
      <c r="A825" s="152" t="s">
        <v>8458</v>
      </c>
      <c r="B825" s="152" t="s">
        <v>8459</v>
      </c>
      <c r="C825" s="152">
        <v>5.0</v>
      </c>
      <c r="D825" s="154"/>
      <c r="E825" s="154"/>
      <c r="F825" s="154"/>
      <c r="G825" s="152" t="s">
        <v>8437</v>
      </c>
      <c r="H825" s="155" t="s">
        <v>8410</v>
      </c>
      <c r="I825" s="154"/>
      <c r="J825" s="157"/>
      <c r="K825" s="157"/>
      <c r="L825" s="157"/>
      <c r="M825" s="157"/>
      <c r="N825" s="152" t="s">
        <v>8384</v>
      </c>
    </row>
    <row r="826">
      <c r="A826" s="152" t="s">
        <v>8458</v>
      </c>
      <c r="B826" s="152" t="s">
        <v>8459</v>
      </c>
      <c r="C826" s="152">
        <v>5.0</v>
      </c>
      <c r="D826" s="154"/>
      <c r="E826" s="154"/>
      <c r="F826" s="154"/>
      <c r="G826" s="152" t="s">
        <v>8437</v>
      </c>
      <c r="H826" s="155" t="s">
        <v>8411</v>
      </c>
      <c r="I826" s="154"/>
      <c r="J826" s="157"/>
      <c r="K826" s="157"/>
      <c r="L826" s="157"/>
      <c r="M826" s="157"/>
      <c r="N826" s="152" t="s">
        <v>8384</v>
      </c>
    </row>
    <row r="827">
      <c r="A827" s="152" t="s">
        <v>8458</v>
      </c>
      <c r="B827" s="152" t="s">
        <v>8459</v>
      </c>
      <c r="C827" s="152">
        <v>5.0</v>
      </c>
      <c r="D827" s="154"/>
      <c r="E827" s="154"/>
      <c r="F827" s="154"/>
      <c r="G827" s="152" t="s">
        <v>8437</v>
      </c>
      <c r="H827" s="155" t="s">
        <v>8412</v>
      </c>
      <c r="I827" s="154"/>
      <c r="J827" s="157"/>
      <c r="K827" s="157"/>
      <c r="L827" s="157"/>
      <c r="M827" s="157"/>
      <c r="N827" s="152" t="s">
        <v>8384</v>
      </c>
    </row>
    <row r="828">
      <c r="A828" s="152" t="s">
        <v>8458</v>
      </c>
      <c r="B828" s="152" t="s">
        <v>8459</v>
      </c>
      <c r="C828" s="152">
        <v>5.0</v>
      </c>
      <c r="D828" s="154"/>
      <c r="E828" s="154"/>
      <c r="F828" s="154"/>
      <c r="G828" s="152" t="s">
        <v>8437</v>
      </c>
      <c r="H828" s="155" t="s">
        <v>8413</v>
      </c>
      <c r="I828" s="154"/>
      <c r="J828" s="157"/>
      <c r="K828" s="157"/>
      <c r="L828" s="157"/>
      <c r="M828" s="157"/>
      <c r="N828" s="152" t="s">
        <v>8384</v>
      </c>
    </row>
    <row r="829">
      <c r="A829" s="152" t="s">
        <v>8458</v>
      </c>
      <c r="B829" s="152" t="s">
        <v>8459</v>
      </c>
      <c r="C829" s="152">
        <v>5.0</v>
      </c>
      <c r="D829" s="154"/>
      <c r="E829" s="154"/>
      <c r="F829" s="154"/>
      <c r="G829" s="152" t="s">
        <v>8437</v>
      </c>
      <c r="H829" s="155" t="s">
        <v>8414</v>
      </c>
      <c r="I829" s="154"/>
      <c r="J829" s="157"/>
      <c r="K829" s="157"/>
      <c r="L829" s="157"/>
      <c r="M829" s="157"/>
      <c r="N829" s="152" t="s">
        <v>8384</v>
      </c>
    </row>
    <row r="830">
      <c r="A830" s="152" t="s">
        <v>8458</v>
      </c>
      <c r="B830" s="152" t="s">
        <v>8459</v>
      </c>
      <c r="C830" s="152">
        <v>5.0</v>
      </c>
      <c r="D830" s="154"/>
      <c r="E830" s="154"/>
      <c r="F830" s="154"/>
      <c r="G830" s="152" t="s">
        <v>8437</v>
      </c>
      <c r="H830" s="155" t="s">
        <v>8415</v>
      </c>
      <c r="I830" s="154"/>
      <c r="J830" s="157"/>
      <c r="K830" s="157"/>
      <c r="L830" s="157"/>
      <c r="M830" s="157"/>
      <c r="N830" s="152" t="s">
        <v>8384</v>
      </c>
    </row>
    <row r="831">
      <c r="A831" s="152" t="s">
        <v>8458</v>
      </c>
      <c r="B831" s="152" t="s">
        <v>8459</v>
      </c>
      <c r="C831" s="152">
        <v>5.0</v>
      </c>
      <c r="D831" s="154"/>
      <c r="E831" s="154"/>
      <c r="F831" s="154"/>
      <c r="G831" s="152" t="s">
        <v>8437</v>
      </c>
      <c r="H831" s="155" t="s">
        <v>8416</v>
      </c>
      <c r="I831" s="154"/>
      <c r="J831" s="157"/>
      <c r="K831" s="157"/>
      <c r="L831" s="157"/>
      <c r="M831" s="157"/>
      <c r="N831" s="152" t="s">
        <v>8384</v>
      </c>
    </row>
    <row r="832">
      <c r="A832" s="152" t="s">
        <v>8458</v>
      </c>
      <c r="B832" s="152" t="s">
        <v>8459</v>
      </c>
      <c r="C832" s="152">
        <v>6.0</v>
      </c>
      <c r="D832" s="154"/>
      <c r="E832" s="152">
        <v>5.0</v>
      </c>
      <c r="F832" s="154"/>
      <c r="G832" s="152" t="s">
        <v>8437</v>
      </c>
      <c r="H832" s="155" t="s">
        <v>8417</v>
      </c>
      <c r="I832" s="155" t="s">
        <v>6507</v>
      </c>
      <c r="J832" s="157"/>
      <c r="K832" s="157"/>
      <c r="L832" s="157"/>
      <c r="M832" s="157"/>
      <c r="N832" s="152" t="s">
        <v>8395</v>
      </c>
    </row>
    <row r="833">
      <c r="A833" s="152" t="s">
        <v>8458</v>
      </c>
      <c r="B833" s="152" t="s">
        <v>8459</v>
      </c>
      <c r="C833" s="152">
        <v>6.0</v>
      </c>
      <c r="D833" s="154"/>
      <c r="E833" s="152">
        <v>5.0</v>
      </c>
      <c r="F833" s="154"/>
      <c r="G833" s="152" t="s">
        <v>8437</v>
      </c>
      <c r="H833" s="155" t="s">
        <v>8418</v>
      </c>
      <c r="I833" s="155" t="s">
        <v>6492</v>
      </c>
      <c r="J833" s="157"/>
      <c r="K833" s="157"/>
      <c r="L833" s="157"/>
      <c r="M833" s="157"/>
      <c r="N833" s="152" t="s">
        <v>8395</v>
      </c>
    </row>
    <row r="834">
      <c r="A834" s="152" t="s">
        <v>8458</v>
      </c>
      <c r="B834" s="152" t="s">
        <v>8459</v>
      </c>
      <c r="C834" s="152">
        <v>6.0</v>
      </c>
      <c r="D834" s="154"/>
      <c r="E834" s="152">
        <v>5.0</v>
      </c>
      <c r="F834" s="154"/>
      <c r="G834" s="152" t="s">
        <v>8437</v>
      </c>
      <c r="H834" s="155" t="s">
        <v>8419</v>
      </c>
      <c r="I834" s="155" t="s">
        <v>6978</v>
      </c>
      <c r="J834" s="157"/>
      <c r="K834" s="157"/>
      <c r="L834" s="157"/>
      <c r="M834" s="157"/>
      <c r="N834" s="152" t="s">
        <v>8395</v>
      </c>
    </row>
    <row r="835">
      <c r="A835" s="152" t="s">
        <v>8458</v>
      </c>
      <c r="B835" s="152" t="s">
        <v>8459</v>
      </c>
      <c r="C835" s="152">
        <v>6.0</v>
      </c>
      <c r="D835" s="154"/>
      <c r="E835" s="152">
        <v>5.0</v>
      </c>
      <c r="F835" s="154"/>
      <c r="G835" s="152" t="s">
        <v>8437</v>
      </c>
      <c r="H835" s="155" t="s">
        <v>8420</v>
      </c>
      <c r="I835" s="155" t="s">
        <v>6936</v>
      </c>
      <c r="J835" s="157"/>
      <c r="K835" s="157"/>
      <c r="L835" s="157"/>
      <c r="M835" s="157"/>
      <c r="N835" s="152" t="s">
        <v>8395</v>
      </c>
    </row>
    <row r="836">
      <c r="A836" s="152" t="s">
        <v>8458</v>
      </c>
      <c r="B836" s="152" t="s">
        <v>8459</v>
      </c>
      <c r="C836" s="152">
        <v>6.0</v>
      </c>
      <c r="D836" s="154"/>
      <c r="E836" s="152">
        <v>5.0</v>
      </c>
      <c r="F836" s="154"/>
      <c r="G836" s="152" t="s">
        <v>8437</v>
      </c>
      <c r="H836" s="155" t="s">
        <v>8421</v>
      </c>
      <c r="I836" s="155" t="s">
        <v>6620</v>
      </c>
      <c r="J836" s="157"/>
      <c r="K836" s="157"/>
      <c r="L836" s="157"/>
      <c r="M836" s="157"/>
      <c r="N836" s="152" t="s">
        <v>8395</v>
      </c>
    </row>
    <row r="837">
      <c r="A837" s="152" t="s">
        <v>8458</v>
      </c>
      <c r="B837" s="152" t="s">
        <v>8459</v>
      </c>
      <c r="C837" s="152">
        <v>6.0</v>
      </c>
      <c r="D837" s="154"/>
      <c r="E837" s="152">
        <v>5.0</v>
      </c>
      <c r="F837" s="154"/>
      <c r="G837" s="152" t="s">
        <v>8437</v>
      </c>
      <c r="H837" s="155" t="s">
        <v>8422</v>
      </c>
      <c r="I837" s="155" t="s">
        <v>6563</v>
      </c>
      <c r="J837" s="157"/>
      <c r="K837" s="157"/>
      <c r="L837" s="157"/>
      <c r="M837" s="157"/>
      <c r="N837" s="152" t="s">
        <v>8395</v>
      </c>
    </row>
    <row r="838">
      <c r="A838" s="152" t="s">
        <v>8458</v>
      </c>
      <c r="B838" s="152" t="s">
        <v>8459</v>
      </c>
      <c r="C838" s="152">
        <v>6.0</v>
      </c>
      <c r="D838" s="154"/>
      <c r="E838" s="152">
        <v>5.0</v>
      </c>
      <c r="F838" s="154"/>
      <c r="G838" s="152" t="s">
        <v>8437</v>
      </c>
      <c r="H838" s="155" t="s">
        <v>8423</v>
      </c>
      <c r="I838" s="155" t="s">
        <v>6701</v>
      </c>
      <c r="J838" s="157"/>
      <c r="K838" s="157"/>
      <c r="L838" s="157"/>
      <c r="M838" s="157"/>
      <c r="N838" s="152" t="s">
        <v>8395</v>
      </c>
    </row>
    <row r="839">
      <c r="A839" s="152" t="s">
        <v>8458</v>
      </c>
      <c r="B839" s="152" t="s">
        <v>8459</v>
      </c>
      <c r="C839" s="152">
        <v>6.0</v>
      </c>
      <c r="D839" s="154"/>
      <c r="E839" s="152">
        <v>5.0</v>
      </c>
      <c r="F839" s="154"/>
      <c r="G839" s="152" t="s">
        <v>8437</v>
      </c>
      <c r="H839" s="155" t="s">
        <v>8424</v>
      </c>
      <c r="I839" s="155" t="s">
        <v>6684</v>
      </c>
      <c r="J839" s="157"/>
      <c r="K839" s="157"/>
      <c r="L839" s="157"/>
      <c r="M839" s="157"/>
      <c r="N839" s="152" t="s">
        <v>8395</v>
      </c>
    </row>
    <row r="840">
      <c r="A840" s="152" t="s">
        <v>8458</v>
      </c>
      <c r="B840" s="152" t="s">
        <v>8459</v>
      </c>
      <c r="C840" s="152">
        <v>6.0</v>
      </c>
      <c r="D840" s="154"/>
      <c r="E840" s="152">
        <v>5.0</v>
      </c>
      <c r="F840" s="154"/>
      <c r="G840" s="152" t="s">
        <v>8437</v>
      </c>
      <c r="H840" s="155" t="s">
        <v>8425</v>
      </c>
      <c r="I840" s="155" t="s">
        <v>7039</v>
      </c>
      <c r="J840" s="157"/>
      <c r="K840" s="157"/>
      <c r="L840" s="157"/>
      <c r="M840" s="157"/>
      <c r="N840" s="152" t="s">
        <v>8395</v>
      </c>
    </row>
    <row r="841">
      <c r="A841" s="152" t="s">
        <v>8458</v>
      </c>
      <c r="B841" s="152" t="s">
        <v>8459</v>
      </c>
      <c r="C841" s="152">
        <v>6.0</v>
      </c>
      <c r="D841" s="154"/>
      <c r="E841" s="152">
        <v>5.0</v>
      </c>
      <c r="F841" s="154"/>
      <c r="G841" s="152" t="s">
        <v>8437</v>
      </c>
      <c r="H841" s="155" t="s">
        <v>8426</v>
      </c>
      <c r="I841" s="155" t="s">
        <v>7023</v>
      </c>
      <c r="J841" s="157"/>
      <c r="K841" s="157"/>
      <c r="L841" s="157"/>
      <c r="M841" s="157"/>
      <c r="N841" s="152" t="s">
        <v>8395</v>
      </c>
    </row>
    <row r="842">
      <c r="A842" s="152" t="s">
        <v>8460</v>
      </c>
      <c r="B842" s="152" t="s">
        <v>8461</v>
      </c>
      <c r="C842" s="152">
        <v>1.0</v>
      </c>
      <c r="D842" s="154"/>
      <c r="E842" s="154"/>
      <c r="F842" s="154"/>
      <c r="G842" s="152" t="s">
        <v>8382</v>
      </c>
      <c r="H842" s="152" t="s">
        <v>8383</v>
      </c>
      <c r="I842" s="154"/>
      <c r="J842" s="152" t="s">
        <v>23</v>
      </c>
      <c r="K842" s="152">
        <v>869.0</v>
      </c>
      <c r="L842" s="154"/>
      <c r="M842" s="154"/>
      <c r="N842" s="152" t="s">
        <v>8384</v>
      </c>
    </row>
    <row r="843">
      <c r="A843" s="152" t="s">
        <v>8460</v>
      </c>
      <c r="B843" s="152" t="s">
        <v>8461</v>
      </c>
      <c r="C843" s="152">
        <v>1.0</v>
      </c>
      <c r="D843" s="154"/>
      <c r="E843" s="154"/>
      <c r="F843" s="154"/>
      <c r="G843" s="152" t="s">
        <v>8382</v>
      </c>
      <c r="H843" s="152" t="s">
        <v>8385</v>
      </c>
      <c r="I843" s="154"/>
      <c r="J843" s="152" t="s">
        <v>23</v>
      </c>
      <c r="K843" s="152">
        <v>939.0</v>
      </c>
      <c r="L843" s="154"/>
      <c r="M843" s="154"/>
      <c r="N843" s="152" t="s">
        <v>8384</v>
      </c>
    </row>
    <row r="844">
      <c r="A844" s="152" t="s">
        <v>8460</v>
      </c>
      <c r="B844" s="152" t="s">
        <v>8461</v>
      </c>
      <c r="C844" s="152">
        <v>1.0</v>
      </c>
      <c r="D844" s="154"/>
      <c r="E844" s="154"/>
      <c r="F844" s="154"/>
      <c r="G844" s="152" t="s">
        <v>8382</v>
      </c>
      <c r="H844" s="152" t="s">
        <v>8386</v>
      </c>
      <c r="I844" s="154"/>
      <c r="J844" s="152" t="s">
        <v>23</v>
      </c>
      <c r="K844" s="152">
        <v>939.0</v>
      </c>
      <c r="L844" s="154"/>
      <c r="M844" s="154"/>
      <c r="N844" s="152" t="s">
        <v>8384</v>
      </c>
    </row>
    <row r="845">
      <c r="A845" s="152" t="s">
        <v>8460</v>
      </c>
      <c r="B845" s="152" t="s">
        <v>8461</v>
      </c>
      <c r="C845" s="152">
        <v>1.0</v>
      </c>
      <c r="D845" s="154"/>
      <c r="E845" s="154"/>
      <c r="F845" s="154"/>
      <c r="G845" s="152" t="s">
        <v>8382</v>
      </c>
      <c r="H845" s="152" t="s">
        <v>8387</v>
      </c>
      <c r="I845" s="154"/>
      <c r="J845" s="152" t="s">
        <v>23</v>
      </c>
      <c r="K845" s="152">
        <v>939.0</v>
      </c>
      <c r="L845" s="154"/>
      <c r="M845" s="154"/>
      <c r="N845" s="152" t="s">
        <v>8384</v>
      </c>
    </row>
    <row r="846">
      <c r="A846" s="152" t="s">
        <v>8460</v>
      </c>
      <c r="B846" s="152" t="s">
        <v>8461</v>
      </c>
      <c r="C846" s="152">
        <v>1.0</v>
      </c>
      <c r="D846" s="154"/>
      <c r="E846" s="154"/>
      <c r="F846" s="154"/>
      <c r="G846" s="152" t="s">
        <v>8382</v>
      </c>
      <c r="H846" s="152" t="s">
        <v>8388</v>
      </c>
      <c r="I846" s="154"/>
      <c r="J846" s="152" t="s">
        <v>23</v>
      </c>
      <c r="K846" s="152">
        <v>939.0</v>
      </c>
      <c r="L846" s="154"/>
      <c r="M846" s="154"/>
      <c r="N846" s="152" t="s">
        <v>8384</v>
      </c>
    </row>
    <row r="847">
      <c r="A847" s="152" t="s">
        <v>8460</v>
      </c>
      <c r="B847" s="152" t="s">
        <v>8461</v>
      </c>
      <c r="C847" s="152">
        <v>1.0</v>
      </c>
      <c r="D847" s="154"/>
      <c r="E847" s="154"/>
      <c r="F847" s="154"/>
      <c r="G847" s="152" t="s">
        <v>8382</v>
      </c>
      <c r="H847" s="152" t="s">
        <v>8389</v>
      </c>
      <c r="I847" s="154"/>
      <c r="J847" s="152" t="s">
        <v>23</v>
      </c>
      <c r="K847" s="152">
        <v>1089.0</v>
      </c>
      <c r="L847" s="154"/>
      <c r="M847" s="154"/>
      <c r="N847" s="152" t="s">
        <v>8384</v>
      </c>
    </row>
    <row r="848">
      <c r="A848" s="152" t="s">
        <v>8460</v>
      </c>
      <c r="B848" s="152" t="s">
        <v>8461</v>
      </c>
      <c r="C848" s="152">
        <v>1.0</v>
      </c>
      <c r="D848" s="154"/>
      <c r="E848" s="154"/>
      <c r="F848" s="154"/>
      <c r="G848" s="152" t="s">
        <v>8382</v>
      </c>
      <c r="H848" s="152" t="s">
        <v>5767</v>
      </c>
      <c r="I848" s="154"/>
      <c r="J848" s="152" t="s">
        <v>23</v>
      </c>
      <c r="K848" s="152">
        <v>1089.0</v>
      </c>
      <c r="L848" s="154"/>
      <c r="M848" s="154"/>
      <c r="N848" s="152" t="s">
        <v>8384</v>
      </c>
    </row>
    <row r="849">
      <c r="A849" s="152" t="s">
        <v>8460</v>
      </c>
      <c r="B849" s="152" t="s">
        <v>8461</v>
      </c>
      <c r="C849" s="152">
        <v>1.0</v>
      </c>
      <c r="D849" s="154"/>
      <c r="E849" s="154"/>
      <c r="F849" s="154"/>
      <c r="G849" s="152" t="s">
        <v>8382</v>
      </c>
      <c r="H849" s="152" t="s">
        <v>8390</v>
      </c>
      <c r="I849" s="154"/>
      <c r="J849" s="152" t="s">
        <v>23</v>
      </c>
      <c r="K849" s="152">
        <v>1089.0</v>
      </c>
      <c r="L849" s="154"/>
      <c r="M849" s="154"/>
      <c r="N849" s="152" t="s">
        <v>8384</v>
      </c>
    </row>
    <row r="850">
      <c r="A850" s="152" t="s">
        <v>8460</v>
      </c>
      <c r="B850" s="152" t="s">
        <v>8461</v>
      </c>
      <c r="C850" s="152">
        <v>1.0</v>
      </c>
      <c r="D850" s="154"/>
      <c r="E850" s="154"/>
      <c r="F850" s="154"/>
      <c r="G850" s="152" t="s">
        <v>8382</v>
      </c>
      <c r="H850" s="152" t="s">
        <v>8391</v>
      </c>
      <c r="I850" s="154"/>
      <c r="J850" s="152" t="s">
        <v>23</v>
      </c>
      <c r="K850" s="152">
        <v>1089.0</v>
      </c>
      <c r="L850" s="154"/>
      <c r="M850" s="154"/>
      <c r="N850" s="152" t="s">
        <v>8384</v>
      </c>
    </row>
    <row r="851">
      <c r="A851" s="152" t="s">
        <v>8460</v>
      </c>
      <c r="B851" s="152" t="s">
        <v>8461</v>
      </c>
      <c r="C851" s="152">
        <v>1.0</v>
      </c>
      <c r="D851" s="154"/>
      <c r="E851" s="154"/>
      <c r="F851" s="154"/>
      <c r="G851" s="152" t="s">
        <v>8382</v>
      </c>
      <c r="H851" s="152" t="s">
        <v>8392</v>
      </c>
      <c r="I851" s="154"/>
      <c r="J851" s="152" t="s">
        <v>23</v>
      </c>
      <c r="K851" s="152">
        <v>1089.0</v>
      </c>
      <c r="L851" s="154"/>
      <c r="M851" s="154"/>
      <c r="N851" s="152" t="s">
        <v>8384</v>
      </c>
    </row>
    <row r="852">
      <c r="A852" s="152" t="s">
        <v>8460</v>
      </c>
      <c r="B852" s="152" t="s">
        <v>8461</v>
      </c>
      <c r="C852" s="152">
        <v>2.0</v>
      </c>
      <c r="D852" s="154"/>
      <c r="E852" s="152">
        <v>1.0</v>
      </c>
      <c r="F852" s="154"/>
      <c r="G852" s="152" t="s">
        <v>8393</v>
      </c>
      <c r="H852" s="152" t="s">
        <v>8394</v>
      </c>
      <c r="I852" s="152" t="s">
        <v>6862</v>
      </c>
      <c r="J852" s="154"/>
      <c r="K852" s="154"/>
      <c r="L852" s="154"/>
      <c r="M852" s="154"/>
      <c r="N852" s="152" t="s">
        <v>8395</v>
      </c>
    </row>
    <row r="853">
      <c r="A853" s="152" t="s">
        <v>8460</v>
      </c>
      <c r="B853" s="152" t="s">
        <v>8461</v>
      </c>
      <c r="C853" s="152">
        <v>2.0</v>
      </c>
      <c r="D853" s="154"/>
      <c r="E853" s="152">
        <v>1.0</v>
      </c>
      <c r="F853" s="154"/>
      <c r="G853" s="152" t="s">
        <v>8393</v>
      </c>
      <c r="H853" s="152" t="s">
        <v>8396</v>
      </c>
      <c r="I853" s="152" t="s">
        <v>6893</v>
      </c>
      <c r="J853" s="154"/>
      <c r="K853" s="154"/>
      <c r="L853" s="154"/>
      <c r="M853" s="154"/>
      <c r="N853" s="152" t="s">
        <v>8395</v>
      </c>
    </row>
    <row r="854">
      <c r="A854" s="152" t="s">
        <v>8460</v>
      </c>
      <c r="B854" s="152" t="s">
        <v>8461</v>
      </c>
      <c r="C854" s="152">
        <v>2.0</v>
      </c>
      <c r="D854" s="154"/>
      <c r="E854" s="152">
        <v>1.0</v>
      </c>
      <c r="F854" s="154"/>
      <c r="G854" s="152" t="s">
        <v>8393</v>
      </c>
      <c r="H854" s="152" t="s">
        <v>8397</v>
      </c>
      <c r="I854" s="152" t="s">
        <v>6796</v>
      </c>
      <c r="J854" s="154"/>
      <c r="K854" s="154"/>
      <c r="L854" s="154"/>
      <c r="M854" s="154"/>
      <c r="N854" s="152" t="s">
        <v>8395</v>
      </c>
    </row>
    <row r="855">
      <c r="A855" s="152" t="s">
        <v>8460</v>
      </c>
      <c r="B855" s="152" t="s">
        <v>8461</v>
      </c>
      <c r="C855" s="152">
        <v>2.0</v>
      </c>
      <c r="D855" s="154"/>
      <c r="E855" s="152">
        <v>1.0</v>
      </c>
      <c r="F855" s="154"/>
      <c r="G855" s="152" t="s">
        <v>8393</v>
      </c>
      <c r="H855" s="152" t="s">
        <v>8398</v>
      </c>
      <c r="I855" s="152" t="s">
        <v>6726</v>
      </c>
      <c r="J855" s="154"/>
      <c r="K855" s="154"/>
      <c r="L855" s="154"/>
      <c r="M855" s="154"/>
      <c r="N855" s="152" t="s">
        <v>8395</v>
      </c>
    </row>
    <row r="856">
      <c r="A856" s="152" t="s">
        <v>8460</v>
      </c>
      <c r="B856" s="152" t="s">
        <v>8461</v>
      </c>
      <c r="C856" s="152">
        <v>2.0</v>
      </c>
      <c r="D856" s="154"/>
      <c r="E856" s="152">
        <v>1.0</v>
      </c>
      <c r="F856" s="154"/>
      <c r="G856" s="152" t="s">
        <v>8393</v>
      </c>
      <c r="H856" s="152" t="s">
        <v>8399</v>
      </c>
      <c r="I856" s="152" t="s">
        <v>6924</v>
      </c>
      <c r="J856" s="154"/>
      <c r="K856" s="154"/>
      <c r="L856" s="154"/>
      <c r="M856" s="154"/>
      <c r="N856" s="152" t="s">
        <v>8395</v>
      </c>
    </row>
    <row r="857">
      <c r="A857" s="152" t="s">
        <v>8460</v>
      </c>
      <c r="B857" s="152" t="s">
        <v>8461</v>
      </c>
      <c r="C857" s="152">
        <v>2.0</v>
      </c>
      <c r="D857" s="154"/>
      <c r="E857" s="152">
        <v>1.0</v>
      </c>
      <c r="F857" s="154"/>
      <c r="G857" s="152" t="s">
        <v>8393</v>
      </c>
      <c r="H857" s="152" t="s">
        <v>8400</v>
      </c>
      <c r="I857" s="152" t="s">
        <v>6893</v>
      </c>
      <c r="J857" s="154"/>
      <c r="K857" s="154"/>
      <c r="L857" s="154"/>
      <c r="M857" s="154"/>
      <c r="N857" s="152" t="s">
        <v>8395</v>
      </c>
    </row>
    <row r="858">
      <c r="A858" s="152" t="s">
        <v>8460</v>
      </c>
      <c r="B858" s="152" t="s">
        <v>8461</v>
      </c>
      <c r="C858" s="152">
        <v>2.0</v>
      </c>
      <c r="D858" s="154"/>
      <c r="E858" s="152">
        <v>1.0</v>
      </c>
      <c r="F858" s="154"/>
      <c r="G858" s="152" t="s">
        <v>8393</v>
      </c>
      <c r="H858" s="152" t="s">
        <v>8401</v>
      </c>
      <c r="I858" s="152" t="s">
        <v>6796</v>
      </c>
      <c r="J858" s="154"/>
      <c r="K858" s="154"/>
      <c r="L858" s="154"/>
      <c r="M858" s="154"/>
      <c r="N858" s="152" t="s">
        <v>8395</v>
      </c>
    </row>
    <row r="859">
      <c r="A859" s="152" t="s">
        <v>8460</v>
      </c>
      <c r="B859" s="152" t="s">
        <v>8461</v>
      </c>
      <c r="C859" s="152">
        <v>2.0</v>
      </c>
      <c r="D859" s="154"/>
      <c r="E859" s="152">
        <v>1.0</v>
      </c>
      <c r="F859" s="154"/>
      <c r="G859" s="152" t="s">
        <v>8393</v>
      </c>
      <c r="H859" s="152" t="s">
        <v>8402</v>
      </c>
      <c r="I859" s="152" t="s">
        <v>6831</v>
      </c>
      <c r="J859" s="154"/>
      <c r="K859" s="154"/>
      <c r="L859" s="154"/>
      <c r="M859" s="154"/>
      <c r="N859" s="152" t="s">
        <v>8395</v>
      </c>
    </row>
    <row r="860">
      <c r="A860" s="152" t="s">
        <v>8460</v>
      </c>
      <c r="B860" s="152" t="s">
        <v>8461</v>
      </c>
      <c r="C860" s="152">
        <v>2.0</v>
      </c>
      <c r="D860" s="154"/>
      <c r="E860" s="152">
        <v>1.0</v>
      </c>
      <c r="F860" s="154"/>
      <c r="G860" s="152" t="s">
        <v>8393</v>
      </c>
      <c r="H860" s="152" t="s">
        <v>8403</v>
      </c>
      <c r="I860" s="152" t="s">
        <v>6836</v>
      </c>
      <c r="J860" s="154"/>
      <c r="K860" s="154"/>
      <c r="L860" s="154"/>
      <c r="M860" s="154"/>
      <c r="N860" s="152" t="s">
        <v>8395</v>
      </c>
    </row>
    <row r="861">
      <c r="A861" s="152" t="s">
        <v>8460</v>
      </c>
      <c r="B861" s="152" t="s">
        <v>8461</v>
      </c>
      <c r="C861" s="152">
        <v>2.0</v>
      </c>
      <c r="D861" s="154"/>
      <c r="E861" s="152">
        <v>1.0</v>
      </c>
      <c r="F861" s="154"/>
      <c r="G861" s="152" t="s">
        <v>8393</v>
      </c>
      <c r="H861" s="152" t="s">
        <v>8404</v>
      </c>
      <c r="I861" s="152" t="s">
        <v>8405</v>
      </c>
      <c r="J861" s="154"/>
      <c r="K861" s="154"/>
      <c r="L861" s="154"/>
      <c r="M861" s="154"/>
      <c r="N861" s="152" t="s">
        <v>8395</v>
      </c>
    </row>
    <row r="862">
      <c r="A862" s="152" t="s">
        <v>8460</v>
      </c>
      <c r="B862" s="152" t="s">
        <v>8461</v>
      </c>
      <c r="C862" s="152">
        <v>3.0</v>
      </c>
      <c r="D862" s="154"/>
      <c r="E862" s="154"/>
      <c r="F862" s="154"/>
      <c r="G862" s="152" t="s">
        <v>8436</v>
      </c>
      <c r="H862" s="152" t="s">
        <v>8407</v>
      </c>
      <c r="I862" s="154"/>
      <c r="J862" s="154"/>
      <c r="K862" s="154"/>
      <c r="L862" s="154"/>
      <c r="M862" s="154"/>
      <c r="N862" s="152" t="s">
        <v>8384</v>
      </c>
    </row>
    <row r="863">
      <c r="A863" s="152" t="s">
        <v>8460</v>
      </c>
      <c r="B863" s="152" t="s">
        <v>8461</v>
      </c>
      <c r="C863" s="152">
        <v>3.0</v>
      </c>
      <c r="D863" s="154"/>
      <c r="E863" s="154"/>
      <c r="F863" s="154"/>
      <c r="G863" s="152" t="s">
        <v>8436</v>
      </c>
      <c r="H863" s="152" t="s">
        <v>8408</v>
      </c>
      <c r="I863" s="154"/>
      <c r="J863" s="154"/>
      <c r="K863" s="154"/>
      <c r="L863" s="154"/>
      <c r="M863" s="154"/>
      <c r="N863" s="152" t="s">
        <v>8384</v>
      </c>
    </row>
    <row r="864">
      <c r="A864" s="152" t="s">
        <v>8460</v>
      </c>
      <c r="B864" s="152" t="s">
        <v>8461</v>
      </c>
      <c r="C864" s="152">
        <v>3.0</v>
      </c>
      <c r="D864" s="154"/>
      <c r="E864" s="154"/>
      <c r="F864" s="154"/>
      <c r="G864" s="152" t="s">
        <v>8436</v>
      </c>
      <c r="H864" s="152" t="s">
        <v>8409</v>
      </c>
      <c r="I864" s="154"/>
      <c r="J864" s="154"/>
      <c r="K864" s="154"/>
      <c r="L864" s="154"/>
      <c r="M864" s="154"/>
      <c r="N864" s="152" t="s">
        <v>8384</v>
      </c>
    </row>
    <row r="865">
      <c r="A865" s="152" t="s">
        <v>8460</v>
      </c>
      <c r="B865" s="152" t="s">
        <v>8461</v>
      </c>
      <c r="C865" s="152">
        <v>3.0</v>
      </c>
      <c r="D865" s="154"/>
      <c r="E865" s="154"/>
      <c r="F865" s="154"/>
      <c r="G865" s="152" t="s">
        <v>8436</v>
      </c>
      <c r="H865" s="152" t="s">
        <v>8410</v>
      </c>
      <c r="I865" s="154"/>
      <c r="J865" s="154"/>
      <c r="K865" s="154"/>
      <c r="L865" s="154"/>
      <c r="M865" s="154"/>
      <c r="N865" s="152" t="s">
        <v>8384</v>
      </c>
    </row>
    <row r="866">
      <c r="A866" s="152" t="s">
        <v>8460</v>
      </c>
      <c r="B866" s="152" t="s">
        <v>8461</v>
      </c>
      <c r="C866" s="152">
        <v>3.0</v>
      </c>
      <c r="D866" s="154"/>
      <c r="E866" s="154"/>
      <c r="F866" s="154"/>
      <c r="G866" s="152" t="s">
        <v>8436</v>
      </c>
      <c r="H866" s="152" t="s">
        <v>8411</v>
      </c>
      <c r="I866" s="154"/>
      <c r="J866" s="154"/>
      <c r="K866" s="154"/>
      <c r="L866" s="154"/>
      <c r="M866" s="154"/>
      <c r="N866" s="152" t="s">
        <v>8384</v>
      </c>
    </row>
    <row r="867">
      <c r="A867" s="152" t="s">
        <v>8460</v>
      </c>
      <c r="B867" s="152" t="s">
        <v>8461</v>
      </c>
      <c r="C867" s="152">
        <v>3.0</v>
      </c>
      <c r="D867" s="154"/>
      <c r="E867" s="154"/>
      <c r="F867" s="154"/>
      <c r="G867" s="152" t="s">
        <v>8436</v>
      </c>
      <c r="H867" s="152" t="s">
        <v>8412</v>
      </c>
      <c r="I867" s="154"/>
      <c r="J867" s="154"/>
      <c r="K867" s="154"/>
      <c r="L867" s="154"/>
      <c r="M867" s="154"/>
      <c r="N867" s="152" t="s">
        <v>8384</v>
      </c>
    </row>
    <row r="868">
      <c r="A868" s="152" t="s">
        <v>8460</v>
      </c>
      <c r="B868" s="152" t="s">
        <v>8461</v>
      </c>
      <c r="C868" s="152">
        <v>3.0</v>
      </c>
      <c r="D868" s="154"/>
      <c r="E868" s="154"/>
      <c r="F868" s="154"/>
      <c r="G868" s="152" t="s">
        <v>8436</v>
      </c>
      <c r="H868" s="152" t="s">
        <v>8413</v>
      </c>
      <c r="I868" s="154"/>
      <c r="J868" s="154"/>
      <c r="K868" s="154"/>
      <c r="L868" s="154"/>
      <c r="M868" s="154"/>
      <c r="N868" s="152" t="s">
        <v>8384</v>
      </c>
    </row>
    <row r="869">
      <c r="A869" s="152" t="s">
        <v>8460</v>
      </c>
      <c r="B869" s="152" t="s">
        <v>8461</v>
      </c>
      <c r="C869" s="152">
        <v>3.0</v>
      </c>
      <c r="D869" s="154"/>
      <c r="E869" s="154"/>
      <c r="F869" s="154"/>
      <c r="G869" s="152" t="s">
        <v>8436</v>
      </c>
      <c r="H869" s="152" t="s">
        <v>8414</v>
      </c>
      <c r="I869" s="154"/>
      <c r="J869" s="154"/>
      <c r="K869" s="154"/>
      <c r="L869" s="154"/>
      <c r="M869" s="154"/>
      <c r="N869" s="152" t="s">
        <v>8384</v>
      </c>
    </row>
    <row r="870">
      <c r="A870" s="152" t="s">
        <v>8460</v>
      </c>
      <c r="B870" s="152" t="s">
        <v>8461</v>
      </c>
      <c r="C870" s="152">
        <v>3.0</v>
      </c>
      <c r="D870" s="154"/>
      <c r="E870" s="154"/>
      <c r="F870" s="154"/>
      <c r="G870" s="152" t="s">
        <v>8436</v>
      </c>
      <c r="H870" s="152" t="s">
        <v>8415</v>
      </c>
      <c r="I870" s="154"/>
      <c r="J870" s="154"/>
      <c r="K870" s="154"/>
      <c r="L870" s="154"/>
      <c r="M870" s="154"/>
      <c r="N870" s="152" t="s">
        <v>8384</v>
      </c>
    </row>
    <row r="871">
      <c r="A871" s="152" t="s">
        <v>8460</v>
      </c>
      <c r="B871" s="152" t="s">
        <v>8461</v>
      </c>
      <c r="C871" s="152">
        <v>3.0</v>
      </c>
      <c r="D871" s="154"/>
      <c r="E871" s="154"/>
      <c r="F871" s="154"/>
      <c r="G871" s="152" t="s">
        <v>8436</v>
      </c>
      <c r="H871" s="152" t="s">
        <v>8416</v>
      </c>
      <c r="I871" s="154"/>
      <c r="J871" s="154"/>
      <c r="K871" s="154"/>
      <c r="L871" s="154"/>
      <c r="M871" s="154"/>
      <c r="N871" s="152" t="s">
        <v>8384</v>
      </c>
    </row>
    <row r="872">
      <c r="A872" s="152" t="s">
        <v>8460</v>
      </c>
      <c r="B872" s="152" t="s">
        <v>8461</v>
      </c>
      <c r="C872" s="152">
        <v>4.0</v>
      </c>
      <c r="D872" s="154"/>
      <c r="E872" s="152">
        <v>3.0</v>
      </c>
      <c r="F872" s="154"/>
      <c r="G872" s="152" t="s">
        <v>8436</v>
      </c>
      <c r="H872" s="152" t="s">
        <v>8417</v>
      </c>
      <c r="I872" s="152" t="s">
        <v>6507</v>
      </c>
      <c r="J872" s="154"/>
      <c r="K872" s="154"/>
      <c r="L872" s="154"/>
      <c r="M872" s="154"/>
      <c r="N872" s="152" t="s">
        <v>8395</v>
      </c>
    </row>
    <row r="873">
      <c r="A873" s="152" t="s">
        <v>8460</v>
      </c>
      <c r="B873" s="152" t="s">
        <v>8461</v>
      </c>
      <c r="C873" s="152">
        <v>4.0</v>
      </c>
      <c r="D873" s="154"/>
      <c r="E873" s="152">
        <v>3.0</v>
      </c>
      <c r="F873" s="154"/>
      <c r="G873" s="152" t="s">
        <v>8436</v>
      </c>
      <c r="H873" s="152" t="s">
        <v>8418</v>
      </c>
      <c r="I873" s="152" t="s">
        <v>6492</v>
      </c>
      <c r="J873" s="154"/>
      <c r="K873" s="154"/>
      <c r="L873" s="154"/>
      <c r="M873" s="154"/>
      <c r="N873" s="152" t="s">
        <v>8395</v>
      </c>
    </row>
    <row r="874">
      <c r="A874" s="152" t="s">
        <v>8460</v>
      </c>
      <c r="B874" s="152" t="s">
        <v>8461</v>
      </c>
      <c r="C874" s="152">
        <v>4.0</v>
      </c>
      <c r="D874" s="154"/>
      <c r="E874" s="152">
        <v>3.0</v>
      </c>
      <c r="F874" s="154"/>
      <c r="G874" s="152" t="s">
        <v>8436</v>
      </c>
      <c r="H874" s="152" t="s">
        <v>8419</v>
      </c>
      <c r="I874" s="152" t="s">
        <v>6978</v>
      </c>
      <c r="J874" s="154"/>
      <c r="K874" s="154"/>
      <c r="L874" s="154"/>
      <c r="M874" s="154"/>
      <c r="N874" s="152" t="s">
        <v>8395</v>
      </c>
    </row>
    <row r="875">
      <c r="A875" s="152" t="s">
        <v>8460</v>
      </c>
      <c r="B875" s="152" t="s">
        <v>8461</v>
      </c>
      <c r="C875" s="152">
        <v>4.0</v>
      </c>
      <c r="D875" s="154"/>
      <c r="E875" s="152">
        <v>3.0</v>
      </c>
      <c r="F875" s="154"/>
      <c r="G875" s="152" t="s">
        <v>8436</v>
      </c>
      <c r="H875" s="152" t="s">
        <v>8420</v>
      </c>
      <c r="I875" s="152" t="s">
        <v>6936</v>
      </c>
      <c r="J875" s="154"/>
      <c r="K875" s="154"/>
      <c r="L875" s="154"/>
      <c r="M875" s="154"/>
      <c r="N875" s="152" t="s">
        <v>8395</v>
      </c>
    </row>
    <row r="876">
      <c r="A876" s="152" t="s">
        <v>8460</v>
      </c>
      <c r="B876" s="152" t="s">
        <v>8461</v>
      </c>
      <c r="C876" s="152">
        <v>4.0</v>
      </c>
      <c r="D876" s="154"/>
      <c r="E876" s="152">
        <v>3.0</v>
      </c>
      <c r="F876" s="154"/>
      <c r="G876" s="152" t="s">
        <v>8436</v>
      </c>
      <c r="H876" s="152" t="s">
        <v>8421</v>
      </c>
      <c r="I876" s="152" t="s">
        <v>6620</v>
      </c>
      <c r="J876" s="154"/>
      <c r="K876" s="154"/>
      <c r="L876" s="154"/>
      <c r="M876" s="154"/>
      <c r="N876" s="152" t="s">
        <v>8395</v>
      </c>
    </row>
    <row r="877">
      <c r="A877" s="152" t="s">
        <v>8460</v>
      </c>
      <c r="B877" s="152" t="s">
        <v>8461</v>
      </c>
      <c r="C877" s="152">
        <v>4.0</v>
      </c>
      <c r="D877" s="154"/>
      <c r="E877" s="152">
        <v>3.0</v>
      </c>
      <c r="F877" s="154"/>
      <c r="G877" s="152" t="s">
        <v>8436</v>
      </c>
      <c r="H877" s="152" t="s">
        <v>8422</v>
      </c>
      <c r="I877" s="152" t="s">
        <v>6563</v>
      </c>
      <c r="J877" s="154"/>
      <c r="K877" s="154"/>
      <c r="L877" s="154"/>
      <c r="M877" s="154"/>
      <c r="N877" s="152" t="s">
        <v>8395</v>
      </c>
    </row>
    <row r="878">
      <c r="A878" s="152" t="s">
        <v>8460</v>
      </c>
      <c r="B878" s="152" t="s">
        <v>8461</v>
      </c>
      <c r="C878" s="152">
        <v>4.0</v>
      </c>
      <c r="D878" s="154"/>
      <c r="E878" s="152">
        <v>3.0</v>
      </c>
      <c r="F878" s="154"/>
      <c r="G878" s="152" t="s">
        <v>8436</v>
      </c>
      <c r="H878" s="152" t="s">
        <v>8423</v>
      </c>
      <c r="I878" s="152" t="s">
        <v>6701</v>
      </c>
      <c r="J878" s="154"/>
      <c r="K878" s="154"/>
      <c r="L878" s="154"/>
      <c r="M878" s="154"/>
      <c r="N878" s="152" t="s">
        <v>8395</v>
      </c>
    </row>
    <row r="879">
      <c r="A879" s="152" t="s">
        <v>8460</v>
      </c>
      <c r="B879" s="152" t="s">
        <v>8461</v>
      </c>
      <c r="C879" s="152">
        <v>4.0</v>
      </c>
      <c r="D879" s="154"/>
      <c r="E879" s="152">
        <v>3.0</v>
      </c>
      <c r="F879" s="154"/>
      <c r="G879" s="152" t="s">
        <v>8436</v>
      </c>
      <c r="H879" s="152" t="s">
        <v>8424</v>
      </c>
      <c r="I879" s="152" t="s">
        <v>6684</v>
      </c>
      <c r="J879" s="154"/>
      <c r="K879" s="154"/>
      <c r="L879" s="154"/>
      <c r="M879" s="154"/>
      <c r="N879" s="152" t="s">
        <v>8395</v>
      </c>
    </row>
    <row r="880">
      <c r="A880" s="152" t="s">
        <v>8460</v>
      </c>
      <c r="B880" s="152" t="s">
        <v>8461</v>
      </c>
      <c r="C880" s="152">
        <v>4.0</v>
      </c>
      <c r="D880" s="154"/>
      <c r="E880" s="152">
        <v>3.0</v>
      </c>
      <c r="F880" s="154"/>
      <c r="G880" s="152" t="s">
        <v>8436</v>
      </c>
      <c r="H880" s="152" t="s">
        <v>8425</v>
      </c>
      <c r="I880" s="152" t="s">
        <v>7039</v>
      </c>
      <c r="J880" s="154"/>
      <c r="K880" s="154"/>
      <c r="L880" s="154"/>
      <c r="M880" s="154"/>
      <c r="N880" s="152" t="s">
        <v>8395</v>
      </c>
    </row>
    <row r="881">
      <c r="A881" s="152" t="s">
        <v>8460</v>
      </c>
      <c r="B881" s="152" t="s">
        <v>8461</v>
      </c>
      <c r="C881" s="152">
        <v>4.0</v>
      </c>
      <c r="D881" s="154"/>
      <c r="E881" s="152">
        <v>3.0</v>
      </c>
      <c r="F881" s="154"/>
      <c r="G881" s="152" t="s">
        <v>8436</v>
      </c>
      <c r="H881" s="152" t="s">
        <v>8426</v>
      </c>
      <c r="I881" s="152" t="s">
        <v>7023</v>
      </c>
      <c r="J881" s="154"/>
      <c r="K881" s="154"/>
      <c r="L881" s="154"/>
      <c r="M881" s="154"/>
      <c r="N881" s="152" t="s">
        <v>8395</v>
      </c>
    </row>
    <row r="882">
      <c r="A882" s="152" t="s">
        <v>8462</v>
      </c>
      <c r="B882" s="152" t="s">
        <v>8463</v>
      </c>
      <c r="C882" s="152">
        <v>1.0</v>
      </c>
      <c r="D882" s="154"/>
      <c r="E882" s="154"/>
      <c r="F882" s="154"/>
      <c r="G882" s="152" t="s">
        <v>8382</v>
      </c>
      <c r="H882" s="152" t="s">
        <v>8383</v>
      </c>
      <c r="I882" s="154"/>
      <c r="J882" s="152" t="s">
        <v>23</v>
      </c>
      <c r="K882" s="152">
        <v>649.0</v>
      </c>
      <c r="L882" s="154"/>
      <c r="M882" s="154"/>
      <c r="N882" s="152" t="s">
        <v>8384</v>
      </c>
    </row>
    <row r="883">
      <c r="A883" s="152" t="s">
        <v>8462</v>
      </c>
      <c r="B883" s="152" t="s">
        <v>8463</v>
      </c>
      <c r="C883" s="152">
        <v>1.0</v>
      </c>
      <c r="D883" s="154"/>
      <c r="E883" s="154"/>
      <c r="F883" s="154"/>
      <c r="G883" s="152" t="s">
        <v>8382</v>
      </c>
      <c r="H883" s="152" t="s">
        <v>8385</v>
      </c>
      <c r="I883" s="154"/>
      <c r="J883" s="152" t="s">
        <v>23</v>
      </c>
      <c r="K883" s="152">
        <v>699.0</v>
      </c>
      <c r="L883" s="154"/>
      <c r="M883" s="154"/>
      <c r="N883" s="152" t="s">
        <v>8384</v>
      </c>
    </row>
    <row r="884">
      <c r="A884" s="152" t="s">
        <v>8462</v>
      </c>
      <c r="B884" s="152" t="s">
        <v>8463</v>
      </c>
      <c r="C884" s="152">
        <v>1.0</v>
      </c>
      <c r="D884" s="154"/>
      <c r="E884" s="154"/>
      <c r="F884" s="154"/>
      <c r="G884" s="152" t="s">
        <v>8382</v>
      </c>
      <c r="H884" s="152" t="s">
        <v>8386</v>
      </c>
      <c r="I884" s="154"/>
      <c r="J884" s="152" t="s">
        <v>23</v>
      </c>
      <c r="K884" s="152">
        <v>699.0</v>
      </c>
      <c r="L884" s="154"/>
      <c r="M884" s="154"/>
      <c r="N884" s="152" t="s">
        <v>8384</v>
      </c>
    </row>
    <row r="885">
      <c r="A885" s="152" t="s">
        <v>8462</v>
      </c>
      <c r="B885" s="152" t="s">
        <v>8463</v>
      </c>
      <c r="C885" s="152">
        <v>1.0</v>
      </c>
      <c r="D885" s="154"/>
      <c r="E885" s="154"/>
      <c r="F885" s="154"/>
      <c r="G885" s="152" t="s">
        <v>8382</v>
      </c>
      <c r="H885" s="152" t="s">
        <v>8387</v>
      </c>
      <c r="I885" s="154"/>
      <c r="J885" s="152" t="s">
        <v>23</v>
      </c>
      <c r="K885" s="152">
        <v>699.0</v>
      </c>
      <c r="L885" s="154"/>
      <c r="M885" s="154"/>
      <c r="N885" s="152" t="s">
        <v>8384</v>
      </c>
    </row>
    <row r="886">
      <c r="A886" s="152" t="s">
        <v>8462</v>
      </c>
      <c r="B886" s="152" t="s">
        <v>8463</v>
      </c>
      <c r="C886" s="152">
        <v>1.0</v>
      </c>
      <c r="D886" s="154"/>
      <c r="E886" s="154"/>
      <c r="F886" s="154"/>
      <c r="G886" s="152" t="s">
        <v>8382</v>
      </c>
      <c r="H886" s="152" t="s">
        <v>8388</v>
      </c>
      <c r="I886" s="154"/>
      <c r="J886" s="152" t="s">
        <v>23</v>
      </c>
      <c r="K886" s="152">
        <v>699.0</v>
      </c>
      <c r="L886" s="154"/>
      <c r="M886" s="154"/>
      <c r="N886" s="152" t="s">
        <v>8384</v>
      </c>
    </row>
    <row r="887">
      <c r="A887" s="152" t="s">
        <v>8462</v>
      </c>
      <c r="B887" s="152" t="s">
        <v>8463</v>
      </c>
      <c r="C887" s="152">
        <v>1.0</v>
      </c>
      <c r="D887" s="154"/>
      <c r="E887" s="154"/>
      <c r="F887" s="154"/>
      <c r="G887" s="152" t="s">
        <v>8382</v>
      </c>
      <c r="H887" s="152" t="s">
        <v>8389</v>
      </c>
      <c r="I887" s="154"/>
      <c r="J887" s="152" t="s">
        <v>23</v>
      </c>
      <c r="K887" s="152">
        <v>809.0</v>
      </c>
      <c r="L887" s="154"/>
      <c r="M887" s="154"/>
      <c r="N887" s="152" t="s">
        <v>8384</v>
      </c>
    </row>
    <row r="888">
      <c r="A888" s="152" t="s">
        <v>8462</v>
      </c>
      <c r="B888" s="152" t="s">
        <v>8463</v>
      </c>
      <c r="C888" s="152">
        <v>1.0</v>
      </c>
      <c r="D888" s="154"/>
      <c r="E888" s="154"/>
      <c r="F888" s="154"/>
      <c r="G888" s="152" t="s">
        <v>8382</v>
      </c>
      <c r="H888" s="152" t="s">
        <v>5767</v>
      </c>
      <c r="I888" s="154"/>
      <c r="J888" s="152" t="s">
        <v>23</v>
      </c>
      <c r="K888" s="152">
        <v>809.0</v>
      </c>
      <c r="L888" s="154"/>
      <c r="M888" s="154"/>
      <c r="N888" s="152" t="s">
        <v>8384</v>
      </c>
    </row>
    <row r="889">
      <c r="A889" s="152" t="s">
        <v>8462</v>
      </c>
      <c r="B889" s="152" t="s">
        <v>8463</v>
      </c>
      <c r="C889" s="152">
        <v>1.0</v>
      </c>
      <c r="D889" s="154"/>
      <c r="E889" s="154"/>
      <c r="F889" s="154"/>
      <c r="G889" s="152" t="s">
        <v>8382</v>
      </c>
      <c r="H889" s="152" t="s">
        <v>8390</v>
      </c>
      <c r="I889" s="154"/>
      <c r="J889" s="152" t="s">
        <v>23</v>
      </c>
      <c r="K889" s="152">
        <v>809.0</v>
      </c>
      <c r="L889" s="154"/>
      <c r="M889" s="154"/>
      <c r="N889" s="152" t="s">
        <v>8384</v>
      </c>
    </row>
    <row r="890">
      <c r="A890" s="152" t="s">
        <v>8462</v>
      </c>
      <c r="B890" s="152" t="s">
        <v>8463</v>
      </c>
      <c r="C890" s="152">
        <v>1.0</v>
      </c>
      <c r="D890" s="154"/>
      <c r="E890" s="154"/>
      <c r="F890" s="154"/>
      <c r="G890" s="152" t="s">
        <v>8382</v>
      </c>
      <c r="H890" s="152" t="s">
        <v>8391</v>
      </c>
      <c r="I890" s="154"/>
      <c r="J890" s="152" t="s">
        <v>23</v>
      </c>
      <c r="K890" s="152">
        <v>809.0</v>
      </c>
      <c r="L890" s="154"/>
      <c r="M890" s="154"/>
      <c r="N890" s="152" t="s">
        <v>8384</v>
      </c>
    </row>
    <row r="891">
      <c r="A891" s="152" t="s">
        <v>8462</v>
      </c>
      <c r="B891" s="152" t="s">
        <v>8463</v>
      </c>
      <c r="C891" s="152">
        <v>1.0</v>
      </c>
      <c r="D891" s="154"/>
      <c r="E891" s="154"/>
      <c r="F891" s="154"/>
      <c r="G891" s="152" t="s">
        <v>8382</v>
      </c>
      <c r="H891" s="152" t="s">
        <v>8392</v>
      </c>
      <c r="I891" s="154"/>
      <c r="J891" s="152" t="s">
        <v>23</v>
      </c>
      <c r="K891" s="152">
        <v>809.0</v>
      </c>
      <c r="L891" s="154"/>
      <c r="M891" s="154"/>
      <c r="N891" s="152" t="s">
        <v>8384</v>
      </c>
    </row>
    <row r="892">
      <c r="A892" s="152" t="s">
        <v>8462</v>
      </c>
      <c r="B892" s="152" t="s">
        <v>8463</v>
      </c>
      <c r="C892" s="152">
        <v>2.0</v>
      </c>
      <c r="D892" s="154"/>
      <c r="E892" s="152">
        <v>1.0</v>
      </c>
      <c r="F892" s="154"/>
      <c r="G892" s="152" t="s">
        <v>8393</v>
      </c>
      <c r="H892" s="152" t="s">
        <v>8394</v>
      </c>
      <c r="I892" s="152" t="s">
        <v>6862</v>
      </c>
      <c r="J892" s="154"/>
      <c r="K892" s="154"/>
      <c r="L892" s="154"/>
      <c r="M892" s="154"/>
      <c r="N892" s="152" t="s">
        <v>8395</v>
      </c>
    </row>
    <row r="893">
      <c r="A893" s="152" t="s">
        <v>8462</v>
      </c>
      <c r="B893" s="152" t="s">
        <v>8463</v>
      </c>
      <c r="C893" s="152">
        <v>2.0</v>
      </c>
      <c r="D893" s="154"/>
      <c r="E893" s="152">
        <v>1.0</v>
      </c>
      <c r="F893" s="154"/>
      <c r="G893" s="152" t="s">
        <v>8393</v>
      </c>
      <c r="H893" s="152" t="s">
        <v>8396</v>
      </c>
      <c r="I893" s="152" t="s">
        <v>6893</v>
      </c>
      <c r="J893" s="154"/>
      <c r="K893" s="154"/>
      <c r="L893" s="154"/>
      <c r="M893" s="154"/>
      <c r="N893" s="152" t="s">
        <v>8395</v>
      </c>
    </row>
    <row r="894">
      <c r="A894" s="152" t="s">
        <v>8462</v>
      </c>
      <c r="B894" s="152" t="s">
        <v>8463</v>
      </c>
      <c r="C894" s="152">
        <v>2.0</v>
      </c>
      <c r="D894" s="154"/>
      <c r="E894" s="152">
        <v>1.0</v>
      </c>
      <c r="F894" s="154"/>
      <c r="G894" s="152" t="s">
        <v>8393</v>
      </c>
      <c r="H894" s="152" t="s">
        <v>8397</v>
      </c>
      <c r="I894" s="152" t="s">
        <v>6796</v>
      </c>
      <c r="J894" s="154"/>
      <c r="K894" s="154"/>
      <c r="L894" s="154"/>
      <c r="M894" s="154"/>
      <c r="N894" s="152" t="s">
        <v>8395</v>
      </c>
    </row>
    <row r="895">
      <c r="A895" s="152" t="s">
        <v>8462</v>
      </c>
      <c r="B895" s="152" t="s">
        <v>8463</v>
      </c>
      <c r="C895" s="152">
        <v>2.0</v>
      </c>
      <c r="D895" s="154"/>
      <c r="E895" s="152">
        <v>1.0</v>
      </c>
      <c r="F895" s="154"/>
      <c r="G895" s="152" t="s">
        <v>8393</v>
      </c>
      <c r="H895" s="152" t="s">
        <v>8398</v>
      </c>
      <c r="I895" s="152" t="s">
        <v>6726</v>
      </c>
      <c r="J895" s="154"/>
      <c r="K895" s="154"/>
      <c r="L895" s="154"/>
      <c r="M895" s="154"/>
      <c r="N895" s="152" t="s">
        <v>8395</v>
      </c>
    </row>
    <row r="896">
      <c r="A896" s="152" t="s">
        <v>8462</v>
      </c>
      <c r="B896" s="152" t="s">
        <v>8463</v>
      </c>
      <c r="C896" s="152">
        <v>2.0</v>
      </c>
      <c r="D896" s="154"/>
      <c r="E896" s="152">
        <v>1.0</v>
      </c>
      <c r="F896" s="154"/>
      <c r="G896" s="152" t="s">
        <v>8393</v>
      </c>
      <c r="H896" s="152" t="s">
        <v>8399</v>
      </c>
      <c r="I896" s="152" t="s">
        <v>6924</v>
      </c>
      <c r="J896" s="154"/>
      <c r="K896" s="154"/>
      <c r="L896" s="154"/>
      <c r="M896" s="154"/>
      <c r="N896" s="152" t="s">
        <v>8395</v>
      </c>
    </row>
    <row r="897">
      <c r="A897" s="152" t="s">
        <v>8462</v>
      </c>
      <c r="B897" s="152" t="s">
        <v>8463</v>
      </c>
      <c r="C897" s="152">
        <v>2.0</v>
      </c>
      <c r="D897" s="154"/>
      <c r="E897" s="152">
        <v>1.0</v>
      </c>
      <c r="F897" s="154"/>
      <c r="G897" s="152" t="s">
        <v>8393</v>
      </c>
      <c r="H897" s="152" t="s">
        <v>8400</v>
      </c>
      <c r="I897" s="152" t="s">
        <v>6893</v>
      </c>
      <c r="J897" s="154"/>
      <c r="K897" s="154"/>
      <c r="L897" s="154"/>
      <c r="M897" s="154"/>
      <c r="N897" s="152" t="s">
        <v>8395</v>
      </c>
    </row>
    <row r="898">
      <c r="A898" s="152" t="s">
        <v>8462</v>
      </c>
      <c r="B898" s="152" t="s">
        <v>8463</v>
      </c>
      <c r="C898" s="152">
        <v>2.0</v>
      </c>
      <c r="D898" s="154"/>
      <c r="E898" s="152">
        <v>1.0</v>
      </c>
      <c r="F898" s="154"/>
      <c r="G898" s="152" t="s">
        <v>8393</v>
      </c>
      <c r="H898" s="152" t="s">
        <v>8401</v>
      </c>
      <c r="I898" s="152" t="s">
        <v>6796</v>
      </c>
      <c r="J898" s="154"/>
      <c r="K898" s="154"/>
      <c r="L898" s="154"/>
      <c r="M898" s="154"/>
      <c r="N898" s="152" t="s">
        <v>8395</v>
      </c>
    </row>
    <row r="899">
      <c r="A899" s="152" t="s">
        <v>8462</v>
      </c>
      <c r="B899" s="152" t="s">
        <v>8463</v>
      </c>
      <c r="C899" s="152">
        <v>2.0</v>
      </c>
      <c r="D899" s="154"/>
      <c r="E899" s="152">
        <v>1.0</v>
      </c>
      <c r="F899" s="154"/>
      <c r="G899" s="152" t="s">
        <v>8393</v>
      </c>
      <c r="H899" s="152" t="s">
        <v>8402</v>
      </c>
      <c r="I899" s="152" t="s">
        <v>6831</v>
      </c>
      <c r="J899" s="154"/>
      <c r="K899" s="154"/>
      <c r="L899" s="154"/>
      <c r="M899" s="154"/>
      <c r="N899" s="152" t="s">
        <v>8395</v>
      </c>
    </row>
    <row r="900">
      <c r="A900" s="152" t="s">
        <v>8462</v>
      </c>
      <c r="B900" s="152" t="s">
        <v>8463</v>
      </c>
      <c r="C900" s="152">
        <v>2.0</v>
      </c>
      <c r="D900" s="154"/>
      <c r="E900" s="152">
        <v>1.0</v>
      </c>
      <c r="F900" s="154"/>
      <c r="G900" s="152" t="s">
        <v>8393</v>
      </c>
      <c r="H900" s="152" t="s">
        <v>8403</v>
      </c>
      <c r="I900" s="152" t="s">
        <v>6836</v>
      </c>
      <c r="J900" s="154"/>
      <c r="K900" s="154"/>
      <c r="L900" s="154"/>
      <c r="M900" s="154"/>
      <c r="N900" s="152" t="s">
        <v>8395</v>
      </c>
    </row>
    <row r="901">
      <c r="A901" s="152" t="s">
        <v>8462</v>
      </c>
      <c r="B901" s="152" t="s">
        <v>8463</v>
      </c>
      <c r="C901" s="152">
        <v>2.0</v>
      </c>
      <c r="D901" s="154"/>
      <c r="E901" s="152">
        <v>1.0</v>
      </c>
      <c r="F901" s="154"/>
      <c r="G901" s="152" t="s">
        <v>8393</v>
      </c>
      <c r="H901" s="152" t="s">
        <v>8404</v>
      </c>
      <c r="I901" s="152" t="s">
        <v>8405</v>
      </c>
      <c r="J901" s="154"/>
      <c r="K901" s="154"/>
      <c r="L901" s="154"/>
      <c r="M901" s="154"/>
      <c r="N901" s="152" t="s">
        <v>8395</v>
      </c>
    </row>
    <row r="902">
      <c r="A902" s="152" t="s">
        <v>8462</v>
      </c>
      <c r="B902" s="152" t="s">
        <v>8463</v>
      </c>
      <c r="C902" s="152">
        <v>3.0</v>
      </c>
      <c r="D902" s="154"/>
      <c r="E902" s="154"/>
      <c r="F902" s="154"/>
      <c r="G902" s="152" t="s">
        <v>8436</v>
      </c>
      <c r="H902" s="155" t="s">
        <v>8407</v>
      </c>
      <c r="I902" s="154"/>
      <c r="J902" s="157"/>
      <c r="K902" s="157"/>
      <c r="L902" s="157"/>
      <c r="M902" s="157"/>
      <c r="N902" s="152" t="s">
        <v>8384</v>
      </c>
    </row>
    <row r="903">
      <c r="A903" s="152" t="s">
        <v>8462</v>
      </c>
      <c r="B903" s="152" t="s">
        <v>8463</v>
      </c>
      <c r="C903" s="152">
        <v>3.0</v>
      </c>
      <c r="D903" s="154"/>
      <c r="E903" s="154"/>
      <c r="F903" s="154"/>
      <c r="G903" s="152" t="s">
        <v>8436</v>
      </c>
      <c r="H903" s="155" t="s">
        <v>8408</v>
      </c>
      <c r="I903" s="154"/>
      <c r="J903" s="157"/>
      <c r="K903" s="157"/>
      <c r="L903" s="157"/>
      <c r="M903" s="157"/>
      <c r="N903" s="152" t="s">
        <v>8384</v>
      </c>
    </row>
    <row r="904">
      <c r="A904" s="152" t="s">
        <v>8462</v>
      </c>
      <c r="B904" s="152" t="s">
        <v>8463</v>
      </c>
      <c r="C904" s="152">
        <v>3.0</v>
      </c>
      <c r="D904" s="154"/>
      <c r="E904" s="154"/>
      <c r="F904" s="154"/>
      <c r="G904" s="152" t="s">
        <v>8436</v>
      </c>
      <c r="H904" s="155" t="s">
        <v>8409</v>
      </c>
      <c r="I904" s="154"/>
      <c r="J904" s="157"/>
      <c r="K904" s="157"/>
      <c r="L904" s="157"/>
      <c r="M904" s="157"/>
      <c r="N904" s="152" t="s">
        <v>8384</v>
      </c>
    </row>
    <row r="905">
      <c r="A905" s="152" t="s">
        <v>8462</v>
      </c>
      <c r="B905" s="152" t="s">
        <v>8463</v>
      </c>
      <c r="C905" s="152">
        <v>3.0</v>
      </c>
      <c r="D905" s="154"/>
      <c r="E905" s="154"/>
      <c r="F905" s="154"/>
      <c r="G905" s="152" t="s">
        <v>8436</v>
      </c>
      <c r="H905" s="155" t="s">
        <v>8410</v>
      </c>
      <c r="I905" s="154"/>
      <c r="J905" s="157"/>
      <c r="K905" s="157"/>
      <c r="L905" s="157"/>
      <c r="M905" s="157"/>
      <c r="N905" s="152" t="s">
        <v>8384</v>
      </c>
    </row>
    <row r="906">
      <c r="A906" s="152" t="s">
        <v>8462</v>
      </c>
      <c r="B906" s="152" t="s">
        <v>8463</v>
      </c>
      <c r="C906" s="152">
        <v>3.0</v>
      </c>
      <c r="D906" s="154"/>
      <c r="E906" s="154"/>
      <c r="F906" s="154"/>
      <c r="G906" s="152" t="s">
        <v>8436</v>
      </c>
      <c r="H906" s="155" t="s">
        <v>8411</v>
      </c>
      <c r="I906" s="154"/>
      <c r="J906" s="157"/>
      <c r="K906" s="157"/>
      <c r="L906" s="157"/>
      <c r="M906" s="157"/>
      <c r="N906" s="152" t="s">
        <v>8384</v>
      </c>
    </row>
    <row r="907">
      <c r="A907" s="152" t="s">
        <v>8462</v>
      </c>
      <c r="B907" s="152" t="s">
        <v>8463</v>
      </c>
      <c r="C907" s="152">
        <v>3.0</v>
      </c>
      <c r="D907" s="154"/>
      <c r="E907" s="154"/>
      <c r="F907" s="154"/>
      <c r="G907" s="152" t="s">
        <v>8436</v>
      </c>
      <c r="H907" s="155" t="s">
        <v>8412</v>
      </c>
      <c r="I907" s="154"/>
      <c r="J907" s="157"/>
      <c r="K907" s="157"/>
      <c r="L907" s="157"/>
      <c r="M907" s="157"/>
      <c r="N907" s="152" t="s">
        <v>8384</v>
      </c>
    </row>
    <row r="908">
      <c r="A908" s="152" t="s">
        <v>8462</v>
      </c>
      <c r="B908" s="152" t="s">
        <v>8463</v>
      </c>
      <c r="C908" s="152">
        <v>3.0</v>
      </c>
      <c r="D908" s="154"/>
      <c r="E908" s="154"/>
      <c r="F908" s="154"/>
      <c r="G908" s="152" t="s">
        <v>8436</v>
      </c>
      <c r="H908" s="155" t="s">
        <v>8413</v>
      </c>
      <c r="I908" s="154"/>
      <c r="J908" s="157"/>
      <c r="K908" s="157"/>
      <c r="L908" s="157"/>
      <c r="M908" s="157"/>
      <c r="N908" s="152" t="s">
        <v>8384</v>
      </c>
    </row>
    <row r="909">
      <c r="A909" s="152" t="s">
        <v>8462</v>
      </c>
      <c r="B909" s="152" t="s">
        <v>8463</v>
      </c>
      <c r="C909" s="152">
        <v>3.0</v>
      </c>
      <c r="D909" s="154"/>
      <c r="E909" s="154"/>
      <c r="F909" s="154"/>
      <c r="G909" s="152" t="s">
        <v>8436</v>
      </c>
      <c r="H909" s="155" t="s">
        <v>8414</v>
      </c>
      <c r="I909" s="154"/>
      <c r="J909" s="157"/>
      <c r="K909" s="157"/>
      <c r="L909" s="157"/>
      <c r="M909" s="157"/>
      <c r="N909" s="152" t="s">
        <v>8384</v>
      </c>
    </row>
    <row r="910">
      <c r="A910" s="152" t="s">
        <v>8462</v>
      </c>
      <c r="B910" s="152" t="s">
        <v>8463</v>
      </c>
      <c r="C910" s="152">
        <v>3.0</v>
      </c>
      <c r="D910" s="154"/>
      <c r="E910" s="154"/>
      <c r="F910" s="154"/>
      <c r="G910" s="152" t="s">
        <v>8436</v>
      </c>
      <c r="H910" s="155" t="s">
        <v>8415</v>
      </c>
      <c r="I910" s="154"/>
      <c r="J910" s="157"/>
      <c r="K910" s="157"/>
      <c r="L910" s="157"/>
      <c r="M910" s="157"/>
      <c r="N910" s="152" t="s">
        <v>8384</v>
      </c>
    </row>
    <row r="911">
      <c r="A911" s="152" t="s">
        <v>8462</v>
      </c>
      <c r="B911" s="152" t="s">
        <v>8463</v>
      </c>
      <c r="C911" s="152">
        <v>3.0</v>
      </c>
      <c r="D911" s="154"/>
      <c r="E911" s="154"/>
      <c r="F911" s="154"/>
      <c r="G911" s="152" t="s">
        <v>8436</v>
      </c>
      <c r="H911" s="155" t="s">
        <v>8416</v>
      </c>
      <c r="I911" s="154"/>
      <c r="J911" s="157"/>
      <c r="K911" s="157"/>
      <c r="L911" s="157"/>
      <c r="M911" s="157"/>
      <c r="N911" s="152" t="s">
        <v>8384</v>
      </c>
    </row>
    <row r="912">
      <c r="A912" s="152" t="s">
        <v>8462</v>
      </c>
      <c r="B912" s="152" t="s">
        <v>8463</v>
      </c>
      <c r="C912" s="152">
        <v>4.0</v>
      </c>
      <c r="D912" s="154"/>
      <c r="E912" s="152">
        <v>3.0</v>
      </c>
      <c r="F912" s="154"/>
      <c r="G912" s="152" t="s">
        <v>8436</v>
      </c>
      <c r="H912" s="155" t="s">
        <v>8417</v>
      </c>
      <c r="I912" s="155" t="s">
        <v>6507</v>
      </c>
      <c r="J912" s="157"/>
      <c r="K912" s="157"/>
      <c r="L912" s="157"/>
      <c r="M912" s="157"/>
      <c r="N912" s="152" t="s">
        <v>8395</v>
      </c>
    </row>
    <row r="913">
      <c r="A913" s="152" t="s">
        <v>8462</v>
      </c>
      <c r="B913" s="152" t="s">
        <v>8463</v>
      </c>
      <c r="C913" s="152">
        <v>4.0</v>
      </c>
      <c r="D913" s="154"/>
      <c r="E913" s="152">
        <v>3.0</v>
      </c>
      <c r="F913" s="154"/>
      <c r="G913" s="152" t="s">
        <v>8436</v>
      </c>
      <c r="H913" s="155" t="s">
        <v>8418</v>
      </c>
      <c r="I913" s="155" t="s">
        <v>6492</v>
      </c>
      <c r="J913" s="157"/>
      <c r="K913" s="157"/>
      <c r="L913" s="157"/>
      <c r="M913" s="157"/>
      <c r="N913" s="152" t="s">
        <v>8395</v>
      </c>
    </row>
    <row r="914">
      <c r="A914" s="152" t="s">
        <v>8462</v>
      </c>
      <c r="B914" s="152" t="s">
        <v>8463</v>
      </c>
      <c r="C914" s="152">
        <v>4.0</v>
      </c>
      <c r="D914" s="154"/>
      <c r="E914" s="152">
        <v>3.0</v>
      </c>
      <c r="F914" s="154"/>
      <c r="G914" s="152" t="s">
        <v>8436</v>
      </c>
      <c r="H914" s="155" t="s">
        <v>8419</v>
      </c>
      <c r="I914" s="155" t="s">
        <v>6978</v>
      </c>
      <c r="J914" s="157"/>
      <c r="K914" s="157"/>
      <c r="L914" s="157"/>
      <c r="M914" s="157"/>
      <c r="N914" s="152" t="s">
        <v>8395</v>
      </c>
    </row>
    <row r="915">
      <c r="A915" s="152" t="s">
        <v>8462</v>
      </c>
      <c r="B915" s="152" t="s">
        <v>8463</v>
      </c>
      <c r="C915" s="152">
        <v>4.0</v>
      </c>
      <c r="D915" s="154"/>
      <c r="E915" s="152">
        <v>3.0</v>
      </c>
      <c r="F915" s="154"/>
      <c r="G915" s="152" t="s">
        <v>8436</v>
      </c>
      <c r="H915" s="155" t="s">
        <v>8420</v>
      </c>
      <c r="I915" s="155" t="s">
        <v>6936</v>
      </c>
      <c r="J915" s="157"/>
      <c r="K915" s="157"/>
      <c r="L915" s="157"/>
      <c r="M915" s="157"/>
      <c r="N915" s="152" t="s">
        <v>8395</v>
      </c>
    </row>
    <row r="916">
      <c r="A916" s="152" t="s">
        <v>8462</v>
      </c>
      <c r="B916" s="152" t="s">
        <v>8463</v>
      </c>
      <c r="C916" s="152">
        <v>4.0</v>
      </c>
      <c r="D916" s="154"/>
      <c r="E916" s="152">
        <v>3.0</v>
      </c>
      <c r="F916" s="154"/>
      <c r="G916" s="152" t="s">
        <v>8436</v>
      </c>
      <c r="H916" s="155" t="s">
        <v>8421</v>
      </c>
      <c r="I916" s="155" t="s">
        <v>6620</v>
      </c>
      <c r="J916" s="157"/>
      <c r="K916" s="157"/>
      <c r="L916" s="157"/>
      <c r="M916" s="157"/>
      <c r="N916" s="152" t="s">
        <v>8395</v>
      </c>
    </row>
    <row r="917">
      <c r="A917" s="152" t="s">
        <v>8462</v>
      </c>
      <c r="B917" s="152" t="s">
        <v>8463</v>
      </c>
      <c r="C917" s="152">
        <v>4.0</v>
      </c>
      <c r="D917" s="154"/>
      <c r="E917" s="152">
        <v>3.0</v>
      </c>
      <c r="F917" s="154"/>
      <c r="G917" s="152" t="s">
        <v>8436</v>
      </c>
      <c r="H917" s="155" t="s">
        <v>8422</v>
      </c>
      <c r="I917" s="155" t="s">
        <v>6563</v>
      </c>
      <c r="J917" s="157"/>
      <c r="K917" s="157"/>
      <c r="L917" s="157"/>
      <c r="M917" s="157"/>
      <c r="N917" s="152" t="s">
        <v>8395</v>
      </c>
    </row>
    <row r="918">
      <c r="A918" s="152" t="s">
        <v>8462</v>
      </c>
      <c r="B918" s="152" t="s">
        <v>8463</v>
      </c>
      <c r="C918" s="152">
        <v>4.0</v>
      </c>
      <c r="D918" s="154"/>
      <c r="E918" s="152">
        <v>3.0</v>
      </c>
      <c r="F918" s="154"/>
      <c r="G918" s="152" t="s">
        <v>8436</v>
      </c>
      <c r="H918" s="155" t="s">
        <v>8423</v>
      </c>
      <c r="I918" s="155" t="s">
        <v>6701</v>
      </c>
      <c r="J918" s="157"/>
      <c r="K918" s="157"/>
      <c r="L918" s="157"/>
      <c r="M918" s="157"/>
      <c r="N918" s="152" t="s">
        <v>8395</v>
      </c>
    </row>
    <row r="919">
      <c r="A919" s="152" t="s">
        <v>8462</v>
      </c>
      <c r="B919" s="152" t="s">
        <v>8463</v>
      </c>
      <c r="C919" s="152">
        <v>4.0</v>
      </c>
      <c r="D919" s="154"/>
      <c r="E919" s="152">
        <v>3.0</v>
      </c>
      <c r="F919" s="154"/>
      <c r="G919" s="152" t="s">
        <v>8436</v>
      </c>
      <c r="H919" s="155" t="s">
        <v>8424</v>
      </c>
      <c r="I919" s="155" t="s">
        <v>6684</v>
      </c>
      <c r="J919" s="157"/>
      <c r="K919" s="157"/>
      <c r="L919" s="157"/>
      <c r="M919" s="157"/>
      <c r="N919" s="152" t="s">
        <v>8395</v>
      </c>
    </row>
    <row r="920">
      <c r="A920" s="152" t="s">
        <v>8462</v>
      </c>
      <c r="B920" s="152" t="s">
        <v>8463</v>
      </c>
      <c r="C920" s="152">
        <v>4.0</v>
      </c>
      <c r="D920" s="154"/>
      <c r="E920" s="152">
        <v>3.0</v>
      </c>
      <c r="F920" s="154"/>
      <c r="G920" s="152" t="s">
        <v>8436</v>
      </c>
      <c r="H920" s="155" t="s">
        <v>8425</v>
      </c>
      <c r="I920" s="155" t="s">
        <v>7039</v>
      </c>
      <c r="J920" s="157"/>
      <c r="K920" s="157"/>
      <c r="L920" s="157"/>
      <c r="M920" s="157"/>
      <c r="N920" s="152" t="s">
        <v>8395</v>
      </c>
    </row>
    <row r="921">
      <c r="A921" s="152" t="s">
        <v>8462</v>
      </c>
      <c r="B921" s="152" t="s">
        <v>8463</v>
      </c>
      <c r="C921" s="152">
        <v>4.0</v>
      </c>
      <c r="D921" s="154"/>
      <c r="E921" s="152">
        <v>3.0</v>
      </c>
      <c r="F921" s="154"/>
      <c r="G921" s="152" t="s">
        <v>8436</v>
      </c>
      <c r="H921" s="155" t="s">
        <v>8426</v>
      </c>
      <c r="I921" s="155" t="s">
        <v>7023</v>
      </c>
      <c r="J921" s="157"/>
      <c r="K921" s="157"/>
      <c r="L921" s="157"/>
      <c r="M921" s="157"/>
      <c r="N921" s="152" t="s">
        <v>8395</v>
      </c>
    </row>
    <row r="922">
      <c r="A922" s="152" t="s">
        <v>8464</v>
      </c>
      <c r="B922" s="152" t="s">
        <v>8465</v>
      </c>
      <c r="C922" s="152">
        <v>1.0</v>
      </c>
      <c r="D922" s="154"/>
      <c r="E922" s="154"/>
      <c r="F922" s="154"/>
      <c r="G922" s="152" t="s">
        <v>8382</v>
      </c>
      <c r="H922" s="152" t="s">
        <v>8383</v>
      </c>
      <c r="I922" s="154"/>
      <c r="J922" s="152" t="s">
        <v>23</v>
      </c>
      <c r="K922" s="152">
        <v>2609.0</v>
      </c>
      <c r="L922" s="154"/>
      <c r="M922" s="154"/>
      <c r="N922" s="152" t="s">
        <v>8384</v>
      </c>
    </row>
    <row r="923">
      <c r="A923" s="152" t="s">
        <v>8464</v>
      </c>
      <c r="B923" s="152" t="s">
        <v>8465</v>
      </c>
      <c r="C923" s="152">
        <v>1.0</v>
      </c>
      <c r="D923" s="154"/>
      <c r="E923" s="154"/>
      <c r="F923" s="154"/>
      <c r="G923" s="152" t="s">
        <v>8382</v>
      </c>
      <c r="H923" s="152" t="s">
        <v>8385</v>
      </c>
      <c r="I923" s="154"/>
      <c r="J923" s="152" t="s">
        <v>23</v>
      </c>
      <c r="K923" s="152">
        <v>2809.0</v>
      </c>
      <c r="L923" s="154"/>
      <c r="M923" s="154"/>
      <c r="N923" s="152" t="s">
        <v>8384</v>
      </c>
    </row>
    <row r="924">
      <c r="A924" s="152" t="s">
        <v>8464</v>
      </c>
      <c r="B924" s="152" t="s">
        <v>8465</v>
      </c>
      <c r="C924" s="152">
        <v>1.0</v>
      </c>
      <c r="D924" s="154"/>
      <c r="E924" s="154"/>
      <c r="F924" s="154"/>
      <c r="G924" s="152" t="s">
        <v>8382</v>
      </c>
      <c r="H924" s="152" t="s">
        <v>8386</v>
      </c>
      <c r="I924" s="154"/>
      <c r="J924" s="152" t="s">
        <v>23</v>
      </c>
      <c r="K924" s="152">
        <v>2809.0</v>
      </c>
      <c r="L924" s="154"/>
      <c r="M924" s="154"/>
      <c r="N924" s="152" t="s">
        <v>8384</v>
      </c>
    </row>
    <row r="925">
      <c r="A925" s="152" t="s">
        <v>8464</v>
      </c>
      <c r="B925" s="152" t="s">
        <v>8465</v>
      </c>
      <c r="C925" s="152">
        <v>1.0</v>
      </c>
      <c r="D925" s="154"/>
      <c r="E925" s="154"/>
      <c r="F925" s="154"/>
      <c r="G925" s="152" t="s">
        <v>8382</v>
      </c>
      <c r="H925" s="152" t="s">
        <v>8387</v>
      </c>
      <c r="I925" s="154"/>
      <c r="J925" s="152" t="s">
        <v>23</v>
      </c>
      <c r="K925" s="152">
        <v>2809.0</v>
      </c>
      <c r="L925" s="154"/>
      <c r="M925" s="154"/>
      <c r="N925" s="152" t="s">
        <v>8384</v>
      </c>
    </row>
    <row r="926">
      <c r="A926" s="152" t="s">
        <v>8464</v>
      </c>
      <c r="B926" s="152" t="s">
        <v>8465</v>
      </c>
      <c r="C926" s="152">
        <v>1.0</v>
      </c>
      <c r="D926" s="154"/>
      <c r="E926" s="154"/>
      <c r="F926" s="154"/>
      <c r="G926" s="152" t="s">
        <v>8382</v>
      </c>
      <c r="H926" s="152" t="s">
        <v>8388</v>
      </c>
      <c r="I926" s="154"/>
      <c r="J926" s="152" t="s">
        <v>23</v>
      </c>
      <c r="K926" s="152">
        <v>2809.0</v>
      </c>
      <c r="L926" s="154"/>
      <c r="M926" s="154"/>
      <c r="N926" s="152" t="s">
        <v>8384</v>
      </c>
    </row>
    <row r="927">
      <c r="A927" s="152" t="s">
        <v>8464</v>
      </c>
      <c r="B927" s="152" t="s">
        <v>8465</v>
      </c>
      <c r="C927" s="152">
        <v>1.0</v>
      </c>
      <c r="D927" s="154"/>
      <c r="E927" s="154"/>
      <c r="F927" s="154"/>
      <c r="G927" s="152" t="s">
        <v>8382</v>
      </c>
      <c r="H927" s="152" t="s">
        <v>8389</v>
      </c>
      <c r="I927" s="154"/>
      <c r="J927" s="152" t="s">
        <v>23</v>
      </c>
      <c r="K927" s="152">
        <v>3229.0</v>
      </c>
      <c r="L927" s="154"/>
      <c r="M927" s="154"/>
      <c r="N927" s="152" t="s">
        <v>8384</v>
      </c>
    </row>
    <row r="928">
      <c r="A928" s="152" t="s">
        <v>8464</v>
      </c>
      <c r="B928" s="152" t="s">
        <v>8465</v>
      </c>
      <c r="C928" s="152">
        <v>1.0</v>
      </c>
      <c r="D928" s="154"/>
      <c r="E928" s="154"/>
      <c r="F928" s="154"/>
      <c r="G928" s="152" t="s">
        <v>8382</v>
      </c>
      <c r="H928" s="152" t="s">
        <v>5767</v>
      </c>
      <c r="I928" s="154"/>
      <c r="J928" s="152" t="s">
        <v>23</v>
      </c>
      <c r="K928" s="152">
        <v>3229.0</v>
      </c>
      <c r="L928" s="154"/>
      <c r="M928" s="154"/>
      <c r="N928" s="152" t="s">
        <v>8384</v>
      </c>
    </row>
    <row r="929">
      <c r="A929" s="152" t="s">
        <v>8464</v>
      </c>
      <c r="B929" s="152" t="s">
        <v>8465</v>
      </c>
      <c r="C929" s="152">
        <v>1.0</v>
      </c>
      <c r="D929" s="154"/>
      <c r="E929" s="154"/>
      <c r="F929" s="154"/>
      <c r="G929" s="152" t="s">
        <v>8382</v>
      </c>
      <c r="H929" s="152" t="s">
        <v>8390</v>
      </c>
      <c r="I929" s="154"/>
      <c r="J929" s="152" t="s">
        <v>23</v>
      </c>
      <c r="K929" s="152">
        <v>3229.0</v>
      </c>
      <c r="L929" s="154"/>
      <c r="M929" s="154"/>
      <c r="N929" s="152" t="s">
        <v>8384</v>
      </c>
    </row>
    <row r="930">
      <c r="A930" s="152" t="s">
        <v>8464</v>
      </c>
      <c r="B930" s="152" t="s">
        <v>8465</v>
      </c>
      <c r="C930" s="152">
        <v>1.0</v>
      </c>
      <c r="D930" s="154"/>
      <c r="E930" s="154"/>
      <c r="F930" s="154"/>
      <c r="G930" s="152" t="s">
        <v>8382</v>
      </c>
      <c r="H930" s="152" t="s">
        <v>8391</v>
      </c>
      <c r="I930" s="154"/>
      <c r="J930" s="152" t="s">
        <v>23</v>
      </c>
      <c r="K930" s="152">
        <v>3229.0</v>
      </c>
      <c r="L930" s="154"/>
      <c r="M930" s="154"/>
      <c r="N930" s="152" t="s">
        <v>8384</v>
      </c>
    </row>
    <row r="931">
      <c r="A931" s="152" t="s">
        <v>8464</v>
      </c>
      <c r="B931" s="152" t="s">
        <v>8465</v>
      </c>
      <c r="C931" s="152">
        <v>1.0</v>
      </c>
      <c r="D931" s="154"/>
      <c r="E931" s="154"/>
      <c r="F931" s="154"/>
      <c r="G931" s="152" t="s">
        <v>8382</v>
      </c>
      <c r="H931" s="152" t="s">
        <v>8392</v>
      </c>
      <c r="I931" s="154"/>
      <c r="J931" s="152" t="s">
        <v>23</v>
      </c>
      <c r="K931" s="152">
        <v>3229.0</v>
      </c>
      <c r="L931" s="154"/>
      <c r="M931" s="154"/>
      <c r="N931" s="152" t="s">
        <v>8384</v>
      </c>
    </row>
    <row r="932">
      <c r="A932" s="152" t="s">
        <v>8464</v>
      </c>
      <c r="B932" s="152" t="s">
        <v>8465</v>
      </c>
      <c r="C932" s="152">
        <v>2.0</v>
      </c>
      <c r="D932" s="154"/>
      <c r="E932" s="152">
        <v>1.0</v>
      </c>
      <c r="F932" s="154"/>
      <c r="G932" s="152" t="s">
        <v>8393</v>
      </c>
      <c r="H932" s="152" t="s">
        <v>8394</v>
      </c>
      <c r="I932" s="152" t="s">
        <v>6862</v>
      </c>
      <c r="J932" s="154"/>
      <c r="K932" s="154"/>
      <c r="L932" s="154"/>
      <c r="M932" s="154"/>
      <c r="N932" s="152" t="s">
        <v>8395</v>
      </c>
    </row>
    <row r="933">
      <c r="A933" s="152" t="s">
        <v>8464</v>
      </c>
      <c r="B933" s="152" t="s">
        <v>8465</v>
      </c>
      <c r="C933" s="152">
        <v>2.0</v>
      </c>
      <c r="D933" s="154"/>
      <c r="E933" s="152">
        <v>1.0</v>
      </c>
      <c r="F933" s="154"/>
      <c r="G933" s="152" t="s">
        <v>8393</v>
      </c>
      <c r="H933" s="152" t="s">
        <v>8396</v>
      </c>
      <c r="I933" s="152" t="s">
        <v>6893</v>
      </c>
      <c r="J933" s="154"/>
      <c r="K933" s="154"/>
      <c r="L933" s="154"/>
      <c r="M933" s="154"/>
      <c r="N933" s="152" t="s">
        <v>8395</v>
      </c>
    </row>
    <row r="934">
      <c r="A934" s="152" t="s">
        <v>8464</v>
      </c>
      <c r="B934" s="152" t="s">
        <v>8465</v>
      </c>
      <c r="C934" s="152">
        <v>2.0</v>
      </c>
      <c r="D934" s="154"/>
      <c r="E934" s="152">
        <v>1.0</v>
      </c>
      <c r="F934" s="154"/>
      <c r="G934" s="152" t="s">
        <v>8393</v>
      </c>
      <c r="H934" s="152" t="s">
        <v>8397</v>
      </c>
      <c r="I934" s="152" t="s">
        <v>6796</v>
      </c>
      <c r="J934" s="154"/>
      <c r="K934" s="154"/>
      <c r="L934" s="154"/>
      <c r="M934" s="154"/>
      <c r="N934" s="152" t="s">
        <v>8395</v>
      </c>
    </row>
    <row r="935">
      <c r="A935" s="152" t="s">
        <v>8464</v>
      </c>
      <c r="B935" s="152" t="s">
        <v>8465</v>
      </c>
      <c r="C935" s="152">
        <v>2.0</v>
      </c>
      <c r="D935" s="154"/>
      <c r="E935" s="152">
        <v>1.0</v>
      </c>
      <c r="F935" s="154"/>
      <c r="G935" s="152" t="s">
        <v>8393</v>
      </c>
      <c r="H935" s="152" t="s">
        <v>8398</v>
      </c>
      <c r="I935" s="152" t="s">
        <v>6726</v>
      </c>
      <c r="J935" s="154"/>
      <c r="K935" s="154"/>
      <c r="L935" s="154"/>
      <c r="M935" s="154"/>
      <c r="N935" s="152" t="s">
        <v>8395</v>
      </c>
    </row>
    <row r="936">
      <c r="A936" s="152" t="s">
        <v>8464</v>
      </c>
      <c r="B936" s="152" t="s">
        <v>8465</v>
      </c>
      <c r="C936" s="152">
        <v>2.0</v>
      </c>
      <c r="D936" s="154"/>
      <c r="E936" s="152">
        <v>1.0</v>
      </c>
      <c r="F936" s="154"/>
      <c r="G936" s="152" t="s">
        <v>8393</v>
      </c>
      <c r="H936" s="152" t="s">
        <v>8399</v>
      </c>
      <c r="I936" s="152" t="s">
        <v>6924</v>
      </c>
      <c r="J936" s="154"/>
      <c r="K936" s="154"/>
      <c r="L936" s="154"/>
      <c r="M936" s="154"/>
      <c r="N936" s="152" t="s">
        <v>8395</v>
      </c>
    </row>
    <row r="937">
      <c r="A937" s="152" t="s">
        <v>8464</v>
      </c>
      <c r="B937" s="152" t="s">
        <v>8465</v>
      </c>
      <c r="C937" s="152">
        <v>2.0</v>
      </c>
      <c r="D937" s="154"/>
      <c r="E937" s="152">
        <v>1.0</v>
      </c>
      <c r="F937" s="154"/>
      <c r="G937" s="152" t="s">
        <v>8393</v>
      </c>
      <c r="H937" s="152" t="s">
        <v>8400</v>
      </c>
      <c r="I937" s="152" t="s">
        <v>6893</v>
      </c>
      <c r="J937" s="154"/>
      <c r="K937" s="154"/>
      <c r="L937" s="154"/>
      <c r="M937" s="154"/>
      <c r="N937" s="152" t="s">
        <v>8395</v>
      </c>
    </row>
    <row r="938">
      <c r="A938" s="152" t="s">
        <v>8464</v>
      </c>
      <c r="B938" s="152" t="s">
        <v>8465</v>
      </c>
      <c r="C938" s="152">
        <v>2.0</v>
      </c>
      <c r="D938" s="154"/>
      <c r="E938" s="152">
        <v>1.0</v>
      </c>
      <c r="F938" s="154"/>
      <c r="G938" s="152" t="s">
        <v>8393</v>
      </c>
      <c r="H938" s="152" t="s">
        <v>8401</v>
      </c>
      <c r="I938" s="152" t="s">
        <v>6796</v>
      </c>
      <c r="J938" s="154"/>
      <c r="K938" s="154"/>
      <c r="L938" s="154"/>
      <c r="M938" s="154"/>
      <c r="N938" s="152" t="s">
        <v>8395</v>
      </c>
    </row>
    <row r="939">
      <c r="A939" s="152" t="s">
        <v>8464</v>
      </c>
      <c r="B939" s="152" t="s">
        <v>8465</v>
      </c>
      <c r="C939" s="152">
        <v>2.0</v>
      </c>
      <c r="D939" s="154"/>
      <c r="E939" s="152">
        <v>1.0</v>
      </c>
      <c r="F939" s="154"/>
      <c r="G939" s="152" t="s">
        <v>8393</v>
      </c>
      <c r="H939" s="152" t="s">
        <v>8402</v>
      </c>
      <c r="I939" s="152" t="s">
        <v>6831</v>
      </c>
      <c r="J939" s="154"/>
      <c r="K939" s="154"/>
      <c r="L939" s="154"/>
      <c r="M939" s="154"/>
      <c r="N939" s="152" t="s">
        <v>8395</v>
      </c>
    </row>
    <row r="940">
      <c r="A940" s="152" t="s">
        <v>8464</v>
      </c>
      <c r="B940" s="152" t="s">
        <v>8465</v>
      </c>
      <c r="C940" s="152">
        <v>2.0</v>
      </c>
      <c r="D940" s="154"/>
      <c r="E940" s="152">
        <v>1.0</v>
      </c>
      <c r="F940" s="154"/>
      <c r="G940" s="152" t="s">
        <v>8393</v>
      </c>
      <c r="H940" s="152" t="s">
        <v>8403</v>
      </c>
      <c r="I940" s="152" t="s">
        <v>6836</v>
      </c>
      <c r="J940" s="154"/>
      <c r="K940" s="154"/>
      <c r="L940" s="154"/>
      <c r="M940" s="154"/>
      <c r="N940" s="152" t="s">
        <v>8395</v>
      </c>
    </row>
    <row r="941">
      <c r="A941" s="152" t="s">
        <v>8464</v>
      </c>
      <c r="B941" s="152" t="s">
        <v>8465</v>
      </c>
      <c r="C941" s="152">
        <v>2.0</v>
      </c>
      <c r="D941" s="154"/>
      <c r="E941" s="152">
        <v>1.0</v>
      </c>
      <c r="F941" s="154"/>
      <c r="G941" s="152" t="s">
        <v>8393</v>
      </c>
      <c r="H941" s="152" t="s">
        <v>8404</v>
      </c>
      <c r="I941" s="152" t="s">
        <v>8405</v>
      </c>
      <c r="J941" s="154"/>
      <c r="K941" s="154"/>
      <c r="L941" s="154"/>
      <c r="M941" s="154"/>
      <c r="N941" s="152" t="s">
        <v>8395</v>
      </c>
    </row>
    <row r="942">
      <c r="A942" s="152" t="s">
        <v>8464</v>
      </c>
      <c r="B942" s="152" t="s">
        <v>8465</v>
      </c>
      <c r="C942" s="152">
        <v>3.0</v>
      </c>
      <c r="D942" s="154"/>
      <c r="E942" s="154"/>
      <c r="F942" s="154"/>
      <c r="G942" s="152" t="s">
        <v>8406</v>
      </c>
      <c r="H942" s="155" t="s">
        <v>8407</v>
      </c>
      <c r="I942" s="154"/>
      <c r="J942" s="157"/>
      <c r="K942" s="157"/>
      <c r="L942" s="157"/>
      <c r="M942" s="157"/>
      <c r="N942" s="152" t="s">
        <v>8384</v>
      </c>
    </row>
    <row r="943">
      <c r="A943" s="152" t="s">
        <v>8464</v>
      </c>
      <c r="B943" s="152" t="s">
        <v>8465</v>
      </c>
      <c r="C943" s="152">
        <v>3.0</v>
      </c>
      <c r="D943" s="154"/>
      <c r="E943" s="154"/>
      <c r="F943" s="154"/>
      <c r="G943" s="152" t="s">
        <v>8406</v>
      </c>
      <c r="H943" s="155" t="s">
        <v>8408</v>
      </c>
      <c r="I943" s="154"/>
      <c r="J943" s="157"/>
      <c r="K943" s="157"/>
      <c r="L943" s="157"/>
      <c r="M943" s="157"/>
      <c r="N943" s="152" t="s">
        <v>8384</v>
      </c>
    </row>
    <row r="944">
      <c r="A944" s="152" t="s">
        <v>8464</v>
      </c>
      <c r="B944" s="152" t="s">
        <v>8465</v>
      </c>
      <c r="C944" s="152">
        <v>3.0</v>
      </c>
      <c r="D944" s="154"/>
      <c r="E944" s="154"/>
      <c r="F944" s="154"/>
      <c r="G944" s="152" t="s">
        <v>8406</v>
      </c>
      <c r="H944" s="155" t="s">
        <v>8409</v>
      </c>
      <c r="I944" s="154"/>
      <c r="J944" s="157"/>
      <c r="K944" s="157"/>
      <c r="L944" s="157"/>
      <c r="M944" s="157"/>
      <c r="N944" s="152" t="s">
        <v>8384</v>
      </c>
    </row>
    <row r="945">
      <c r="A945" s="152" t="s">
        <v>8464</v>
      </c>
      <c r="B945" s="152" t="s">
        <v>8465</v>
      </c>
      <c r="C945" s="152">
        <v>3.0</v>
      </c>
      <c r="D945" s="154"/>
      <c r="E945" s="154"/>
      <c r="F945" s="154"/>
      <c r="G945" s="152" t="s">
        <v>8406</v>
      </c>
      <c r="H945" s="155" t="s">
        <v>8410</v>
      </c>
      <c r="I945" s="154"/>
      <c r="J945" s="157"/>
      <c r="K945" s="157"/>
      <c r="L945" s="157"/>
      <c r="M945" s="157"/>
      <c r="N945" s="152" t="s">
        <v>8384</v>
      </c>
    </row>
    <row r="946">
      <c r="A946" s="152" t="s">
        <v>8464</v>
      </c>
      <c r="B946" s="152" t="s">
        <v>8465</v>
      </c>
      <c r="C946" s="152">
        <v>3.0</v>
      </c>
      <c r="D946" s="154"/>
      <c r="E946" s="154"/>
      <c r="F946" s="154"/>
      <c r="G946" s="152" t="s">
        <v>8406</v>
      </c>
      <c r="H946" s="155" t="s">
        <v>8411</v>
      </c>
      <c r="I946" s="154"/>
      <c r="J946" s="157"/>
      <c r="K946" s="157"/>
      <c r="L946" s="157"/>
      <c r="M946" s="157"/>
      <c r="N946" s="152" t="s">
        <v>8384</v>
      </c>
    </row>
    <row r="947">
      <c r="A947" s="152" t="s">
        <v>8464</v>
      </c>
      <c r="B947" s="152" t="s">
        <v>8465</v>
      </c>
      <c r="C947" s="152">
        <v>3.0</v>
      </c>
      <c r="D947" s="154"/>
      <c r="E947" s="154"/>
      <c r="F947" s="154"/>
      <c r="G947" s="152" t="s">
        <v>8406</v>
      </c>
      <c r="H947" s="155" t="s">
        <v>8412</v>
      </c>
      <c r="I947" s="154"/>
      <c r="J947" s="157"/>
      <c r="K947" s="157"/>
      <c r="L947" s="157"/>
      <c r="M947" s="157"/>
      <c r="N947" s="152" t="s">
        <v>8384</v>
      </c>
    </row>
    <row r="948">
      <c r="A948" s="152" t="s">
        <v>8464</v>
      </c>
      <c r="B948" s="152" t="s">
        <v>8465</v>
      </c>
      <c r="C948" s="152">
        <v>3.0</v>
      </c>
      <c r="D948" s="154"/>
      <c r="E948" s="154"/>
      <c r="F948" s="154"/>
      <c r="G948" s="152" t="s">
        <v>8406</v>
      </c>
      <c r="H948" s="155" t="s">
        <v>8413</v>
      </c>
      <c r="I948" s="154"/>
      <c r="J948" s="157"/>
      <c r="K948" s="157"/>
      <c r="L948" s="157"/>
      <c r="M948" s="157"/>
      <c r="N948" s="152" t="s">
        <v>8384</v>
      </c>
    </row>
    <row r="949">
      <c r="A949" s="152" t="s">
        <v>8464</v>
      </c>
      <c r="B949" s="152" t="s">
        <v>8465</v>
      </c>
      <c r="C949" s="152">
        <v>3.0</v>
      </c>
      <c r="D949" s="154"/>
      <c r="E949" s="154"/>
      <c r="F949" s="154"/>
      <c r="G949" s="152" t="s">
        <v>8406</v>
      </c>
      <c r="H949" s="155" t="s">
        <v>8414</v>
      </c>
      <c r="I949" s="154"/>
      <c r="J949" s="157"/>
      <c r="K949" s="157"/>
      <c r="L949" s="157"/>
      <c r="M949" s="157"/>
      <c r="N949" s="152" t="s">
        <v>8384</v>
      </c>
    </row>
    <row r="950">
      <c r="A950" s="152" t="s">
        <v>8464</v>
      </c>
      <c r="B950" s="152" t="s">
        <v>8465</v>
      </c>
      <c r="C950" s="152">
        <v>3.0</v>
      </c>
      <c r="D950" s="154"/>
      <c r="E950" s="154"/>
      <c r="F950" s="154"/>
      <c r="G950" s="152" t="s">
        <v>8406</v>
      </c>
      <c r="H950" s="155" t="s">
        <v>8415</v>
      </c>
      <c r="I950" s="154"/>
      <c r="J950" s="157"/>
      <c r="K950" s="157"/>
      <c r="L950" s="157"/>
      <c r="M950" s="157"/>
      <c r="N950" s="152" t="s">
        <v>8384</v>
      </c>
    </row>
    <row r="951">
      <c r="A951" s="152" t="s">
        <v>8464</v>
      </c>
      <c r="B951" s="152" t="s">
        <v>8465</v>
      </c>
      <c r="C951" s="152">
        <v>3.0</v>
      </c>
      <c r="D951" s="154"/>
      <c r="E951" s="154"/>
      <c r="F951" s="154"/>
      <c r="G951" s="152" t="s">
        <v>8406</v>
      </c>
      <c r="H951" s="155" t="s">
        <v>8416</v>
      </c>
      <c r="I951" s="154"/>
      <c r="J951" s="157"/>
      <c r="K951" s="157"/>
      <c r="L951" s="157"/>
      <c r="M951" s="157"/>
      <c r="N951" s="152" t="s">
        <v>8384</v>
      </c>
    </row>
    <row r="952">
      <c r="A952" s="152" t="s">
        <v>8464</v>
      </c>
      <c r="B952" s="152" t="s">
        <v>8465</v>
      </c>
      <c r="C952" s="152">
        <v>4.0</v>
      </c>
      <c r="D952" s="154"/>
      <c r="E952" s="152">
        <v>3.0</v>
      </c>
      <c r="F952" s="154"/>
      <c r="G952" s="152" t="s">
        <v>8406</v>
      </c>
      <c r="H952" s="155" t="s">
        <v>8417</v>
      </c>
      <c r="I952" s="155" t="s">
        <v>6507</v>
      </c>
      <c r="J952" s="157"/>
      <c r="K952" s="157"/>
      <c r="L952" s="157"/>
      <c r="M952" s="157"/>
      <c r="N952" s="152" t="s">
        <v>8395</v>
      </c>
    </row>
    <row r="953">
      <c r="A953" s="152" t="s">
        <v>8464</v>
      </c>
      <c r="B953" s="152" t="s">
        <v>8465</v>
      </c>
      <c r="C953" s="152">
        <v>4.0</v>
      </c>
      <c r="D953" s="154"/>
      <c r="E953" s="152">
        <v>3.0</v>
      </c>
      <c r="F953" s="154"/>
      <c r="G953" s="152" t="s">
        <v>8406</v>
      </c>
      <c r="H953" s="155" t="s">
        <v>8418</v>
      </c>
      <c r="I953" s="155" t="s">
        <v>6492</v>
      </c>
      <c r="J953" s="157"/>
      <c r="K953" s="157"/>
      <c r="L953" s="157"/>
      <c r="M953" s="157"/>
      <c r="N953" s="152" t="s">
        <v>8395</v>
      </c>
    </row>
    <row r="954">
      <c r="A954" s="152" t="s">
        <v>8464</v>
      </c>
      <c r="B954" s="152" t="s">
        <v>8465</v>
      </c>
      <c r="C954" s="152">
        <v>4.0</v>
      </c>
      <c r="D954" s="154"/>
      <c r="E954" s="152">
        <v>3.0</v>
      </c>
      <c r="F954" s="154"/>
      <c r="G954" s="152" t="s">
        <v>8406</v>
      </c>
      <c r="H954" s="155" t="s">
        <v>8419</v>
      </c>
      <c r="I954" s="155" t="s">
        <v>6978</v>
      </c>
      <c r="J954" s="157"/>
      <c r="K954" s="157"/>
      <c r="L954" s="157"/>
      <c r="M954" s="157"/>
      <c r="N954" s="152" t="s">
        <v>8395</v>
      </c>
    </row>
    <row r="955">
      <c r="A955" s="152" t="s">
        <v>8464</v>
      </c>
      <c r="B955" s="152" t="s">
        <v>8465</v>
      </c>
      <c r="C955" s="152">
        <v>4.0</v>
      </c>
      <c r="D955" s="154"/>
      <c r="E955" s="152">
        <v>3.0</v>
      </c>
      <c r="F955" s="154"/>
      <c r="G955" s="152" t="s">
        <v>8406</v>
      </c>
      <c r="H955" s="155" t="s">
        <v>8420</v>
      </c>
      <c r="I955" s="155" t="s">
        <v>6936</v>
      </c>
      <c r="J955" s="157"/>
      <c r="K955" s="157"/>
      <c r="L955" s="157"/>
      <c r="M955" s="157"/>
      <c r="N955" s="152" t="s">
        <v>8395</v>
      </c>
    </row>
    <row r="956">
      <c r="A956" s="152" t="s">
        <v>8464</v>
      </c>
      <c r="B956" s="152" t="s">
        <v>8465</v>
      </c>
      <c r="C956" s="152">
        <v>4.0</v>
      </c>
      <c r="D956" s="154"/>
      <c r="E956" s="152">
        <v>3.0</v>
      </c>
      <c r="F956" s="154"/>
      <c r="G956" s="152" t="s">
        <v>8406</v>
      </c>
      <c r="H956" s="155" t="s">
        <v>8421</v>
      </c>
      <c r="I956" s="155" t="s">
        <v>6620</v>
      </c>
      <c r="J956" s="157"/>
      <c r="K956" s="157"/>
      <c r="L956" s="157"/>
      <c r="M956" s="157"/>
      <c r="N956" s="152" t="s">
        <v>8395</v>
      </c>
    </row>
    <row r="957">
      <c r="A957" s="152" t="s">
        <v>8464</v>
      </c>
      <c r="B957" s="152" t="s">
        <v>8465</v>
      </c>
      <c r="C957" s="152">
        <v>4.0</v>
      </c>
      <c r="D957" s="154"/>
      <c r="E957" s="152">
        <v>3.0</v>
      </c>
      <c r="F957" s="154"/>
      <c r="G957" s="152" t="s">
        <v>8406</v>
      </c>
      <c r="H957" s="155" t="s">
        <v>8422</v>
      </c>
      <c r="I957" s="155" t="s">
        <v>6563</v>
      </c>
      <c r="J957" s="157"/>
      <c r="K957" s="157"/>
      <c r="L957" s="157"/>
      <c r="M957" s="157"/>
      <c r="N957" s="152" t="s">
        <v>8395</v>
      </c>
    </row>
    <row r="958">
      <c r="A958" s="152" t="s">
        <v>8464</v>
      </c>
      <c r="B958" s="152" t="s">
        <v>8465</v>
      </c>
      <c r="C958" s="152">
        <v>4.0</v>
      </c>
      <c r="D958" s="154"/>
      <c r="E958" s="152">
        <v>3.0</v>
      </c>
      <c r="F958" s="154"/>
      <c r="G958" s="152" t="s">
        <v>8406</v>
      </c>
      <c r="H958" s="155" t="s">
        <v>8423</v>
      </c>
      <c r="I958" s="155" t="s">
        <v>6701</v>
      </c>
      <c r="J958" s="157"/>
      <c r="K958" s="157"/>
      <c r="L958" s="157"/>
      <c r="M958" s="157"/>
      <c r="N958" s="152" t="s">
        <v>8395</v>
      </c>
    </row>
    <row r="959">
      <c r="A959" s="152" t="s">
        <v>8464</v>
      </c>
      <c r="B959" s="152" t="s">
        <v>8465</v>
      </c>
      <c r="C959" s="152">
        <v>4.0</v>
      </c>
      <c r="D959" s="154"/>
      <c r="E959" s="152">
        <v>3.0</v>
      </c>
      <c r="F959" s="154"/>
      <c r="G959" s="152" t="s">
        <v>8406</v>
      </c>
      <c r="H959" s="155" t="s">
        <v>8424</v>
      </c>
      <c r="I959" s="155" t="s">
        <v>6684</v>
      </c>
      <c r="J959" s="157"/>
      <c r="K959" s="157"/>
      <c r="L959" s="157"/>
      <c r="M959" s="157"/>
      <c r="N959" s="152" t="s">
        <v>8395</v>
      </c>
    </row>
    <row r="960">
      <c r="A960" s="152" t="s">
        <v>8464</v>
      </c>
      <c r="B960" s="152" t="s">
        <v>8465</v>
      </c>
      <c r="C960" s="152">
        <v>4.0</v>
      </c>
      <c r="D960" s="154"/>
      <c r="E960" s="152">
        <v>3.0</v>
      </c>
      <c r="F960" s="154"/>
      <c r="G960" s="152" t="s">
        <v>8406</v>
      </c>
      <c r="H960" s="155" t="s">
        <v>8425</v>
      </c>
      <c r="I960" s="155" t="s">
        <v>7039</v>
      </c>
      <c r="J960" s="157"/>
      <c r="K960" s="157"/>
      <c r="L960" s="157"/>
      <c r="M960" s="157"/>
      <c r="N960" s="152" t="s">
        <v>8395</v>
      </c>
    </row>
    <row r="961">
      <c r="A961" s="152" t="s">
        <v>8464</v>
      </c>
      <c r="B961" s="152" t="s">
        <v>8465</v>
      </c>
      <c r="C961" s="152">
        <v>4.0</v>
      </c>
      <c r="D961" s="154"/>
      <c r="E961" s="152">
        <v>3.0</v>
      </c>
      <c r="F961" s="154"/>
      <c r="G961" s="152" t="s">
        <v>8406</v>
      </c>
      <c r="H961" s="155" t="s">
        <v>8426</v>
      </c>
      <c r="I961" s="155" t="s">
        <v>7023</v>
      </c>
      <c r="J961" s="157"/>
      <c r="K961" s="157"/>
      <c r="L961" s="157"/>
      <c r="M961" s="157"/>
      <c r="N961" s="152" t="s">
        <v>8395</v>
      </c>
    </row>
    <row r="962">
      <c r="A962" s="152" t="s">
        <v>8464</v>
      </c>
      <c r="B962" s="152" t="s">
        <v>8465</v>
      </c>
      <c r="C962" s="152">
        <v>5.0</v>
      </c>
      <c r="D962" s="154"/>
      <c r="E962" s="154"/>
      <c r="F962" s="154"/>
      <c r="G962" s="152" t="s">
        <v>8427</v>
      </c>
      <c r="H962" s="155" t="s">
        <v>8407</v>
      </c>
      <c r="I962" s="154"/>
      <c r="J962" s="157"/>
      <c r="K962" s="157"/>
      <c r="L962" s="157"/>
      <c r="M962" s="157"/>
      <c r="N962" s="152" t="s">
        <v>8384</v>
      </c>
    </row>
    <row r="963">
      <c r="A963" s="152" t="s">
        <v>8464</v>
      </c>
      <c r="B963" s="152" t="s">
        <v>8465</v>
      </c>
      <c r="C963" s="152">
        <v>5.0</v>
      </c>
      <c r="D963" s="154"/>
      <c r="E963" s="154"/>
      <c r="F963" s="154"/>
      <c r="G963" s="152" t="s">
        <v>8427</v>
      </c>
      <c r="H963" s="155" t="s">
        <v>8408</v>
      </c>
      <c r="I963" s="154"/>
      <c r="J963" s="157"/>
      <c r="K963" s="157"/>
      <c r="L963" s="157"/>
      <c r="M963" s="157"/>
      <c r="N963" s="152" t="s">
        <v>8384</v>
      </c>
    </row>
    <row r="964">
      <c r="A964" s="152" t="s">
        <v>8464</v>
      </c>
      <c r="B964" s="152" t="s">
        <v>8465</v>
      </c>
      <c r="C964" s="152">
        <v>5.0</v>
      </c>
      <c r="D964" s="154"/>
      <c r="E964" s="154"/>
      <c r="F964" s="154"/>
      <c r="G964" s="152" t="s">
        <v>8427</v>
      </c>
      <c r="H964" s="155" t="s">
        <v>8409</v>
      </c>
      <c r="I964" s="154"/>
      <c r="J964" s="157"/>
      <c r="K964" s="157"/>
      <c r="L964" s="157"/>
      <c r="M964" s="157"/>
      <c r="N964" s="152" t="s">
        <v>8384</v>
      </c>
    </row>
    <row r="965">
      <c r="A965" s="152" t="s">
        <v>8464</v>
      </c>
      <c r="B965" s="152" t="s">
        <v>8465</v>
      </c>
      <c r="C965" s="152">
        <v>5.0</v>
      </c>
      <c r="D965" s="154"/>
      <c r="E965" s="154"/>
      <c r="F965" s="154"/>
      <c r="G965" s="152" t="s">
        <v>8427</v>
      </c>
      <c r="H965" s="155" t="s">
        <v>8410</v>
      </c>
      <c r="I965" s="154"/>
      <c r="J965" s="157"/>
      <c r="K965" s="157"/>
      <c r="L965" s="157"/>
      <c r="M965" s="157"/>
      <c r="N965" s="152" t="s">
        <v>8384</v>
      </c>
    </row>
    <row r="966">
      <c r="A966" s="152" t="s">
        <v>8464</v>
      </c>
      <c r="B966" s="152" t="s">
        <v>8465</v>
      </c>
      <c r="C966" s="152">
        <v>5.0</v>
      </c>
      <c r="D966" s="154"/>
      <c r="E966" s="154"/>
      <c r="F966" s="154"/>
      <c r="G966" s="152" t="s">
        <v>8427</v>
      </c>
      <c r="H966" s="155" t="s">
        <v>8411</v>
      </c>
      <c r="I966" s="154"/>
      <c r="J966" s="157"/>
      <c r="K966" s="157"/>
      <c r="L966" s="157"/>
      <c r="M966" s="157"/>
      <c r="N966" s="152" t="s">
        <v>8384</v>
      </c>
    </row>
    <row r="967">
      <c r="A967" s="152" t="s">
        <v>8464</v>
      </c>
      <c r="B967" s="152" t="s">
        <v>8465</v>
      </c>
      <c r="C967" s="152">
        <v>5.0</v>
      </c>
      <c r="D967" s="154"/>
      <c r="E967" s="154"/>
      <c r="F967" s="154"/>
      <c r="G967" s="152" t="s">
        <v>8427</v>
      </c>
      <c r="H967" s="155" t="s">
        <v>8412</v>
      </c>
      <c r="I967" s="154"/>
      <c r="J967" s="157"/>
      <c r="K967" s="157"/>
      <c r="L967" s="157"/>
      <c r="M967" s="157"/>
      <c r="N967" s="152" t="s">
        <v>8384</v>
      </c>
    </row>
    <row r="968">
      <c r="A968" s="152" t="s">
        <v>8464</v>
      </c>
      <c r="B968" s="152" t="s">
        <v>8465</v>
      </c>
      <c r="C968" s="152">
        <v>5.0</v>
      </c>
      <c r="D968" s="154"/>
      <c r="E968" s="154"/>
      <c r="F968" s="154"/>
      <c r="G968" s="152" t="s">
        <v>8427</v>
      </c>
      <c r="H968" s="155" t="s">
        <v>8413</v>
      </c>
      <c r="I968" s="154"/>
      <c r="J968" s="157"/>
      <c r="K968" s="157"/>
      <c r="L968" s="157"/>
      <c r="M968" s="157"/>
      <c r="N968" s="152" t="s">
        <v>8384</v>
      </c>
    </row>
    <row r="969">
      <c r="A969" s="152" t="s">
        <v>8464</v>
      </c>
      <c r="B969" s="152" t="s">
        <v>8465</v>
      </c>
      <c r="C969" s="152">
        <v>5.0</v>
      </c>
      <c r="D969" s="154"/>
      <c r="E969" s="154"/>
      <c r="F969" s="154"/>
      <c r="G969" s="152" t="s">
        <v>8427</v>
      </c>
      <c r="H969" s="155" t="s">
        <v>8414</v>
      </c>
      <c r="I969" s="154"/>
      <c r="J969" s="157"/>
      <c r="K969" s="157"/>
      <c r="L969" s="157"/>
      <c r="M969" s="157"/>
      <c r="N969" s="152" t="s">
        <v>8384</v>
      </c>
    </row>
    <row r="970">
      <c r="A970" s="152" t="s">
        <v>8464</v>
      </c>
      <c r="B970" s="152" t="s">
        <v>8465</v>
      </c>
      <c r="C970" s="152">
        <v>5.0</v>
      </c>
      <c r="D970" s="154"/>
      <c r="E970" s="154"/>
      <c r="F970" s="154"/>
      <c r="G970" s="152" t="s">
        <v>8427</v>
      </c>
      <c r="H970" s="155" t="s">
        <v>8415</v>
      </c>
      <c r="I970" s="154"/>
      <c r="J970" s="157"/>
      <c r="K970" s="157"/>
      <c r="L970" s="157"/>
      <c r="M970" s="157"/>
      <c r="N970" s="152" t="s">
        <v>8384</v>
      </c>
    </row>
    <row r="971">
      <c r="A971" s="152" t="s">
        <v>8464</v>
      </c>
      <c r="B971" s="152" t="s">
        <v>8465</v>
      </c>
      <c r="C971" s="152">
        <v>5.0</v>
      </c>
      <c r="D971" s="154"/>
      <c r="E971" s="154"/>
      <c r="F971" s="154"/>
      <c r="G971" s="152" t="s">
        <v>8427</v>
      </c>
      <c r="H971" s="155" t="s">
        <v>8416</v>
      </c>
      <c r="I971" s="154"/>
      <c r="J971" s="157"/>
      <c r="K971" s="157"/>
      <c r="L971" s="157"/>
      <c r="M971" s="157"/>
      <c r="N971" s="152" t="s">
        <v>8384</v>
      </c>
    </row>
    <row r="972">
      <c r="A972" s="152" t="s">
        <v>8464</v>
      </c>
      <c r="B972" s="152" t="s">
        <v>8465</v>
      </c>
      <c r="C972" s="152">
        <v>6.0</v>
      </c>
      <c r="D972" s="154"/>
      <c r="E972" s="152">
        <v>5.0</v>
      </c>
      <c r="F972" s="154"/>
      <c r="G972" s="152" t="s">
        <v>8427</v>
      </c>
      <c r="H972" s="155" t="s">
        <v>8417</v>
      </c>
      <c r="I972" s="155" t="s">
        <v>6507</v>
      </c>
      <c r="J972" s="157"/>
      <c r="K972" s="157"/>
      <c r="L972" s="157"/>
      <c r="M972" s="157"/>
      <c r="N972" s="152" t="s">
        <v>8395</v>
      </c>
    </row>
    <row r="973">
      <c r="A973" s="152" t="s">
        <v>8464</v>
      </c>
      <c r="B973" s="152" t="s">
        <v>8465</v>
      </c>
      <c r="C973" s="152">
        <v>6.0</v>
      </c>
      <c r="D973" s="154"/>
      <c r="E973" s="152">
        <v>5.0</v>
      </c>
      <c r="F973" s="154"/>
      <c r="G973" s="152" t="s">
        <v>8427</v>
      </c>
      <c r="H973" s="155" t="s">
        <v>8418</v>
      </c>
      <c r="I973" s="155" t="s">
        <v>6492</v>
      </c>
      <c r="J973" s="157"/>
      <c r="K973" s="157"/>
      <c r="L973" s="157"/>
      <c r="M973" s="157"/>
      <c r="N973" s="152" t="s">
        <v>8395</v>
      </c>
    </row>
    <row r="974">
      <c r="A974" s="152" t="s">
        <v>8464</v>
      </c>
      <c r="B974" s="152" t="s">
        <v>8465</v>
      </c>
      <c r="C974" s="152">
        <v>6.0</v>
      </c>
      <c r="D974" s="154"/>
      <c r="E974" s="152">
        <v>5.0</v>
      </c>
      <c r="F974" s="154"/>
      <c r="G974" s="152" t="s">
        <v>8427</v>
      </c>
      <c r="H974" s="155" t="s">
        <v>8419</v>
      </c>
      <c r="I974" s="155" t="s">
        <v>6978</v>
      </c>
      <c r="J974" s="157"/>
      <c r="K974" s="157"/>
      <c r="L974" s="157"/>
      <c r="M974" s="157"/>
      <c r="N974" s="152" t="s">
        <v>8395</v>
      </c>
    </row>
    <row r="975">
      <c r="A975" s="152" t="s">
        <v>8464</v>
      </c>
      <c r="B975" s="152" t="s">
        <v>8465</v>
      </c>
      <c r="C975" s="152">
        <v>6.0</v>
      </c>
      <c r="D975" s="154"/>
      <c r="E975" s="152">
        <v>5.0</v>
      </c>
      <c r="F975" s="154"/>
      <c r="G975" s="152" t="s">
        <v>8427</v>
      </c>
      <c r="H975" s="155" t="s">
        <v>8420</v>
      </c>
      <c r="I975" s="155" t="s">
        <v>6936</v>
      </c>
      <c r="J975" s="157"/>
      <c r="K975" s="157"/>
      <c r="L975" s="157"/>
      <c r="M975" s="157"/>
      <c r="N975" s="152" t="s">
        <v>8395</v>
      </c>
    </row>
    <row r="976">
      <c r="A976" s="152" t="s">
        <v>8464</v>
      </c>
      <c r="B976" s="152" t="s">
        <v>8465</v>
      </c>
      <c r="C976" s="152">
        <v>6.0</v>
      </c>
      <c r="D976" s="154"/>
      <c r="E976" s="152">
        <v>5.0</v>
      </c>
      <c r="F976" s="154"/>
      <c r="G976" s="152" t="s">
        <v>8427</v>
      </c>
      <c r="H976" s="155" t="s">
        <v>8421</v>
      </c>
      <c r="I976" s="155" t="s">
        <v>6620</v>
      </c>
      <c r="J976" s="157"/>
      <c r="K976" s="157"/>
      <c r="L976" s="157"/>
      <c r="M976" s="157"/>
      <c r="N976" s="152" t="s">
        <v>8395</v>
      </c>
    </row>
    <row r="977">
      <c r="A977" s="152" t="s">
        <v>8464</v>
      </c>
      <c r="B977" s="152" t="s">
        <v>8465</v>
      </c>
      <c r="C977" s="152">
        <v>6.0</v>
      </c>
      <c r="D977" s="154"/>
      <c r="E977" s="152">
        <v>5.0</v>
      </c>
      <c r="F977" s="154"/>
      <c r="G977" s="152" t="s">
        <v>8427</v>
      </c>
      <c r="H977" s="155" t="s">
        <v>8422</v>
      </c>
      <c r="I977" s="155" t="s">
        <v>6563</v>
      </c>
      <c r="J977" s="157"/>
      <c r="K977" s="157"/>
      <c r="L977" s="157"/>
      <c r="M977" s="157"/>
      <c r="N977" s="152" t="s">
        <v>8395</v>
      </c>
    </row>
    <row r="978">
      <c r="A978" s="152" t="s">
        <v>8464</v>
      </c>
      <c r="B978" s="152" t="s">
        <v>8465</v>
      </c>
      <c r="C978" s="152">
        <v>6.0</v>
      </c>
      <c r="D978" s="154"/>
      <c r="E978" s="152">
        <v>5.0</v>
      </c>
      <c r="F978" s="154"/>
      <c r="G978" s="152" t="s">
        <v>8427</v>
      </c>
      <c r="H978" s="155" t="s">
        <v>8423</v>
      </c>
      <c r="I978" s="155" t="s">
        <v>6701</v>
      </c>
      <c r="J978" s="157"/>
      <c r="K978" s="157"/>
      <c r="L978" s="157"/>
      <c r="M978" s="157"/>
      <c r="N978" s="152" t="s">
        <v>8395</v>
      </c>
    </row>
    <row r="979">
      <c r="A979" s="152" t="s">
        <v>8464</v>
      </c>
      <c r="B979" s="152" t="s">
        <v>8465</v>
      </c>
      <c r="C979" s="152">
        <v>6.0</v>
      </c>
      <c r="D979" s="154"/>
      <c r="E979" s="152">
        <v>5.0</v>
      </c>
      <c r="F979" s="154"/>
      <c r="G979" s="152" t="s">
        <v>8427</v>
      </c>
      <c r="H979" s="155" t="s">
        <v>8424</v>
      </c>
      <c r="I979" s="155" t="s">
        <v>6684</v>
      </c>
      <c r="J979" s="157"/>
      <c r="K979" s="157"/>
      <c r="L979" s="157"/>
      <c r="M979" s="157"/>
      <c r="N979" s="152" t="s">
        <v>8395</v>
      </c>
    </row>
    <row r="980">
      <c r="A980" s="152" t="s">
        <v>8464</v>
      </c>
      <c r="B980" s="152" t="s">
        <v>8465</v>
      </c>
      <c r="C980" s="152">
        <v>6.0</v>
      </c>
      <c r="D980" s="154"/>
      <c r="E980" s="152">
        <v>5.0</v>
      </c>
      <c r="F980" s="154"/>
      <c r="G980" s="152" t="s">
        <v>8427</v>
      </c>
      <c r="H980" s="155" t="s">
        <v>8425</v>
      </c>
      <c r="I980" s="155" t="s">
        <v>7039</v>
      </c>
      <c r="J980" s="157"/>
      <c r="K980" s="157"/>
      <c r="L980" s="157"/>
      <c r="M980" s="157"/>
      <c r="N980" s="152" t="s">
        <v>8395</v>
      </c>
    </row>
    <row r="981">
      <c r="A981" s="152" t="s">
        <v>8464</v>
      </c>
      <c r="B981" s="152" t="s">
        <v>8465</v>
      </c>
      <c r="C981" s="152">
        <v>6.0</v>
      </c>
      <c r="D981" s="154"/>
      <c r="E981" s="152">
        <v>5.0</v>
      </c>
      <c r="F981" s="154"/>
      <c r="G981" s="152" t="s">
        <v>8427</v>
      </c>
      <c r="H981" s="155" t="s">
        <v>8426</v>
      </c>
      <c r="I981" s="155" t="s">
        <v>7023</v>
      </c>
      <c r="J981" s="157"/>
      <c r="K981" s="157"/>
      <c r="L981" s="157"/>
      <c r="M981" s="157"/>
      <c r="N981" s="152" t="s">
        <v>8395</v>
      </c>
    </row>
    <row r="982">
      <c r="A982" s="152" t="s">
        <v>8466</v>
      </c>
      <c r="B982" s="152" t="s">
        <v>8467</v>
      </c>
      <c r="C982" s="152">
        <v>1.0</v>
      </c>
      <c r="D982" s="154"/>
      <c r="E982" s="154"/>
      <c r="F982" s="154"/>
      <c r="G982" s="152" t="s">
        <v>8382</v>
      </c>
      <c r="H982" s="152" t="s">
        <v>8383</v>
      </c>
      <c r="I982" s="154"/>
      <c r="J982" s="152" t="s">
        <v>23</v>
      </c>
      <c r="K982" s="152">
        <v>2039.0</v>
      </c>
      <c r="L982" s="154"/>
      <c r="M982" s="154"/>
      <c r="N982" s="152" t="s">
        <v>8384</v>
      </c>
    </row>
    <row r="983">
      <c r="A983" s="152" t="s">
        <v>8466</v>
      </c>
      <c r="B983" s="152" t="s">
        <v>8467</v>
      </c>
      <c r="C983" s="152">
        <v>1.0</v>
      </c>
      <c r="D983" s="154"/>
      <c r="E983" s="154"/>
      <c r="F983" s="154"/>
      <c r="G983" s="152" t="s">
        <v>8382</v>
      </c>
      <c r="H983" s="152" t="s">
        <v>8385</v>
      </c>
      <c r="I983" s="154"/>
      <c r="J983" s="152" t="s">
        <v>23</v>
      </c>
      <c r="K983" s="152">
        <v>2199.0</v>
      </c>
      <c r="L983" s="154"/>
      <c r="M983" s="154"/>
      <c r="N983" s="152" t="s">
        <v>8384</v>
      </c>
    </row>
    <row r="984">
      <c r="A984" s="152" t="s">
        <v>8466</v>
      </c>
      <c r="B984" s="152" t="s">
        <v>8467</v>
      </c>
      <c r="C984" s="152">
        <v>1.0</v>
      </c>
      <c r="D984" s="154"/>
      <c r="E984" s="154"/>
      <c r="F984" s="154"/>
      <c r="G984" s="152" t="s">
        <v>8382</v>
      </c>
      <c r="H984" s="152" t="s">
        <v>8386</v>
      </c>
      <c r="I984" s="154"/>
      <c r="J984" s="152" t="s">
        <v>23</v>
      </c>
      <c r="K984" s="152">
        <v>2199.0</v>
      </c>
      <c r="L984" s="154"/>
      <c r="M984" s="154"/>
      <c r="N984" s="152" t="s">
        <v>8384</v>
      </c>
    </row>
    <row r="985">
      <c r="A985" s="152" t="s">
        <v>8466</v>
      </c>
      <c r="B985" s="152" t="s">
        <v>8467</v>
      </c>
      <c r="C985" s="152">
        <v>1.0</v>
      </c>
      <c r="D985" s="154"/>
      <c r="E985" s="154"/>
      <c r="F985" s="154"/>
      <c r="G985" s="152" t="s">
        <v>8382</v>
      </c>
      <c r="H985" s="152" t="s">
        <v>8387</v>
      </c>
      <c r="I985" s="154"/>
      <c r="J985" s="152" t="s">
        <v>23</v>
      </c>
      <c r="K985" s="152">
        <v>2199.0</v>
      </c>
      <c r="L985" s="154"/>
      <c r="M985" s="154"/>
      <c r="N985" s="152" t="s">
        <v>8384</v>
      </c>
    </row>
    <row r="986">
      <c r="A986" s="152" t="s">
        <v>8466</v>
      </c>
      <c r="B986" s="152" t="s">
        <v>8467</v>
      </c>
      <c r="C986" s="152">
        <v>1.0</v>
      </c>
      <c r="D986" s="154"/>
      <c r="E986" s="154"/>
      <c r="F986" s="154"/>
      <c r="G986" s="152" t="s">
        <v>8382</v>
      </c>
      <c r="H986" s="152" t="s">
        <v>8388</v>
      </c>
      <c r="I986" s="154"/>
      <c r="J986" s="152" t="s">
        <v>23</v>
      </c>
      <c r="K986" s="152">
        <v>2199.0</v>
      </c>
      <c r="L986" s="154"/>
      <c r="M986" s="154"/>
      <c r="N986" s="152" t="s">
        <v>8384</v>
      </c>
    </row>
    <row r="987">
      <c r="A987" s="152" t="s">
        <v>8466</v>
      </c>
      <c r="B987" s="152" t="s">
        <v>8467</v>
      </c>
      <c r="C987" s="152">
        <v>1.0</v>
      </c>
      <c r="D987" s="154"/>
      <c r="E987" s="154"/>
      <c r="F987" s="154"/>
      <c r="G987" s="152" t="s">
        <v>8382</v>
      </c>
      <c r="H987" s="152" t="s">
        <v>8389</v>
      </c>
      <c r="I987" s="154"/>
      <c r="J987" s="152" t="s">
        <v>23</v>
      </c>
      <c r="K987" s="152">
        <v>2529.0</v>
      </c>
      <c r="L987" s="154"/>
      <c r="M987" s="154"/>
      <c r="N987" s="152" t="s">
        <v>8384</v>
      </c>
    </row>
    <row r="988">
      <c r="A988" s="152" t="s">
        <v>8466</v>
      </c>
      <c r="B988" s="152" t="s">
        <v>8467</v>
      </c>
      <c r="C988" s="152">
        <v>1.0</v>
      </c>
      <c r="D988" s="154"/>
      <c r="E988" s="154"/>
      <c r="F988" s="154"/>
      <c r="G988" s="152" t="s">
        <v>8382</v>
      </c>
      <c r="H988" s="152" t="s">
        <v>5767</v>
      </c>
      <c r="I988" s="154"/>
      <c r="J988" s="152" t="s">
        <v>23</v>
      </c>
      <c r="K988" s="152">
        <v>2529.0</v>
      </c>
      <c r="L988" s="154"/>
      <c r="M988" s="154"/>
      <c r="N988" s="152" t="s">
        <v>8384</v>
      </c>
    </row>
    <row r="989">
      <c r="A989" s="152" t="s">
        <v>8466</v>
      </c>
      <c r="B989" s="152" t="s">
        <v>8467</v>
      </c>
      <c r="C989" s="152">
        <v>1.0</v>
      </c>
      <c r="D989" s="154"/>
      <c r="E989" s="154"/>
      <c r="F989" s="154"/>
      <c r="G989" s="152" t="s">
        <v>8382</v>
      </c>
      <c r="H989" s="152" t="s">
        <v>8390</v>
      </c>
      <c r="I989" s="154"/>
      <c r="J989" s="152" t="s">
        <v>23</v>
      </c>
      <c r="K989" s="152">
        <v>2529.0</v>
      </c>
      <c r="L989" s="154"/>
      <c r="M989" s="154"/>
      <c r="N989" s="152" t="s">
        <v>8384</v>
      </c>
    </row>
    <row r="990">
      <c r="A990" s="152" t="s">
        <v>8466</v>
      </c>
      <c r="B990" s="152" t="s">
        <v>8467</v>
      </c>
      <c r="C990" s="152">
        <v>1.0</v>
      </c>
      <c r="D990" s="154"/>
      <c r="E990" s="154"/>
      <c r="F990" s="154"/>
      <c r="G990" s="152" t="s">
        <v>8382</v>
      </c>
      <c r="H990" s="152" t="s">
        <v>8391</v>
      </c>
      <c r="I990" s="154"/>
      <c r="J990" s="152" t="s">
        <v>23</v>
      </c>
      <c r="K990" s="152">
        <v>2529.0</v>
      </c>
      <c r="L990" s="154"/>
      <c r="M990" s="154"/>
      <c r="N990" s="152" t="s">
        <v>8384</v>
      </c>
    </row>
    <row r="991">
      <c r="A991" s="152" t="s">
        <v>8466</v>
      </c>
      <c r="B991" s="152" t="s">
        <v>8467</v>
      </c>
      <c r="C991" s="152">
        <v>1.0</v>
      </c>
      <c r="D991" s="154"/>
      <c r="E991" s="154"/>
      <c r="F991" s="154"/>
      <c r="G991" s="152" t="s">
        <v>8382</v>
      </c>
      <c r="H991" s="152" t="s">
        <v>8392</v>
      </c>
      <c r="I991" s="154"/>
      <c r="J991" s="152" t="s">
        <v>23</v>
      </c>
      <c r="K991" s="152">
        <v>2529.0</v>
      </c>
      <c r="L991" s="154"/>
      <c r="M991" s="154"/>
      <c r="N991" s="152" t="s">
        <v>8384</v>
      </c>
    </row>
    <row r="992">
      <c r="A992" s="152" t="s">
        <v>8466</v>
      </c>
      <c r="B992" s="152" t="s">
        <v>8467</v>
      </c>
      <c r="C992" s="152">
        <v>2.0</v>
      </c>
      <c r="D992" s="154"/>
      <c r="E992" s="152">
        <v>1.0</v>
      </c>
      <c r="F992" s="154"/>
      <c r="G992" s="152" t="s">
        <v>8393</v>
      </c>
      <c r="H992" s="152" t="s">
        <v>8394</v>
      </c>
      <c r="I992" s="152" t="s">
        <v>6862</v>
      </c>
      <c r="J992" s="154"/>
      <c r="K992" s="154"/>
      <c r="L992" s="154"/>
      <c r="M992" s="154"/>
      <c r="N992" s="152" t="s">
        <v>8395</v>
      </c>
    </row>
    <row r="993">
      <c r="A993" s="152" t="s">
        <v>8466</v>
      </c>
      <c r="B993" s="152" t="s">
        <v>8467</v>
      </c>
      <c r="C993" s="152">
        <v>2.0</v>
      </c>
      <c r="D993" s="154"/>
      <c r="E993" s="152">
        <v>1.0</v>
      </c>
      <c r="F993" s="154"/>
      <c r="G993" s="152" t="s">
        <v>8393</v>
      </c>
      <c r="H993" s="152" t="s">
        <v>8396</v>
      </c>
      <c r="I993" s="152" t="s">
        <v>6893</v>
      </c>
      <c r="J993" s="154"/>
      <c r="K993" s="154"/>
      <c r="L993" s="154"/>
      <c r="M993" s="154"/>
      <c r="N993" s="152" t="s">
        <v>8395</v>
      </c>
    </row>
    <row r="994">
      <c r="A994" s="152" t="s">
        <v>8466</v>
      </c>
      <c r="B994" s="152" t="s">
        <v>8467</v>
      </c>
      <c r="C994" s="152">
        <v>2.0</v>
      </c>
      <c r="D994" s="154"/>
      <c r="E994" s="152">
        <v>1.0</v>
      </c>
      <c r="F994" s="154"/>
      <c r="G994" s="152" t="s">
        <v>8393</v>
      </c>
      <c r="H994" s="152" t="s">
        <v>8397</v>
      </c>
      <c r="I994" s="152" t="s">
        <v>6796</v>
      </c>
      <c r="J994" s="154"/>
      <c r="K994" s="154"/>
      <c r="L994" s="154"/>
      <c r="M994" s="154"/>
      <c r="N994" s="152" t="s">
        <v>8395</v>
      </c>
    </row>
    <row r="995">
      <c r="A995" s="152" t="s">
        <v>8466</v>
      </c>
      <c r="B995" s="152" t="s">
        <v>8467</v>
      </c>
      <c r="C995" s="152">
        <v>2.0</v>
      </c>
      <c r="D995" s="154"/>
      <c r="E995" s="152">
        <v>1.0</v>
      </c>
      <c r="F995" s="154"/>
      <c r="G995" s="152" t="s">
        <v>8393</v>
      </c>
      <c r="H995" s="152" t="s">
        <v>8398</v>
      </c>
      <c r="I995" s="152" t="s">
        <v>6726</v>
      </c>
      <c r="J995" s="154"/>
      <c r="K995" s="154"/>
      <c r="L995" s="154"/>
      <c r="M995" s="154"/>
      <c r="N995" s="152" t="s">
        <v>8395</v>
      </c>
    </row>
    <row r="996">
      <c r="A996" s="152" t="s">
        <v>8466</v>
      </c>
      <c r="B996" s="152" t="s">
        <v>8467</v>
      </c>
      <c r="C996" s="152">
        <v>2.0</v>
      </c>
      <c r="D996" s="154"/>
      <c r="E996" s="152">
        <v>1.0</v>
      </c>
      <c r="F996" s="154"/>
      <c r="G996" s="152" t="s">
        <v>8393</v>
      </c>
      <c r="H996" s="152" t="s">
        <v>8399</v>
      </c>
      <c r="I996" s="152" t="s">
        <v>6924</v>
      </c>
      <c r="J996" s="154"/>
      <c r="K996" s="154"/>
      <c r="L996" s="154"/>
      <c r="M996" s="154"/>
      <c r="N996" s="152" t="s">
        <v>8395</v>
      </c>
    </row>
    <row r="997">
      <c r="A997" s="152" t="s">
        <v>8466</v>
      </c>
      <c r="B997" s="152" t="s">
        <v>8467</v>
      </c>
      <c r="C997" s="152">
        <v>2.0</v>
      </c>
      <c r="D997" s="154"/>
      <c r="E997" s="152">
        <v>1.0</v>
      </c>
      <c r="F997" s="154"/>
      <c r="G997" s="152" t="s">
        <v>8393</v>
      </c>
      <c r="H997" s="152" t="s">
        <v>8400</v>
      </c>
      <c r="I997" s="152" t="s">
        <v>6893</v>
      </c>
      <c r="J997" s="154"/>
      <c r="K997" s="154"/>
      <c r="L997" s="154"/>
      <c r="M997" s="154"/>
      <c r="N997" s="152" t="s">
        <v>8395</v>
      </c>
    </row>
    <row r="998">
      <c r="A998" s="152" t="s">
        <v>8466</v>
      </c>
      <c r="B998" s="152" t="s">
        <v>8467</v>
      </c>
      <c r="C998" s="152">
        <v>2.0</v>
      </c>
      <c r="D998" s="154"/>
      <c r="E998" s="152">
        <v>1.0</v>
      </c>
      <c r="F998" s="154"/>
      <c r="G998" s="152" t="s">
        <v>8393</v>
      </c>
      <c r="H998" s="152" t="s">
        <v>8401</v>
      </c>
      <c r="I998" s="152" t="s">
        <v>6796</v>
      </c>
      <c r="J998" s="154"/>
      <c r="K998" s="154"/>
      <c r="L998" s="154"/>
      <c r="M998" s="154"/>
      <c r="N998" s="152" t="s">
        <v>8395</v>
      </c>
    </row>
    <row r="999">
      <c r="A999" s="152" t="s">
        <v>8466</v>
      </c>
      <c r="B999" s="152" t="s">
        <v>8467</v>
      </c>
      <c r="C999" s="152">
        <v>2.0</v>
      </c>
      <c r="D999" s="154"/>
      <c r="E999" s="152">
        <v>1.0</v>
      </c>
      <c r="F999" s="154"/>
      <c r="G999" s="152" t="s">
        <v>8393</v>
      </c>
      <c r="H999" s="152" t="s">
        <v>8402</v>
      </c>
      <c r="I999" s="152" t="s">
        <v>6831</v>
      </c>
      <c r="J999" s="154"/>
      <c r="K999" s="154"/>
      <c r="L999" s="154"/>
      <c r="M999" s="154"/>
      <c r="N999" s="152" t="s">
        <v>8395</v>
      </c>
    </row>
    <row r="1000">
      <c r="A1000" s="152" t="s">
        <v>8466</v>
      </c>
      <c r="B1000" s="152" t="s">
        <v>8467</v>
      </c>
      <c r="C1000" s="152">
        <v>2.0</v>
      </c>
      <c r="D1000" s="154"/>
      <c r="E1000" s="152">
        <v>1.0</v>
      </c>
      <c r="F1000" s="154"/>
      <c r="G1000" s="152" t="s">
        <v>8393</v>
      </c>
      <c r="H1000" s="152" t="s">
        <v>8403</v>
      </c>
      <c r="I1000" s="152" t="s">
        <v>6836</v>
      </c>
      <c r="J1000" s="154"/>
      <c r="K1000" s="154"/>
      <c r="L1000" s="154"/>
      <c r="M1000" s="154"/>
      <c r="N1000" s="152" t="s">
        <v>8395</v>
      </c>
    </row>
    <row r="1001">
      <c r="A1001" s="152" t="s">
        <v>8466</v>
      </c>
      <c r="B1001" s="152" t="s">
        <v>8467</v>
      </c>
      <c r="C1001" s="152">
        <v>2.0</v>
      </c>
      <c r="D1001" s="154"/>
      <c r="E1001" s="152">
        <v>1.0</v>
      </c>
      <c r="F1001" s="154"/>
      <c r="G1001" s="152" t="s">
        <v>8393</v>
      </c>
      <c r="H1001" s="152" t="s">
        <v>8404</v>
      </c>
      <c r="I1001" s="152" t="s">
        <v>8405</v>
      </c>
      <c r="J1001" s="154"/>
      <c r="K1001" s="154"/>
      <c r="L1001" s="154"/>
      <c r="M1001" s="154"/>
      <c r="N1001" s="152" t="s">
        <v>8395</v>
      </c>
    </row>
    <row r="1002">
      <c r="A1002" s="152" t="s">
        <v>8466</v>
      </c>
      <c r="B1002" s="152" t="s">
        <v>8467</v>
      </c>
      <c r="C1002" s="152">
        <v>3.0</v>
      </c>
      <c r="D1002" s="154"/>
      <c r="E1002" s="154"/>
      <c r="F1002" s="154"/>
      <c r="G1002" s="152" t="s">
        <v>8406</v>
      </c>
      <c r="H1002" s="155" t="s">
        <v>8407</v>
      </c>
      <c r="I1002" s="154"/>
      <c r="J1002" s="157"/>
      <c r="K1002" s="157"/>
      <c r="L1002" s="157"/>
      <c r="M1002" s="157"/>
      <c r="N1002" s="152" t="s">
        <v>8384</v>
      </c>
    </row>
    <row r="1003">
      <c r="A1003" s="152" t="s">
        <v>8466</v>
      </c>
      <c r="B1003" s="152" t="s">
        <v>8467</v>
      </c>
      <c r="C1003" s="152">
        <v>3.0</v>
      </c>
      <c r="D1003" s="154"/>
      <c r="E1003" s="154"/>
      <c r="F1003" s="154"/>
      <c r="G1003" s="152" t="s">
        <v>8406</v>
      </c>
      <c r="H1003" s="155" t="s">
        <v>8408</v>
      </c>
      <c r="I1003" s="154"/>
      <c r="J1003" s="157"/>
      <c r="K1003" s="157"/>
      <c r="L1003" s="157"/>
      <c r="M1003" s="157"/>
      <c r="N1003" s="152" t="s">
        <v>8384</v>
      </c>
    </row>
    <row r="1004">
      <c r="A1004" s="152" t="s">
        <v>8466</v>
      </c>
      <c r="B1004" s="152" t="s">
        <v>8467</v>
      </c>
      <c r="C1004" s="152">
        <v>3.0</v>
      </c>
      <c r="D1004" s="154"/>
      <c r="E1004" s="154"/>
      <c r="F1004" s="154"/>
      <c r="G1004" s="152" t="s">
        <v>8406</v>
      </c>
      <c r="H1004" s="155" t="s">
        <v>8409</v>
      </c>
      <c r="I1004" s="154"/>
      <c r="J1004" s="157"/>
      <c r="K1004" s="157"/>
      <c r="L1004" s="157"/>
      <c r="M1004" s="157"/>
      <c r="N1004" s="152" t="s">
        <v>8384</v>
      </c>
    </row>
    <row r="1005">
      <c r="A1005" s="152" t="s">
        <v>8466</v>
      </c>
      <c r="B1005" s="152" t="s">
        <v>8467</v>
      </c>
      <c r="C1005" s="152">
        <v>3.0</v>
      </c>
      <c r="D1005" s="154"/>
      <c r="E1005" s="154"/>
      <c r="F1005" s="154"/>
      <c r="G1005" s="152" t="s">
        <v>8406</v>
      </c>
      <c r="H1005" s="155" t="s">
        <v>8410</v>
      </c>
      <c r="I1005" s="154"/>
      <c r="J1005" s="157"/>
      <c r="K1005" s="157"/>
      <c r="L1005" s="157"/>
      <c r="M1005" s="157"/>
      <c r="N1005" s="152" t="s">
        <v>8384</v>
      </c>
    </row>
    <row r="1006">
      <c r="A1006" s="152" t="s">
        <v>8466</v>
      </c>
      <c r="B1006" s="152" t="s">
        <v>8467</v>
      </c>
      <c r="C1006" s="152">
        <v>3.0</v>
      </c>
      <c r="D1006" s="154"/>
      <c r="E1006" s="154"/>
      <c r="F1006" s="154"/>
      <c r="G1006" s="152" t="s">
        <v>8406</v>
      </c>
      <c r="H1006" s="155" t="s">
        <v>8411</v>
      </c>
      <c r="I1006" s="154"/>
      <c r="J1006" s="157"/>
      <c r="K1006" s="157"/>
      <c r="L1006" s="157"/>
      <c r="M1006" s="157"/>
      <c r="N1006" s="152" t="s">
        <v>8384</v>
      </c>
    </row>
    <row r="1007">
      <c r="A1007" s="152" t="s">
        <v>8466</v>
      </c>
      <c r="B1007" s="152" t="s">
        <v>8467</v>
      </c>
      <c r="C1007" s="152">
        <v>3.0</v>
      </c>
      <c r="D1007" s="154"/>
      <c r="E1007" s="154"/>
      <c r="F1007" s="154"/>
      <c r="G1007" s="152" t="s">
        <v>8406</v>
      </c>
      <c r="H1007" s="155" t="s">
        <v>8412</v>
      </c>
      <c r="I1007" s="154"/>
      <c r="J1007" s="157"/>
      <c r="K1007" s="157"/>
      <c r="L1007" s="157"/>
      <c r="M1007" s="157"/>
      <c r="N1007" s="152" t="s">
        <v>8384</v>
      </c>
    </row>
    <row r="1008">
      <c r="A1008" s="152" t="s">
        <v>8466</v>
      </c>
      <c r="B1008" s="152" t="s">
        <v>8467</v>
      </c>
      <c r="C1008" s="152">
        <v>3.0</v>
      </c>
      <c r="D1008" s="154"/>
      <c r="E1008" s="154"/>
      <c r="F1008" s="154"/>
      <c r="G1008" s="152" t="s">
        <v>8406</v>
      </c>
      <c r="H1008" s="155" t="s">
        <v>8413</v>
      </c>
      <c r="I1008" s="154"/>
      <c r="J1008" s="157"/>
      <c r="K1008" s="157"/>
      <c r="L1008" s="157"/>
      <c r="M1008" s="157"/>
      <c r="N1008" s="152" t="s">
        <v>8384</v>
      </c>
    </row>
    <row r="1009">
      <c r="A1009" s="152" t="s">
        <v>8466</v>
      </c>
      <c r="B1009" s="152" t="s">
        <v>8467</v>
      </c>
      <c r="C1009" s="152">
        <v>3.0</v>
      </c>
      <c r="D1009" s="154"/>
      <c r="E1009" s="154"/>
      <c r="F1009" s="154"/>
      <c r="G1009" s="152" t="s">
        <v>8406</v>
      </c>
      <c r="H1009" s="155" t="s">
        <v>8414</v>
      </c>
      <c r="I1009" s="154"/>
      <c r="J1009" s="157"/>
      <c r="K1009" s="157"/>
      <c r="L1009" s="157"/>
      <c r="M1009" s="157"/>
      <c r="N1009" s="152" t="s">
        <v>8384</v>
      </c>
    </row>
    <row r="1010">
      <c r="A1010" s="152" t="s">
        <v>8466</v>
      </c>
      <c r="B1010" s="152" t="s">
        <v>8467</v>
      </c>
      <c r="C1010" s="152">
        <v>3.0</v>
      </c>
      <c r="D1010" s="154"/>
      <c r="E1010" s="154"/>
      <c r="F1010" s="154"/>
      <c r="G1010" s="152" t="s">
        <v>8406</v>
      </c>
      <c r="H1010" s="155" t="s">
        <v>8415</v>
      </c>
      <c r="I1010" s="154"/>
      <c r="J1010" s="157"/>
      <c r="K1010" s="157"/>
      <c r="L1010" s="157"/>
      <c r="M1010" s="157"/>
      <c r="N1010" s="152" t="s">
        <v>8384</v>
      </c>
    </row>
    <row r="1011">
      <c r="A1011" s="152" t="s">
        <v>8466</v>
      </c>
      <c r="B1011" s="152" t="s">
        <v>8467</v>
      </c>
      <c r="C1011" s="152">
        <v>3.0</v>
      </c>
      <c r="D1011" s="154"/>
      <c r="E1011" s="154"/>
      <c r="F1011" s="154"/>
      <c r="G1011" s="152" t="s">
        <v>8406</v>
      </c>
      <c r="H1011" s="155" t="s">
        <v>8416</v>
      </c>
      <c r="I1011" s="154"/>
      <c r="J1011" s="157"/>
      <c r="K1011" s="157"/>
      <c r="L1011" s="157"/>
      <c r="M1011" s="157"/>
      <c r="N1011" s="152" t="s">
        <v>8384</v>
      </c>
    </row>
    <row r="1012">
      <c r="A1012" s="152" t="s">
        <v>8466</v>
      </c>
      <c r="B1012" s="152" t="s">
        <v>8467</v>
      </c>
      <c r="C1012" s="152">
        <v>4.0</v>
      </c>
      <c r="D1012" s="154"/>
      <c r="E1012" s="152">
        <v>3.0</v>
      </c>
      <c r="F1012" s="154"/>
      <c r="G1012" s="152" t="s">
        <v>8406</v>
      </c>
      <c r="H1012" s="155" t="s">
        <v>8417</v>
      </c>
      <c r="I1012" s="155" t="s">
        <v>6507</v>
      </c>
      <c r="J1012" s="157"/>
      <c r="K1012" s="157"/>
      <c r="L1012" s="157"/>
      <c r="M1012" s="157"/>
      <c r="N1012" s="152" t="s">
        <v>8395</v>
      </c>
    </row>
    <row r="1013">
      <c r="A1013" s="152" t="s">
        <v>8466</v>
      </c>
      <c r="B1013" s="152" t="s">
        <v>8467</v>
      </c>
      <c r="C1013" s="152">
        <v>4.0</v>
      </c>
      <c r="D1013" s="154"/>
      <c r="E1013" s="152">
        <v>3.0</v>
      </c>
      <c r="F1013" s="154"/>
      <c r="G1013" s="152" t="s">
        <v>8406</v>
      </c>
      <c r="H1013" s="155" t="s">
        <v>8418</v>
      </c>
      <c r="I1013" s="155" t="s">
        <v>6492</v>
      </c>
      <c r="J1013" s="157"/>
      <c r="K1013" s="157"/>
      <c r="L1013" s="157"/>
      <c r="M1013" s="157"/>
      <c r="N1013" s="152" t="s">
        <v>8395</v>
      </c>
    </row>
    <row r="1014">
      <c r="A1014" s="152" t="s">
        <v>8466</v>
      </c>
      <c r="B1014" s="152" t="s">
        <v>8467</v>
      </c>
      <c r="C1014" s="152">
        <v>4.0</v>
      </c>
      <c r="D1014" s="154"/>
      <c r="E1014" s="152">
        <v>3.0</v>
      </c>
      <c r="F1014" s="154"/>
      <c r="G1014" s="152" t="s">
        <v>8406</v>
      </c>
      <c r="H1014" s="155" t="s">
        <v>8419</v>
      </c>
      <c r="I1014" s="155" t="s">
        <v>6978</v>
      </c>
      <c r="J1014" s="157"/>
      <c r="K1014" s="157"/>
      <c r="L1014" s="157"/>
      <c r="M1014" s="157"/>
      <c r="N1014" s="152" t="s">
        <v>8395</v>
      </c>
    </row>
    <row r="1015">
      <c r="A1015" s="152" t="s">
        <v>8466</v>
      </c>
      <c r="B1015" s="152" t="s">
        <v>8467</v>
      </c>
      <c r="C1015" s="152">
        <v>4.0</v>
      </c>
      <c r="D1015" s="154"/>
      <c r="E1015" s="152">
        <v>3.0</v>
      </c>
      <c r="F1015" s="154"/>
      <c r="G1015" s="152" t="s">
        <v>8406</v>
      </c>
      <c r="H1015" s="155" t="s">
        <v>8420</v>
      </c>
      <c r="I1015" s="155" t="s">
        <v>6936</v>
      </c>
      <c r="J1015" s="157"/>
      <c r="K1015" s="157"/>
      <c r="L1015" s="157"/>
      <c r="M1015" s="157"/>
      <c r="N1015" s="152" t="s">
        <v>8395</v>
      </c>
    </row>
    <row r="1016">
      <c r="A1016" s="152" t="s">
        <v>8466</v>
      </c>
      <c r="B1016" s="152" t="s">
        <v>8467</v>
      </c>
      <c r="C1016" s="152">
        <v>4.0</v>
      </c>
      <c r="D1016" s="154"/>
      <c r="E1016" s="152">
        <v>3.0</v>
      </c>
      <c r="F1016" s="154"/>
      <c r="G1016" s="152" t="s">
        <v>8406</v>
      </c>
      <c r="H1016" s="155" t="s">
        <v>8421</v>
      </c>
      <c r="I1016" s="155" t="s">
        <v>6620</v>
      </c>
      <c r="J1016" s="157"/>
      <c r="K1016" s="157"/>
      <c r="L1016" s="157"/>
      <c r="M1016" s="157"/>
      <c r="N1016" s="152" t="s">
        <v>8395</v>
      </c>
    </row>
    <row r="1017">
      <c r="A1017" s="152" t="s">
        <v>8466</v>
      </c>
      <c r="B1017" s="152" t="s">
        <v>8467</v>
      </c>
      <c r="C1017" s="152">
        <v>4.0</v>
      </c>
      <c r="D1017" s="154"/>
      <c r="E1017" s="152">
        <v>3.0</v>
      </c>
      <c r="F1017" s="154"/>
      <c r="G1017" s="152" t="s">
        <v>8406</v>
      </c>
      <c r="H1017" s="155" t="s">
        <v>8422</v>
      </c>
      <c r="I1017" s="155" t="s">
        <v>6563</v>
      </c>
      <c r="J1017" s="157"/>
      <c r="K1017" s="157"/>
      <c r="L1017" s="157"/>
      <c r="M1017" s="157"/>
      <c r="N1017" s="152" t="s">
        <v>8395</v>
      </c>
    </row>
    <row r="1018">
      <c r="A1018" s="152" t="s">
        <v>8466</v>
      </c>
      <c r="B1018" s="152" t="s">
        <v>8467</v>
      </c>
      <c r="C1018" s="152">
        <v>4.0</v>
      </c>
      <c r="D1018" s="154"/>
      <c r="E1018" s="152">
        <v>3.0</v>
      </c>
      <c r="F1018" s="154"/>
      <c r="G1018" s="152" t="s">
        <v>8406</v>
      </c>
      <c r="H1018" s="155" t="s">
        <v>8423</v>
      </c>
      <c r="I1018" s="155" t="s">
        <v>6701</v>
      </c>
      <c r="J1018" s="157"/>
      <c r="K1018" s="157"/>
      <c r="L1018" s="157"/>
      <c r="M1018" s="157"/>
      <c r="N1018" s="152" t="s">
        <v>8395</v>
      </c>
    </row>
    <row r="1019">
      <c r="A1019" s="152" t="s">
        <v>8466</v>
      </c>
      <c r="B1019" s="152" t="s">
        <v>8467</v>
      </c>
      <c r="C1019" s="152">
        <v>4.0</v>
      </c>
      <c r="D1019" s="154"/>
      <c r="E1019" s="152">
        <v>3.0</v>
      </c>
      <c r="F1019" s="154"/>
      <c r="G1019" s="152" t="s">
        <v>8406</v>
      </c>
      <c r="H1019" s="155" t="s">
        <v>8424</v>
      </c>
      <c r="I1019" s="155" t="s">
        <v>6684</v>
      </c>
      <c r="J1019" s="157"/>
      <c r="K1019" s="157"/>
      <c r="L1019" s="157"/>
      <c r="M1019" s="157"/>
      <c r="N1019" s="152" t="s">
        <v>8395</v>
      </c>
    </row>
    <row r="1020">
      <c r="A1020" s="152" t="s">
        <v>8466</v>
      </c>
      <c r="B1020" s="152" t="s">
        <v>8467</v>
      </c>
      <c r="C1020" s="152">
        <v>4.0</v>
      </c>
      <c r="D1020" s="154"/>
      <c r="E1020" s="152">
        <v>3.0</v>
      </c>
      <c r="F1020" s="154"/>
      <c r="G1020" s="152" t="s">
        <v>8406</v>
      </c>
      <c r="H1020" s="155" t="s">
        <v>8425</v>
      </c>
      <c r="I1020" s="155" t="s">
        <v>7039</v>
      </c>
      <c r="J1020" s="157"/>
      <c r="K1020" s="157"/>
      <c r="L1020" s="157"/>
      <c r="M1020" s="157"/>
      <c r="N1020" s="152" t="s">
        <v>8395</v>
      </c>
    </row>
    <row r="1021">
      <c r="A1021" s="152" t="s">
        <v>8466</v>
      </c>
      <c r="B1021" s="152" t="s">
        <v>8467</v>
      </c>
      <c r="C1021" s="152">
        <v>4.0</v>
      </c>
      <c r="D1021" s="154"/>
      <c r="E1021" s="152">
        <v>3.0</v>
      </c>
      <c r="F1021" s="154"/>
      <c r="G1021" s="152" t="s">
        <v>8406</v>
      </c>
      <c r="H1021" s="155" t="s">
        <v>8426</v>
      </c>
      <c r="I1021" s="155" t="s">
        <v>7023</v>
      </c>
      <c r="J1021" s="157"/>
      <c r="K1021" s="157"/>
      <c r="L1021" s="157"/>
      <c r="M1021" s="157"/>
      <c r="N1021" s="152" t="s">
        <v>8395</v>
      </c>
    </row>
    <row r="1022">
      <c r="A1022" s="152" t="s">
        <v>8466</v>
      </c>
      <c r="B1022" s="152" t="s">
        <v>8467</v>
      </c>
      <c r="C1022" s="152">
        <v>5.0</v>
      </c>
      <c r="D1022" s="154"/>
      <c r="E1022" s="154"/>
      <c r="F1022" s="154"/>
      <c r="G1022" s="152" t="s">
        <v>8427</v>
      </c>
      <c r="H1022" s="155" t="s">
        <v>8407</v>
      </c>
      <c r="I1022" s="154"/>
      <c r="J1022" s="157"/>
      <c r="K1022" s="157"/>
      <c r="L1022" s="157"/>
      <c r="M1022" s="157"/>
      <c r="N1022" s="152" t="s">
        <v>8384</v>
      </c>
    </row>
    <row r="1023">
      <c r="A1023" s="152" t="s">
        <v>8466</v>
      </c>
      <c r="B1023" s="152" t="s">
        <v>8467</v>
      </c>
      <c r="C1023" s="152">
        <v>5.0</v>
      </c>
      <c r="D1023" s="154"/>
      <c r="E1023" s="154"/>
      <c r="F1023" s="154"/>
      <c r="G1023" s="152" t="s">
        <v>8427</v>
      </c>
      <c r="H1023" s="155" t="s">
        <v>8408</v>
      </c>
      <c r="I1023" s="154"/>
      <c r="J1023" s="157"/>
      <c r="K1023" s="157"/>
      <c r="L1023" s="157"/>
      <c r="M1023" s="157"/>
      <c r="N1023" s="152" t="s">
        <v>8384</v>
      </c>
    </row>
    <row r="1024">
      <c r="A1024" s="152" t="s">
        <v>8466</v>
      </c>
      <c r="B1024" s="152" t="s">
        <v>8467</v>
      </c>
      <c r="C1024" s="152">
        <v>5.0</v>
      </c>
      <c r="D1024" s="154"/>
      <c r="E1024" s="154"/>
      <c r="F1024" s="154"/>
      <c r="G1024" s="152" t="s">
        <v>8427</v>
      </c>
      <c r="H1024" s="155" t="s">
        <v>8409</v>
      </c>
      <c r="I1024" s="154"/>
      <c r="J1024" s="157"/>
      <c r="K1024" s="157"/>
      <c r="L1024" s="157"/>
      <c r="M1024" s="157"/>
      <c r="N1024" s="152" t="s">
        <v>8384</v>
      </c>
    </row>
    <row r="1025">
      <c r="A1025" s="152" t="s">
        <v>8466</v>
      </c>
      <c r="B1025" s="152" t="s">
        <v>8467</v>
      </c>
      <c r="C1025" s="152">
        <v>5.0</v>
      </c>
      <c r="D1025" s="154"/>
      <c r="E1025" s="154"/>
      <c r="F1025" s="154"/>
      <c r="G1025" s="152" t="s">
        <v>8427</v>
      </c>
      <c r="H1025" s="155" t="s">
        <v>8410</v>
      </c>
      <c r="I1025" s="154"/>
      <c r="J1025" s="157"/>
      <c r="K1025" s="157"/>
      <c r="L1025" s="157"/>
      <c r="M1025" s="157"/>
      <c r="N1025" s="152" t="s">
        <v>8384</v>
      </c>
    </row>
    <row r="1026">
      <c r="A1026" s="152" t="s">
        <v>8466</v>
      </c>
      <c r="B1026" s="152" t="s">
        <v>8467</v>
      </c>
      <c r="C1026" s="152">
        <v>5.0</v>
      </c>
      <c r="D1026" s="154"/>
      <c r="E1026" s="154"/>
      <c r="F1026" s="154"/>
      <c r="G1026" s="152" t="s">
        <v>8427</v>
      </c>
      <c r="H1026" s="155" t="s">
        <v>8411</v>
      </c>
      <c r="I1026" s="154"/>
      <c r="J1026" s="157"/>
      <c r="K1026" s="157"/>
      <c r="L1026" s="157"/>
      <c r="M1026" s="157"/>
      <c r="N1026" s="152" t="s">
        <v>8384</v>
      </c>
    </row>
    <row r="1027">
      <c r="A1027" s="152" t="s">
        <v>8466</v>
      </c>
      <c r="B1027" s="152" t="s">
        <v>8467</v>
      </c>
      <c r="C1027" s="152">
        <v>5.0</v>
      </c>
      <c r="D1027" s="154"/>
      <c r="E1027" s="154"/>
      <c r="F1027" s="154"/>
      <c r="G1027" s="152" t="s">
        <v>8427</v>
      </c>
      <c r="H1027" s="155" t="s">
        <v>8412</v>
      </c>
      <c r="I1027" s="154"/>
      <c r="J1027" s="157"/>
      <c r="K1027" s="157"/>
      <c r="L1027" s="157"/>
      <c r="M1027" s="157"/>
      <c r="N1027" s="152" t="s">
        <v>8384</v>
      </c>
    </row>
    <row r="1028">
      <c r="A1028" s="152" t="s">
        <v>8466</v>
      </c>
      <c r="B1028" s="152" t="s">
        <v>8467</v>
      </c>
      <c r="C1028" s="152">
        <v>5.0</v>
      </c>
      <c r="D1028" s="154"/>
      <c r="E1028" s="154"/>
      <c r="F1028" s="154"/>
      <c r="G1028" s="152" t="s">
        <v>8427</v>
      </c>
      <c r="H1028" s="155" t="s">
        <v>8413</v>
      </c>
      <c r="I1028" s="154"/>
      <c r="J1028" s="157"/>
      <c r="K1028" s="157"/>
      <c r="L1028" s="157"/>
      <c r="M1028" s="157"/>
      <c r="N1028" s="152" t="s">
        <v>8384</v>
      </c>
    </row>
    <row r="1029">
      <c r="A1029" s="152" t="s">
        <v>8466</v>
      </c>
      <c r="B1029" s="152" t="s">
        <v>8467</v>
      </c>
      <c r="C1029" s="152">
        <v>5.0</v>
      </c>
      <c r="D1029" s="154"/>
      <c r="E1029" s="154"/>
      <c r="F1029" s="154"/>
      <c r="G1029" s="152" t="s">
        <v>8427</v>
      </c>
      <c r="H1029" s="155" t="s">
        <v>8414</v>
      </c>
      <c r="I1029" s="154"/>
      <c r="J1029" s="157"/>
      <c r="K1029" s="157"/>
      <c r="L1029" s="157"/>
      <c r="M1029" s="157"/>
      <c r="N1029" s="152" t="s">
        <v>8384</v>
      </c>
    </row>
    <row r="1030">
      <c r="A1030" s="152" t="s">
        <v>8466</v>
      </c>
      <c r="B1030" s="152" t="s">
        <v>8467</v>
      </c>
      <c r="C1030" s="152">
        <v>5.0</v>
      </c>
      <c r="D1030" s="154"/>
      <c r="E1030" s="154"/>
      <c r="F1030" s="154"/>
      <c r="G1030" s="152" t="s">
        <v>8427</v>
      </c>
      <c r="H1030" s="155" t="s">
        <v>8415</v>
      </c>
      <c r="I1030" s="154"/>
      <c r="J1030" s="157"/>
      <c r="K1030" s="157"/>
      <c r="L1030" s="157"/>
      <c r="M1030" s="157"/>
      <c r="N1030" s="152" t="s">
        <v>8384</v>
      </c>
    </row>
    <row r="1031">
      <c r="A1031" s="152" t="s">
        <v>8466</v>
      </c>
      <c r="B1031" s="152" t="s">
        <v>8467</v>
      </c>
      <c r="C1031" s="152">
        <v>5.0</v>
      </c>
      <c r="D1031" s="154"/>
      <c r="E1031" s="154"/>
      <c r="F1031" s="154"/>
      <c r="G1031" s="152" t="s">
        <v>8427</v>
      </c>
      <c r="H1031" s="155" t="s">
        <v>8416</v>
      </c>
      <c r="I1031" s="154"/>
      <c r="J1031" s="157"/>
      <c r="K1031" s="157"/>
      <c r="L1031" s="157"/>
      <c r="M1031" s="157"/>
      <c r="N1031" s="152" t="s">
        <v>8384</v>
      </c>
    </row>
    <row r="1032">
      <c r="A1032" s="152" t="s">
        <v>8466</v>
      </c>
      <c r="B1032" s="152" t="s">
        <v>8467</v>
      </c>
      <c r="C1032" s="152">
        <v>6.0</v>
      </c>
      <c r="D1032" s="154"/>
      <c r="E1032" s="152">
        <v>5.0</v>
      </c>
      <c r="F1032" s="154"/>
      <c r="G1032" s="152" t="s">
        <v>8427</v>
      </c>
      <c r="H1032" s="155" t="s">
        <v>8417</v>
      </c>
      <c r="I1032" s="155" t="s">
        <v>6507</v>
      </c>
      <c r="J1032" s="157"/>
      <c r="K1032" s="157"/>
      <c r="L1032" s="157"/>
      <c r="M1032" s="157"/>
      <c r="N1032" s="152" t="s">
        <v>8395</v>
      </c>
    </row>
    <row r="1033">
      <c r="A1033" s="152" t="s">
        <v>8466</v>
      </c>
      <c r="B1033" s="152" t="s">
        <v>8467</v>
      </c>
      <c r="C1033" s="152">
        <v>6.0</v>
      </c>
      <c r="D1033" s="154"/>
      <c r="E1033" s="152">
        <v>5.0</v>
      </c>
      <c r="F1033" s="154"/>
      <c r="G1033" s="152" t="s">
        <v>8427</v>
      </c>
      <c r="H1033" s="155" t="s">
        <v>8418</v>
      </c>
      <c r="I1033" s="155" t="s">
        <v>6492</v>
      </c>
      <c r="J1033" s="157"/>
      <c r="K1033" s="157"/>
      <c r="L1033" s="157"/>
      <c r="M1033" s="157"/>
      <c r="N1033" s="152" t="s">
        <v>8395</v>
      </c>
    </row>
    <row r="1034">
      <c r="A1034" s="152" t="s">
        <v>8466</v>
      </c>
      <c r="B1034" s="152" t="s">
        <v>8467</v>
      </c>
      <c r="C1034" s="152">
        <v>6.0</v>
      </c>
      <c r="D1034" s="154"/>
      <c r="E1034" s="152">
        <v>5.0</v>
      </c>
      <c r="F1034" s="154"/>
      <c r="G1034" s="152" t="s">
        <v>8427</v>
      </c>
      <c r="H1034" s="155" t="s">
        <v>8419</v>
      </c>
      <c r="I1034" s="155" t="s">
        <v>6978</v>
      </c>
      <c r="J1034" s="157"/>
      <c r="K1034" s="157"/>
      <c r="L1034" s="157"/>
      <c r="M1034" s="157"/>
      <c r="N1034" s="152" t="s">
        <v>8395</v>
      </c>
    </row>
    <row r="1035">
      <c r="A1035" s="152" t="s">
        <v>8466</v>
      </c>
      <c r="B1035" s="152" t="s">
        <v>8467</v>
      </c>
      <c r="C1035" s="152">
        <v>6.0</v>
      </c>
      <c r="D1035" s="154"/>
      <c r="E1035" s="152">
        <v>5.0</v>
      </c>
      <c r="F1035" s="154"/>
      <c r="G1035" s="152" t="s">
        <v>8427</v>
      </c>
      <c r="H1035" s="155" t="s">
        <v>8420</v>
      </c>
      <c r="I1035" s="155" t="s">
        <v>6936</v>
      </c>
      <c r="J1035" s="157"/>
      <c r="K1035" s="157"/>
      <c r="L1035" s="157"/>
      <c r="M1035" s="157"/>
      <c r="N1035" s="152" t="s">
        <v>8395</v>
      </c>
    </row>
    <row r="1036">
      <c r="A1036" s="152" t="s">
        <v>8466</v>
      </c>
      <c r="B1036" s="152" t="s">
        <v>8467</v>
      </c>
      <c r="C1036" s="152">
        <v>6.0</v>
      </c>
      <c r="D1036" s="154"/>
      <c r="E1036" s="152">
        <v>5.0</v>
      </c>
      <c r="F1036" s="154"/>
      <c r="G1036" s="152" t="s">
        <v>8427</v>
      </c>
      <c r="H1036" s="155" t="s">
        <v>8421</v>
      </c>
      <c r="I1036" s="155" t="s">
        <v>6620</v>
      </c>
      <c r="J1036" s="157"/>
      <c r="K1036" s="157"/>
      <c r="L1036" s="157"/>
      <c r="M1036" s="157"/>
      <c r="N1036" s="152" t="s">
        <v>8395</v>
      </c>
    </row>
    <row r="1037">
      <c r="A1037" s="152" t="s">
        <v>8466</v>
      </c>
      <c r="B1037" s="152" t="s">
        <v>8467</v>
      </c>
      <c r="C1037" s="152">
        <v>6.0</v>
      </c>
      <c r="D1037" s="154"/>
      <c r="E1037" s="152">
        <v>5.0</v>
      </c>
      <c r="F1037" s="154"/>
      <c r="G1037" s="152" t="s">
        <v>8427</v>
      </c>
      <c r="H1037" s="155" t="s">
        <v>8422</v>
      </c>
      <c r="I1037" s="155" t="s">
        <v>6563</v>
      </c>
      <c r="J1037" s="157"/>
      <c r="K1037" s="157"/>
      <c r="L1037" s="157"/>
      <c r="M1037" s="157"/>
      <c r="N1037" s="152" t="s">
        <v>8395</v>
      </c>
    </row>
    <row r="1038">
      <c r="A1038" s="152" t="s">
        <v>8466</v>
      </c>
      <c r="B1038" s="152" t="s">
        <v>8467</v>
      </c>
      <c r="C1038" s="152">
        <v>6.0</v>
      </c>
      <c r="D1038" s="154"/>
      <c r="E1038" s="152">
        <v>5.0</v>
      </c>
      <c r="F1038" s="154"/>
      <c r="G1038" s="152" t="s">
        <v>8427</v>
      </c>
      <c r="H1038" s="155" t="s">
        <v>8423</v>
      </c>
      <c r="I1038" s="155" t="s">
        <v>6701</v>
      </c>
      <c r="J1038" s="157"/>
      <c r="K1038" s="157"/>
      <c r="L1038" s="157"/>
      <c r="M1038" s="157"/>
      <c r="N1038" s="152" t="s">
        <v>8395</v>
      </c>
    </row>
    <row r="1039">
      <c r="A1039" s="152" t="s">
        <v>8466</v>
      </c>
      <c r="B1039" s="152" t="s">
        <v>8467</v>
      </c>
      <c r="C1039" s="152">
        <v>6.0</v>
      </c>
      <c r="D1039" s="154"/>
      <c r="E1039" s="152">
        <v>5.0</v>
      </c>
      <c r="F1039" s="154"/>
      <c r="G1039" s="152" t="s">
        <v>8427</v>
      </c>
      <c r="H1039" s="155" t="s">
        <v>8424</v>
      </c>
      <c r="I1039" s="155" t="s">
        <v>6684</v>
      </c>
      <c r="J1039" s="157"/>
      <c r="K1039" s="157"/>
      <c r="L1039" s="157"/>
      <c r="M1039" s="157"/>
      <c r="N1039" s="152" t="s">
        <v>8395</v>
      </c>
    </row>
    <row r="1040">
      <c r="A1040" s="152" t="s">
        <v>8466</v>
      </c>
      <c r="B1040" s="152" t="s">
        <v>8467</v>
      </c>
      <c r="C1040" s="152">
        <v>6.0</v>
      </c>
      <c r="D1040" s="154"/>
      <c r="E1040" s="152">
        <v>5.0</v>
      </c>
      <c r="F1040" s="154"/>
      <c r="G1040" s="152" t="s">
        <v>8427</v>
      </c>
      <c r="H1040" s="155" t="s">
        <v>8425</v>
      </c>
      <c r="I1040" s="155" t="s">
        <v>7039</v>
      </c>
      <c r="J1040" s="157"/>
      <c r="K1040" s="157"/>
      <c r="L1040" s="157"/>
      <c r="M1040" s="157"/>
      <c r="N1040" s="152" t="s">
        <v>8395</v>
      </c>
    </row>
    <row r="1041">
      <c r="A1041" s="152" t="s">
        <v>8466</v>
      </c>
      <c r="B1041" s="152" t="s">
        <v>8467</v>
      </c>
      <c r="C1041" s="152">
        <v>6.0</v>
      </c>
      <c r="D1041" s="154"/>
      <c r="E1041" s="152">
        <v>5.0</v>
      </c>
      <c r="F1041" s="154"/>
      <c r="G1041" s="152" t="s">
        <v>8427</v>
      </c>
      <c r="H1041" s="155" t="s">
        <v>8426</v>
      </c>
      <c r="I1041" s="155" t="s">
        <v>7023</v>
      </c>
      <c r="J1041" s="157"/>
      <c r="K1041" s="157"/>
      <c r="L1041" s="157"/>
      <c r="M1041" s="157"/>
      <c r="N1041" s="152" t="s">
        <v>8395</v>
      </c>
    </row>
    <row r="1042">
      <c r="A1042" s="152" t="s">
        <v>8468</v>
      </c>
      <c r="B1042" s="152" t="s">
        <v>8469</v>
      </c>
      <c r="C1042" s="152">
        <v>1.0</v>
      </c>
      <c r="D1042" s="154"/>
      <c r="E1042" s="154"/>
      <c r="F1042" s="154"/>
      <c r="G1042" s="152" t="s">
        <v>8382</v>
      </c>
      <c r="H1042" s="152" t="s">
        <v>8383</v>
      </c>
      <c r="I1042" s="154"/>
      <c r="J1042" s="152" t="s">
        <v>23</v>
      </c>
      <c r="K1042" s="152">
        <v>2399.0</v>
      </c>
      <c r="L1042" s="154"/>
      <c r="M1042" s="154"/>
      <c r="N1042" s="152" t="s">
        <v>8384</v>
      </c>
    </row>
    <row r="1043">
      <c r="A1043" s="152" t="s">
        <v>8468</v>
      </c>
      <c r="B1043" s="152" t="s">
        <v>8469</v>
      </c>
      <c r="C1043" s="152">
        <v>1.0</v>
      </c>
      <c r="D1043" s="154"/>
      <c r="E1043" s="154"/>
      <c r="F1043" s="154"/>
      <c r="G1043" s="152" t="s">
        <v>8382</v>
      </c>
      <c r="H1043" s="152" t="s">
        <v>8385</v>
      </c>
      <c r="I1043" s="154"/>
      <c r="J1043" s="152" t="s">
        <v>23</v>
      </c>
      <c r="K1043" s="152">
        <v>2589.0</v>
      </c>
      <c r="L1043" s="154"/>
      <c r="M1043" s="154"/>
      <c r="N1043" s="152" t="s">
        <v>8384</v>
      </c>
    </row>
    <row r="1044">
      <c r="A1044" s="152" t="s">
        <v>8468</v>
      </c>
      <c r="B1044" s="152" t="s">
        <v>8469</v>
      </c>
      <c r="C1044" s="152">
        <v>1.0</v>
      </c>
      <c r="D1044" s="154"/>
      <c r="E1044" s="154"/>
      <c r="F1044" s="154"/>
      <c r="G1044" s="152" t="s">
        <v>8382</v>
      </c>
      <c r="H1044" s="152" t="s">
        <v>8386</v>
      </c>
      <c r="I1044" s="154"/>
      <c r="J1044" s="152" t="s">
        <v>23</v>
      </c>
      <c r="K1044" s="152">
        <v>2589.0</v>
      </c>
      <c r="L1044" s="154"/>
      <c r="M1044" s="154"/>
      <c r="N1044" s="152" t="s">
        <v>8384</v>
      </c>
    </row>
    <row r="1045">
      <c r="A1045" s="152" t="s">
        <v>8468</v>
      </c>
      <c r="B1045" s="152" t="s">
        <v>8469</v>
      </c>
      <c r="C1045" s="152">
        <v>1.0</v>
      </c>
      <c r="D1045" s="154"/>
      <c r="E1045" s="154"/>
      <c r="F1045" s="154"/>
      <c r="G1045" s="152" t="s">
        <v>8382</v>
      </c>
      <c r="H1045" s="152" t="s">
        <v>8387</v>
      </c>
      <c r="I1045" s="154"/>
      <c r="J1045" s="152" t="s">
        <v>23</v>
      </c>
      <c r="K1045" s="152">
        <v>2589.0</v>
      </c>
      <c r="L1045" s="154"/>
      <c r="M1045" s="154"/>
      <c r="N1045" s="152" t="s">
        <v>8384</v>
      </c>
    </row>
    <row r="1046">
      <c r="A1046" s="152" t="s">
        <v>8468</v>
      </c>
      <c r="B1046" s="152" t="s">
        <v>8469</v>
      </c>
      <c r="C1046" s="152">
        <v>1.0</v>
      </c>
      <c r="D1046" s="154"/>
      <c r="E1046" s="154"/>
      <c r="F1046" s="154"/>
      <c r="G1046" s="152" t="s">
        <v>8382</v>
      </c>
      <c r="H1046" s="152" t="s">
        <v>8388</v>
      </c>
      <c r="I1046" s="154"/>
      <c r="J1046" s="152" t="s">
        <v>23</v>
      </c>
      <c r="K1046" s="152">
        <v>2589.0</v>
      </c>
      <c r="L1046" s="154"/>
      <c r="M1046" s="154"/>
      <c r="N1046" s="152" t="s">
        <v>8384</v>
      </c>
    </row>
    <row r="1047">
      <c r="A1047" s="152" t="s">
        <v>8468</v>
      </c>
      <c r="B1047" s="152" t="s">
        <v>8469</v>
      </c>
      <c r="C1047" s="152">
        <v>1.0</v>
      </c>
      <c r="D1047" s="154"/>
      <c r="E1047" s="154"/>
      <c r="F1047" s="154"/>
      <c r="G1047" s="152" t="s">
        <v>8382</v>
      </c>
      <c r="H1047" s="152" t="s">
        <v>8389</v>
      </c>
      <c r="I1047" s="154"/>
      <c r="J1047" s="152" t="s">
        <v>23</v>
      </c>
      <c r="K1047" s="152">
        <v>2979.0</v>
      </c>
      <c r="L1047" s="154"/>
      <c r="M1047" s="154"/>
      <c r="N1047" s="152" t="s">
        <v>8384</v>
      </c>
    </row>
    <row r="1048">
      <c r="A1048" s="152" t="s">
        <v>8468</v>
      </c>
      <c r="B1048" s="152" t="s">
        <v>8469</v>
      </c>
      <c r="C1048" s="152">
        <v>1.0</v>
      </c>
      <c r="D1048" s="154"/>
      <c r="E1048" s="154"/>
      <c r="F1048" s="154"/>
      <c r="G1048" s="152" t="s">
        <v>8382</v>
      </c>
      <c r="H1048" s="152" t="s">
        <v>5767</v>
      </c>
      <c r="I1048" s="154"/>
      <c r="J1048" s="152" t="s">
        <v>23</v>
      </c>
      <c r="K1048" s="152">
        <v>2979.0</v>
      </c>
      <c r="L1048" s="154"/>
      <c r="M1048" s="154"/>
      <c r="N1048" s="152" t="s">
        <v>8384</v>
      </c>
    </row>
    <row r="1049">
      <c r="A1049" s="152" t="s">
        <v>8468</v>
      </c>
      <c r="B1049" s="152" t="s">
        <v>8469</v>
      </c>
      <c r="C1049" s="152">
        <v>1.0</v>
      </c>
      <c r="D1049" s="154"/>
      <c r="E1049" s="154"/>
      <c r="F1049" s="154"/>
      <c r="G1049" s="152" t="s">
        <v>8382</v>
      </c>
      <c r="H1049" s="152" t="s">
        <v>8390</v>
      </c>
      <c r="I1049" s="154"/>
      <c r="J1049" s="152" t="s">
        <v>23</v>
      </c>
      <c r="K1049" s="152">
        <v>2979.0</v>
      </c>
      <c r="L1049" s="154"/>
      <c r="M1049" s="154"/>
      <c r="N1049" s="152" t="s">
        <v>8384</v>
      </c>
    </row>
    <row r="1050">
      <c r="A1050" s="152" t="s">
        <v>8468</v>
      </c>
      <c r="B1050" s="152" t="s">
        <v>8469</v>
      </c>
      <c r="C1050" s="152">
        <v>1.0</v>
      </c>
      <c r="D1050" s="154"/>
      <c r="E1050" s="154"/>
      <c r="F1050" s="154"/>
      <c r="G1050" s="152" t="s">
        <v>8382</v>
      </c>
      <c r="H1050" s="152" t="s">
        <v>8391</v>
      </c>
      <c r="I1050" s="154"/>
      <c r="J1050" s="152" t="s">
        <v>23</v>
      </c>
      <c r="K1050" s="152">
        <v>2979.0</v>
      </c>
      <c r="L1050" s="154"/>
      <c r="M1050" s="154"/>
      <c r="N1050" s="152" t="s">
        <v>8384</v>
      </c>
    </row>
    <row r="1051">
      <c r="A1051" s="152" t="s">
        <v>8468</v>
      </c>
      <c r="B1051" s="152" t="s">
        <v>8469</v>
      </c>
      <c r="C1051" s="152">
        <v>1.0</v>
      </c>
      <c r="D1051" s="154"/>
      <c r="E1051" s="154"/>
      <c r="F1051" s="154"/>
      <c r="G1051" s="152" t="s">
        <v>8382</v>
      </c>
      <c r="H1051" s="152" t="s">
        <v>8392</v>
      </c>
      <c r="I1051" s="154"/>
      <c r="J1051" s="152" t="s">
        <v>23</v>
      </c>
      <c r="K1051" s="152">
        <v>2979.0</v>
      </c>
      <c r="L1051" s="154"/>
      <c r="M1051" s="154"/>
      <c r="N1051" s="152" t="s">
        <v>8384</v>
      </c>
    </row>
    <row r="1052">
      <c r="A1052" s="152" t="s">
        <v>8468</v>
      </c>
      <c r="B1052" s="152" t="s">
        <v>8469</v>
      </c>
      <c r="C1052" s="152">
        <v>2.0</v>
      </c>
      <c r="D1052" s="154"/>
      <c r="E1052" s="152">
        <v>1.0</v>
      </c>
      <c r="F1052" s="154"/>
      <c r="G1052" s="152" t="s">
        <v>8393</v>
      </c>
      <c r="H1052" s="152" t="s">
        <v>8394</v>
      </c>
      <c r="I1052" s="152" t="s">
        <v>6862</v>
      </c>
      <c r="J1052" s="154"/>
      <c r="K1052" s="154"/>
      <c r="L1052" s="154"/>
      <c r="M1052" s="154"/>
      <c r="N1052" s="152" t="s">
        <v>8395</v>
      </c>
    </row>
    <row r="1053">
      <c r="A1053" s="152" t="s">
        <v>8468</v>
      </c>
      <c r="B1053" s="152" t="s">
        <v>8469</v>
      </c>
      <c r="C1053" s="152">
        <v>2.0</v>
      </c>
      <c r="D1053" s="154"/>
      <c r="E1053" s="152">
        <v>1.0</v>
      </c>
      <c r="F1053" s="154"/>
      <c r="G1053" s="152" t="s">
        <v>8393</v>
      </c>
      <c r="H1053" s="152" t="s">
        <v>8396</v>
      </c>
      <c r="I1053" s="152" t="s">
        <v>6893</v>
      </c>
      <c r="J1053" s="154"/>
      <c r="K1053" s="154"/>
      <c r="L1053" s="154"/>
      <c r="M1053" s="154"/>
      <c r="N1053" s="152" t="s">
        <v>8395</v>
      </c>
    </row>
    <row r="1054">
      <c r="A1054" s="152" t="s">
        <v>8468</v>
      </c>
      <c r="B1054" s="152" t="s">
        <v>8469</v>
      </c>
      <c r="C1054" s="152">
        <v>2.0</v>
      </c>
      <c r="D1054" s="154"/>
      <c r="E1054" s="152">
        <v>1.0</v>
      </c>
      <c r="F1054" s="154"/>
      <c r="G1054" s="152" t="s">
        <v>8393</v>
      </c>
      <c r="H1054" s="152" t="s">
        <v>8397</v>
      </c>
      <c r="I1054" s="152" t="s">
        <v>6796</v>
      </c>
      <c r="J1054" s="154"/>
      <c r="K1054" s="154"/>
      <c r="L1054" s="154"/>
      <c r="M1054" s="154"/>
      <c r="N1054" s="152" t="s">
        <v>8395</v>
      </c>
    </row>
    <row r="1055">
      <c r="A1055" s="152" t="s">
        <v>8468</v>
      </c>
      <c r="B1055" s="152" t="s">
        <v>8469</v>
      </c>
      <c r="C1055" s="152">
        <v>2.0</v>
      </c>
      <c r="D1055" s="154"/>
      <c r="E1055" s="152">
        <v>1.0</v>
      </c>
      <c r="F1055" s="154"/>
      <c r="G1055" s="152" t="s">
        <v>8393</v>
      </c>
      <c r="H1055" s="152" t="s">
        <v>8398</v>
      </c>
      <c r="I1055" s="152" t="s">
        <v>6726</v>
      </c>
      <c r="J1055" s="154"/>
      <c r="K1055" s="154"/>
      <c r="L1055" s="154"/>
      <c r="M1055" s="154"/>
      <c r="N1055" s="152" t="s">
        <v>8395</v>
      </c>
    </row>
    <row r="1056">
      <c r="A1056" s="152" t="s">
        <v>8468</v>
      </c>
      <c r="B1056" s="152" t="s">
        <v>8469</v>
      </c>
      <c r="C1056" s="152">
        <v>2.0</v>
      </c>
      <c r="D1056" s="154"/>
      <c r="E1056" s="152">
        <v>1.0</v>
      </c>
      <c r="F1056" s="154"/>
      <c r="G1056" s="152" t="s">
        <v>8393</v>
      </c>
      <c r="H1056" s="152" t="s">
        <v>8399</v>
      </c>
      <c r="I1056" s="152" t="s">
        <v>6924</v>
      </c>
      <c r="J1056" s="154"/>
      <c r="K1056" s="154"/>
      <c r="L1056" s="154"/>
      <c r="M1056" s="154"/>
      <c r="N1056" s="152" t="s">
        <v>8395</v>
      </c>
    </row>
    <row r="1057">
      <c r="A1057" s="152" t="s">
        <v>8468</v>
      </c>
      <c r="B1057" s="152" t="s">
        <v>8469</v>
      </c>
      <c r="C1057" s="152">
        <v>2.0</v>
      </c>
      <c r="D1057" s="154"/>
      <c r="E1057" s="152">
        <v>1.0</v>
      </c>
      <c r="F1057" s="154"/>
      <c r="G1057" s="152" t="s">
        <v>8393</v>
      </c>
      <c r="H1057" s="152" t="s">
        <v>8400</v>
      </c>
      <c r="I1057" s="152" t="s">
        <v>6893</v>
      </c>
      <c r="J1057" s="154"/>
      <c r="K1057" s="154"/>
      <c r="L1057" s="154"/>
      <c r="M1057" s="154"/>
      <c r="N1057" s="152" t="s">
        <v>8395</v>
      </c>
    </row>
    <row r="1058">
      <c r="A1058" s="152" t="s">
        <v>8468</v>
      </c>
      <c r="B1058" s="152" t="s">
        <v>8469</v>
      </c>
      <c r="C1058" s="152">
        <v>2.0</v>
      </c>
      <c r="D1058" s="154"/>
      <c r="E1058" s="152">
        <v>1.0</v>
      </c>
      <c r="F1058" s="154"/>
      <c r="G1058" s="152" t="s">
        <v>8393</v>
      </c>
      <c r="H1058" s="152" t="s">
        <v>8401</v>
      </c>
      <c r="I1058" s="152" t="s">
        <v>6796</v>
      </c>
      <c r="J1058" s="154"/>
      <c r="K1058" s="154"/>
      <c r="L1058" s="154"/>
      <c r="M1058" s="154"/>
      <c r="N1058" s="152" t="s">
        <v>8395</v>
      </c>
    </row>
    <row r="1059">
      <c r="A1059" s="152" t="s">
        <v>8468</v>
      </c>
      <c r="B1059" s="152" t="s">
        <v>8469</v>
      </c>
      <c r="C1059" s="152">
        <v>2.0</v>
      </c>
      <c r="D1059" s="154"/>
      <c r="E1059" s="152">
        <v>1.0</v>
      </c>
      <c r="F1059" s="154"/>
      <c r="G1059" s="152" t="s">
        <v>8393</v>
      </c>
      <c r="H1059" s="152" t="s">
        <v>8402</v>
      </c>
      <c r="I1059" s="152" t="s">
        <v>6831</v>
      </c>
      <c r="J1059" s="154"/>
      <c r="K1059" s="154"/>
      <c r="L1059" s="154"/>
      <c r="M1059" s="154"/>
      <c r="N1059" s="152" t="s">
        <v>8395</v>
      </c>
    </row>
    <row r="1060">
      <c r="A1060" s="152" t="s">
        <v>8468</v>
      </c>
      <c r="B1060" s="152" t="s">
        <v>8469</v>
      </c>
      <c r="C1060" s="152">
        <v>2.0</v>
      </c>
      <c r="D1060" s="154"/>
      <c r="E1060" s="152">
        <v>1.0</v>
      </c>
      <c r="F1060" s="154"/>
      <c r="G1060" s="152" t="s">
        <v>8393</v>
      </c>
      <c r="H1060" s="152" t="s">
        <v>8403</v>
      </c>
      <c r="I1060" s="152" t="s">
        <v>6836</v>
      </c>
      <c r="J1060" s="154"/>
      <c r="K1060" s="154"/>
      <c r="L1060" s="154"/>
      <c r="M1060" s="154"/>
      <c r="N1060" s="152" t="s">
        <v>8395</v>
      </c>
    </row>
    <row r="1061">
      <c r="A1061" s="152" t="s">
        <v>8468</v>
      </c>
      <c r="B1061" s="152" t="s">
        <v>8469</v>
      </c>
      <c r="C1061" s="152">
        <v>2.0</v>
      </c>
      <c r="D1061" s="154"/>
      <c r="E1061" s="152">
        <v>1.0</v>
      </c>
      <c r="F1061" s="154"/>
      <c r="G1061" s="152" t="s">
        <v>8393</v>
      </c>
      <c r="H1061" s="152" t="s">
        <v>8404</v>
      </c>
      <c r="I1061" s="152" t="s">
        <v>8405</v>
      </c>
      <c r="J1061" s="154"/>
      <c r="K1061" s="154"/>
      <c r="L1061" s="154"/>
      <c r="M1061" s="154"/>
      <c r="N1061" s="152" t="s">
        <v>8395</v>
      </c>
    </row>
    <row r="1062">
      <c r="A1062" s="152" t="s">
        <v>8468</v>
      </c>
      <c r="B1062" s="152" t="s">
        <v>8469</v>
      </c>
      <c r="C1062" s="152">
        <v>3.0</v>
      </c>
      <c r="D1062" s="154"/>
      <c r="E1062" s="154"/>
      <c r="F1062" s="154"/>
      <c r="G1062" s="152" t="s">
        <v>8436</v>
      </c>
      <c r="H1062" s="155" t="s">
        <v>8407</v>
      </c>
      <c r="I1062" s="154"/>
      <c r="J1062" s="157"/>
      <c r="K1062" s="157"/>
      <c r="L1062" s="157"/>
      <c r="M1062" s="157"/>
      <c r="N1062" s="152" t="s">
        <v>8384</v>
      </c>
    </row>
    <row r="1063">
      <c r="A1063" s="152" t="s">
        <v>8468</v>
      </c>
      <c r="B1063" s="152" t="s">
        <v>8469</v>
      </c>
      <c r="C1063" s="152">
        <v>3.0</v>
      </c>
      <c r="D1063" s="154"/>
      <c r="E1063" s="154"/>
      <c r="F1063" s="154"/>
      <c r="G1063" s="152" t="s">
        <v>8436</v>
      </c>
      <c r="H1063" s="155" t="s">
        <v>8408</v>
      </c>
      <c r="I1063" s="154"/>
      <c r="J1063" s="157"/>
      <c r="K1063" s="157"/>
      <c r="L1063" s="157"/>
      <c r="M1063" s="157"/>
      <c r="N1063" s="152" t="s">
        <v>8384</v>
      </c>
    </row>
    <row r="1064">
      <c r="A1064" s="152" t="s">
        <v>8468</v>
      </c>
      <c r="B1064" s="152" t="s">
        <v>8469</v>
      </c>
      <c r="C1064" s="152">
        <v>3.0</v>
      </c>
      <c r="D1064" s="154"/>
      <c r="E1064" s="154"/>
      <c r="F1064" s="154"/>
      <c r="G1064" s="152" t="s">
        <v>8436</v>
      </c>
      <c r="H1064" s="155" t="s">
        <v>8409</v>
      </c>
      <c r="I1064" s="154"/>
      <c r="J1064" s="157"/>
      <c r="K1064" s="157"/>
      <c r="L1064" s="157"/>
      <c r="M1064" s="157"/>
      <c r="N1064" s="152" t="s">
        <v>8384</v>
      </c>
    </row>
    <row r="1065">
      <c r="A1065" s="152" t="s">
        <v>8468</v>
      </c>
      <c r="B1065" s="152" t="s">
        <v>8469</v>
      </c>
      <c r="C1065" s="152">
        <v>3.0</v>
      </c>
      <c r="D1065" s="154"/>
      <c r="E1065" s="154"/>
      <c r="F1065" s="154"/>
      <c r="G1065" s="152" t="s">
        <v>8436</v>
      </c>
      <c r="H1065" s="155" t="s">
        <v>8410</v>
      </c>
      <c r="I1065" s="154"/>
      <c r="J1065" s="157"/>
      <c r="K1065" s="157"/>
      <c r="L1065" s="157"/>
      <c r="M1065" s="157"/>
      <c r="N1065" s="152" t="s">
        <v>8384</v>
      </c>
    </row>
    <row r="1066">
      <c r="A1066" s="152" t="s">
        <v>8468</v>
      </c>
      <c r="B1066" s="152" t="s">
        <v>8469</v>
      </c>
      <c r="C1066" s="152">
        <v>3.0</v>
      </c>
      <c r="D1066" s="154"/>
      <c r="E1066" s="154"/>
      <c r="F1066" s="154"/>
      <c r="G1066" s="152" t="s">
        <v>8436</v>
      </c>
      <c r="H1066" s="155" t="s">
        <v>8411</v>
      </c>
      <c r="I1066" s="154"/>
      <c r="J1066" s="157"/>
      <c r="K1066" s="157"/>
      <c r="L1066" s="157"/>
      <c r="M1066" s="157"/>
      <c r="N1066" s="152" t="s">
        <v>8384</v>
      </c>
    </row>
    <row r="1067">
      <c r="A1067" s="152" t="s">
        <v>8468</v>
      </c>
      <c r="B1067" s="152" t="s">
        <v>8469</v>
      </c>
      <c r="C1067" s="152">
        <v>3.0</v>
      </c>
      <c r="D1067" s="154"/>
      <c r="E1067" s="154"/>
      <c r="F1067" s="154"/>
      <c r="G1067" s="152" t="s">
        <v>8436</v>
      </c>
      <c r="H1067" s="155" t="s">
        <v>8412</v>
      </c>
      <c r="I1067" s="154"/>
      <c r="J1067" s="157"/>
      <c r="K1067" s="157"/>
      <c r="L1067" s="157"/>
      <c r="M1067" s="157"/>
      <c r="N1067" s="152" t="s">
        <v>8384</v>
      </c>
    </row>
    <row r="1068">
      <c r="A1068" s="152" t="s">
        <v>8468</v>
      </c>
      <c r="B1068" s="152" t="s">
        <v>8469</v>
      </c>
      <c r="C1068" s="152">
        <v>3.0</v>
      </c>
      <c r="D1068" s="154"/>
      <c r="E1068" s="154"/>
      <c r="F1068" s="154"/>
      <c r="G1068" s="152" t="s">
        <v>8436</v>
      </c>
      <c r="H1068" s="155" t="s">
        <v>8413</v>
      </c>
      <c r="I1068" s="154"/>
      <c r="J1068" s="157"/>
      <c r="K1068" s="157"/>
      <c r="L1068" s="157"/>
      <c r="M1068" s="157"/>
      <c r="N1068" s="152" t="s">
        <v>8384</v>
      </c>
    </row>
    <row r="1069">
      <c r="A1069" s="152" t="s">
        <v>8468</v>
      </c>
      <c r="B1069" s="152" t="s">
        <v>8469</v>
      </c>
      <c r="C1069" s="152">
        <v>3.0</v>
      </c>
      <c r="D1069" s="154"/>
      <c r="E1069" s="154"/>
      <c r="F1069" s="154"/>
      <c r="G1069" s="152" t="s">
        <v>8436</v>
      </c>
      <c r="H1069" s="155" t="s">
        <v>8414</v>
      </c>
      <c r="I1069" s="154"/>
      <c r="J1069" s="157"/>
      <c r="K1069" s="157"/>
      <c r="L1069" s="157"/>
      <c r="M1069" s="157"/>
      <c r="N1069" s="152" t="s">
        <v>8384</v>
      </c>
    </row>
    <row r="1070">
      <c r="A1070" s="152" t="s">
        <v>8468</v>
      </c>
      <c r="B1070" s="152" t="s">
        <v>8469</v>
      </c>
      <c r="C1070" s="152">
        <v>3.0</v>
      </c>
      <c r="D1070" s="154"/>
      <c r="E1070" s="154"/>
      <c r="F1070" s="154"/>
      <c r="G1070" s="152" t="s">
        <v>8436</v>
      </c>
      <c r="H1070" s="155" t="s">
        <v>8415</v>
      </c>
      <c r="I1070" s="154"/>
      <c r="J1070" s="157"/>
      <c r="K1070" s="157"/>
      <c r="L1070" s="157"/>
      <c r="M1070" s="157"/>
      <c r="N1070" s="152" t="s">
        <v>8384</v>
      </c>
    </row>
    <row r="1071">
      <c r="A1071" s="152" t="s">
        <v>8468</v>
      </c>
      <c r="B1071" s="152" t="s">
        <v>8469</v>
      </c>
      <c r="C1071" s="152">
        <v>3.0</v>
      </c>
      <c r="D1071" s="154"/>
      <c r="E1071" s="154"/>
      <c r="F1071" s="154"/>
      <c r="G1071" s="152" t="s">
        <v>8436</v>
      </c>
      <c r="H1071" s="155" t="s">
        <v>8416</v>
      </c>
      <c r="I1071" s="154"/>
      <c r="J1071" s="157"/>
      <c r="K1071" s="157"/>
      <c r="L1071" s="157"/>
      <c r="M1071" s="157"/>
      <c r="N1071" s="152" t="s">
        <v>8384</v>
      </c>
    </row>
    <row r="1072">
      <c r="A1072" s="152" t="s">
        <v>8468</v>
      </c>
      <c r="B1072" s="152" t="s">
        <v>8469</v>
      </c>
      <c r="C1072" s="152">
        <v>4.0</v>
      </c>
      <c r="D1072" s="154"/>
      <c r="E1072" s="152">
        <v>3.0</v>
      </c>
      <c r="F1072" s="154"/>
      <c r="G1072" s="152" t="s">
        <v>8436</v>
      </c>
      <c r="H1072" s="155" t="s">
        <v>8417</v>
      </c>
      <c r="I1072" s="155" t="s">
        <v>6507</v>
      </c>
      <c r="J1072" s="157"/>
      <c r="K1072" s="157"/>
      <c r="L1072" s="157"/>
      <c r="M1072" s="157"/>
      <c r="N1072" s="152" t="s">
        <v>8395</v>
      </c>
    </row>
    <row r="1073">
      <c r="A1073" s="152" t="s">
        <v>8468</v>
      </c>
      <c r="B1073" s="152" t="s">
        <v>8469</v>
      </c>
      <c r="C1073" s="152">
        <v>4.0</v>
      </c>
      <c r="D1073" s="154"/>
      <c r="E1073" s="152">
        <v>3.0</v>
      </c>
      <c r="F1073" s="154"/>
      <c r="G1073" s="152" t="s">
        <v>8436</v>
      </c>
      <c r="H1073" s="155" t="s">
        <v>8418</v>
      </c>
      <c r="I1073" s="155" t="s">
        <v>6492</v>
      </c>
      <c r="J1073" s="157"/>
      <c r="K1073" s="157"/>
      <c r="L1073" s="157"/>
      <c r="M1073" s="157"/>
      <c r="N1073" s="152" t="s">
        <v>8395</v>
      </c>
    </row>
    <row r="1074">
      <c r="A1074" s="152" t="s">
        <v>8468</v>
      </c>
      <c r="B1074" s="152" t="s">
        <v>8469</v>
      </c>
      <c r="C1074" s="152">
        <v>4.0</v>
      </c>
      <c r="D1074" s="154"/>
      <c r="E1074" s="152">
        <v>3.0</v>
      </c>
      <c r="F1074" s="154"/>
      <c r="G1074" s="152" t="s">
        <v>8436</v>
      </c>
      <c r="H1074" s="155" t="s">
        <v>8419</v>
      </c>
      <c r="I1074" s="155" t="s">
        <v>6978</v>
      </c>
      <c r="J1074" s="157"/>
      <c r="K1074" s="157"/>
      <c r="L1074" s="157"/>
      <c r="M1074" s="157"/>
      <c r="N1074" s="152" t="s">
        <v>8395</v>
      </c>
    </row>
    <row r="1075">
      <c r="A1075" s="152" t="s">
        <v>8468</v>
      </c>
      <c r="B1075" s="152" t="s">
        <v>8469</v>
      </c>
      <c r="C1075" s="152">
        <v>4.0</v>
      </c>
      <c r="D1075" s="154"/>
      <c r="E1075" s="152">
        <v>3.0</v>
      </c>
      <c r="F1075" s="154"/>
      <c r="G1075" s="152" t="s">
        <v>8436</v>
      </c>
      <c r="H1075" s="155" t="s">
        <v>8420</v>
      </c>
      <c r="I1075" s="155" t="s">
        <v>6936</v>
      </c>
      <c r="J1075" s="157"/>
      <c r="K1075" s="157"/>
      <c r="L1075" s="157"/>
      <c r="M1075" s="157"/>
      <c r="N1075" s="152" t="s">
        <v>8395</v>
      </c>
    </row>
    <row r="1076">
      <c r="A1076" s="152" t="s">
        <v>8468</v>
      </c>
      <c r="B1076" s="152" t="s">
        <v>8469</v>
      </c>
      <c r="C1076" s="152">
        <v>4.0</v>
      </c>
      <c r="D1076" s="154"/>
      <c r="E1076" s="152">
        <v>3.0</v>
      </c>
      <c r="F1076" s="154"/>
      <c r="G1076" s="152" t="s">
        <v>8436</v>
      </c>
      <c r="H1076" s="155" t="s">
        <v>8421</v>
      </c>
      <c r="I1076" s="155" t="s">
        <v>6620</v>
      </c>
      <c r="J1076" s="157"/>
      <c r="K1076" s="157"/>
      <c r="L1076" s="157"/>
      <c r="M1076" s="157"/>
      <c r="N1076" s="152" t="s">
        <v>8395</v>
      </c>
    </row>
    <row r="1077">
      <c r="A1077" s="152" t="s">
        <v>8468</v>
      </c>
      <c r="B1077" s="152" t="s">
        <v>8469</v>
      </c>
      <c r="C1077" s="152">
        <v>4.0</v>
      </c>
      <c r="D1077" s="154"/>
      <c r="E1077" s="152">
        <v>3.0</v>
      </c>
      <c r="F1077" s="154"/>
      <c r="G1077" s="152" t="s">
        <v>8436</v>
      </c>
      <c r="H1077" s="155" t="s">
        <v>8422</v>
      </c>
      <c r="I1077" s="155" t="s">
        <v>6563</v>
      </c>
      <c r="J1077" s="157"/>
      <c r="K1077" s="157"/>
      <c r="L1077" s="157"/>
      <c r="M1077" s="157"/>
      <c r="N1077" s="152" t="s">
        <v>8395</v>
      </c>
    </row>
    <row r="1078">
      <c r="A1078" s="152" t="s">
        <v>8468</v>
      </c>
      <c r="B1078" s="152" t="s">
        <v>8469</v>
      </c>
      <c r="C1078" s="152">
        <v>4.0</v>
      </c>
      <c r="D1078" s="154"/>
      <c r="E1078" s="152">
        <v>3.0</v>
      </c>
      <c r="F1078" s="154"/>
      <c r="G1078" s="152" t="s">
        <v>8436</v>
      </c>
      <c r="H1078" s="155" t="s">
        <v>8423</v>
      </c>
      <c r="I1078" s="155" t="s">
        <v>6701</v>
      </c>
      <c r="J1078" s="157"/>
      <c r="K1078" s="157"/>
      <c r="L1078" s="157"/>
      <c r="M1078" s="157"/>
      <c r="N1078" s="152" t="s">
        <v>8395</v>
      </c>
    </row>
    <row r="1079">
      <c r="A1079" s="152" t="s">
        <v>8468</v>
      </c>
      <c r="B1079" s="152" t="s">
        <v>8469</v>
      </c>
      <c r="C1079" s="152">
        <v>4.0</v>
      </c>
      <c r="D1079" s="154"/>
      <c r="E1079" s="152">
        <v>3.0</v>
      </c>
      <c r="F1079" s="154"/>
      <c r="G1079" s="152" t="s">
        <v>8436</v>
      </c>
      <c r="H1079" s="155" t="s">
        <v>8424</v>
      </c>
      <c r="I1079" s="155" t="s">
        <v>6684</v>
      </c>
      <c r="J1079" s="157"/>
      <c r="K1079" s="157"/>
      <c r="L1079" s="157"/>
      <c r="M1079" s="157"/>
      <c r="N1079" s="152" t="s">
        <v>8395</v>
      </c>
    </row>
    <row r="1080">
      <c r="A1080" s="152" t="s">
        <v>8468</v>
      </c>
      <c r="B1080" s="152" t="s">
        <v>8469</v>
      </c>
      <c r="C1080" s="152">
        <v>4.0</v>
      </c>
      <c r="D1080" s="154"/>
      <c r="E1080" s="152">
        <v>3.0</v>
      </c>
      <c r="F1080" s="154"/>
      <c r="G1080" s="152" t="s">
        <v>8436</v>
      </c>
      <c r="H1080" s="155" t="s">
        <v>8425</v>
      </c>
      <c r="I1080" s="155" t="s">
        <v>7039</v>
      </c>
      <c r="J1080" s="157"/>
      <c r="K1080" s="157"/>
      <c r="L1080" s="157"/>
      <c r="M1080" s="157"/>
      <c r="N1080" s="152" t="s">
        <v>8395</v>
      </c>
    </row>
    <row r="1081">
      <c r="A1081" s="152" t="s">
        <v>8468</v>
      </c>
      <c r="B1081" s="152" t="s">
        <v>8469</v>
      </c>
      <c r="C1081" s="152">
        <v>4.0</v>
      </c>
      <c r="D1081" s="154"/>
      <c r="E1081" s="152">
        <v>3.0</v>
      </c>
      <c r="F1081" s="154"/>
      <c r="G1081" s="152" t="s">
        <v>8436</v>
      </c>
      <c r="H1081" s="155" t="s">
        <v>8426</v>
      </c>
      <c r="I1081" s="155" t="s">
        <v>7023</v>
      </c>
      <c r="J1081" s="157"/>
      <c r="K1081" s="157"/>
      <c r="L1081" s="157"/>
      <c r="M1081" s="157"/>
      <c r="N1081" s="152" t="s">
        <v>8395</v>
      </c>
    </row>
    <row r="1082">
      <c r="A1082" s="152" t="s">
        <v>8468</v>
      </c>
      <c r="B1082" s="152" t="s">
        <v>8469</v>
      </c>
      <c r="C1082" s="152">
        <v>5.0</v>
      </c>
      <c r="D1082" s="154"/>
      <c r="E1082" s="154"/>
      <c r="F1082" s="154"/>
      <c r="G1082" s="152" t="s">
        <v>8437</v>
      </c>
      <c r="H1082" s="155" t="s">
        <v>8407</v>
      </c>
      <c r="I1082" s="154"/>
      <c r="J1082" s="157"/>
      <c r="K1082" s="157"/>
      <c r="L1082" s="157"/>
      <c r="M1082" s="157"/>
      <c r="N1082" s="152" t="s">
        <v>8384</v>
      </c>
    </row>
    <row r="1083">
      <c r="A1083" s="152" t="s">
        <v>8468</v>
      </c>
      <c r="B1083" s="152" t="s">
        <v>8469</v>
      </c>
      <c r="C1083" s="152">
        <v>5.0</v>
      </c>
      <c r="D1083" s="154"/>
      <c r="E1083" s="154"/>
      <c r="F1083" s="154"/>
      <c r="G1083" s="152" t="s">
        <v>8437</v>
      </c>
      <c r="H1083" s="155" t="s">
        <v>8408</v>
      </c>
      <c r="I1083" s="154"/>
      <c r="J1083" s="157"/>
      <c r="K1083" s="157"/>
      <c r="L1083" s="157"/>
      <c r="M1083" s="157"/>
      <c r="N1083" s="152" t="s">
        <v>8384</v>
      </c>
    </row>
    <row r="1084">
      <c r="A1084" s="152" t="s">
        <v>8468</v>
      </c>
      <c r="B1084" s="152" t="s">
        <v>8469</v>
      </c>
      <c r="C1084" s="152">
        <v>5.0</v>
      </c>
      <c r="D1084" s="154"/>
      <c r="E1084" s="154"/>
      <c r="F1084" s="154"/>
      <c r="G1084" s="152" t="s">
        <v>8437</v>
      </c>
      <c r="H1084" s="155" t="s">
        <v>8409</v>
      </c>
      <c r="I1084" s="154"/>
      <c r="J1084" s="157"/>
      <c r="K1084" s="157"/>
      <c r="L1084" s="157"/>
      <c r="M1084" s="157"/>
      <c r="N1084" s="152" t="s">
        <v>8384</v>
      </c>
    </row>
    <row r="1085">
      <c r="A1085" s="152" t="s">
        <v>8468</v>
      </c>
      <c r="B1085" s="152" t="s">
        <v>8469</v>
      </c>
      <c r="C1085" s="152">
        <v>5.0</v>
      </c>
      <c r="D1085" s="154"/>
      <c r="E1085" s="154"/>
      <c r="F1085" s="154"/>
      <c r="G1085" s="152" t="s">
        <v>8437</v>
      </c>
      <c r="H1085" s="155" t="s">
        <v>8410</v>
      </c>
      <c r="I1085" s="154"/>
      <c r="J1085" s="157"/>
      <c r="K1085" s="157"/>
      <c r="L1085" s="157"/>
      <c r="M1085" s="157"/>
      <c r="N1085" s="152" t="s">
        <v>8384</v>
      </c>
    </row>
    <row r="1086">
      <c r="A1086" s="152" t="s">
        <v>8468</v>
      </c>
      <c r="B1086" s="152" t="s">
        <v>8469</v>
      </c>
      <c r="C1086" s="152">
        <v>5.0</v>
      </c>
      <c r="D1086" s="154"/>
      <c r="E1086" s="154"/>
      <c r="F1086" s="154"/>
      <c r="G1086" s="152" t="s">
        <v>8437</v>
      </c>
      <c r="H1086" s="155" t="s">
        <v>8411</v>
      </c>
      <c r="I1086" s="154"/>
      <c r="J1086" s="157"/>
      <c r="K1086" s="157"/>
      <c r="L1086" s="157"/>
      <c r="M1086" s="157"/>
      <c r="N1086" s="152" t="s">
        <v>8384</v>
      </c>
    </row>
    <row r="1087">
      <c r="A1087" s="152" t="s">
        <v>8468</v>
      </c>
      <c r="B1087" s="152" t="s">
        <v>8469</v>
      </c>
      <c r="C1087" s="152">
        <v>5.0</v>
      </c>
      <c r="D1087" s="154"/>
      <c r="E1087" s="154"/>
      <c r="F1087" s="154"/>
      <c r="G1087" s="152" t="s">
        <v>8437</v>
      </c>
      <c r="H1087" s="155" t="s">
        <v>8412</v>
      </c>
      <c r="I1087" s="154"/>
      <c r="J1087" s="157"/>
      <c r="K1087" s="157"/>
      <c r="L1087" s="157"/>
      <c r="M1087" s="157"/>
      <c r="N1087" s="152" t="s">
        <v>8384</v>
      </c>
    </row>
    <row r="1088">
      <c r="A1088" s="152" t="s">
        <v>8468</v>
      </c>
      <c r="B1088" s="152" t="s">
        <v>8469</v>
      </c>
      <c r="C1088" s="152">
        <v>5.0</v>
      </c>
      <c r="D1088" s="154"/>
      <c r="E1088" s="154"/>
      <c r="F1088" s="154"/>
      <c r="G1088" s="152" t="s">
        <v>8437</v>
      </c>
      <c r="H1088" s="155" t="s">
        <v>8413</v>
      </c>
      <c r="I1088" s="154"/>
      <c r="J1088" s="157"/>
      <c r="K1088" s="157"/>
      <c r="L1088" s="157"/>
      <c r="M1088" s="157"/>
      <c r="N1088" s="152" t="s">
        <v>8384</v>
      </c>
    </row>
    <row r="1089">
      <c r="A1089" s="152" t="s">
        <v>8468</v>
      </c>
      <c r="B1089" s="152" t="s">
        <v>8469</v>
      </c>
      <c r="C1089" s="152">
        <v>5.0</v>
      </c>
      <c r="D1089" s="154"/>
      <c r="E1089" s="154"/>
      <c r="F1089" s="154"/>
      <c r="G1089" s="152" t="s">
        <v>8437</v>
      </c>
      <c r="H1089" s="155" t="s">
        <v>8414</v>
      </c>
      <c r="I1089" s="154"/>
      <c r="J1089" s="157"/>
      <c r="K1089" s="157"/>
      <c r="L1089" s="157"/>
      <c r="M1089" s="157"/>
      <c r="N1089" s="152" t="s">
        <v>8384</v>
      </c>
    </row>
    <row r="1090">
      <c r="A1090" s="152" t="s">
        <v>8468</v>
      </c>
      <c r="B1090" s="152" t="s">
        <v>8469</v>
      </c>
      <c r="C1090" s="152">
        <v>5.0</v>
      </c>
      <c r="D1090" s="154"/>
      <c r="E1090" s="154"/>
      <c r="F1090" s="154"/>
      <c r="G1090" s="152" t="s">
        <v>8437</v>
      </c>
      <c r="H1090" s="155" t="s">
        <v>8415</v>
      </c>
      <c r="I1090" s="154"/>
      <c r="J1090" s="157"/>
      <c r="K1090" s="157"/>
      <c r="L1090" s="157"/>
      <c r="M1090" s="157"/>
      <c r="N1090" s="152" t="s">
        <v>8384</v>
      </c>
    </row>
    <row r="1091">
      <c r="A1091" s="152" t="s">
        <v>8468</v>
      </c>
      <c r="B1091" s="152" t="s">
        <v>8469</v>
      </c>
      <c r="C1091" s="152">
        <v>5.0</v>
      </c>
      <c r="D1091" s="154"/>
      <c r="E1091" s="154"/>
      <c r="F1091" s="154"/>
      <c r="G1091" s="152" t="s">
        <v>8437</v>
      </c>
      <c r="H1091" s="155" t="s">
        <v>8416</v>
      </c>
      <c r="I1091" s="154"/>
      <c r="J1091" s="157"/>
      <c r="K1091" s="157"/>
      <c r="L1091" s="157"/>
      <c r="M1091" s="157"/>
      <c r="N1091" s="152" t="s">
        <v>8384</v>
      </c>
    </row>
    <row r="1092">
      <c r="A1092" s="152" t="s">
        <v>8468</v>
      </c>
      <c r="B1092" s="152" t="s">
        <v>8469</v>
      </c>
      <c r="C1092" s="152">
        <v>6.0</v>
      </c>
      <c r="D1092" s="154"/>
      <c r="E1092" s="152">
        <v>5.0</v>
      </c>
      <c r="F1092" s="154"/>
      <c r="G1092" s="152" t="s">
        <v>8437</v>
      </c>
      <c r="H1092" s="155" t="s">
        <v>8417</v>
      </c>
      <c r="I1092" s="155" t="s">
        <v>6507</v>
      </c>
      <c r="J1092" s="157"/>
      <c r="K1092" s="157"/>
      <c r="L1092" s="157"/>
      <c r="M1092" s="157"/>
      <c r="N1092" s="152" t="s">
        <v>8395</v>
      </c>
    </row>
    <row r="1093">
      <c r="A1093" s="152" t="s">
        <v>8468</v>
      </c>
      <c r="B1093" s="152" t="s">
        <v>8469</v>
      </c>
      <c r="C1093" s="152">
        <v>6.0</v>
      </c>
      <c r="D1093" s="154"/>
      <c r="E1093" s="152">
        <v>5.0</v>
      </c>
      <c r="F1093" s="154"/>
      <c r="G1093" s="152" t="s">
        <v>8437</v>
      </c>
      <c r="H1093" s="155" t="s">
        <v>8418</v>
      </c>
      <c r="I1093" s="155" t="s">
        <v>6492</v>
      </c>
      <c r="J1093" s="157"/>
      <c r="K1093" s="157"/>
      <c r="L1093" s="157"/>
      <c r="M1093" s="157"/>
      <c r="N1093" s="152" t="s">
        <v>8395</v>
      </c>
    </row>
    <row r="1094">
      <c r="A1094" s="152" t="s">
        <v>8468</v>
      </c>
      <c r="B1094" s="152" t="s">
        <v>8469</v>
      </c>
      <c r="C1094" s="152">
        <v>6.0</v>
      </c>
      <c r="D1094" s="154"/>
      <c r="E1094" s="152">
        <v>5.0</v>
      </c>
      <c r="F1094" s="154"/>
      <c r="G1094" s="152" t="s">
        <v>8437</v>
      </c>
      <c r="H1094" s="155" t="s">
        <v>8419</v>
      </c>
      <c r="I1094" s="155" t="s">
        <v>6978</v>
      </c>
      <c r="J1094" s="157"/>
      <c r="K1094" s="157"/>
      <c r="L1094" s="157"/>
      <c r="M1094" s="157"/>
      <c r="N1094" s="152" t="s">
        <v>8395</v>
      </c>
    </row>
    <row r="1095">
      <c r="A1095" s="152" t="s">
        <v>8468</v>
      </c>
      <c r="B1095" s="152" t="s">
        <v>8469</v>
      </c>
      <c r="C1095" s="152">
        <v>6.0</v>
      </c>
      <c r="D1095" s="154"/>
      <c r="E1095" s="152">
        <v>5.0</v>
      </c>
      <c r="F1095" s="154"/>
      <c r="G1095" s="152" t="s">
        <v>8437</v>
      </c>
      <c r="H1095" s="155" t="s">
        <v>8420</v>
      </c>
      <c r="I1095" s="155" t="s">
        <v>6936</v>
      </c>
      <c r="J1095" s="157"/>
      <c r="K1095" s="157"/>
      <c r="L1095" s="157"/>
      <c r="M1095" s="157"/>
      <c r="N1095" s="152" t="s">
        <v>8395</v>
      </c>
    </row>
    <row r="1096">
      <c r="A1096" s="152" t="s">
        <v>8468</v>
      </c>
      <c r="B1096" s="152" t="s">
        <v>8469</v>
      </c>
      <c r="C1096" s="152">
        <v>6.0</v>
      </c>
      <c r="D1096" s="154"/>
      <c r="E1096" s="152">
        <v>5.0</v>
      </c>
      <c r="F1096" s="154"/>
      <c r="G1096" s="152" t="s">
        <v>8437</v>
      </c>
      <c r="H1096" s="155" t="s">
        <v>8421</v>
      </c>
      <c r="I1096" s="155" t="s">
        <v>6620</v>
      </c>
      <c r="J1096" s="157"/>
      <c r="K1096" s="157"/>
      <c r="L1096" s="157"/>
      <c r="M1096" s="157"/>
      <c r="N1096" s="152" t="s">
        <v>8395</v>
      </c>
    </row>
    <row r="1097">
      <c r="A1097" s="152" t="s">
        <v>8468</v>
      </c>
      <c r="B1097" s="152" t="s">
        <v>8469</v>
      </c>
      <c r="C1097" s="152">
        <v>6.0</v>
      </c>
      <c r="D1097" s="154"/>
      <c r="E1097" s="152">
        <v>5.0</v>
      </c>
      <c r="F1097" s="154"/>
      <c r="G1097" s="152" t="s">
        <v>8437</v>
      </c>
      <c r="H1097" s="155" t="s">
        <v>8422</v>
      </c>
      <c r="I1097" s="155" t="s">
        <v>6563</v>
      </c>
      <c r="J1097" s="157"/>
      <c r="K1097" s="157"/>
      <c r="L1097" s="157"/>
      <c r="M1097" s="157"/>
      <c r="N1097" s="152" t="s">
        <v>8395</v>
      </c>
    </row>
    <row r="1098">
      <c r="A1098" s="152" t="s">
        <v>8468</v>
      </c>
      <c r="B1098" s="152" t="s">
        <v>8469</v>
      </c>
      <c r="C1098" s="152">
        <v>6.0</v>
      </c>
      <c r="D1098" s="154"/>
      <c r="E1098" s="152">
        <v>5.0</v>
      </c>
      <c r="F1098" s="154"/>
      <c r="G1098" s="152" t="s">
        <v>8437</v>
      </c>
      <c r="H1098" s="155" t="s">
        <v>8423</v>
      </c>
      <c r="I1098" s="155" t="s">
        <v>6701</v>
      </c>
      <c r="J1098" s="157"/>
      <c r="K1098" s="157"/>
      <c r="L1098" s="157"/>
      <c r="M1098" s="157"/>
      <c r="N1098" s="152" t="s">
        <v>8395</v>
      </c>
    </row>
    <row r="1099">
      <c r="A1099" s="152" t="s">
        <v>8468</v>
      </c>
      <c r="B1099" s="152" t="s">
        <v>8469</v>
      </c>
      <c r="C1099" s="152">
        <v>6.0</v>
      </c>
      <c r="D1099" s="154"/>
      <c r="E1099" s="152">
        <v>5.0</v>
      </c>
      <c r="F1099" s="154"/>
      <c r="G1099" s="152" t="s">
        <v>8437</v>
      </c>
      <c r="H1099" s="155" t="s">
        <v>8424</v>
      </c>
      <c r="I1099" s="155" t="s">
        <v>6684</v>
      </c>
      <c r="J1099" s="157"/>
      <c r="K1099" s="157"/>
      <c r="L1099" s="157"/>
      <c r="M1099" s="157"/>
      <c r="N1099" s="152" t="s">
        <v>8395</v>
      </c>
    </row>
    <row r="1100">
      <c r="A1100" s="152" t="s">
        <v>8468</v>
      </c>
      <c r="B1100" s="152" t="s">
        <v>8469</v>
      </c>
      <c r="C1100" s="152">
        <v>6.0</v>
      </c>
      <c r="D1100" s="154"/>
      <c r="E1100" s="152">
        <v>5.0</v>
      </c>
      <c r="F1100" s="154"/>
      <c r="G1100" s="152" t="s">
        <v>8437</v>
      </c>
      <c r="H1100" s="155" t="s">
        <v>8425</v>
      </c>
      <c r="I1100" s="155" t="s">
        <v>7039</v>
      </c>
      <c r="J1100" s="157"/>
      <c r="K1100" s="157"/>
      <c r="L1100" s="157"/>
      <c r="M1100" s="157"/>
      <c r="N1100" s="152" t="s">
        <v>8395</v>
      </c>
    </row>
    <row r="1101">
      <c r="A1101" s="152" t="s">
        <v>8468</v>
      </c>
      <c r="B1101" s="152" t="s">
        <v>8469</v>
      </c>
      <c r="C1101" s="152">
        <v>6.0</v>
      </c>
      <c r="D1101" s="154"/>
      <c r="E1101" s="152">
        <v>5.0</v>
      </c>
      <c r="F1101" s="154"/>
      <c r="G1101" s="152" t="s">
        <v>8437</v>
      </c>
      <c r="H1101" s="155" t="s">
        <v>8426</v>
      </c>
      <c r="I1101" s="155" t="s">
        <v>7023</v>
      </c>
      <c r="J1101" s="157"/>
      <c r="K1101" s="157"/>
      <c r="L1101" s="157"/>
      <c r="M1101" s="157"/>
      <c r="N1101" s="152" t="s">
        <v>8395</v>
      </c>
    </row>
    <row r="1102">
      <c r="A1102" s="152" t="s">
        <v>8470</v>
      </c>
      <c r="B1102" s="152" t="s">
        <v>8471</v>
      </c>
      <c r="C1102" s="152">
        <v>1.0</v>
      </c>
      <c r="D1102" s="154"/>
      <c r="E1102" s="154"/>
      <c r="F1102" s="154"/>
      <c r="G1102" s="152" t="s">
        <v>8382</v>
      </c>
      <c r="H1102" s="152" t="s">
        <v>8383</v>
      </c>
      <c r="I1102" s="154"/>
      <c r="J1102" s="152" t="s">
        <v>23</v>
      </c>
      <c r="K1102" s="152">
        <v>1489.0</v>
      </c>
      <c r="L1102" s="154"/>
      <c r="M1102" s="154"/>
      <c r="N1102" s="152" t="s">
        <v>8384</v>
      </c>
    </row>
    <row r="1103">
      <c r="A1103" s="152" t="s">
        <v>8470</v>
      </c>
      <c r="B1103" s="152" t="s">
        <v>8471</v>
      </c>
      <c r="C1103" s="152">
        <v>1.0</v>
      </c>
      <c r="D1103" s="154"/>
      <c r="E1103" s="154"/>
      <c r="F1103" s="154"/>
      <c r="G1103" s="152" t="s">
        <v>8382</v>
      </c>
      <c r="H1103" s="152" t="s">
        <v>8385</v>
      </c>
      <c r="I1103" s="154"/>
      <c r="J1103" s="152" t="s">
        <v>23</v>
      </c>
      <c r="K1103" s="152">
        <v>1599.0</v>
      </c>
      <c r="L1103" s="154"/>
      <c r="M1103" s="154"/>
      <c r="N1103" s="152" t="s">
        <v>8384</v>
      </c>
    </row>
    <row r="1104">
      <c r="A1104" s="152" t="s">
        <v>8470</v>
      </c>
      <c r="B1104" s="152" t="s">
        <v>8471</v>
      </c>
      <c r="C1104" s="152">
        <v>1.0</v>
      </c>
      <c r="D1104" s="154"/>
      <c r="E1104" s="154"/>
      <c r="F1104" s="154"/>
      <c r="G1104" s="152" t="s">
        <v>8382</v>
      </c>
      <c r="H1104" s="152" t="s">
        <v>8386</v>
      </c>
      <c r="I1104" s="154"/>
      <c r="J1104" s="152" t="s">
        <v>23</v>
      </c>
      <c r="K1104" s="152">
        <v>1599.0</v>
      </c>
      <c r="L1104" s="154"/>
      <c r="M1104" s="154"/>
      <c r="N1104" s="152" t="s">
        <v>8384</v>
      </c>
    </row>
    <row r="1105">
      <c r="A1105" s="152" t="s">
        <v>8470</v>
      </c>
      <c r="B1105" s="152" t="s">
        <v>8471</v>
      </c>
      <c r="C1105" s="152">
        <v>1.0</v>
      </c>
      <c r="D1105" s="154"/>
      <c r="E1105" s="154"/>
      <c r="F1105" s="154"/>
      <c r="G1105" s="152" t="s">
        <v>8382</v>
      </c>
      <c r="H1105" s="152" t="s">
        <v>8387</v>
      </c>
      <c r="I1105" s="154"/>
      <c r="J1105" s="152" t="s">
        <v>23</v>
      </c>
      <c r="K1105" s="152">
        <v>1599.0</v>
      </c>
      <c r="L1105" s="154"/>
      <c r="M1105" s="154"/>
      <c r="N1105" s="152" t="s">
        <v>8384</v>
      </c>
    </row>
    <row r="1106">
      <c r="A1106" s="152" t="s">
        <v>8470</v>
      </c>
      <c r="B1106" s="152" t="s">
        <v>8471</v>
      </c>
      <c r="C1106" s="152">
        <v>1.0</v>
      </c>
      <c r="D1106" s="154"/>
      <c r="E1106" s="154"/>
      <c r="F1106" s="154"/>
      <c r="G1106" s="152" t="s">
        <v>8382</v>
      </c>
      <c r="H1106" s="152" t="s">
        <v>8388</v>
      </c>
      <c r="I1106" s="154"/>
      <c r="J1106" s="152" t="s">
        <v>23</v>
      </c>
      <c r="K1106" s="152">
        <v>1599.0</v>
      </c>
      <c r="L1106" s="154"/>
      <c r="M1106" s="154"/>
      <c r="N1106" s="152" t="s">
        <v>8384</v>
      </c>
    </row>
    <row r="1107">
      <c r="A1107" s="152" t="s">
        <v>8470</v>
      </c>
      <c r="B1107" s="152" t="s">
        <v>8471</v>
      </c>
      <c r="C1107" s="152">
        <v>1.0</v>
      </c>
      <c r="D1107" s="154"/>
      <c r="E1107" s="154"/>
      <c r="F1107" s="154"/>
      <c r="G1107" s="152" t="s">
        <v>8382</v>
      </c>
      <c r="H1107" s="152" t="s">
        <v>8389</v>
      </c>
      <c r="I1107" s="154"/>
      <c r="J1107" s="152" t="s">
        <v>23</v>
      </c>
      <c r="K1107" s="152">
        <v>1829.0</v>
      </c>
      <c r="L1107" s="154"/>
      <c r="M1107" s="154"/>
      <c r="N1107" s="152" t="s">
        <v>8384</v>
      </c>
    </row>
    <row r="1108">
      <c r="A1108" s="152" t="s">
        <v>8470</v>
      </c>
      <c r="B1108" s="152" t="s">
        <v>8471</v>
      </c>
      <c r="C1108" s="152">
        <v>1.0</v>
      </c>
      <c r="D1108" s="154"/>
      <c r="E1108" s="154"/>
      <c r="F1108" s="154"/>
      <c r="G1108" s="152" t="s">
        <v>8382</v>
      </c>
      <c r="H1108" s="152" t="s">
        <v>5767</v>
      </c>
      <c r="I1108" s="154"/>
      <c r="J1108" s="152" t="s">
        <v>23</v>
      </c>
      <c r="K1108" s="152">
        <v>1829.0</v>
      </c>
      <c r="L1108" s="154"/>
      <c r="M1108" s="154"/>
      <c r="N1108" s="152" t="s">
        <v>8384</v>
      </c>
    </row>
    <row r="1109">
      <c r="A1109" s="152" t="s">
        <v>8470</v>
      </c>
      <c r="B1109" s="152" t="s">
        <v>8471</v>
      </c>
      <c r="C1109" s="152">
        <v>1.0</v>
      </c>
      <c r="D1109" s="154"/>
      <c r="E1109" s="154"/>
      <c r="F1109" s="154"/>
      <c r="G1109" s="152" t="s">
        <v>8382</v>
      </c>
      <c r="H1109" s="152" t="s">
        <v>8390</v>
      </c>
      <c r="I1109" s="154"/>
      <c r="J1109" s="152" t="s">
        <v>23</v>
      </c>
      <c r="K1109" s="152">
        <v>1829.0</v>
      </c>
      <c r="L1109" s="154"/>
      <c r="M1109" s="154"/>
      <c r="N1109" s="152" t="s">
        <v>8384</v>
      </c>
    </row>
    <row r="1110">
      <c r="A1110" s="152" t="s">
        <v>8470</v>
      </c>
      <c r="B1110" s="152" t="s">
        <v>8471</v>
      </c>
      <c r="C1110" s="152">
        <v>1.0</v>
      </c>
      <c r="D1110" s="154"/>
      <c r="E1110" s="154"/>
      <c r="F1110" s="154"/>
      <c r="G1110" s="152" t="s">
        <v>8382</v>
      </c>
      <c r="H1110" s="152" t="s">
        <v>8391</v>
      </c>
      <c r="I1110" s="154"/>
      <c r="J1110" s="152" t="s">
        <v>23</v>
      </c>
      <c r="K1110" s="152">
        <v>1829.0</v>
      </c>
      <c r="L1110" s="154"/>
      <c r="M1110" s="154"/>
      <c r="N1110" s="152" t="s">
        <v>8384</v>
      </c>
    </row>
    <row r="1111">
      <c r="A1111" s="152" t="s">
        <v>8470</v>
      </c>
      <c r="B1111" s="152" t="s">
        <v>8471</v>
      </c>
      <c r="C1111" s="152">
        <v>1.0</v>
      </c>
      <c r="D1111" s="154"/>
      <c r="E1111" s="154"/>
      <c r="F1111" s="154"/>
      <c r="G1111" s="152" t="s">
        <v>8382</v>
      </c>
      <c r="H1111" s="152" t="s">
        <v>8392</v>
      </c>
      <c r="I1111" s="154"/>
      <c r="J1111" s="152" t="s">
        <v>23</v>
      </c>
      <c r="K1111" s="152">
        <v>1829.0</v>
      </c>
      <c r="L1111" s="154"/>
      <c r="M1111" s="154"/>
      <c r="N1111" s="152" t="s">
        <v>8384</v>
      </c>
    </row>
    <row r="1112">
      <c r="A1112" s="152" t="s">
        <v>8470</v>
      </c>
      <c r="B1112" s="152" t="s">
        <v>8471</v>
      </c>
      <c r="C1112" s="152">
        <v>2.0</v>
      </c>
      <c r="D1112" s="154"/>
      <c r="E1112" s="152">
        <v>1.0</v>
      </c>
      <c r="F1112" s="154"/>
      <c r="G1112" s="152" t="s">
        <v>8393</v>
      </c>
      <c r="H1112" s="152" t="s">
        <v>8394</v>
      </c>
      <c r="I1112" s="152" t="s">
        <v>6862</v>
      </c>
      <c r="J1112" s="154"/>
      <c r="K1112" s="154"/>
      <c r="L1112" s="154"/>
      <c r="M1112" s="154"/>
      <c r="N1112" s="152" t="s">
        <v>8395</v>
      </c>
    </row>
    <row r="1113">
      <c r="A1113" s="152" t="s">
        <v>8470</v>
      </c>
      <c r="B1113" s="152" t="s">
        <v>8471</v>
      </c>
      <c r="C1113" s="152">
        <v>2.0</v>
      </c>
      <c r="D1113" s="154"/>
      <c r="E1113" s="152">
        <v>1.0</v>
      </c>
      <c r="F1113" s="154"/>
      <c r="G1113" s="152" t="s">
        <v>8393</v>
      </c>
      <c r="H1113" s="152" t="s">
        <v>8396</v>
      </c>
      <c r="I1113" s="152" t="s">
        <v>6893</v>
      </c>
      <c r="J1113" s="154"/>
      <c r="K1113" s="154"/>
      <c r="L1113" s="154"/>
      <c r="M1113" s="154"/>
      <c r="N1113" s="152" t="s">
        <v>8395</v>
      </c>
    </row>
    <row r="1114">
      <c r="A1114" s="152" t="s">
        <v>8470</v>
      </c>
      <c r="B1114" s="152" t="s">
        <v>8471</v>
      </c>
      <c r="C1114" s="152">
        <v>2.0</v>
      </c>
      <c r="D1114" s="154"/>
      <c r="E1114" s="152">
        <v>1.0</v>
      </c>
      <c r="F1114" s="154"/>
      <c r="G1114" s="152" t="s">
        <v>8393</v>
      </c>
      <c r="H1114" s="152" t="s">
        <v>8397</v>
      </c>
      <c r="I1114" s="152" t="s">
        <v>6796</v>
      </c>
      <c r="J1114" s="154"/>
      <c r="K1114" s="154"/>
      <c r="L1114" s="154"/>
      <c r="M1114" s="154"/>
      <c r="N1114" s="152" t="s">
        <v>8395</v>
      </c>
    </row>
    <row r="1115">
      <c r="A1115" s="152" t="s">
        <v>8470</v>
      </c>
      <c r="B1115" s="152" t="s">
        <v>8471</v>
      </c>
      <c r="C1115" s="152">
        <v>2.0</v>
      </c>
      <c r="D1115" s="154"/>
      <c r="E1115" s="152">
        <v>1.0</v>
      </c>
      <c r="F1115" s="154"/>
      <c r="G1115" s="152" t="s">
        <v>8393</v>
      </c>
      <c r="H1115" s="152" t="s">
        <v>8398</v>
      </c>
      <c r="I1115" s="152" t="s">
        <v>6726</v>
      </c>
      <c r="J1115" s="154"/>
      <c r="K1115" s="154"/>
      <c r="L1115" s="154"/>
      <c r="M1115" s="154"/>
      <c r="N1115" s="152" t="s">
        <v>8395</v>
      </c>
    </row>
    <row r="1116">
      <c r="A1116" s="152" t="s">
        <v>8470</v>
      </c>
      <c r="B1116" s="152" t="s">
        <v>8471</v>
      </c>
      <c r="C1116" s="152">
        <v>2.0</v>
      </c>
      <c r="D1116" s="154"/>
      <c r="E1116" s="152">
        <v>1.0</v>
      </c>
      <c r="F1116" s="154"/>
      <c r="G1116" s="152" t="s">
        <v>8393</v>
      </c>
      <c r="H1116" s="152" t="s">
        <v>8399</v>
      </c>
      <c r="I1116" s="152" t="s">
        <v>6924</v>
      </c>
      <c r="J1116" s="154"/>
      <c r="K1116" s="154"/>
      <c r="L1116" s="154"/>
      <c r="M1116" s="154"/>
      <c r="N1116" s="152" t="s">
        <v>8395</v>
      </c>
    </row>
    <row r="1117">
      <c r="A1117" s="152" t="s">
        <v>8470</v>
      </c>
      <c r="B1117" s="152" t="s">
        <v>8471</v>
      </c>
      <c r="C1117" s="152">
        <v>2.0</v>
      </c>
      <c r="D1117" s="154"/>
      <c r="E1117" s="152">
        <v>1.0</v>
      </c>
      <c r="F1117" s="154"/>
      <c r="G1117" s="152" t="s">
        <v>8393</v>
      </c>
      <c r="H1117" s="152" t="s">
        <v>8400</v>
      </c>
      <c r="I1117" s="152" t="s">
        <v>6893</v>
      </c>
      <c r="J1117" s="154"/>
      <c r="K1117" s="154"/>
      <c r="L1117" s="154"/>
      <c r="M1117" s="154"/>
      <c r="N1117" s="152" t="s">
        <v>8395</v>
      </c>
    </row>
    <row r="1118">
      <c r="A1118" s="152" t="s">
        <v>8470</v>
      </c>
      <c r="B1118" s="152" t="s">
        <v>8471</v>
      </c>
      <c r="C1118" s="152">
        <v>2.0</v>
      </c>
      <c r="D1118" s="154"/>
      <c r="E1118" s="152">
        <v>1.0</v>
      </c>
      <c r="F1118" s="154"/>
      <c r="G1118" s="152" t="s">
        <v>8393</v>
      </c>
      <c r="H1118" s="152" t="s">
        <v>8401</v>
      </c>
      <c r="I1118" s="152" t="s">
        <v>6796</v>
      </c>
      <c r="J1118" s="154"/>
      <c r="K1118" s="154"/>
      <c r="L1118" s="154"/>
      <c r="M1118" s="154"/>
      <c r="N1118" s="152" t="s">
        <v>8395</v>
      </c>
    </row>
    <row r="1119">
      <c r="A1119" s="152" t="s">
        <v>8470</v>
      </c>
      <c r="B1119" s="152" t="s">
        <v>8471</v>
      </c>
      <c r="C1119" s="152">
        <v>2.0</v>
      </c>
      <c r="D1119" s="154"/>
      <c r="E1119" s="152">
        <v>1.0</v>
      </c>
      <c r="F1119" s="154"/>
      <c r="G1119" s="152" t="s">
        <v>8393</v>
      </c>
      <c r="H1119" s="152" t="s">
        <v>8402</v>
      </c>
      <c r="I1119" s="152" t="s">
        <v>6831</v>
      </c>
      <c r="J1119" s="154"/>
      <c r="K1119" s="154"/>
      <c r="L1119" s="154"/>
      <c r="M1119" s="154"/>
      <c r="N1119" s="152" t="s">
        <v>8395</v>
      </c>
    </row>
    <row r="1120">
      <c r="A1120" s="152" t="s">
        <v>8470</v>
      </c>
      <c r="B1120" s="152" t="s">
        <v>8471</v>
      </c>
      <c r="C1120" s="152">
        <v>2.0</v>
      </c>
      <c r="D1120" s="154"/>
      <c r="E1120" s="152">
        <v>1.0</v>
      </c>
      <c r="F1120" s="154"/>
      <c r="G1120" s="152" t="s">
        <v>8393</v>
      </c>
      <c r="H1120" s="152" t="s">
        <v>8403</v>
      </c>
      <c r="I1120" s="152" t="s">
        <v>6836</v>
      </c>
      <c r="J1120" s="154"/>
      <c r="K1120" s="154"/>
      <c r="L1120" s="154"/>
      <c r="M1120" s="154"/>
      <c r="N1120" s="152" t="s">
        <v>8395</v>
      </c>
    </row>
    <row r="1121">
      <c r="A1121" s="152" t="s">
        <v>8470</v>
      </c>
      <c r="B1121" s="152" t="s">
        <v>8471</v>
      </c>
      <c r="C1121" s="152">
        <v>2.0</v>
      </c>
      <c r="D1121" s="154"/>
      <c r="E1121" s="152">
        <v>1.0</v>
      </c>
      <c r="F1121" s="154"/>
      <c r="G1121" s="152" t="s">
        <v>8393</v>
      </c>
      <c r="H1121" s="152" t="s">
        <v>8404</v>
      </c>
      <c r="I1121" s="152" t="s">
        <v>8405</v>
      </c>
      <c r="J1121" s="154"/>
      <c r="K1121" s="154"/>
      <c r="L1121" s="154"/>
      <c r="M1121" s="154"/>
      <c r="N1121" s="152" t="s">
        <v>8395</v>
      </c>
    </row>
    <row r="1122">
      <c r="A1122" s="152" t="s">
        <v>8470</v>
      </c>
      <c r="B1122" s="152" t="s">
        <v>8471</v>
      </c>
      <c r="C1122" s="152">
        <v>3.0</v>
      </c>
      <c r="D1122" s="154"/>
      <c r="E1122" s="154"/>
      <c r="F1122" s="154"/>
      <c r="G1122" s="152" t="s">
        <v>8436</v>
      </c>
      <c r="H1122" s="155" t="s">
        <v>8407</v>
      </c>
      <c r="I1122" s="154"/>
      <c r="J1122" s="157"/>
      <c r="K1122" s="157"/>
      <c r="L1122" s="157"/>
      <c r="M1122" s="157"/>
      <c r="N1122" s="152" t="s">
        <v>8384</v>
      </c>
    </row>
    <row r="1123">
      <c r="A1123" s="152" t="s">
        <v>8470</v>
      </c>
      <c r="B1123" s="152" t="s">
        <v>8471</v>
      </c>
      <c r="C1123" s="152">
        <v>3.0</v>
      </c>
      <c r="D1123" s="154"/>
      <c r="E1123" s="154"/>
      <c r="F1123" s="154"/>
      <c r="G1123" s="152" t="s">
        <v>8436</v>
      </c>
      <c r="H1123" s="155" t="s">
        <v>8408</v>
      </c>
      <c r="I1123" s="154"/>
      <c r="J1123" s="157"/>
      <c r="K1123" s="157"/>
      <c r="L1123" s="157"/>
      <c r="M1123" s="157"/>
      <c r="N1123" s="152" t="s">
        <v>8384</v>
      </c>
    </row>
    <row r="1124">
      <c r="A1124" s="152" t="s">
        <v>8470</v>
      </c>
      <c r="B1124" s="152" t="s">
        <v>8471</v>
      </c>
      <c r="C1124" s="152">
        <v>3.0</v>
      </c>
      <c r="D1124" s="154"/>
      <c r="E1124" s="154"/>
      <c r="F1124" s="154"/>
      <c r="G1124" s="152" t="s">
        <v>8436</v>
      </c>
      <c r="H1124" s="155" t="s">
        <v>8409</v>
      </c>
      <c r="I1124" s="154"/>
      <c r="J1124" s="157"/>
      <c r="K1124" s="157"/>
      <c r="L1124" s="157"/>
      <c r="M1124" s="157"/>
      <c r="N1124" s="152" t="s">
        <v>8384</v>
      </c>
    </row>
    <row r="1125">
      <c r="A1125" s="152" t="s">
        <v>8470</v>
      </c>
      <c r="B1125" s="152" t="s">
        <v>8471</v>
      </c>
      <c r="C1125" s="152">
        <v>3.0</v>
      </c>
      <c r="D1125" s="154"/>
      <c r="E1125" s="154"/>
      <c r="F1125" s="154"/>
      <c r="G1125" s="152" t="s">
        <v>8436</v>
      </c>
      <c r="H1125" s="155" t="s">
        <v>8410</v>
      </c>
      <c r="I1125" s="154"/>
      <c r="J1125" s="157"/>
      <c r="K1125" s="157"/>
      <c r="L1125" s="157"/>
      <c r="M1125" s="157"/>
      <c r="N1125" s="152" t="s">
        <v>8384</v>
      </c>
    </row>
    <row r="1126">
      <c r="A1126" s="152" t="s">
        <v>8470</v>
      </c>
      <c r="B1126" s="152" t="s">
        <v>8471</v>
      </c>
      <c r="C1126" s="152">
        <v>3.0</v>
      </c>
      <c r="D1126" s="154"/>
      <c r="E1126" s="154"/>
      <c r="F1126" s="154"/>
      <c r="G1126" s="152" t="s">
        <v>8436</v>
      </c>
      <c r="H1126" s="155" t="s">
        <v>8411</v>
      </c>
      <c r="I1126" s="154"/>
      <c r="J1126" s="157"/>
      <c r="K1126" s="157"/>
      <c r="L1126" s="157"/>
      <c r="M1126" s="157"/>
      <c r="N1126" s="152" t="s">
        <v>8384</v>
      </c>
    </row>
    <row r="1127">
      <c r="A1127" s="152" t="s">
        <v>8470</v>
      </c>
      <c r="B1127" s="152" t="s">
        <v>8471</v>
      </c>
      <c r="C1127" s="152">
        <v>3.0</v>
      </c>
      <c r="D1127" s="154"/>
      <c r="E1127" s="154"/>
      <c r="F1127" s="154"/>
      <c r="G1127" s="152" t="s">
        <v>8436</v>
      </c>
      <c r="H1127" s="155" t="s">
        <v>8412</v>
      </c>
      <c r="I1127" s="154"/>
      <c r="J1127" s="157"/>
      <c r="K1127" s="157"/>
      <c r="L1127" s="157"/>
      <c r="M1127" s="157"/>
      <c r="N1127" s="152" t="s">
        <v>8384</v>
      </c>
    </row>
    <row r="1128">
      <c r="A1128" s="152" t="s">
        <v>8470</v>
      </c>
      <c r="B1128" s="152" t="s">
        <v>8471</v>
      </c>
      <c r="C1128" s="152">
        <v>3.0</v>
      </c>
      <c r="D1128" s="154"/>
      <c r="E1128" s="154"/>
      <c r="F1128" s="154"/>
      <c r="G1128" s="152" t="s">
        <v>8436</v>
      </c>
      <c r="H1128" s="155" t="s">
        <v>8413</v>
      </c>
      <c r="I1128" s="154"/>
      <c r="J1128" s="157"/>
      <c r="K1128" s="157"/>
      <c r="L1128" s="157"/>
      <c r="M1128" s="157"/>
      <c r="N1128" s="152" t="s">
        <v>8384</v>
      </c>
    </row>
    <row r="1129">
      <c r="A1129" s="152" t="s">
        <v>8470</v>
      </c>
      <c r="B1129" s="152" t="s">
        <v>8471</v>
      </c>
      <c r="C1129" s="152">
        <v>3.0</v>
      </c>
      <c r="D1129" s="154"/>
      <c r="E1129" s="154"/>
      <c r="F1129" s="154"/>
      <c r="G1129" s="152" t="s">
        <v>8436</v>
      </c>
      <c r="H1129" s="155" t="s">
        <v>8414</v>
      </c>
      <c r="I1129" s="154"/>
      <c r="J1129" s="157"/>
      <c r="K1129" s="157"/>
      <c r="L1129" s="157"/>
      <c r="M1129" s="157"/>
      <c r="N1129" s="152" t="s">
        <v>8384</v>
      </c>
    </row>
    <row r="1130">
      <c r="A1130" s="152" t="s">
        <v>8470</v>
      </c>
      <c r="B1130" s="152" t="s">
        <v>8471</v>
      </c>
      <c r="C1130" s="152">
        <v>3.0</v>
      </c>
      <c r="D1130" s="154"/>
      <c r="E1130" s="154"/>
      <c r="F1130" s="154"/>
      <c r="G1130" s="152" t="s">
        <v>8436</v>
      </c>
      <c r="H1130" s="155" t="s">
        <v>8415</v>
      </c>
      <c r="I1130" s="154"/>
      <c r="J1130" s="157"/>
      <c r="K1130" s="157"/>
      <c r="L1130" s="157"/>
      <c r="M1130" s="157"/>
      <c r="N1130" s="152" t="s">
        <v>8384</v>
      </c>
    </row>
    <row r="1131">
      <c r="A1131" s="152" t="s">
        <v>8470</v>
      </c>
      <c r="B1131" s="152" t="s">
        <v>8471</v>
      </c>
      <c r="C1131" s="152">
        <v>3.0</v>
      </c>
      <c r="D1131" s="154"/>
      <c r="E1131" s="154"/>
      <c r="F1131" s="154"/>
      <c r="G1131" s="152" t="s">
        <v>8436</v>
      </c>
      <c r="H1131" s="155" t="s">
        <v>8416</v>
      </c>
      <c r="I1131" s="154"/>
      <c r="J1131" s="157"/>
      <c r="K1131" s="157"/>
      <c r="L1131" s="157"/>
      <c r="M1131" s="157"/>
      <c r="N1131" s="152" t="s">
        <v>8384</v>
      </c>
    </row>
    <row r="1132">
      <c r="A1132" s="152" t="s">
        <v>8470</v>
      </c>
      <c r="B1132" s="152" t="s">
        <v>8471</v>
      </c>
      <c r="C1132" s="152">
        <v>4.0</v>
      </c>
      <c r="D1132" s="154"/>
      <c r="E1132" s="152">
        <v>3.0</v>
      </c>
      <c r="F1132" s="154"/>
      <c r="G1132" s="152" t="s">
        <v>8436</v>
      </c>
      <c r="H1132" s="155" t="s">
        <v>8417</v>
      </c>
      <c r="I1132" s="155" t="s">
        <v>6507</v>
      </c>
      <c r="J1132" s="157"/>
      <c r="K1132" s="157"/>
      <c r="L1132" s="157"/>
      <c r="M1132" s="157"/>
      <c r="N1132" s="152" t="s">
        <v>8395</v>
      </c>
    </row>
    <row r="1133">
      <c r="A1133" s="152" t="s">
        <v>8470</v>
      </c>
      <c r="B1133" s="152" t="s">
        <v>8471</v>
      </c>
      <c r="C1133" s="152">
        <v>4.0</v>
      </c>
      <c r="D1133" s="154"/>
      <c r="E1133" s="152">
        <v>3.0</v>
      </c>
      <c r="F1133" s="154"/>
      <c r="G1133" s="152" t="s">
        <v>8436</v>
      </c>
      <c r="H1133" s="155" t="s">
        <v>8418</v>
      </c>
      <c r="I1133" s="155" t="s">
        <v>6492</v>
      </c>
      <c r="J1133" s="157"/>
      <c r="K1133" s="157"/>
      <c r="L1133" s="157"/>
      <c r="M1133" s="157"/>
      <c r="N1133" s="152" t="s">
        <v>8395</v>
      </c>
    </row>
    <row r="1134">
      <c r="A1134" s="152" t="s">
        <v>8470</v>
      </c>
      <c r="B1134" s="152" t="s">
        <v>8471</v>
      </c>
      <c r="C1134" s="152">
        <v>4.0</v>
      </c>
      <c r="D1134" s="154"/>
      <c r="E1134" s="152">
        <v>3.0</v>
      </c>
      <c r="F1134" s="154"/>
      <c r="G1134" s="152" t="s">
        <v>8436</v>
      </c>
      <c r="H1134" s="155" t="s">
        <v>8419</v>
      </c>
      <c r="I1134" s="155" t="s">
        <v>6978</v>
      </c>
      <c r="J1134" s="157"/>
      <c r="K1134" s="157"/>
      <c r="L1134" s="157"/>
      <c r="M1134" s="157"/>
      <c r="N1134" s="152" t="s">
        <v>8395</v>
      </c>
    </row>
    <row r="1135">
      <c r="A1135" s="152" t="s">
        <v>8470</v>
      </c>
      <c r="B1135" s="152" t="s">
        <v>8471</v>
      </c>
      <c r="C1135" s="152">
        <v>4.0</v>
      </c>
      <c r="D1135" s="154"/>
      <c r="E1135" s="152">
        <v>3.0</v>
      </c>
      <c r="F1135" s="154"/>
      <c r="G1135" s="152" t="s">
        <v>8436</v>
      </c>
      <c r="H1135" s="155" t="s">
        <v>8420</v>
      </c>
      <c r="I1135" s="155" t="s">
        <v>6936</v>
      </c>
      <c r="J1135" s="157"/>
      <c r="K1135" s="157"/>
      <c r="L1135" s="157"/>
      <c r="M1135" s="157"/>
      <c r="N1135" s="152" t="s">
        <v>8395</v>
      </c>
    </row>
    <row r="1136">
      <c r="A1136" s="152" t="s">
        <v>8470</v>
      </c>
      <c r="B1136" s="152" t="s">
        <v>8471</v>
      </c>
      <c r="C1136" s="152">
        <v>4.0</v>
      </c>
      <c r="D1136" s="154"/>
      <c r="E1136" s="152">
        <v>3.0</v>
      </c>
      <c r="F1136" s="154"/>
      <c r="G1136" s="152" t="s">
        <v>8436</v>
      </c>
      <c r="H1136" s="155" t="s">
        <v>8421</v>
      </c>
      <c r="I1136" s="155" t="s">
        <v>6620</v>
      </c>
      <c r="J1136" s="157"/>
      <c r="K1136" s="157"/>
      <c r="L1136" s="157"/>
      <c r="M1136" s="157"/>
      <c r="N1136" s="152" t="s">
        <v>8395</v>
      </c>
    </row>
    <row r="1137">
      <c r="A1137" s="152" t="s">
        <v>8470</v>
      </c>
      <c r="B1137" s="152" t="s">
        <v>8471</v>
      </c>
      <c r="C1137" s="152">
        <v>4.0</v>
      </c>
      <c r="D1137" s="154"/>
      <c r="E1137" s="152">
        <v>3.0</v>
      </c>
      <c r="F1137" s="154"/>
      <c r="G1137" s="152" t="s">
        <v>8436</v>
      </c>
      <c r="H1137" s="155" t="s">
        <v>8422</v>
      </c>
      <c r="I1137" s="155" t="s">
        <v>6563</v>
      </c>
      <c r="J1137" s="157"/>
      <c r="K1137" s="157"/>
      <c r="L1137" s="157"/>
      <c r="M1137" s="157"/>
      <c r="N1137" s="152" t="s">
        <v>8395</v>
      </c>
    </row>
    <row r="1138">
      <c r="A1138" s="152" t="s">
        <v>8470</v>
      </c>
      <c r="B1138" s="152" t="s">
        <v>8471</v>
      </c>
      <c r="C1138" s="152">
        <v>4.0</v>
      </c>
      <c r="D1138" s="154"/>
      <c r="E1138" s="152">
        <v>3.0</v>
      </c>
      <c r="F1138" s="154"/>
      <c r="G1138" s="152" t="s">
        <v>8436</v>
      </c>
      <c r="H1138" s="155" t="s">
        <v>8423</v>
      </c>
      <c r="I1138" s="155" t="s">
        <v>6701</v>
      </c>
      <c r="J1138" s="157"/>
      <c r="K1138" s="157"/>
      <c r="L1138" s="157"/>
      <c r="M1138" s="157"/>
      <c r="N1138" s="152" t="s">
        <v>8395</v>
      </c>
    </row>
    <row r="1139">
      <c r="A1139" s="152" t="s">
        <v>8470</v>
      </c>
      <c r="B1139" s="152" t="s">
        <v>8471</v>
      </c>
      <c r="C1139" s="152">
        <v>4.0</v>
      </c>
      <c r="D1139" s="154"/>
      <c r="E1139" s="152">
        <v>3.0</v>
      </c>
      <c r="F1139" s="154"/>
      <c r="G1139" s="152" t="s">
        <v>8436</v>
      </c>
      <c r="H1139" s="155" t="s">
        <v>8424</v>
      </c>
      <c r="I1139" s="155" t="s">
        <v>6684</v>
      </c>
      <c r="J1139" s="157"/>
      <c r="K1139" s="157"/>
      <c r="L1139" s="157"/>
      <c r="M1139" s="157"/>
      <c r="N1139" s="152" t="s">
        <v>8395</v>
      </c>
    </row>
    <row r="1140">
      <c r="A1140" s="152" t="s">
        <v>8470</v>
      </c>
      <c r="B1140" s="152" t="s">
        <v>8471</v>
      </c>
      <c r="C1140" s="152">
        <v>4.0</v>
      </c>
      <c r="D1140" s="154"/>
      <c r="E1140" s="152">
        <v>3.0</v>
      </c>
      <c r="F1140" s="154"/>
      <c r="G1140" s="152" t="s">
        <v>8436</v>
      </c>
      <c r="H1140" s="155" t="s">
        <v>8425</v>
      </c>
      <c r="I1140" s="155" t="s">
        <v>7039</v>
      </c>
      <c r="J1140" s="157"/>
      <c r="K1140" s="157"/>
      <c r="L1140" s="157"/>
      <c r="M1140" s="157"/>
      <c r="N1140" s="152" t="s">
        <v>8395</v>
      </c>
    </row>
    <row r="1141">
      <c r="A1141" s="152" t="s">
        <v>8470</v>
      </c>
      <c r="B1141" s="152" t="s">
        <v>8471</v>
      </c>
      <c r="C1141" s="152">
        <v>4.0</v>
      </c>
      <c r="D1141" s="154"/>
      <c r="E1141" s="152">
        <v>3.0</v>
      </c>
      <c r="F1141" s="154"/>
      <c r="G1141" s="152" t="s">
        <v>8436</v>
      </c>
      <c r="H1141" s="155" t="s">
        <v>8426</v>
      </c>
      <c r="I1141" s="155" t="s">
        <v>7023</v>
      </c>
      <c r="J1141" s="157"/>
      <c r="K1141" s="157"/>
      <c r="L1141" s="157"/>
      <c r="M1141" s="157"/>
      <c r="N1141" s="152" t="s">
        <v>8395</v>
      </c>
    </row>
    <row r="1142">
      <c r="A1142" s="152" t="s">
        <v>8472</v>
      </c>
      <c r="B1142" s="152" t="s">
        <v>8473</v>
      </c>
      <c r="C1142" s="152">
        <v>1.0</v>
      </c>
      <c r="D1142" s="154"/>
      <c r="E1142" s="154"/>
      <c r="F1142" s="154"/>
      <c r="G1142" s="152" t="s">
        <v>8382</v>
      </c>
      <c r="H1142" s="152" t="s">
        <v>8383</v>
      </c>
      <c r="I1142" s="154"/>
      <c r="J1142" s="152" t="s">
        <v>23</v>
      </c>
      <c r="K1142" s="152">
        <v>609.0</v>
      </c>
      <c r="L1142" s="154"/>
      <c r="M1142" s="154"/>
      <c r="N1142" s="152" t="s">
        <v>8384</v>
      </c>
    </row>
    <row r="1143">
      <c r="A1143" s="152" t="s">
        <v>8472</v>
      </c>
      <c r="B1143" s="152" t="s">
        <v>8473</v>
      </c>
      <c r="C1143" s="152">
        <v>1.0</v>
      </c>
      <c r="D1143" s="154"/>
      <c r="E1143" s="154"/>
      <c r="F1143" s="154"/>
      <c r="G1143" s="152" t="s">
        <v>8382</v>
      </c>
      <c r="H1143" s="152" t="s">
        <v>8385</v>
      </c>
      <c r="I1143" s="154"/>
      <c r="J1143" s="152" t="s">
        <v>23</v>
      </c>
      <c r="K1143" s="152">
        <v>659.0</v>
      </c>
      <c r="L1143" s="154"/>
      <c r="M1143" s="154"/>
      <c r="N1143" s="152" t="s">
        <v>8384</v>
      </c>
    </row>
    <row r="1144">
      <c r="A1144" s="152" t="s">
        <v>8472</v>
      </c>
      <c r="B1144" s="152" t="s">
        <v>8473</v>
      </c>
      <c r="C1144" s="152">
        <v>1.0</v>
      </c>
      <c r="D1144" s="154"/>
      <c r="E1144" s="154"/>
      <c r="F1144" s="154"/>
      <c r="G1144" s="152" t="s">
        <v>8382</v>
      </c>
      <c r="H1144" s="152" t="s">
        <v>8386</v>
      </c>
      <c r="I1144" s="154"/>
      <c r="J1144" s="152" t="s">
        <v>23</v>
      </c>
      <c r="K1144" s="152">
        <v>659.0</v>
      </c>
      <c r="L1144" s="154"/>
      <c r="M1144" s="154"/>
      <c r="N1144" s="152" t="s">
        <v>8384</v>
      </c>
    </row>
    <row r="1145">
      <c r="A1145" s="152" t="s">
        <v>8472</v>
      </c>
      <c r="B1145" s="152" t="s">
        <v>8473</v>
      </c>
      <c r="C1145" s="152">
        <v>1.0</v>
      </c>
      <c r="D1145" s="154"/>
      <c r="E1145" s="154"/>
      <c r="F1145" s="154"/>
      <c r="G1145" s="152" t="s">
        <v>8382</v>
      </c>
      <c r="H1145" s="152" t="s">
        <v>8387</v>
      </c>
      <c r="I1145" s="154"/>
      <c r="J1145" s="152" t="s">
        <v>23</v>
      </c>
      <c r="K1145" s="152">
        <v>659.0</v>
      </c>
      <c r="L1145" s="154"/>
      <c r="M1145" s="154"/>
      <c r="N1145" s="152" t="s">
        <v>8384</v>
      </c>
    </row>
    <row r="1146">
      <c r="A1146" s="152" t="s">
        <v>8472</v>
      </c>
      <c r="B1146" s="152" t="s">
        <v>8473</v>
      </c>
      <c r="C1146" s="152">
        <v>1.0</v>
      </c>
      <c r="D1146" s="154"/>
      <c r="E1146" s="154"/>
      <c r="F1146" s="154"/>
      <c r="G1146" s="152" t="s">
        <v>8382</v>
      </c>
      <c r="H1146" s="152" t="s">
        <v>8388</v>
      </c>
      <c r="I1146" s="154"/>
      <c r="J1146" s="152" t="s">
        <v>23</v>
      </c>
      <c r="K1146" s="152">
        <v>659.0</v>
      </c>
      <c r="L1146" s="154"/>
      <c r="M1146" s="154"/>
      <c r="N1146" s="152" t="s">
        <v>8384</v>
      </c>
    </row>
    <row r="1147">
      <c r="A1147" s="152" t="s">
        <v>8472</v>
      </c>
      <c r="B1147" s="152" t="s">
        <v>8473</v>
      </c>
      <c r="C1147" s="152">
        <v>1.0</v>
      </c>
      <c r="D1147" s="154"/>
      <c r="E1147" s="154"/>
      <c r="F1147" s="154"/>
      <c r="G1147" s="152" t="s">
        <v>8382</v>
      </c>
      <c r="H1147" s="152" t="s">
        <v>8389</v>
      </c>
      <c r="I1147" s="154"/>
      <c r="J1147" s="152" t="s">
        <v>23</v>
      </c>
      <c r="K1147" s="152">
        <v>739.0</v>
      </c>
      <c r="L1147" s="154"/>
      <c r="M1147" s="154"/>
      <c r="N1147" s="152" t="s">
        <v>8384</v>
      </c>
    </row>
    <row r="1148">
      <c r="A1148" s="152" t="s">
        <v>8472</v>
      </c>
      <c r="B1148" s="152" t="s">
        <v>8473</v>
      </c>
      <c r="C1148" s="152">
        <v>1.0</v>
      </c>
      <c r="D1148" s="154"/>
      <c r="E1148" s="154"/>
      <c r="F1148" s="154"/>
      <c r="G1148" s="152" t="s">
        <v>8382</v>
      </c>
      <c r="H1148" s="152" t="s">
        <v>5767</v>
      </c>
      <c r="I1148" s="154"/>
      <c r="J1148" s="152" t="s">
        <v>23</v>
      </c>
      <c r="K1148" s="152">
        <v>739.0</v>
      </c>
      <c r="L1148" s="154"/>
      <c r="M1148" s="154"/>
      <c r="N1148" s="152" t="s">
        <v>8384</v>
      </c>
    </row>
    <row r="1149">
      <c r="A1149" s="152" t="s">
        <v>8472</v>
      </c>
      <c r="B1149" s="152" t="s">
        <v>8473</v>
      </c>
      <c r="C1149" s="152">
        <v>1.0</v>
      </c>
      <c r="D1149" s="154"/>
      <c r="E1149" s="154"/>
      <c r="F1149" s="154"/>
      <c r="G1149" s="152" t="s">
        <v>8382</v>
      </c>
      <c r="H1149" s="152" t="s">
        <v>8390</v>
      </c>
      <c r="I1149" s="154"/>
      <c r="J1149" s="152" t="s">
        <v>23</v>
      </c>
      <c r="K1149" s="152">
        <v>739.0</v>
      </c>
      <c r="L1149" s="154"/>
      <c r="M1149" s="154"/>
      <c r="N1149" s="152" t="s">
        <v>8384</v>
      </c>
    </row>
    <row r="1150">
      <c r="A1150" s="152" t="s">
        <v>8472</v>
      </c>
      <c r="B1150" s="152" t="s">
        <v>8473</v>
      </c>
      <c r="C1150" s="152">
        <v>1.0</v>
      </c>
      <c r="D1150" s="154"/>
      <c r="E1150" s="154"/>
      <c r="F1150" s="154"/>
      <c r="G1150" s="152" t="s">
        <v>8382</v>
      </c>
      <c r="H1150" s="152" t="s">
        <v>8391</v>
      </c>
      <c r="I1150" s="154"/>
      <c r="J1150" s="152" t="s">
        <v>23</v>
      </c>
      <c r="K1150" s="152">
        <v>739.0</v>
      </c>
      <c r="L1150" s="154"/>
      <c r="M1150" s="154"/>
      <c r="N1150" s="152" t="s">
        <v>8384</v>
      </c>
    </row>
    <row r="1151">
      <c r="A1151" s="152" t="s">
        <v>8472</v>
      </c>
      <c r="B1151" s="152" t="s">
        <v>8473</v>
      </c>
      <c r="C1151" s="152">
        <v>1.0</v>
      </c>
      <c r="D1151" s="154"/>
      <c r="E1151" s="154"/>
      <c r="F1151" s="154"/>
      <c r="G1151" s="152" t="s">
        <v>8382</v>
      </c>
      <c r="H1151" s="152" t="s">
        <v>8392</v>
      </c>
      <c r="I1151" s="154"/>
      <c r="J1151" s="152" t="s">
        <v>23</v>
      </c>
      <c r="K1151" s="152">
        <v>739.0</v>
      </c>
      <c r="L1151" s="154"/>
      <c r="M1151" s="154"/>
      <c r="N1151" s="152" t="s">
        <v>8384</v>
      </c>
    </row>
    <row r="1152">
      <c r="A1152" s="152" t="s">
        <v>8472</v>
      </c>
      <c r="B1152" s="152" t="s">
        <v>8473</v>
      </c>
      <c r="C1152" s="152">
        <v>2.0</v>
      </c>
      <c r="D1152" s="154"/>
      <c r="E1152" s="152">
        <v>1.0</v>
      </c>
      <c r="F1152" s="154"/>
      <c r="G1152" s="152" t="s">
        <v>8393</v>
      </c>
      <c r="H1152" s="152" t="s">
        <v>8394</v>
      </c>
      <c r="I1152" s="152" t="s">
        <v>6862</v>
      </c>
      <c r="J1152" s="154"/>
      <c r="K1152" s="154"/>
      <c r="L1152" s="154"/>
      <c r="M1152" s="154"/>
      <c r="N1152" s="152" t="s">
        <v>8395</v>
      </c>
    </row>
    <row r="1153">
      <c r="A1153" s="152" t="s">
        <v>8472</v>
      </c>
      <c r="B1153" s="152" t="s">
        <v>8473</v>
      </c>
      <c r="C1153" s="152">
        <v>2.0</v>
      </c>
      <c r="D1153" s="154"/>
      <c r="E1153" s="152">
        <v>1.0</v>
      </c>
      <c r="F1153" s="154"/>
      <c r="G1153" s="152" t="s">
        <v>8393</v>
      </c>
      <c r="H1153" s="152" t="s">
        <v>8396</v>
      </c>
      <c r="I1153" s="152" t="s">
        <v>6893</v>
      </c>
      <c r="J1153" s="154"/>
      <c r="K1153" s="154"/>
      <c r="L1153" s="154"/>
      <c r="M1153" s="154"/>
      <c r="N1153" s="152" t="s">
        <v>8395</v>
      </c>
    </row>
    <row r="1154">
      <c r="A1154" s="152" t="s">
        <v>8472</v>
      </c>
      <c r="B1154" s="152" t="s">
        <v>8473</v>
      </c>
      <c r="C1154" s="152">
        <v>2.0</v>
      </c>
      <c r="D1154" s="154"/>
      <c r="E1154" s="152">
        <v>1.0</v>
      </c>
      <c r="F1154" s="154"/>
      <c r="G1154" s="152" t="s">
        <v>8393</v>
      </c>
      <c r="H1154" s="152" t="s">
        <v>8397</v>
      </c>
      <c r="I1154" s="152" t="s">
        <v>6796</v>
      </c>
      <c r="J1154" s="154"/>
      <c r="K1154" s="154"/>
      <c r="L1154" s="154"/>
      <c r="M1154" s="154"/>
      <c r="N1154" s="152" t="s">
        <v>8395</v>
      </c>
    </row>
    <row r="1155">
      <c r="A1155" s="152" t="s">
        <v>8472</v>
      </c>
      <c r="B1155" s="152" t="s">
        <v>8473</v>
      </c>
      <c r="C1155" s="152">
        <v>2.0</v>
      </c>
      <c r="D1155" s="154"/>
      <c r="E1155" s="152">
        <v>1.0</v>
      </c>
      <c r="F1155" s="154"/>
      <c r="G1155" s="152" t="s">
        <v>8393</v>
      </c>
      <c r="H1155" s="152" t="s">
        <v>8398</v>
      </c>
      <c r="I1155" s="152" t="s">
        <v>6726</v>
      </c>
      <c r="J1155" s="154"/>
      <c r="K1155" s="154"/>
      <c r="L1155" s="154"/>
      <c r="M1155" s="154"/>
      <c r="N1155" s="152" t="s">
        <v>8395</v>
      </c>
    </row>
    <row r="1156">
      <c r="A1156" s="152" t="s">
        <v>8472</v>
      </c>
      <c r="B1156" s="152" t="s">
        <v>8473</v>
      </c>
      <c r="C1156" s="152">
        <v>2.0</v>
      </c>
      <c r="D1156" s="154"/>
      <c r="E1156" s="152">
        <v>1.0</v>
      </c>
      <c r="F1156" s="154"/>
      <c r="G1156" s="152" t="s">
        <v>8393</v>
      </c>
      <c r="H1156" s="152" t="s">
        <v>8399</v>
      </c>
      <c r="I1156" s="152" t="s">
        <v>6924</v>
      </c>
      <c r="J1156" s="154"/>
      <c r="K1156" s="154"/>
      <c r="L1156" s="154"/>
      <c r="M1156" s="154"/>
      <c r="N1156" s="152" t="s">
        <v>8395</v>
      </c>
    </row>
    <row r="1157">
      <c r="A1157" s="152" t="s">
        <v>8472</v>
      </c>
      <c r="B1157" s="152" t="s">
        <v>8473</v>
      </c>
      <c r="C1157" s="152">
        <v>2.0</v>
      </c>
      <c r="D1157" s="154"/>
      <c r="E1157" s="152">
        <v>1.0</v>
      </c>
      <c r="F1157" s="154"/>
      <c r="G1157" s="152" t="s">
        <v>8393</v>
      </c>
      <c r="H1157" s="152" t="s">
        <v>8400</v>
      </c>
      <c r="I1157" s="152" t="s">
        <v>6893</v>
      </c>
      <c r="J1157" s="154"/>
      <c r="K1157" s="154"/>
      <c r="L1157" s="154"/>
      <c r="M1157" s="154"/>
      <c r="N1157" s="152" t="s">
        <v>8395</v>
      </c>
    </row>
    <row r="1158">
      <c r="A1158" s="152" t="s">
        <v>8472</v>
      </c>
      <c r="B1158" s="152" t="s">
        <v>8473</v>
      </c>
      <c r="C1158" s="152">
        <v>2.0</v>
      </c>
      <c r="D1158" s="154"/>
      <c r="E1158" s="152">
        <v>1.0</v>
      </c>
      <c r="F1158" s="154"/>
      <c r="G1158" s="152" t="s">
        <v>8393</v>
      </c>
      <c r="H1158" s="152" t="s">
        <v>8401</v>
      </c>
      <c r="I1158" s="152" t="s">
        <v>6796</v>
      </c>
      <c r="J1158" s="154"/>
      <c r="K1158" s="154"/>
      <c r="L1158" s="154"/>
      <c r="M1158" s="154"/>
      <c r="N1158" s="152" t="s">
        <v>8395</v>
      </c>
    </row>
    <row r="1159">
      <c r="A1159" s="152" t="s">
        <v>8472</v>
      </c>
      <c r="B1159" s="152" t="s">
        <v>8473</v>
      </c>
      <c r="C1159" s="152">
        <v>2.0</v>
      </c>
      <c r="D1159" s="154"/>
      <c r="E1159" s="152">
        <v>1.0</v>
      </c>
      <c r="F1159" s="154"/>
      <c r="G1159" s="152" t="s">
        <v>8393</v>
      </c>
      <c r="H1159" s="152" t="s">
        <v>8402</v>
      </c>
      <c r="I1159" s="152" t="s">
        <v>6831</v>
      </c>
      <c r="J1159" s="154"/>
      <c r="K1159" s="154"/>
      <c r="L1159" s="154"/>
      <c r="M1159" s="154"/>
      <c r="N1159" s="152" t="s">
        <v>8395</v>
      </c>
    </row>
    <row r="1160">
      <c r="A1160" s="152" t="s">
        <v>8472</v>
      </c>
      <c r="B1160" s="152" t="s">
        <v>8473</v>
      </c>
      <c r="C1160" s="152">
        <v>2.0</v>
      </c>
      <c r="D1160" s="154"/>
      <c r="E1160" s="152">
        <v>1.0</v>
      </c>
      <c r="F1160" s="154"/>
      <c r="G1160" s="152" t="s">
        <v>8393</v>
      </c>
      <c r="H1160" s="152" t="s">
        <v>8403</v>
      </c>
      <c r="I1160" s="152" t="s">
        <v>6836</v>
      </c>
      <c r="J1160" s="154"/>
      <c r="K1160" s="154"/>
      <c r="L1160" s="154"/>
      <c r="M1160" s="154"/>
      <c r="N1160" s="152" t="s">
        <v>8395</v>
      </c>
    </row>
    <row r="1161">
      <c r="A1161" s="152" t="s">
        <v>8472</v>
      </c>
      <c r="B1161" s="152" t="s">
        <v>8473</v>
      </c>
      <c r="C1161" s="152">
        <v>2.0</v>
      </c>
      <c r="D1161" s="154"/>
      <c r="E1161" s="152">
        <v>1.0</v>
      </c>
      <c r="F1161" s="154"/>
      <c r="G1161" s="152" t="s">
        <v>8393</v>
      </c>
      <c r="H1161" s="152" t="s">
        <v>8404</v>
      </c>
      <c r="I1161" s="152" t="s">
        <v>8405</v>
      </c>
      <c r="J1161" s="154"/>
      <c r="K1161" s="154"/>
      <c r="L1161" s="154"/>
      <c r="M1161" s="154"/>
      <c r="N1161" s="152" t="s">
        <v>8395</v>
      </c>
    </row>
    <row r="1162">
      <c r="A1162" s="152" t="s">
        <v>8474</v>
      </c>
      <c r="B1162" s="152" t="s">
        <v>8475</v>
      </c>
      <c r="C1162" s="152">
        <v>1.0</v>
      </c>
      <c r="D1162" s="154"/>
      <c r="E1162" s="154"/>
      <c r="F1162" s="154"/>
      <c r="G1162" s="152" t="s">
        <v>8382</v>
      </c>
      <c r="H1162" s="152" t="s">
        <v>8383</v>
      </c>
      <c r="I1162" s="154"/>
      <c r="J1162" s="152" t="s">
        <v>23</v>
      </c>
      <c r="K1162" s="152">
        <v>519.0</v>
      </c>
      <c r="L1162" s="154"/>
      <c r="M1162" s="154"/>
      <c r="N1162" s="152" t="s">
        <v>8384</v>
      </c>
    </row>
    <row r="1163">
      <c r="A1163" s="152" t="s">
        <v>8474</v>
      </c>
      <c r="B1163" s="152" t="s">
        <v>8475</v>
      </c>
      <c r="C1163" s="152">
        <v>1.0</v>
      </c>
      <c r="D1163" s="154"/>
      <c r="E1163" s="154"/>
      <c r="F1163" s="154"/>
      <c r="G1163" s="152" t="s">
        <v>8382</v>
      </c>
      <c r="H1163" s="152" t="s">
        <v>8385</v>
      </c>
      <c r="I1163" s="154"/>
      <c r="J1163" s="152" t="s">
        <v>23</v>
      </c>
      <c r="K1163" s="152">
        <v>569.0</v>
      </c>
      <c r="L1163" s="154"/>
      <c r="M1163" s="154"/>
      <c r="N1163" s="152" t="s">
        <v>8384</v>
      </c>
    </row>
    <row r="1164">
      <c r="A1164" s="152" t="s">
        <v>8474</v>
      </c>
      <c r="B1164" s="152" t="s">
        <v>8475</v>
      </c>
      <c r="C1164" s="152">
        <v>1.0</v>
      </c>
      <c r="D1164" s="154"/>
      <c r="E1164" s="154"/>
      <c r="F1164" s="154"/>
      <c r="G1164" s="152" t="s">
        <v>8382</v>
      </c>
      <c r="H1164" s="152" t="s">
        <v>8386</v>
      </c>
      <c r="I1164" s="154"/>
      <c r="J1164" s="152" t="s">
        <v>23</v>
      </c>
      <c r="K1164" s="152">
        <v>569.0</v>
      </c>
      <c r="L1164" s="154"/>
      <c r="M1164" s="154"/>
      <c r="N1164" s="152" t="s">
        <v>8384</v>
      </c>
    </row>
    <row r="1165">
      <c r="A1165" s="152" t="s">
        <v>8474</v>
      </c>
      <c r="B1165" s="152" t="s">
        <v>8475</v>
      </c>
      <c r="C1165" s="152">
        <v>1.0</v>
      </c>
      <c r="D1165" s="154"/>
      <c r="E1165" s="154"/>
      <c r="F1165" s="154"/>
      <c r="G1165" s="152" t="s">
        <v>8382</v>
      </c>
      <c r="H1165" s="152" t="s">
        <v>8387</v>
      </c>
      <c r="I1165" s="154"/>
      <c r="J1165" s="152" t="s">
        <v>23</v>
      </c>
      <c r="K1165" s="152">
        <v>569.0</v>
      </c>
      <c r="L1165" s="154"/>
      <c r="M1165" s="154"/>
      <c r="N1165" s="152" t="s">
        <v>8384</v>
      </c>
    </row>
    <row r="1166">
      <c r="A1166" s="152" t="s">
        <v>8474</v>
      </c>
      <c r="B1166" s="152" t="s">
        <v>8475</v>
      </c>
      <c r="C1166" s="152">
        <v>1.0</v>
      </c>
      <c r="D1166" s="154"/>
      <c r="E1166" s="154"/>
      <c r="F1166" s="154"/>
      <c r="G1166" s="152" t="s">
        <v>8382</v>
      </c>
      <c r="H1166" s="152" t="s">
        <v>8388</v>
      </c>
      <c r="I1166" s="154"/>
      <c r="J1166" s="152" t="s">
        <v>23</v>
      </c>
      <c r="K1166" s="152">
        <v>569.0</v>
      </c>
      <c r="L1166" s="154"/>
      <c r="M1166" s="154"/>
      <c r="N1166" s="152" t="s">
        <v>8384</v>
      </c>
    </row>
    <row r="1167">
      <c r="A1167" s="152" t="s">
        <v>8474</v>
      </c>
      <c r="B1167" s="152" t="s">
        <v>8475</v>
      </c>
      <c r="C1167" s="152">
        <v>1.0</v>
      </c>
      <c r="D1167" s="154"/>
      <c r="E1167" s="154"/>
      <c r="F1167" s="154"/>
      <c r="G1167" s="152" t="s">
        <v>8382</v>
      </c>
      <c r="H1167" s="152" t="s">
        <v>8389</v>
      </c>
      <c r="I1167" s="154"/>
      <c r="J1167" s="152" t="s">
        <v>23</v>
      </c>
      <c r="K1167" s="152">
        <v>659.0</v>
      </c>
      <c r="L1167" s="154"/>
      <c r="M1167" s="154"/>
      <c r="N1167" s="152" t="s">
        <v>8384</v>
      </c>
    </row>
    <row r="1168">
      <c r="A1168" s="152" t="s">
        <v>8474</v>
      </c>
      <c r="B1168" s="152" t="s">
        <v>8475</v>
      </c>
      <c r="C1168" s="152">
        <v>1.0</v>
      </c>
      <c r="D1168" s="154"/>
      <c r="E1168" s="154"/>
      <c r="F1168" s="154"/>
      <c r="G1168" s="152" t="s">
        <v>8382</v>
      </c>
      <c r="H1168" s="152" t="s">
        <v>5767</v>
      </c>
      <c r="I1168" s="154"/>
      <c r="J1168" s="152" t="s">
        <v>23</v>
      </c>
      <c r="K1168" s="152">
        <v>659.0</v>
      </c>
      <c r="L1168" s="154"/>
      <c r="M1168" s="154"/>
      <c r="N1168" s="152" t="s">
        <v>8384</v>
      </c>
    </row>
    <row r="1169">
      <c r="A1169" s="152" t="s">
        <v>8474</v>
      </c>
      <c r="B1169" s="152" t="s">
        <v>8475</v>
      </c>
      <c r="C1169" s="152">
        <v>1.0</v>
      </c>
      <c r="D1169" s="154"/>
      <c r="E1169" s="154"/>
      <c r="F1169" s="154"/>
      <c r="G1169" s="152" t="s">
        <v>8382</v>
      </c>
      <c r="H1169" s="152" t="s">
        <v>8390</v>
      </c>
      <c r="I1169" s="154"/>
      <c r="J1169" s="152" t="s">
        <v>23</v>
      </c>
      <c r="K1169" s="152">
        <v>659.0</v>
      </c>
      <c r="L1169" s="154"/>
      <c r="M1169" s="154"/>
      <c r="N1169" s="152" t="s">
        <v>8384</v>
      </c>
    </row>
    <row r="1170">
      <c r="A1170" s="152" t="s">
        <v>8474</v>
      </c>
      <c r="B1170" s="152" t="s">
        <v>8475</v>
      </c>
      <c r="C1170" s="152">
        <v>1.0</v>
      </c>
      <c r="D1170" s="154"/>
      <c r="E1170" s="154"/>
      <c r="F1170" s="154"/>
      <c r="G1170" s="152" t="s">
        <v>8382</v>
      </c>
      <c r="H1170" s="152" t="s">
        <v>8391</v>
      </c>
      <c r="I1170" s="154"/>
      <c r="J1170" s="152" t="s">
        <v>23</v>
      </c>
      <c r="K1170" s="152">
        <v>659.0</v>
      </c>
      <c r="L1170" s="154"/>
      <c r="M1170" s="154"/>
      <c r="N1170" s="152" t="s">
        <v>8384</v>
      </c>
    </row>
    <row r="1171">
      <c r="A1171" s="152" t="s">
        <v>8474</v>
      </c>
      <c r="B1171" s="152" t="s">
        <v>8475</v>
      </c>
      <c r="C1171" s="152">
        <v>1.0</v>
      </c>
      <c r="D1171" s="154"/>
      <c r="E1171" s="154"/>
      <c r="F1171" s="154"/>
      <c r="G1171" s="152" t="s">
        <v>8382</v>
      </c>
      <c r="H1171" s="152" t="s">
        <v>8392</v>
      </c>
      <c r="I1171" s="154"/>
      <c r="J1171" s="152" t="s">
        <v>23</v>
      </c>
      <c r="K1171" s="152">
        <v>659.0</v>
      </c>
      <c r="L1171" s="154"/>
      <c r="M1171" s="154"/>
      <c r="N1171" s="152" t="s">
        <v>8384</v>
      </c>
    </row>
    <row r="1172">
      <c r="A1172" s="152" t="s">
        <v>8474</v>
      </c>
      <c r="B1172" s="152" t="s">
        <v>8475</v>
      </c>
      <c r="C1172" s="152">
        <v>2.0</v>
      </c>
      <c r="D1172" s="154"/>
      <c r="E1172" s="152">
        <v>1.0</v>
      </c>
      <c r="F1172" s="154"/>
      <c r="G1172" s="152" t="s">
        <v>8393</v>
      </c>
      <c r="H1172" s="152" t="s">
        <v>8394</v>
      </c>
      <c r="I1172" s="152" t="s">
        <v>6862</v>
      </c>
      <c r="J1172" s="154"/>
      <c r="K1172" s="154"/>
      <c r="L1172" s="154"/>
      <c r="M1172" s="154"/>
      <c r="N1172" s="152" t="s">
        <v>8395</v>
      </c>
    </row>
    <row r="1173">
      <c r="A1173" s="152" t="s">
        <v>8474</v>
      </c>
      <c r="B1173" s="152" t="s">
        <v>8475</v>
      </c>
      <c r="C1173" s="152">
        <v>2.0</v>
      </c>
      <c r="D1173" s="154"/>
      <c r="E1173" s="152">
        <v>1.0</v>
      </c>
      <c r="F1173" s="154"/>
      <c r="G1173" s="152" t="s">
        <v>8393</v>
      </c>
      <c r="H1173" s="152" t="s">
        <v>8396</v>
      </c>
      <c r="I1173" s="152" t="s">
        <v>6893</v>
      </c>
      <c r="J1173" s="154"/>
      <c r="K1173" s="154"/>
      <c r="L1173" s="154"/>
      <c r="M1173" s="154"/>
      <c r="N1173" s="152" t="s">
        <v>8395</v>
      </c>
    </row>
    <row r="1174">
      <c r="A1174" s="152" t="s">
        <v>8474</v>
      </c>
      <c r="B1174" s="152" t="s">
        <v>8475</v>
      </c>
      <c r="C1174" s="152">
        <v>2.0</v>
      </c>
      <c r="D1174" s="154"/>
      <c r="E1174" s="152">
        <v>1.0</v>
      </c>
      <c r="F1174" s="154"/>
      <c r="G1174" s="152" t="s">
        <v>8393</v>
      </c>
      <c r="H1174" s="152" t="s">
        <v>8397</v>
      </c>
      <c r="I1174" s="152" t="s">
        <v>6796</v>
      </c>
      <c r="J1174" s="154"/>
      <c r="K1174" s="154"/>
      <c r="L1174" s="154"/>
      <c r="M1174" s="154"/>
      <c r="N1174" s="152" t="s">
        <v>8395</v>
      </c>
    </row>
    <row r="1175">
      <c r="A1175" s="152" t="s">
        <v>8474</v>
      </c>
      <c r="B1175" s="152" t="s">
        <v>8475</v>
      </c>
      <c r="C1175" s="152">
        <v>2.0</v>
      </c>
      <c r="D1175" s="154"/>
      <c r="E1175" s="152">
        <v>1.0</v>
      </c>
      <c r="F1175" s="154"/>
      <c r="G1175" s="152" t="s">
        <v>8393</v>
      </c>
      <c r="H1175" s="152" t="s">
        <v>8398</v>
      </c>
      <c r="I1175" s="152" t="s">
        <v>6726</v>
      </c>
      <c r="J1175" s="154"/>
      <c r="K1175" s="154"/>
      <c r="L1175" s="154"/>
      <c r="M1175" s="154"/>
      <c r="N1175" s="152" t="s">
        <v>8395</v>
      </c>
    </row>
    <row r="1176">
      <c r="A1176" s="152" t="s">
        <v>8474</v>
      </c>
      <c r="B1176" s="152" t="s">
        <v>8475</v>
      </c>
      <c r="C1176" s="152">
        <v>2.0</v>
      </c>
      <c r="D1176" s="154"/>
      <c r="E1176" s="152">
        <v>1.0</v>
      </c>
      <c r="F1176" s="154"/>
      <c r="G1176" s="152" t="s">
        <v>8393</v>
      </c>
      <c r="H1176" s="152" t="s">
        <v>8399</v>
      </c>
      <c r="I1176" s="152" t="s">
        <v>6924</v>
      </c>
      <c r="J1176" s="154"/>
      <c r="K1176" s="154"/>
      <c r="L1176" s="154"/>
      <c r="M1176" s="154"/>
      <c r="N1176" s="152" t="s">
        <v>8395</v>
      </c>
    </row>
    <row r="1177">
      <c r="A1177" s="152" t="s">
        <v>8474</v>
      </c>
      <c r="B1177" s="152" t="s">
        <v>8475</v>
      </c>
      <c r="C1177" s="152">
        <v>2.0</v>
      </c>
      <c r="D1177" s="154"/>
      <c r="E1177" s="152">
        <v>1.0</v>
      </c>
      <c r="F1177" s="154"/>
      <c r="G1177" s="152" t="s">
        <v>8393</v>
      </c>
      <c r="H1177" s="152" t="s">
        <v>8400</v>
      </c>
      <c r="I1177" s="152" t="s">
        <v>6893</v>
      </c>
      <c r="J1177" s="154"/>
      <c r="K1177" s="154"/>
      <c r="L1177" s="154"/>
      <c r="M1177" s="154"/>
      <c r="N1177" s="152" t="s">
        <v>8395</v>
      </c>
    </row>
    <row r="1178">
      <c r="A1178" s="152" t="s">
        <v>8474</v>
      </c>
      <c r="B1178" s="152" t="s">
        <v>8475</v>
      </c>
      <c r="C1178" s="152">
        <v>2.0</v>
      </c>
      <c r="D1178" s="154"/>
      <c r="E1178" s="152">
        <v>1.0</v>
      </c>
      <c r="F1178" s="154"/>
      <c r="G1178" s="152" t="s">
        <v>8393</v>
      </c>
      <c r="H1178" s="152" t="s">
        <v>8401</v>
      </c>
      <c r="I1178" s="152" t="s">
        <v>6796</v>
      </c>
      <c r="J1178" s="154"/>
      <c r="K1178" s="154"/>
      <c r="L1178" s="154"/>
      <c r="M1178" s="154"/>
      <c r="N1178" s="152" t="s">
        <v>8395</v>
      </c>
    </row>
    <row r="1179">
      <c r="A1179" s="152" t="s">
        <v>8474</v>
      </c>
      <c r="B1179" s="152" t="s">
        <v>8475</v>
      </c>
      <c r="C1179" s="152">
        <v>2.0</v>
      </c>
      <c r="D1179" s="154"/>
      <c r="E1179" s="152">
        <v>1.0</v>
      </c>
      <c r="F1179" s="154"/>
      <c r="G1179" s="152" t="s">
        <v>8393</v>
      </c>
      <c r="H1179" s="152" t="s">
        <v>8402</v>
      </c>
      <c r="I1179" s="152" t="s">
        <v>6831</v>
      </c>
      <c r="J1179" s="154"/>
      <c r="K1179" s="154"/>
      <c r="L1179" s="154"/>
      <c r="M1179" s="154"/>
      <c r="N1179" s="152" t="s">
        <v>8395</v>
      </c>
    </row>
    <row r="1180">
      <c r="A1180" s="152" t="s">
        <v>8474</v>
      </c>
      <c r="B1180" s="152" t="s">
        <v>8475</v>
      </c>
      <c r="C1180" s="152">
        <v>2.0</v>
      </c>
      <c r="D1180" s="154"/>
      <c r="E1180" s="152">
        <v>1.0</v>
      </c>
      <c r="F1180" s="154"/>
      <c r="G1180" s="152" t="s">
        <v>8393</v>
      </c>
      <c r="H1180" s="152" t="s">
        <v>8403</v>
      </c>
      <c r="I1180" s="152" t="s">
        <v>6836</v>
      </c>
      <c r="J1180" s="154"/>
      <c r="K1180" s="154"/>
      <c r="L1180" s="154"/>
      <c r="M1180" s="154"/>
      <c r="N1180" s="152" t="s">
        <v>8395</v>
      </c>
    </row>
    <row r="1181">
      <c r="A1181" s="152" t="s">
        <v>8474</v>
      </c>
      <c r="B1181" s="152" t="s">
        <v>8475</v>
      </c>
      <c r="C1181" s="152">
        <v>2.0</v>
      </c>
      <c r="D1181" s="154"/>
      <c r="E1181" s="152">
        <v>1.0</v>
      </c>
      <c r="F1181" s="154"/>
      <c r="G1181" s="152" t="s">
        <v>8393</v>
      </c>
      <c r="H1181" s="152" t="s">
        <v>8404</v>
      </c>
      <c r="I1181" s="152" t="s">
        <v>8405</v>
      </c>
      <c r="J1181" s="154"/>
      <c r="K1181" s="154"/>
      <c r="L1181" s="154"/>
      <c r="M1181" s="154"/>
      <c r="N1181" s="152" t="s">
        <v>8395</v>
      </c>
    </row>
    <row r="1182">
      <c r="A1182" s="152" t="s">
        <v>8476</v>
      </c>
      <c r="B1182" s="152" t="s">
        <v>8477</v>
      </c>
      <c r="C1182" s="152">
        <v>1.0</v>
      </c>
      <c r="D1182" s="152">
        <v>1.0</v>
      </c>
      <c r="E1182" s="154"/>
      <c r="F1182" s="154"/>
      <c r="G1182" s="152" t="s">
        <v>8382</v>
      </c>
      <c r="H1182" s="152" t="s">
        <v>8383</v>
      </c>
      <c r="I1182" s="154"/>
      <c r="J1182" s="154"/>
      <c r="K1182" s="154"/>
      <c r="L1182" s="154"/>
      <c r="M1182" s="154"/>
      <c r="N1182" s="152" t="s">
        <v>8384</v>
      </c>
    </row>
    <row r="1183">
      <c r="A1183" s="152" t="s">
        <v>8476</v>
      </c>
      <c r="B1183" s="152" t="s">
        <v>8477</v>
      </c>
      <c r="C1183" s="152">
        <v>1.0</v>
      </c>
      <c r="D1183" s="152">
        <v>2.0</v>
      </c>
      <c r="E1183" s="154"/>
      <c r="F1183" s="154"/>
      <c r="G1183" s="152" t="s">
        <v>8382</v>
      </c>
      <c r="H1183" s="152" t="s">
        <v>8385</v>
      </c>
      <c r="I1183" s="154"/>
      <c r="J1183" s="154"/>
      <c r="K1183" s="154"/>
      <c r="L1183" s="154"/>
      <c r="M1183" s="154"/>
      <c r="N1183" s="152" t="s">
        <v>8384</v>
      </c>
    </row>
    <row r="1184">
      <c r="A1184" s="152" t="s">
        <v>8476</v>
      </c>
      <c r="B1184" s="152" t="s">
        <v>8477</v>
      </c>
      <c r="C1184" s="152">
        <v>1.0</v>
      </c>
      <c r="D1184" s="152">
        <v>3.0</v>
      </c>
      <c r="E1184" s="154"/>
      <c r="F1184" s="154"/>
      <c r="G1184" s="152" t="s">
        <v>8382</v>
      </c>
      <c r="H1184" s="152" t="s">
        <v>8386</v>
      </c>
      <c r="I1184" s="154"/>
      <c r="J1184" s="154"/>
      <c r="K1184" s="154"/>
      <c r="L1184" s="154"/>
      <c r="M1184" s="154"/>
      <c r="N1184" s="152" t="s">
        <v>8384</v>
      </c>
    </row>
    <row r="1185">
      <c r="A1185" s="152" t="s">
        <v>8476</v>
      </c>
      <c r="B1185" s="152" t="s">
        <v>8477</v>
      </c>
      <c r="C1185" s="152">
        <v>1.0</v>
      </c>
      <c r="D1185" s="152">
        <v>4.0</v>
      </c>
      <c r="E1185" s="154"/>
      <c r="F1185" s="154"/>
      <c r="G1185" s="152" t="s">
        <v>8382</v>
      </c>
      <c r="H1185" s="152" t="s">
        <v>8387</v>
      </c>
      <c r="I1185" s="154"/>
      <c r="J1185" s="154"/>
      <c r="K1185" s="154"/>
      <c r="L1185" s="154"/>
      <c r="M1185" s="154"/>
      <c r="N1185" s="152" t="s">
        <v>8384</v>
      </c>
    </row>
    <row r="1186">
      <c r="A1186" s="152" t="s">
        <v>8476</v>
      </c>
      <c r="B1186" s="152" t="s">
        <v>8477</v>
      </c>
      <c r="C1186" s="152">
        <v>1.0</v>
      </c>
      <c r="D1186" s="152">
        <v>5.0</v>
      </c>
      <c r="E1186" s="154"/>
      <c r="F1186" s="154"/>
      <c r="G1186" s="152" t="s">
        <v>8382</v>
      </c>
      <c r="H1186" s="152" t="s">
        <v>8388</v>
      </c>
      <c r="I1186" s="154"/>
      <c r="J1186" s="154"/>
      <c r="K1186" s="154"/>
      <c r="L1186" s="154"/>
      <c r="M1186" s="154"/>
      <c r="N1186" s="152" t="s">
        <v>8384</v>
      </c>
    </row>
    <row r="1187">
      <c r="A1187" s="152" t="s">
        <v>8476</v>
      </c>
      <c r="B1187" s="152" t="s">
        <v>8477</v>
      </c>
      <c r="C1187" s="152">
        <v>1.0</v>
      </c>
      <c r="D1187" s="152">
        <v>6.0</v>
      </c>
      <c r="E1187" s="154"/>
      <c r="F1187" s="154"/>
      <c r="G1187" s="152" t="s">
        <v>8382</v>
      </c>
      <c r="H1187" s="152" t="s">
        <v>8389</v>
      </c>
      <c r="I1187" s="154"/>
      <c r="J1187" s="154"/>
      <c r="K1187" s="154"/>
      <c r="L1187" s="154"/>
      <c r="M1187" s="154"/>
      <c r="N1187" s="152" t="s">
        <v>8384</v>
      </c>
    </row>
    <row r="1188">
      <c r="A1188" s="152" t="s">
        <v>8476</v>
      </c>
      <c r="B1188" s="152" t="s">
        <v>8477</v>
      </c>
      <c r="C1188" s="152">
        <v>1.0</v>
      </c>
      <c r="D1188" s="152">
        <v>7.0</v>
      </c>
      <c r="E1188" s="154"/>
      <c r="F1188" s="154"/>
      <c r="G1188" s="152" t="s">
        <v>8382</v>
      </c>
      <c r="H1188" s="152" t="s">
        <v>5767</v>
      </c>
      <c r="I1188" s="154"/>
      <c r="J1188" s="154"/>
      <c r="K1188" s="154"/>
      <c r="L1188" s="154"/>
      <c r="M1188" s="154"/>
      <c r="N1188" s="152" t="s">
        <v>8384</v>
      </c>
    </row>
    <row r="1189">
      <c r="A1189" s="152" t="s">
        <v>8476</v>
      </c>
      <c r="B1189" s="152" t="s">
        <v>8477</v>
      </c>
      <c r="C1189" s="152">
        <v>1.0</v>
      </c>
      <c r="D1189" s="152">
        <v>8.0</v>
      </c>
      <c r="E1189" s="154"/>
      <c r="F1189" s="154"/>
      <c r="G1189" s="152" t="s">
        <v>8382</v>
      </c>
      <c r="H1189" s="152" t="s">
        <v>8390</v>
      </c>
      <c r="I1189" s="154"/>
      <c r="J1189" s="154"/>
      <c r="K1189" s="154"/>
      <c r="L1189" s="154"/>
      <c r="M1189" s="154"/>
      <c r="N1189" s="152" t="s">
        <v>8384</v>
      </c>
    </row>
    <row r="1190">
      <c r="A1190" s="152" t="s">
        <v>8476</v>
      </c>
      <c r="B1190" s="152" t="s">
        <v>8477</v>
      </c>
      <c r="C1190" s="152">
        <v>1.0</v>
      </c>
      <c r="D1190" s="152">
        <v>9.0</v>
      </c>
      <c r="E1190" s="154"/>
      <c r="F1190" s="154"/>
      <c r="G1190" s="152" t="s">
        <v>8382</v>
      </c>
      <c r="H1190" s="152" t="s">
        <v>8391</v>
      </c>
      <c r="I1190" s="154"/>
      <c r="J1190" s="154"/>
      <c r="K1190" s="154"/>
      <c r="L1190" s="154"/>
      <c r="M1190" s="154"/>
      <c r="N1190" s="152" t="s">
        <v>8384</v>
      </c>
    </row>
    <row r="1191">
      <c r="A1191" s="152" t="s">
        <v>8476</v>
      </c>
      <c r="B1191" s="152" t="s">
        <v>8477</v>
      </c>
      <c r="C1191" s="152">
        <v>1.0</v>
      </c>
      <c r="D1191" s="152">
        <v>10.0</v>
      </c>
      <c r="E1191" s="154"/>
      <c r="F1191" s="154"/>
      <c r="G1191" s="152" t="s">
        <v>8382</v>
      </c>
      <c r="H1191" s="152" t="s">
        <v>8392</v>
      </c>
      <c r="I1191" s="154"/>
      <c r="J1191" s="154"/>
      <c r="K1191" s="154"/>
      <c r="L1191" s="154"/>
      <c r="M1191" s="154"/>
      <c r="N1191" s="152" t="s">
        <v>8384</v>
      </c>
    </row>
    <row r="1192">
      <c r="A1192" s="152" t="s">
        <v>8476</v>
      </c>
      <c r="B1192" s="152" t="s">
        <v>8477</v>
      </c>
      <c r="C1192" s="152">
        <v>2.0</v>
      </c>
      <c r="D1192" s="152">
        <v>1.0</v>
      </c>
      <c r="E1192" s="152">
        <v>1.0</v>
      </c>
      <c r="F1192" s="152">
        <v>1.0</v>
      </c>
      <c r="G1192" s="152" t="s">
        <v>8393</v>
      </c>
      <c r="H1192" s="152" t="s">
        <v>8394</v>
      </c>
      <c r="I1192" s="152" t="s">
        <v>6862</v>
      </c>
      <c r="J1192" s="154"/>
      <c r="K1192" s="154"/>
      <c r="L1192" s="154"/>
      <c r="M1192" s="154"/>
      <c r="N1192" s="152" t="s">
        <v>8395</v>
      </c>
    </row>
    <row r="1193">
      <c r="A1193" s="152" t="s">
        <v>8476</v>
      </c>
      <c r="B1193" s="152" t="s">
        <v>8477</v>
      </c>
      <c r="C1193" s="152">
        <v>2.0</v>
      </c>
      <c r="D1193" s="152">
        <v>2.0</v>
      </c>
      <c r="E1193" s="152">
        <v>1.0</v>
      </c>
      <c r="F1193" s="152">
        <v>2.0</v>
      </c>
      <c r="G1193" s="152" t="s">
        <v>8393</v>
      </c>
      <c r="H1193" s="152" t="s">
        <v>8396</v>
      </c>
      <c r="I1193" s="152" t="s">
        <v>6893</v>
      </c>
      <c r="J1193" s="154"/>
      <c r="K1193" s="154"/>
      <c r="L1193" s="154"/>
      <c r="M1193" s="154"/>
      <c r="N1193" s="152" t="s">
        <v>8395</v>
      </c>
    </row>
    <row r="1194">
      <c r="A1194" s="152" t="s">
        <v>8476</v>
      </c>
      <c r="B1194" s="152" t="s">
        <v>8477</v>
      </c>
      <c r="C1194" s="152">
        <v>2.0</v>
      </c>
      <c r="D1194" s="152">
        <v>3.0</v>
      </c>
      <c r="E1194" s="152">
        <v>1.0</v>
      </c>
      <c r="F1194" s="152">
        <v>3.0</v>
      </c>
      <c r="G1194" s="152" t="s">
        <v>8393</v>
      </c>
      <c r="H1194" s="152" t="s">
        <v>8397</v>
      </c>
      <c r="I1194" s="152" t="s">
        <v>6796</v>
      </c>
      <c r="J1194" s="154"/>
      <c r="K1194" s="154"/>
      <c r="L1194" s="154"/>
      <c r="M1194" s="154"/>
      <c r="N1194" s="152" t="s">
        <v>8395</v>
      </c>
    </row>
    <row r="1195">
      <c r="A1195" s="152" t="s">
        <v>8476</v>
      </c>
      <c r="B1195" s="152" t="s">
        <v>8477</v>
      </c>
      <c r="C1195" s="152">
        <v>2.0</v>
      </c>
      <c r="D1195" s="152">
        <v>4.0</v>
      </c>
      <c r="E1195" s="152">
        <v>1.0</v>
      </c>
      <c r="F1195" s="152">
        <v>4.0</v>
      </c>
      <c r="G1195" s="152" t="s">
        <v>8393</v>
      </c>
      <c r="H1195" s="152" t="s">
        <v>8398</v>
      </c>
      <c r="I1195" s="152" t="s">
        <v>6726</v>
      </c>
      <c r="J1195" s="154"/>
      <c r="K1195" s="154"/>
      <c r="L1195" s="154"/>
      <c r="M1195" s="154"/>
      <c r="N1195" s="152" t="s">
        <v>8395</v>
      </c>
    </row>
    <row r="1196">
      <c r="A1196" s="152" t="s">
        <v>8476</v>
      </c>
      <c r="B1196" s="152" t="s">
        <v>8477</v>
      </c>
      <c r="C1196" s="152">
        <v>2.0</v>
      </c>
      <c r="D1196" s="152">
        <v>5.0</v>
      </c>
      <c r="E1196" s="152">
        <v>1.0</v>
      </c>
      <c r="F1196" s="152">
        <v>5.0</v>
      </c>
      <c r="G1196" s="152" t="s">
        <v>8393</v>
      </c>
      <c r="H1196" s="152" t="s">
        <v>8478</v>
      </c>
      <c r="I1196" s="152" t="s">
        <v>6924</v>
      </c>
      <c r="J1196" s="154"/>
      <c r="K1196" s="154"/>
      <c r="L1196" s="154"/>
      <c r="M1196" s="154"/>
      <c r="N1196" s="152" t="s">
        <v>8395</v>
      </c>
    </row>
    <row r="1197">
      <c r="A1197" s="152" t="s">
        <v>8476</v>
      </c>
      <c r="B1197" s="152" t="s">
        <v>8477</v>
      </c>
      <c r="C1197" s="152">
        <v>2.0</v>
      </c>
      <c r="D1197" s="152">
        <v>6.0</v>
      </c>
      <c r="E1197" s="152">
        <v>1.0</v>
      </c>
      <c r="F1197" s="152">
        <v>6.0</v>
      </c>
      <c r="G1197" s="152" t="s">
        <v>8393</v>
      </c>
      <c r="H1197" s="152" t="s">
        <v>8400</v>
      </c>
      <c r="I1197" s="152" t="s">
        <v>6893</v>
      </c>
      <c r="J1197" s="154"/>
      <c r="K1197" s="154"/>
      <c r="L1197" s="154"/>
      <c r="M1197" s="154"/>
      <c r="N1197" s="152" t="s">
        <v>8395</v>
      </c>
    </row>
    <row r="1198">
      <c r="A1198" s="152" t="s">
        <v>8476</v>
      </c>
      <c r="B1198" s="152" t="s">
        <v>8477</v>
      </c>
      <c r="C1198" s="152">
        <v>2.0</v>
      </c>
      <c r="D1198" s="152">
        <v>7.0</v>
      </c>
      <c r="E1198" s="152">
        <v>1.0</v>
      </c>
      <c r="F1198" s="152">
        <v>7.0</v>
      </c>
      <c r="G1198" s="152" t="s">
        <v>8393</v>
      </c>
      <c r="H1198" s="152" t="s">
        <v>8401</v>
      </c>
      <c r="I1198" s="152" t="s">
        <v>6796</v>
      </c>
      <c r="J1198" s="154"/>
      <c r="K1198" s="154"/>
      <c r="L1198" s="154"/>
      <c r="M1198" s="154"/>
      <c r="N1198" s="152" t="s">
        <v>8395</v>
      </c>
    </row>
    <row r="1199">
      <c r="A1199" s="152" t="s">
        <v>8476</v>
      </c>
      <c r="B1199" s="152" t="s">
        <v>8477</v>
      </c>
      <c r="C1199" s="152">
        <v>2.0</v>
      </c>
      <c r="D1199" s="152">
        <v>8.0</v>
      </c>
      <c r="E1199" s="152">
        <v>1.0</v>
      </c>
      <c r="F1199" s="152">
        <v>8.0</v>
      </c>
      <c r="G1199" s="152" t="s">
        <v>8393</v>
      </c>
      <c r="H1199" s="152" t="s">
        <v>8402</v>
      </c>
      <c r="I1199" s="152" t="s">
        <v>6831</v>
      </c>
      <c r="J1199" s="154"/>
      <c r="K1199" s="154"/>
      <c r="L1199" s="154"/>
      <c r="M1199" s="154"/>
      <c r="N1199" s="152" t="s">
        <v>8395</v>
      </c>
    </row>
    <row r="1200">
      <c r="A1200" s="152" t="s">
        <v>8476</v>
      </c>
      <c r="B1200" s="152" t="s">
        <v>8477</v>
      </c>
      <c r="C1200" s="152">
        <v>2.0</v>
      </c>
      <c r="D1200" s="152">
        <v>9.0</v>
      </c>
      <c r="E1200" s="152">
        <v>1.0</v>
      </c>
      <c r="F1200" s="152">
        <v>9.0</v>
      </c>
      <c r="G1200" s="152" t="s">
        <v>8393</v>
      </c>
      <c r="H1200" s="152" t="s">
        <v>8403</v>
      </c>
      <c r="I1200" s="152" t="s">
        <v>6836</v>
      </c>
      <c r="J1200" s="154"/>
      <c r="K1200" s="154"/>
      <c r="L1200" s="154"/>
      <c r="M1200" s="154"/>
      <c r="N1200" s="152" t="s">
        <v>8395</v>
      </c>
    </row>
    <row r="1201">
      <c r="A1201" s="152" t="s">
        <v>8476</v>
      </c>
      <c r="B1201" s="152" t="s">
        <v>8477</v>
      </c>
      <c r="C1201" s="152">
        <v>2.0</v>
      </c>
      <c r="D1201" s="152">
        <v>10.0</v>
      </c>
      <c r="E1201" s="152">
        <v>1.0</v>
      </c>
      <c r="F1201" s="152">
        <v>10.0</v>
      </c>
      <c r="G1201" s="152" t="s">
        <v>8393</v>
      </c>
      <c r="H1201" s="152" t="s">
        <v>8404</v>
      </c>
      <c r="I1201" s="152" t="s">
        <v>8405</v>
      </c>
      <c r="J1201" s="154"/>
      <c r="K1201" s="154"/>
      <c r="L1201" s="154"/>
      <c r="M1201" s="154"/>
      <c r="N1201" s="152" t="s">
        <v>8395</v>
      </c>
    </row>
    <row r="1202">
      <c r="A1202" s="152" t="s">
        <v>8476</v>
      </c>
      <c r="B1202" s="152" t="s">
        <v>8477</v>
      </c>
      <c r="C1202" s="152">
        <v>3.0</v>
      </c>
      <c r="D1202" s="152">
        <v>1.0</v>
      </c>
      <c r="E1202" s="152">
        <v>1.0</v>
      </c>
      <c r="F1202" s="152">
        <v>1.0</v>
      </c>
      <c r="G1202" s="152" t="s">
        <v>8479</v>
      </c>
      <c r="H1202" s="152" t="s">
        <v>8480</v>
      </c>
      <c r="I1202" s="154"/>
      <c r="J1202" s="152" t="s">
        <v>23</v>
      </c>
      <c r="K1202" s="152">
        <v>2669.0</v>
      </c>
      <c r="L1202" s="154"/>
      <c r="M1202" s="154"/>
      <c r="N1202" s="152" t="s">
        <v>8384</v>
      </c>
    </row>
    <row r="1203">
      <c r="A1203" s="152" t="s">
        <v>8476</v>
      </c>
      <c r="B1203" s="152" t="s">
        <v>8477</v>
      </c>
      <c r="C1203" s="152">
        <v>3.0</v>
      </c>
      <c r="D1203" s="152">
        <v>2.0</v>
      </c>
      <c r="E1203" s="152">
        <v>1.0</v>
      </c>
      <c r="F1203" s="152">
        <v>1.0</v>
      </c>
      <c r="G1203" s="152" t="s">
        <v>8479</v>
      </c>
      <c r="H1203" s="152" t="s">
        <v>8481</v>
      </c>
      <c r="I1203" s="154"/>
      <c r="J1203" s="152" t="s">
        <v>23</v>
      </c>
      <c r="K1203" s="152">
        <v>1339.0</v>
      </c>
      <c r="L1203" s="154"/>
      <c r="M1203" s="154"/>
      <c r="N1203" s="152" t="s">
        <v>8384</v>
      </c>
    </row>
    <row r="1204">
      <c r="A1204" s="152" t="s">
        <v>8476</v>
      </c>
      <c r="B1204" s="152" t="s">
        <v>8477</v>
      </c>
      <c r="C1204" s="152">
        <v>3.0</v>
      </c>
      <c r="D1204" s="152">
        <v>3.0</v>
      </c>
      <c r="E1204" s="152">
        <v>1.0</v>
      </c>
      <c r="F1204" s="152">
        <v>1.0</v>
      </c>
      <c r="G1204" s="152" t="s">
        <v>8479</v>
      </c>
      <c r="H1204" s="152" t="s">
        <v>8482</v>
      </c>
      <c r="I1204" s="154"/>
      <c r="J1204" s="152" t="s">
        <v>23</v>
      </c>
      <c r="K1204" s="152">
        <v>2749.0</v>
      </c>
      <c r="L1204" s="154"/>
      <c r="M1204" s="154"/>
      <c r="N1204" s="152" t="s">
        <v>8384</v>
      </c>
    </row>
    <row r="1205">
      <c r="A1205" s="152" t="s">
        <v>8476</v>
      </c>
      <c r="B1205" s="152" t="s">
        <v>8477</v>
      </c>
      <c r="C1205" s="152">
        <v>3.0</v>
      </c>
      <c r="D1205" s="152">
        <v>4.0</v>
      </c>
      <c r="E1205" s="152">
        <v>1.0</v>
      </c>
      <c r="F1205" s="152">
        <v>1.0</v>
      </c>
      <c r="G1205" s="152" t="s">
        <v>8479</v>
      </c>
      <c r="H1205" s="152" t="s">
        <v>8483</v>
      </c>
      <c r="I1205" s="154"/>
      <c r="J1205" s="152" t="s">
        <v>23</v>
      </c>
      <c r="K1205" s="152">
        <v>2749.0</v>
      </c>
      <c r="L1205" s="154"/>
      <c r="M1205" s="154"/>
      <c r="N1205" s="152" t="s">
        <v>8384</v>
      </c>
    </row>
    <row r="1206">
      <c r="A1206" s="152" t="s">
        <v>8476</v>
      </c>
      <c r="B1206" s="152" t="s">
        <v>8477</v>
      </c>
      <c r="C1206" s="152">
        <v>3.0</v>
      </c>
      <c r="D1206" s="152">
        <v>5.0</v>
      </c>
      <c r="E1206" s="152">
        <v>1.0</v>
      </c>
      <c r="F1206" s="152">
        <v>1.0</v>
      </c>
      <c r="G1206" s="152" t="s">
        <v>8479</v>
      </c>
      <c r="H1206" s="152" t="s">
        <v>8484</v>
      </c>
      <c r="I1206" s="154"/>
      <c r="J1206" s="152" t="s">
        <v>23</v>
      </c>
      <c r="K1206" s="152">
        <v>1379.0</v>
      </c>
      <c r="L1206" s="154"/>
      <c r="M1206" s="154"/>
      <c r="N1206" s="152" t="s">
        <v>8384</v>
      </c>
    </row>
    <row r="1207">
      <c r="A1207" s="152" t="s">
        <v>8476</v>
      </c>
      <c r="B1207" s="152" t="s">
        <v>8477</v>
      </c>
      <c r="C1207" s="152">
        <v>3.0</v>
      </c>
      <c r="D1207" s="152">
        <v>6.0</v>
      </c>
      <c r="E1207" s="152">
        <v>1.0</v>
      </c>
      <c r="F1207" s="152">
        <v>1.0</v>
      </c>
      <c r="G1207" s="152" t="s">
        <v>8479</v>
      </c>
      <c r="H1207" s="152" t="s">
        <v>8485</v>
      </c>
      <c r="I1207" s="154"/>
      <c r="J1207" s="152" t="s">
        <v>23</v>
      </c>
      <c r="K1207" s="152">
        <v>1379.0</v>
      </c>
      <c r="L1207" s="154"/>
      <c r="M1207" s="154"/>
      <c r="N1207" s="152" t="s">
        <v>8384</v>
      </c>
    </row>
    <row r="1208">
      <c r="A1208" s="152" t="s">
        <v>8476</v>
      </c>
      <c r="B1208" s="152" t="s">
        <v>8477</v>
      </c>
      <c r="C1208" s="152">
        <v>3.0</v>
      </c>
      <c r="D1208" s="152">
        <v>7.0</v>
      </c>
      <c r="E1208" s="152">
        <v>1.0</v>
      </c>
      <c r="F1208" s="152">
        <v>1.0</v>
      </c>
      <c r="G1208" s="152" t="s">
        <v>8479</v>
      </c>
      <c r="H1208" s="152" t="s">
        <v>8486</v>
      </c>
      <c r="I1208" s="154"/>
      <c r="J1208" s="152" t="s">
        <v>23</v>
      </c>
      <c r="K1208" s="152">
        <v>2979.0</v>
      </c>
      <c r="L1208" s="154"/>
      <c r="M1208" s="154"/>
      <c r="N1208" s="152" t="s">
        <v>8384</v>
      </c>
    </row>
    <row r="1209">
      <c r="A1209" s="152" t="s">
        <v>8476</v>
      </c>
      <c r="B1209" s="152" t="s">
        <v>8477</v>
      </c>
      <c r="C1209" s="152">
        <v>3.0</v>
      </c>
      <c r="D1209" s="152">
        <v>8.0</v>
      </c>
      <c r="E1209" s="152">
        <v>1.0</v>
      </c>
      <c r="F1209" s="152">
        <v>1.0</v>
      </c>
      <c r="G1209" s="152" t="s">
        <v>8479</v>
      </c>
      <c r="H1209" s="152" t="s">
        <v>8487</v>
      </c>
      <c r="I1209" s="154"/>
      <c r="J1209" s="152" t="s">
        <v>23</v>
      </c>
      <c r="K1209" s="152">
        <v>2979.0</v>
      </c>
      <c r="L1209" s="154"/>
      <c r="M1209" s="154"/>
      <c r="N1209" s="152" t="s">
        <v>8384</v>
      </c>
    </row>
    <row r="1210">
      <c r="A1210" s="152" t="s">
        <v>8476</v>
      </c>
      <c r="B1210" s="152" t="s">
        <v>8477</v>
      </c>
      <c r="C1210" s="152">
        <v>3.0</v>
      </c>
      <c r="D1210" s="152">
        <v>9.0</v>
      </c>
      <c r="E1210" s="152">
        <v>1.0</v>
      </c>
      <c r="F1210" s="152">
        <v>1.0</v>
      </c>
      <c r="G1210" s="152" t="s">
        <v>8479</v>
      </c>
      <c r="H1210" s="152" t="s">
        <v>8488</v>
      </c>
      <c r="I1210" s="154"/>
      <c r="J1210" s="152" t="s">
        <v>23</v>
      </c>
      <c r="K1210" s="152">
        <v>1489.0</v>
      </c>
      <c r="L1210" s="154"/>
      <c r="M1210" s="154"/>
      <c r="N1210" s="152" t="s">
        <v>8384</v>
      </c>
    </row>
    <row r="1211">
      <c r="A1211" s="152" t="s">
        <v>8476</v>
      </c>
      <c r="B1211" s="152" t="s">
        <v>8477</v>
      </c>
      <c r="C1211" s="152">
        <v>3.0</v>
      </c>
      <c r="D1211" s="152">
        <v>10.0</v>
      </c>
      <c r="E1211" s="152">
        <v>1.0</v>
      </c>
      <c r="F1211" s="152">
        <v>1.0</v>
      </c>
      <c r="G1211" s="152" t="s">
        <v>8479</v>
      </c>
      <c r="H1211" s="152" t="s">
        <v>8489</v>
      </c>
      <c r="I1211" s="154"/>
      <c r="J1211" s="152" t="s">
        <v>23</v>
      </c>
      <c r="K1211" s="152">
        <v>1489.0</v>
      </c>
      <c r="L1211" s="154"/>
      <c r="M1211" s="154"/>
      <c r="N1211" s="152" t="s">
        <v>8384</v>
      </c>
    </row>
    <row r="1212">
      <c r="A1212" s="152" t="s">
        <v>8476</v>
      </c>
      <c r="B1212" s="152" t="s">
        <v>8477</v>
      </c>
      <c r="C1212" s="152">
        <v>3.0</v>
      </c>
      <c r="D1212" s="152">
        <v>1.0</v>
      </c>
      <c r="E1212" s="152">
        <v>1.0</v>
      </c>
      <c r="F1212" s="152">
        <v>2.0</v>
      </c>
      <c r="G1212" s="152" t="s">
        <v>8479</v>
      </c>
      <c r="H1212" s="152" t="s">
        <v>8480</v>
      </c>
      <c r="I1212" s="154"/>
      <c r="J1212" s="152" t="s">
        <v>23</v>
      </c>
      <c r="K1212" s="152">
        <v>2849.0</v>
      </c>
      <c r="L1212" s="154"/>
      <c r="M1212" s="154"/>
      <c r="N1212" s="152" t="s">
        <v>8384</v>
      </c>
    </row>
    <row r="1213">
      <c r="A1213" s="152" t="s">
        <v>8476</v>
      </c>
      <c r="B1213" s="152" t="s">
        <v>8477</v>
      </c>
      <c r="C1213" s="152">
        <v>3.0</v>
      </c>
      <c r="D1213" s="152">
        <v>2.0</v>
      </c>
      <c r="E1213" s="152">
        <v>1.0</v>
      </c>
      <c r="F1213" s="152">
        <v>2.0</v>
      </c>
      <c r="G1213" s="152" t="s">
        <v>8479</v>
      </c>
      <c r="H1213" s="152" t="s">
        <v>8481</v>
      </c>
      <c r="I1213" s="154"/>
      <c r="J1213" s="152" t="s">
        <v>23</v>
      </c>
      <c r="K1213" s="152">
        <v>1429.0</v>
      </c>
      <c r="L1213" s="154"/>
      <c r="M1213" s="154"/>
      <c r="N1213" s="152" t="s">
        <v>8384</v>
      </c>
    </row>
    <row r="1214">
      <c r="A1214" s="152" t="s">
        <v>8476</v>
      </c>
      <c r="B1214" s="152" t="s">
        <v>8477</v>
      </c>
      <c r="C1214" s="152">
        <v>3.0</v>
      </c>
      <c r="D1214" s="152">
        <v>3.0</v>
      </c>
      <c r="E1214" s="152">
        <v>1.0</v>
      </c>
      <c r="F1214" s="152">
        <v>2.0</v>
      </c>
      <c r="G1214" s="152" t="s">
        <v>8479</v>
      </c>
      <c r="H1214" s="152" t="s">
        <v>8482</v>
      </c>
      <c r="I1214" s="154"/>
      <c r="J1214" s="152" t="s">
        <v>23</v>
      </c>
      <c r="K1214" s="152">
        <v>2939.0</v>
      </c>
      <c r="L1214" s="154"/>
      <c r="M1214" s="154"/>
      <c r="N1214" s="152" t="s">
        <v>8384</v>
      </c>
    </row>
    <row r="1215">
      <c r="A1215" s="152" t="s">
        <v>8476</v>
      </c>
      <c r="B1215" s="152" t="s">
        <v>8477</v>
      </c>
      <c r="C1215" s="152">
        <v>3.0</v>
      </c>
      <c r="D1215" s="152">
        <v>4.0</v>
      </c>
      <c r="E1215" s="152">
        <v>1.0</v>
      </c>
      <c r="F1215" s="152">
        <v>2.0</v>
      </c>
      <c r="G1215" s="152" t="s">
        <v>8479</v>
      </c>
      <c r="H1215" s="152" t="s">
        <v>8483</v>
      </c>
      <c r="I1215" s="154"/>
      <c r="J1215" s="152" t="s">
        <v>23</v>
      </c>
      <c r="K1215" s="152">
        <v>2939.0</v>
      </c>
      <c r="L1215" s="154"/>
      <c r="M1215" s="154"/>
      <c r="N1215" s="152" t="s">
        <v>8384</v>
      </c>
    </row>
    <row r="1216">
      <c r="A1216" s="152" t="s">
        <v>8476</v>
      </c>
      <c r="B1216" s="152" t="s">
        <v>8477</v>
      </c>
      <c r="C1216" s="152">
        <v>3.0</v>
      </c>
      <c r="D1216" s="152">
        <v>5.0</v>
      </c>
      <c r="E1216" s="152">
        <v>1.0</v>
      </c>
      <c r="F1216" s="152">
        <v>2.0</v>
      </c>
      <c r="G1216" s="152" t="s">
        <v>8479</v>
      </c>
      <c r="H1216" s="152" t="s">
        <v>8484</v>
      </c>
      <c r="I1216" s="154"/>
      <c r="J1216" s="152" t="s">
        <v>23</v>
      </c>
      <c r="K1216" s="152">
        <v>1469.0</v>
      </c>
      <c r="L1216" s="154"/>
      <c r="M1216" s="154"/>
      <c r="N1216" s="152" t="s">
        <v>8384</v>
      </c>
    </row>
    <row r="1217">
      <c r="A1217" s="152" t="s">
        <v>8476</v>
      </c>
      <c r="B1217" s="152" t="s">
        <v>8477</v>
      </c>
      <c r="C1217" s="152">
        <v>3.0</v>
      </c>
      <c r="D1217" s="152">
        <v>6.0</v>
      </c>
      <c r="E1217" s="152">
        <v>1.0</v>
      </c>
      <c r="F1217" s="152">
        <v>2.0</v>
      </c>
      <c r="G1217" s="152" t="s">
        <v>8479</v>
      </c>
      <c r="H1217" s="152" t="s">
        <v>8485</v>
      </c>
      <c r="I1217" s="154"/>
      <c r="J1217" s="152" t="s">
        <v>23</v>
      </c>
      <c r="K1217" s="152">
        <v>1469.0</v>
      </c>
      <c r="L1217" s="154"/>
      <c r="M1217" s="154"/>
      <c r="N1217" s="152" t="s">
        <v>8384</v>
      </c>
    </row>
    <row r="1218">
      <c r="A1218" s="152" t="s">
        <v>8476</v>
      </c>
      <c r="B1218" s="152" t="s">
        <v>8477</v>
      </c>
      <c r="C1218" s="152">
        <v>3.0</v>
      </c>
      <c r="D1218" s="152">
        <v>7.0</v>
      </c>
      <c r="E1218" s="152">
        <v>1.0</v>
      </c>
      <c r="F1218" s="152">
        <v>2.0</v>
      </c>
      <c r="G1218" s="152" t="s">
        <v>8479</v>
      </c>
      <c r="H1218" s="152" t="s">
        <v>8486</v>
      </c>
      <c r="I1218" s="154"/>
      <c r="J1218" s="152" t="s">
        <v>23</v>
      </c>
      <c r="K1218" s="152">
        <v>3179.0</v>
      </c>
      <c r="L1218" s="154"/>
      <c r="M1218" s="154"/>
      <c r="N1218" s="152" t="s">
        <v>8384</v>
      </c>
    </row>
    <row r="1219">
      <c r="A1219" s="152" t="s">
        <v>8476</v>
      </c>
      <c r="B1219" s="152" t="s">
        <v>8477</v>
      </c>
      <c r="C1219" s="152">
        <v>3.0</v>
      </c>
      <c r="D1219" s="152">
        <v>8.0</v>
      </c>
      <c r="E1219" s="152">
        <v>1.0</v>
      </c>
      <c r="F1219" s="152">
        <v>2.0</v>
      </c>
      <c r="G1219" s="152" t="s">
        <v>8479</v>
      </c>
      <c r="H1219" s="152" t="s">
        <v>8487</v>
      </c>
      <c r="I1219" s="154"/>
      <c r="J1219" s="152" t="s">
        <v>23</v>
      </c>
      <c r="K1219" s="152">
        <v>3179.0</v>
      </c>
      <c r="L1219" s="154"/>
      <c r="M1219" s="154"/>
      <c r="N1219" s="152" t="s">
        <v>8384</v>
      </c>
    </row>
    <row r="1220">
      <c r="A1220" s="152" t="s">
        <v>8476</v>
      </c>
      <c r="B1220" s="152" t="s">
        <v>8477</v>
      </c>
      <c r="C1220" s="152">
        <v>3.0</v>
      </c>
      <c r="D1220" s="152">
        <v>9.0</v>
      </c>
      <c r="E1220" s="152">
        <v>1.0</v>
      </c>
      <c r="F1220" s="152">
        <v>2.0</v>
      </c>
      <c r="G1220" s="152" t="s">
        <v>8479</v>
      </c>
      <c r="H1220" s="152" t="s">
        <v>8488</v>
      </c>
      <c r="I1220" s="154"/>
      <c r="J1220" s="152" t="s">
        <v>23</v>
      </c>
      <c r="K1220" s="152">
        <v>1599.0</v>
      </c>
      <c r="L1220" s="154"/>
      <c r="M1220" s="154"/>
      <c r="N1220" s="152" t="s">
        <v>8384</v>
      </c>
    </row>
    <row r="1221">
      <c r="A1221" s="152" t="s">
        <v>8476</v>
      </c>
      <c r="B1221" s="152" t="s">
        <v>8477</v>
      </c>
      <c r="C1221" s="152">
        <v>3.0</v>
      </c>
      <c r="D1221" s="152">
        <v>10.0</v>
      </c>
      <c r="E1221" s="152">
        <v>1.0</v>
      </c>
      <c r="F1221" s="152">
        <v>2.0</v>
      </c>
      <c r="G1221" s="152" t="s">
        <v>8479</v>
      </c>
      <c r="H1221" s="152" t="s">
        <v>8489</v>
      </c>
      <c r="I1221" s="154"/>
      <c r="J1221" s="152" t="s">
        <v>23</v>
      </c>
      <c r="K1221" s="152">
        <v>1599.0</v>
      </c>
      <c r="L1221" s="154"/>
      <c r="M1221" s="154"/>
      <c r="N1221" s="152" t="s">
        <v>8384</v>
      </c>
    </row>
    <row r="1222">
      <c r="A1222" s="152" t="s">
        <v>8476</v>
      </c>
      <c r="B1222" s="152" t="s">
        <v>8477</v>
      </c>
      <c r="C1222" s="152">
        <v>3.0</v>
      </c>
      <c r="D1222" s="152">
        <v>1.0</v>
      </c>
      <c r="E1222" s="152">
        <v>1.0</v>
      </c>
      <c r="F1222" s="152">
        <v>3.0</v>
      </c>
      <c r="G1222" s="152" t="s">
        <v>8479</v>
      </c>
      <c r="H1222" s="152" t="s">
        <v>8480</v>
      </c>
      <c r="I1222" s="154"/>
      <c r="J1222" s="152" t="s">
        <v>23</v>
      </c>
      <c r="K1222" s="152">
        <v>2849.0</v>
      </c>
      <c r="L1222" s="154"/>
      <c r="M1222" s="154"/>
      <c r="N1222" s="152" t="s">
        <v>8384</v>
      </c>
    </row>
    <row r="1223">
      <c r="A1223" s="152" t="s">
        <v>8476</v>
      </c>
      <c r="B1223" s="152" t="s">
        <v>8477</v>
      </c>
      <c r="C1223" s="152">
        <v>3.0</v>
      </c>
      <c r="D1223" s="152">
        <v>2.0</v>
      </c>
      <c r="E1223" s="152">
        <v>1.0</v>
      </c>
      <c r="F1223" s="152">
        <v>3.0</v>
      </c>
      <c r="G1223" s="152" t="s">
        <v>8479</v>
      </c>
      <c r="H1223" s="152" t="s">
        <v>8481</v>
      </c>
      <c r="I1223" s="154"/>
      <c r="J1223" s="152" t="s">
        <v>23</v>
      </c>
      <c r="K1223" s="152">
        <v>1429.0</v>
      </c>
      <c r="L1223" s="154"/>
      <c r="M1223" s="154"/>
      <c r="N1223" s="152" t="s">
        <v>8384</v>
      </c>
    </row>
    <row r="1224">
      <c r="A1224" s="152" t="s">
        <v>8476</v>
      </c>
      <c r="B1224" s="152" t="s">
        <v>8477</v>
      </c>
      <c r="C1224" s="152">
        <v>3.0</v>
      </c>
      <c r="D1224" s="152">
        <v>3.0</v>
      </c>
      <c r="E1224" s="152">
        <v>1.0</v>
      </c>
      <c r="F1224" s="152">
        <v>3.0</v>
      </c>
      <c r="G1224" s="152" t="s">
        <v>8479</v>
      </c>
      <c r="H1224" s="152" t="s">
        <v>8482</v>
      </c>
      <c r="I1224" s="154"/>
      <c r="J1224" s="152" t="s">
        <v>23</v>
      </c>
      <c r="K1224" s="152">
        <v>2939.0</v>
      </c>
      <c r="L1224" s="154"/>
      <c r="M1224" s="154"/>
      <c r="N1224" s="152" t="s">
        <v>8384</v>
      </c>
    </row>
    <row r="1225">
      <c r="A1225" s="152" t="s">
        <v>8476</v>
      </c>
      <c r="B1225" s="152" t="s">
        <v>8477</v>
      </c>
      <c r="C1225" s="152">
        <v>3.0</v>
      </c>
      <c r="D1225" s="152">
        <v>4.0</v>
      </c>
      <c r="E1225" s="152">
        <v>1.0</v>
      </c>
      <c r="F1225" s="152">
        <v>3.0</v>
      </c>
      <c r="G1225" s="152" t="s">
        <v>8479</v>
      </c>
      <c r="H1225" s="152" t="s">
        <v>8483</v>
      </c>
      <c r="I1225" s="154"/>
      <c r="J1225" s="152" t="s">
        <v>23</v>
      </c>
      <c r="K1225" s="152">
        <v>2939.0</v>
      </c>
      <c r="L1225" s="154"/>
      <c r="M1225" s="154"/>
      <c r="N1225" s="152" t="s">
        <v>8384</v>
      </c>
    </row>
    <row r="1226">
      <c r="A1226" s="152" t="s">
        <v>8476</v>
      </c>
      <c r="B1226" s="152" t="s">
        <v>8477</v>
      </c>
      <c r="C1226" s="152">
        <v>3.0</v>
      </c>
      <c r="D1226" s="152">
        <v>5.0</v>
      </c>
      <c r="E1226" s="152">
        <v>1.0</v>
      </c>
      <c r="F1226" s="152">
        <v>3.0</v>
      </c>
      <c r="G1226" s="152" t="s">
        <v>8479</v>
      </c>
      <c r="H1226" s="152" t="s">
        <v>8484</v>
      </c>
      <c r="I1226" s="154"/>
      <c r="J1226" s="152" t="s">
        <v>23</v>
      </c>
      <c r="K1226" s="152">
        <v>1469.0</v>
      </c>
      <c r="L1226" s="154"/>
      <c r="M1226" s="154"/>
      <c r="N1226" s="152" t="s">
        <v>8384</v>
      </c>
    </row>
    <row r="1227">
      <c r="A1227" s="152" t="s">
        <v>8476</v>
      </c>
      <c r="B1227" s="152" t="s">
        <v>8477</v>
      </c>
      <c r="C1227" s="152">
        <v>3.0</v>
      </c>
      <c r="D1227" s="152">
        <v>6.0</v>
      </c>
      <c r="E1227" s="152">
        <v>1.0</v>
      </c>
      <c r="F1227" s="152">
        <v>3.0</v>
      </c>
      <c r="G1227" s="152" t="s">
        <v>8479</v>
      </c>
      <c r="H1227" s="152" t="s">
        <v>8485</v>
      </c>
      <c r="I1227" s="154"/>
      <c r="J1227" s="152" t="s">
        <v>23</v>
      </c>
      <c r="K1227" s="152">
        <v>1469.0</v>
      </c>
      <c r="L1227" s="154"/>
      <c r="M1227" s="154"/>
      <c r="N1227" s="152" t="s">
        <v>8384</v>
      </c>
    </row>
    <row r="1228">
      <c r="A1228" s="152" t="s">
        <v>8476</v>
      </c>
      <c r="B1228" s="152" t="s">
        <v>8477</v>
      </c>
      <c r="C1228" s="152">
        <v>3.0</v>
      </c>
      <c r="D1228" s="152">
        <v>7.0</v>
      </c>
      <c r="E1228" s="152">
        <v>1.0</v>
      </c>
      <c r="F1228" s="152">
        <v>3.0</v>
      </c>
      <c r="G1228" s="152" t="s">
        <v>8479</v>
      </c>
      <c r="H1228" s="152" t="s">
        <v>8486</v>
      </c>
      <c r="I1228" s="154"/>
      <c r="J1228" s="152" t="s">
        <v>23</v>
      </c>
      <c r="K1228" s="152">
        <v>3179.0</v>
      </c>
      <c r="L1228" s="154"/>
      <c r="M1228" s="154"/>
      <c r="N1228" s="152" t="s">
        <v>8384</v>
      </c>
    </row>
    <row r="1229">
      <c r="A1229" s="152" t="s">
        <v>8476</v>
      </c>
      <c r="B1229" s="152" t="s">
        <v>8477</v>
      </c>
      <c r="C1229" s="152">
        <v>3.0</v>
      </c>
      <c r="D1229" s="152">
        <v>8.0</v>
      </c>
      <c r="E1229" s="152">
        <v>1.0</v>
      </c>
      <c r="F1229" s="152">
        <v>3.0</v>
      </c>
      <c r="G1229" s="152" t="s">
        <v>8479</v>
      </c>
      <c r="H1229" s="152" t="s">
        <v>8487</v>
      </c>
      <c r="I1229" s="154"/>
      <c r="J1229" s="152" t="s">
        <v>23</v>
      </c>
      <c r="K1229" s="152">
        <v>3179.0</v>
      </c>
      <c r="L1229" s="154"/>
      <c r="M1229" s="154"/>
      <c r="N1229" s="152" t="s">
        <v>8384</v>
      </c>
    </row>
    <row r="1230">
      <c r="A1230" s="152" t="s">
        <v>8476</v>
      </c>
      <c r="B1230" s="152" t="s">
        <v>8477</v>
      </c>
      <c r="C1230" s="152">
        <v>3.0</v>
      </c>
      <c r="D1230" s="152">
        <v>9.0</v>
      </c>
      <c r="E1230" s="152">
        <v>1.0</v>
      </c>
      <c r="F1230" s="152">
        <v>3.0</v>
      </c>
      <c r="G1230" s="152" t="s">
        <v>8479</v>
      </c>
      <c r="H1230" s="152" t="s">
        <v>8488</v>
      </c>
      <c r="I1230" s="154"/>
      <c r="J1230" s="152" t="s">
        <v>23</v>
      </c>
      <c r="K1230" s="152">
        <v>1599.0</v>
      </c>
      <c r="L1230" s="154"/>
      <c r="M1230" s="154"/>
      <c r="N1230" s="152" t="s">
        <v>8384</v>
      </c>
    </row>
    <row r="1231">
      <c r="A1231" s="152" t="s">
        <v>8476</v>
      </c>
      <c r="B1231" s="152" t="s">
        <v>8477</v>
      </c>
      <c r="C1231" s="152">
        <v>3.0</v>
      </c>
      <c r="D1231" s="152">
        <v>10.0</v>
      </c>
      <c r="E1231" s="152">
        <v>1.0</v>
      </c>
      <c r="F1231" s="152">
        <v>3.0</v>
      </c>
      <c r="G1231" s="152" t="s">
        <v>8479</v>
      </c>
      <c r="H1231" s="152" t="s">
        <v>8489</v>
      </c>
      <c r="I1231" s="154"/>
      <c r="J1231" s="152" t="s">
        <v>23</v>
      </c>
      <c r="K1231" s="152">
        <v>1599.0</v>
      </c>
      <c r="L1231" s="154"/>
      <c r="M1231" s="154"/>
      <c r="N1231" s="152" t="s">
        <v>8384</v>
      </c>
    </row>
    <row r="1232">
      <c r="A1232" s="152" t="s">
        <v>8476</v>
      </c>
      <c r="B1232" s="152" t="s">
        <v>8477</v>
      </c>
      <c r="C1232" s="152">
        <v>3.0</v>
      </c>
      <c r="D1232" s="152">
        <v>1.0</v>
      </c>
      <c r="E1232" s="152">
        <v>1.0</v>
      </c>
      <c r="F1232" s="152">
        <v>4.0</v>
      </c>
      <c r="G1232" s="152" t="s">
        <v>8479</v>
      </c>
      <c r="H1232" s="152" t="s">
        <v>8480</v>
      </c>
      <c r="I1232" s="154"/>
      <c r="J1232" s="152" t="s">
        <v>23</v>
      </c>
      <c r="K1232" s="152">
        <v>2849.0</v>
      </c>
      <c r="L1232" s="154"/>
      <c r="M1232" s="154"/>
      <c r="N1232" s="152" t="s">
        <v>8384</v>
      </c>
    </row>
    <row r="1233">
      <c r="A1233" s="152" t="s">
        <v>8476</v>
      </c>
      <c r="B1233" s="152" t="s">
        <v>8477</v>
      </c>
      <c r="C1233" s="152">
        <v>3.0</v>
      </c>
      <c r="D1233" s="152">
        <v>2.0</v>
      </c>
      <c r="E1233" s="152">
        <v>1.0</v>
      </c>
      <c r="F1233" s="152">
        <v>4.0</v>
      </c>
      <c r="G1233" s="152" t="s">
        <v>8479</v>
      </c>
      <c r="H1233" s="152" t="s">
        <v>8481</v>
      </c>
      <c r="I1233" s="154"/>
      <c r="J1233" s="152" t="s">
        <v>23</v>
      </c>
      <c r="K1233" s="152">
        <v>1429.0</v>
      </c>
      <c r="L1233" s="154"/>
      <c r="M1233" s="154"/>
      <c r="N1233" s="152" t="s">
        <v>8384</v>
      </c>
    </row>
    <row r="1234">
      <c r="A1234" s="152" t="s">
        <v>8476</v>
      </c>
      <c r="B1234" s="152" t="s">
        <v>8477</v>
      </c>
      <c r="C1234" s="152">
        <v>3.0</v>
      </c>
      <c r="D1234" s="152">
        <v>3.0</v>
      </c>
      <c r="E1234" s="152">
        <v>1.0</v>
      </c>
      <c r="F1234" s="152">
        <v>4.0</v>
      </c>
      <c r="G1234" s="152" t="s">
        <v>8479</v>
      </c>
      <c r="H1234" s="152" t="s">
        <v>8482</v>
      </c>
      <c r="I1234" s="154"/>
      <c r="J1234" s="152" t="s">
        <v>23</v>
      </c>
      <c r="K1234" s="152">
        <v>2939.0</v>
      </c>
      <c r="L1234" s="154"/>
      <c r="M1234" s="154"/>
      <c r="N1234" s="152" t="s">
        <v>8384</v>
      </c>
    </row>
    <row r="1235">
      <c r="A1235" s="152" t="s">
        <v>8476</v>
      </c>
      <c r="B1235" s="152" t="s">
        <v>8477</v>
      </c>
      <c r="C1235" s="152">
        <v>3.0</v>
      </c>
      <c r="D1235" s="152">
        <v>4.0</v>
      </c>
      <c r="E1235" s="152">
        <v>1.0</v>
      </c>
      <c r="F1235" s="152">
        <v>4.0</v>
      </c>
      <c r="G1235" s="152" t="s">
        <v>8479</v>
      </c>
      <c r="H1235" s="152" t="s">
        <v>8483</v>
      </c>
      <c r="I1235" s="154"/>
      <c r="J1235" s="152" t="s">
        <v>23</v>
      </c>
      <c r="K1235" s="152">
        <v>2939.0</v>
      </c>
      <c r="L1235" s="154"/>
      <c r="M1235" s="154"/>
      <c r="N1235" s="152" t="s">
        <v>8384</v>
      </c>
    </row>
    <row r="1236">
      <c r="A1236" s="152" t="s">
        <v>8476</v>
      </c>
      <c r="B1236" s="152" t="s">
        <v>8477</v>
      </c>
      <c r="C1236" s="152">
        <v>3.0</v>
      </c>
      <c r="D1236" s="152">
        <v>5.0</v>
      </c>
      <c r="E1236" s="152">
        <v>1.0</v>
      </c>
      <c r="F1236" s="152">
        <v>4.0</v>
      </c>
      <c r="G1236" s="152" t="s">
        <v>8479</v>
      </c>
      <c r="H1236" s="152" t="s">
        <v>8484</v>
      </c>
      <c r="I1236" s="154"/>
      <c r="J1236" s="152" t="s">
        <v>23</v>
      </c>
      <c r="K1236" s="152">
        <v>1469.0</v>
      </c>
      <c r="L1236" s="154"/>
      <c r="M1236" s="154"/>
      <c r="N1236" s="152" t="s">
        <v>8384</v>
      </c>
    </row>
    <row r="1237">
      <c r="A1237" s="152" t="s">
        <v>8476</v>
      </c>
      <c r="B1237" s="152" t="s">
        <v>8477</v>
      </c>
      <c r="C1237" s="152">
        <v>3.0</v>
      </c>
      <c r="D1237" s="152">
        <v>6.0</v>
      </c>
      <c r="E1237" s="152">
        <v>1.0</v>
      </c>
      <c r="F1237" s="152">
        <v>4.0</v>
      </c>
      <c r="G1237" s="152" t="s">
        <v>8479</v>
      </c>
      <c r="H1237" s="152" t="s">
        <v>8485</v>
      </c>
      <c r="I1237" s="154"/>
      <c r="J1237" s="152" t="s">
        <v>23</v>
      </c>
      <c r="K1237" s="152">
        <v>1469.0</v>
      </c>
      <c r="L1237" s="154"/>
      <c r="M1237" s="154"/>
      <c r="N1237" s="152" t="s">
        <v>8384</v>
      </c>
    </row>
    <row r="1238">
      <c r="A1238" s="152" t="s">
        <v>8476</v>
      </c>
      <c r="B1238" s="152" t="s">
        <v>8477</v>
      </c>
      <c r="C1238" s="152">
        <v>3.0</v>
      </c>
      <c r="D1238" s="152">
        <v>7.0</v>
      </c>
      <c r="E1238" s="152">
        <v>1.0</v>
      </c>
      <c r="F1238" s="152">
        <v>4.0</v>
      </c>
      <c r="G1238" s="152" t="s">
        <v>8479</v>
      </c>
      <c r="H1238" s="152" t="s">
        <v>8486</v>
      </c>
      <c r="I1238" s="154"/>
      <c r="J1238" s="152" t="s">
        <v>23</v>
      </c>
      <c r="K1238" s="152">
        <v>3179.0</v>
      </c>
      <c r="L1238" s="154"/>
      <c r="M1238" s="154"/>
      <c r="N1238" s="152" t="s">
        <v>8384</v>
      </c>
    </row>
    <row r="1239">
      <c r="A1239" s="152" t="s">
        <v>8476</v>
      </c>
      <c r="B1239" s="152" t="s">
        <v>8477</v>
      </c>
      <c r="C1239" s="152">
        <v>3.0</v>
      </c>
      <c r="D1239" s="152">
        <v>8.0</v>
      </c>
      <c r="E1239" s="152">
        <v>1.0</v>
      </c>
      <c r="F1239" s="152">
        <v>4.0</v>
      </c>
      <c r="G1239" s="152" t="s">
        <v>8479</v>
      </c>
      <c r="H1239" s="152" t="s">
        <v>8487</v>
      </c>
      <c r="I1239" s="154"/>
      <c r="J1239" s="152" t="s">
        <v>23</v>
      </c>
      <c r="K1239" s="152">
        <v>3179.0</v>
      </c>
      <c r="L1239" s="154"/>
      <c r="M1239" s="154"/>
      <c r="N1239" s="152" t="s">
        <v>8384</v>
      </c>
    </row>
    <row r="1240">
      <c r="A1240" s="152" t="s">
        <v>8476</v>
      </c>
      <c r="B1240" s="152" t="s">
        <v>8477</v>
      </c>
      <c r="C1240" s="152">
        <v>3.0</v>
      </c>
      <c r="D1240" s="152">
        <v>9.0</v>
      </c>
      <c r="E1240" s="152">
        <v>1.0</v>
      </c>
      <c r="F1240" s="152">
        <v>4.0</v>
      </c>
      <c r="G1240" s="152" t="s">
        <v>8479</v>
      </c>
      <c r="H1240" s="152" t="s">
        <v>8488</v>
      </c>
      <c r="I1240" s="154"/>
      <c r="J1240" s="152" t="s">
        <v>23</v>
      </c>
      <c r="K1240" s="152">
        <v>1599.0</v>
      </c>
      <c r="L1240" s="154"/>
      <c r="M1240" s="154"/>
      <c r="N1240" s="152" t="s">
        <v>8384</v>
      </c>
    </row>
    <row r="1241">
      <c r="A1241" s="152" t="s">
        <v>8476</v>
      </c>
      <c r="B1241" s="152" t="s">
        <v>8477</v>
      </c>
      <c r="C1241" s="152">
        <v>3.0</v>
      </c>
      <c r="D1241" s="152">
        <v>10.0</v>
      </c>
      <c r="E1241" s="152">
        <v>1.0</v>
      </c>
      <c r="F1241" s="152">
        <v>4.0</v>
      </c>
      <c r="G1241" s="152" t="s">
        <v>8479</v>
      </c>
      <c r="H1241" s="152" t="s">
        <v>8489</v>
      </c>
      <c r="I1241" s="154"/>
      <c r="J1241" s="152" t="s">
        <v>23</v>
      </c>
      <c r="K1241" s="152">
        <v>1599.0</v>
      </c>
      <c r="L1241" s="154"/>
      <c r="M1241" s="154"/>
      <c r="N1241" s="152" t="s">
        <v>8384</v>
      </c>
    </row>
    <row r="1242">
      <c r="A1242" s="152" t="s">
        <v>8476</v>
      </c>
      <c r="B1242" s="152" t="s">
        <v>8477</v>
      </c>
      <c r="C1242" s="152">
        <v>3.0</v>
      </c>
      <c r="D1242" s="152">
        <v>1.0</v>
      </c>
      <c r="E1242" s="152">
        <v>1.0</v>
      </c>
      <c r="F1242" s="152">
        <v>5.0</v>
      </c>
      <c r="G1242" s="152" t="s">
        <v>8479</v>
      </c>
      <c r="H1242" s="152" t="s">
        <v>8480</v>
      </c>
      <c r="I1242" s="154"/>
      <c r="J1242" s="152" t="s">
        <v>23</v>
      </c>
      <c r="K1242" s="152">
        <v>2849.0</v>
      </c>
      <c r="L1242" s="154"/>
      <c r="M1242" s="154"/>
      <c r="N1242" s="152" t="s">
        <v>8384</v>
      </c>
    </row>
    <row r="1243">
      <c r="A1243" s="152" t="s">
        <v>8476</v>
      </c>
      <c r="B1243" s="152" t="s">
        <v>8477</v>
      </c>
      <c r="C1243" s="152">
        <v>3.0</v>
      </c>
      <c r="D1243" s="152">
        <v>2.0</v>
      </c>
      <c r="E1243" s="152">
        <v>1.0</v>
      </c>
      <c r="F1243" s="152">
        <v>5.0</v>
      </c>
      <c r="G1243" s="152" t="s">
        <v>8479</v>
      </c>
      <c r="H1243" s="152" t="s">
        <v>8481</v>
      </c>
      <c r="I1243" s="154"/>
      <c r="J1243" s="152" t="s">
        <v>23</v>
      </c>
      <c r="K1243" s="152">
        <v>1429.0</v>
      </c>
      <c r="L1243" s="154"/>
      <c r="M1243" s="154"/>
      <c r="N1243" s="152" t="s">
        <v>8384</v>
      </c>
    </row>
    <row r="1244">
      <c r="A1244" s="152" t="s">
        <v>8476</v>
      </c>
      <c r="B1244" s="152" t="s">
        <v>8477</v>
      </c>
      <c r="C1244" s="152">
        <v>3.0</v>
      </c>
      <c r="D1244" s="152">
        <v>3.0</v>
      </c>
      <c r="E1244" s="152">
        <v>1.0</v>
      </c>
      <c r="F1244" s="152">
        <v>5.0</v>
      </c>
      <c r="G1244" s="152" t="s">
        <v>8479</v>
      </c>
      <c r="H1244" s="152" t="s">
        <v>8482</v>
      </c>
      <c r="I1244" s="154"/>
      <c r="J1244" s="152" t="s">
        <v>23</v>
      </c>
      <c r="K1244" s="152">
        <v>2939.0</v>
      </c>
      <c r="L1244" s="154"/>
      <c r="M1244" s="154"/>
      <c r="N1244" s="152" t="s">
        <v>8384</v>
      </c>
    </row>
    <row r="1245">
      <c r="A1245" s="152" t="s">
        <v>8476</v>
      </c>
      <c r="B1245" s="152" t="s">
        <v>8477</v>
      </c>
      <c r="C1245" s="152">
        <v>3.0</v>
      </c>
      <c r="D1245" s="152">
        <v>4.0</v>
      </c>
      <c r="E1245" s="152">
        <v>1.0</v>
      </c>
      <c r="F1245" s="152">
        <v>5.0</v>
      </c>
      <c r="G1245" s="152" t="s">
        <v>8479</v>
      </c>
      <c r="H1245" s="152" t="s">
        <v>8483</v>
      </c>
      <c r="I1245" s="154"/>
      <c r="J1245" s="152" t="s">
        <v>23</v>
      </c>
      <c r="K1245" s="152">
        <v>2939.0</v>
      </c>
      <c r="L1245" s="154"/>
      <c r="M1245" s="154"/>
      <c r="N1245" s="152" t="s">
        <v>8384</v>
      </c>
    </row>
    <row r="1246">
      <c r="A1246" s="152" t="s">
        <v>8476</v>
      </c>
      <c r="B1246" s="152" t="s">
        <v>8477</v>
      </c>
      <c r="C1246" s="152">
        <v>3.0</v>
      </c>
      <c r="D1246" s="152">
        <v>5.0</v>
      </c>
      <c r="E1246" s="152">
        <v>1.0</v>
      </c>
      <c r="F1246" s="152">
        <v>5.0</v>
      </c>
      <c r="G1246" s="152" t="s">
        <v>8479</v>
      </c>
      <c r="H1246" s="152" t="s">
        <v>8484</v>
      </c>
      <c r="I1246" s="154"/>
      <c r="J1246" s="152" t="s">
        <v>23</v>
      </c>
      <c r="K1246" s="152">
        <v>1469.0</v>
      </c>
      <c r="L1246" s="154"/>
      <c r="M1246" s="154"/>
      <c r="N1246" s="152" t="s">
        <v>8384</v>
      </c>
    </row>
    <row r="1247">
      <c r="A1247" s="152" t="s">
        <v>8476</v>
      </c>
      <c r="B1247" s="152" t="s">
        <v>8477</v>
      </c>
      <c r="C1247" s="152">
        <v>3.0</v>
      </c>
      <c r="D1247" s="152">
        <v>6.0</v>
      </c>
      <c r="E1247" s="152">
        <v>1.0</v>
      </c>
      <c r="F1247" s="152">
        <v>5.0</v>
      </c>
      <c r="G1247" s="152" t="s">
        <v>8479</v>
      </c>
      <c r="H1247" s="152" t="s">
        <v>8485</v>
      </c>
      <c r="I1247" s="154"/>
      <c r="J1247" s="152" t="s">
        <v>23</v>
      </c>
      <c r="K1247" s="152">
        <v>1469.0</v>
      </c>
      <c r="L1247" s="154"/>
      <c r="M1247" s="154"/>
      <c r="N1247" s="152" t="s">
        <v>8384</v>
      </c>
    </row>
    <row r="1248">
      <c r="A1248" s="152" t="s">
        <v>8476</v>
      </c>
      <c r="B1248" s="152" t="s">
        <v>8477</v>
      </c>
      <c r="C1248" s="152">
        <v>3.0</v>
      </c>
      <c r="D1248" s="152">
        <v>7.0</v>
      </c>
      <c r="E1248" s="152">
        <v>1.0</v>
      </c>
      <c r="F1248" s="152">
        <v>5.0</v>
      </c>
      <c r="G1248" s="152" t="s">
        <v>8479</v>
      </c>
      <c r="H1248" s="152" t="s">
        <v>8486</v>
      </c>
      <c r="I1248" s="154"/>
      <c r="J1248" s="152" t="s">
        <v>23</v>
      </c>
      <c r="K1248" s="152">
        <v>3179.0</v>
      </c>
      <c r="L1248" s="154"/>
      <c r="M1248" s="154"/>
      <c r="N1248" s="152" t="s">
        <v>8384</v>
      </c>
    </row>
    <row r="1249">
      <c r="A1249" s="152" t="s">
        <v>8476</v>
      </c>
      <c r="B1249" s="152" t="s">
        <v>8477</v>
      </c>
      <c r="C1249" s="152">
        <v>3.0</v>
      </c>
      <c r="D1249" s="152">
        <v>8.0</v>
      </c>
      <c r="E1249" s="152">
        <v>1.0</v>
      </c>
      <c r="F1249" s="152">
        <v>5.0</v>
      </c>
      <c r="G1249" s="152" t="s">
        <v>8479</v>
      </c>
      <c r="H1249" s="152" t="s">
        <v>8487</v>
      </c>
      <c r="I1249" s="154"/>
      <c r="J1249" s="152" t="s">
        <v>23</v>
      </c>
      <c r="K1249" s="152">
        <v>3179.0</v>
      </c>
      <c r="L1249" s="154"/>
      <c r="M1249" s="154"/>
      <c r="N1249" s="152" t="s">
        <v>8384</v>
      </c>
    </row>
    <row r="1250">
      <c r="A1250" s="152" t="s">
        <v>8476</v>
      </c>
      <c r="B1250" s="152" t="s">
        <v>8477</v>
      </c>
      <c r="C1250" s="152">
        <v>3.0</v>
      </c>
      <c r="D1250" s="152">
        <v>9.0</v>
      </c>
      <c r="E1250" s="152">
        <v>1.0</v>
      </c>
      <c r="F1250" s="152">
        <v>5.0</v>
      </c>
      <c r="G1250" s="152" t="s">
        <v>8479</v>
      </c>
      <c r="H1250" s="152" t="s">
        <v>8488</v>
      </c>
      <c r="I1250" s="154"/>
      <c r="J1250" s="152" t="s">
        <v>23</v>
      </c>
      <c r="K1250" s="152">
        <v>1599.0</v>
      </c>
      <c r="L1250" s="154"/>
      <c r="M1250" s="154"/>
      <c r="N1250" s="152" t="s">
        <v>8384</v>
      </c>
    </row>
    <row r="1251">
      <c r="A1251" s="152" t="s">
        <v>8476</v>
      </c>
      <c r="B1251" s="152" t="s">
        <v>8477</v>
      </c>
      <c r="C1251" s="152">
        <v>3.0</v>
      </c>
      <c r="D1251" s="152">
        <v>10.0</v>
      </c>
      <c r="E1251" s="152">
        <v>1.0</v>
      </c>
      <c r="F1251" s="152">
        <v>5.0</v>
      </c>
      <c r="G1251" s="152" t="s">
        <v>8479</v>
      </c>
      <c r="H1251" s="152" t="s">
        <v>8489</v>
      </c>
      <c r="I1251" s="154"/>
      <c r="J1251" s="152" t="s">
        <v>23</v>
      </c>
      <c r="K1251" s="152">
        <v>1599.0</v>
      </c>
      <c r="L1251" s="154"/>
      <c r="M1251" s="154"/>
      <c r="N1251" s="152" t="s">
        <v>8384</v>
      </c>
    </row>
    <row r="1252">
      <c r="A1252" s="152" t="s">
        <v>8476</v>
      </c>
      <c r="B1252" s="152" t="s">
        <v>8477</v>
      </c>
      <c r="C1252" s="152">
        <v>3.0</v>
      </c>
      <c r="D1252" s="152">
        <v>1.0</v>
      </c>
      <c r="E1252" s="152">
        <v>1.0</v>
      </c>
      <c r="F1252" s="152">
        <v>6.0</v>
      </c>
      <c r="G1252" s="152" t="s">
        <v>8479</v>
      </c>
      <c r="H1252" s="152" t="s">
        <v>8480</v>
      </c>
      <c r="I1252" s="154"/>
      <c r="J1252" s="152" t="s">
        <v>23</v>
      </c>
      <c r="K1252" s="152">
        <v>3339.0</v>
      </c>
      <c r="L1252" s="154"/>
      <c r="M1252" s="154"/>
      <c r="N1252" s="152" t="s">
        <v>8384</v>
      </c>
    </row>
    <row r="1253">
      <c r="A1253" s="152" t="s">
        <v>8476</v>
      </c>
      <c r="B1253" s="152" t="s">
        <v>8477</v>
      </c>
      <c r="C1253" s="152">
        <v>3.0</v>
      </c>
      <c r="D1253" s="152">
        <v>2.0</v>
      </c>
      <c r="E1253" s="152">
        <v>1.0</v>
      </c>
      <c r="F1253" s="152">
        <v>6.0</v>
      </c>
      <c r="G1253" s="152" t="s">
        <v>8479</v>
      </c>
      <c r="H1253" s="152" t="s">
        <v>8481</v>
      </c>
      <c r="I1253" s="154"/>
      <c r="J1253" s="152" t="s">
        <v>23</v>
      </c>
      <c r="K1253" s="152">
        <v>1669.0</v>
      </c>
      <c r="L1253" s="154"/>
      <c r="M1253" s="154"/>
      <c r="N1253" s="152" t="s">
        <v>8384</v>
      </c>
    </row>
    <row r="1254">
      <c r="A1254" s="152" t="s">
        <v>8476</v>
      </c>
      <c r="B1254" s="152" t="s">
        <v>8477</v>
      </c>
      <c r="C1254" s="152">
        <v>3.0</v>
      </c>
      <c r="D1254" s="152">
        <v>3.0</v>
      </c>
      <c r="E1254" s="152">
        <v>1.0</v>
      </c>
      <c r="F1254" s="152">
        <v>6.0</v>
      </c>
      <c r="G1254" s="152" t="s">
        <v>8479</v>
      </c>
      <c r="H1254" s="152" t="s">
        <v>8482</v>
      </c>
      <c r="I1254" s="154"/>
      <c r="J1254" s="152" t="s">
        <v>23</v>
      </c>
      <c r="K1254" s="152">
        <v>3429.0</v>
      </c>
      <c r="L1254" s="154"/>
      <c r="M1254" s="154"/>
      <c r="N1254" s="152" t="s">
        <v>8384</v>
      </c>
    </row>
    <row r="1255">
      <c r="A1255" s="152" t="s">
        <v>8476</v>
      </c>
      <c r="B1255" s="152" t="s">
        <v>8477</v>
      </c>
      <c r="C1255" s="152">
        <v>3.0</v>
      </c>
      <c r="D1255" s="152">
        <v>4.0</v>
      </c>
      <c r="E1255" s="152">
        <v>1.0</v>
      </c>
      <c r="F1255" s="152">
        <v>6.0</v>
      </c>
      <c r="G1255" s="152" t="s">
        <v>8479</v>
      </c>
      <c r="H1255" s="152" t="s">
        <v>8483</v>
      </c>
      <c r="I1255" s="154"/>
      <c r="J1255" s="152" t="s">
        <v>23</v>
      </c>
      <c r="K1255" s="152">
        <v>3429.0</v>
      </c>
      <c r="L1255" s="154"/>
      <c r="M1255" s="154"/>
      <c r="N1255" s="152" t="s">
        <v>8384</v>
      </c>
    </row>
    <row r="1256">
      <c r="A1256" s="152" t="s">
        <v>8476</v>
      </c>
      <c r="B1256" s="152" t="s">
        <v>8477</v>
      </c>
      <c r="C1256" s="152">
        <v>3.0</v>
      </c>
      <c r="D1256" s="152">
        <v>5.0</v>
      </c>
      <c r="E1256" s="152">
        <v>1.0</v>
      </c>
      <c r="F1256" s="152">
        <v>6.0</v>
      </c>
      <c r="G1256" s="152" t="s">
        <v>8479</v>
      </c>
      <c r="H1256" s="152" t="s">
        <v>8484</v>
      </c>
      <c r="I1256" s="154"/>
      <c r="J1256" s="152" t="s">
        <v>23</v>
      </c>
      <c r="K1256" s="152">
        <v>1719.0</v>
      </c>
      <c r="L1256" s="154"/>
      <c r="M1256" s="154"/>
      <c r="N1256" s="152" t="s">
        <v>8384</v>
      </c>
    </row>
    <row r="1257">
      <c r="A1257" s="152" t="s">
        <v>8476</v>
      </c>
      <c r="B1257" s="152" t="s">
        <v>8477</v>
      </c>
      <c r="C1257" s="152">
        <v>3.0</v>
      </c>
      <c r="D1257" s="152">
        <v>6.0</v>
      </c>
      <c r="E1257" s="152">
        <v>1.0</v>
      </c>
      <c r="F1257" s="152">
        <v>6.0</v>
      </c>
      <c r="G1257" s="152" t="s">
        <v>8479</v>
      </c>
      <c r="H1257" s="152" t="s">
        <v>8485</v>
      </c>
      <c r="I1257" s="154"/>
      <c r="J1257" s="152" t="s">
        <v>23</v>
      </c>
      <c r="K1257" s="152">
        <v>1719.0</v>
      </c>
      <c r="L1257" s="154"/>
      <c r="M1257" s="154"/>
      <c r="N1257" s="152" t="s">
        <v>8384</v>
      </c>
    </row>
    <row r="1258">
      <c r="A1258" s="152" t="s">
        <v>8476</v>
      </c>
      <c r="B1258" s="152" t="s">
        <v>8477</v>
      </c>
      <c r="C1258" s="152">
        <v>3.0</v>
      </c>
      <c r="D1258" s="152">
        <v>7.0</v>
      </c>
      <c r="E1258" s="152">
        <v>1.0</v>
      </c>
      <c r="F1258" s="152">
        <v>6.0</v>
      </c>
      <c r="G1258" s="152" t="s">
        <v>8479</v>
      </c>
      <c r="H1258" s="152" t="s">
        <v>8486</v>
      </c>
      <c r="I1258" s="154"/>
      <c r="J1258" s="152" t="s">
        <v>23</v>
      </c>
      <c r="K1258" s="152">
        <v>3719.0</v>
      </c>
      <c r="L1258" s="154"/>
      <c r="M1258" s="154"/>
      <c r="N1258" s="152" t="s">
        <v>8384</v>
      </c>
    </row>
    <row r="1259">
      <c r="A1259" s="152" t="s">
        <v>8476</v>
      </c>
      <c r="B1259" s="152" t="s">
        <v>8477</v>
      </c>
      <c r="C1259" s="152">
        <v>3.0</v>
      </c>
      <c r="D1259" s="152">
        <v>8.0</v>
      </c>
      <c r="E1259" s="152">
        <v>1.0</v>
      </c>
      <c r="F1259" s="152">
        <v>6.0</v>
      </c>
      <c r="G1259" s="152" t="s">
        <v>8479</v>
      </c>
      <c r="H1259" s="152" t="s">
        <v>8487</v>
      </c>
      <c r="I1259" s="154"/>
      <c r="J1259" s="152" t="s">
        <v>23</v>
      </c>
      <c r="K1259" s="152">
        <v>3719.0</v>
      </c>
      <c r="L1259" s="154"/>
      <c r="M1259" s="154"/>
      <c r="N1259" s="152" t="s">
        <v>8384</v>
      </c>
    </row>
    <row r="1260">
      <c r="A1260" s="152" t="s">
        <v>8476</v>
      </c>
      <c r="B1260" s="152" t="s">
        <v>8477</v>
      </c>
      <c r="C1260" s="152">
        <v>3.0</v>
      </c>
      <c r="D1260" s="152">
        <v>9.0</v>
      </c>
      <c r="E1260" s="152">
        <v>1.0</v>
      </c>
      <c r="F1260" s="152">
        <v>6.0</v>
      </c>
      <c r="G1260" s="152" t="s">
        <v>8479</v>
      </c>
      <c r="H1260" s="152" t="s">
        <v>8488</v>
      </c>
      <c r="I1260" s="154"/>
      <c r="J1260" s="152" t="s">
        <v>23</v>
      </c>
      <c r="K1260" s="152">
        <v>1859.0</v>
      </c>
      <c r="L1260" s="154"/>
      <c r="M1260" s="154"/>
      <c r="N1260" s="152" t="s">
        <v>8384</v>
      </c>
    </row>
    <row r="1261">
      <c r="A1261" s="152" t="s">
        <v>8476</v>
      </c>
      <c r="B1261" s="152" t="s">
        <v>8477</v>
      </c>
      <c r="C1261" s="152">
        <v>3.0</v>
      </c>
      <c r="D1261" s="152">
        <v>10.0</v>
      </c>
      <c r="E1261" s="152">
        <v>1.0</v>
      </c>
      <c r="F1261" s="152">
        <v>6.0</v>
      </c>
      <c r="G1261" s="152" t="s">
        <v>8479</v>
      </c>
      <c r="H1261" s="152" t="s">
        <v>8489</v>
      </c>
      <c r="I1261" s="154"/>
      <c r="J1261" s="152" t="s">
        <v>23</v>
      </c>
      <c r="K1261" s="152">
        <v>1859.0</v>
      </c>
      <c r="L1261" s="154"/>
      <c r="M1261" s="154"/>
      <c r="N1261" s="152" t="s">
        <v>8384</v>
      </c>
    </row>
    <row r="1262">
      <c r="A1262" s="152" t="s">
        <v>8476</v>
      </c>
      <c r="B1262" s="152" t="s">
        <v>8477</v>
      </c>
      <c r="C1262" s="152">
        <v>3.0</v>
      </c>
      <c r="D1262" s="152">
        <v>1.0</v>
      </c>
      <c r="E1262" s="152">
        <v>1.0</v>
      </c>
      <c r="F1262" s="152">
        <v>7.0</v>
      </c>
      <c r="G1262" s="152" t="s">
        <v>8479</v>
      </c>
      <c r="H1262" s="152" t="s">
        <v>8480</v>
      </c>
      <c r="I1262" s="154"/>
      <c r="J1262" s="152" t="s">
        <v>23</v>
      </c>
      <c r="K1262" s="152">
        <v>3339.0</v>
      </c>
      <c r="L1262" s="154"/>
      <c r="M1262" s="154"/>
      <c r="N1262" s="152" t="s">
        <v>8384</v>
      </c>
    </row>
    <row r="1263">
      <c r="A1263" s="152" t="s">
        <v>8476</v>
      </c>
      <c r="B1263" s="152" t="s">
        <v>8477</v>
      </c>
      <c r="C1263" s="152">
        <v>3.0</v>
      </c>
      <c r="D1263" s="152">
        <v>2.0</v>
      </c>
      <c r="E1263" s="152">
        <v>1.0</v>
      </c>
      <c r="F1263" s="152">
        <v>7.0</v>
      </c>
      <c r="G1263" s="152" t="s">
        <v>8479</v>
      </c>
      <c r="H1263" s="152" t="s">
        <v>8481</v>
      </c>
      <c r="I1263" s="154"/>
      <c r="J1263" s="152" t="s">
        <v>23</v>
      </c>
      <c r="K1263" s="152">
        <v>1669.0</v>
      </c>
      <c r="L1263" s="154"/>
      <c r="M1263" s="154"/>
      <c r="N1263" s="152" t="s">
        <v>8384</v>
      </c>
    </row>
    <row r="1264">
      <c r="A1264" s="152" t="s">
        <v>8476</v>
      </c>
      <c r="B1264" s="152" t="s">
        <v>8477</v>
      </c>
      <c r="C1264" s="152">
        <v>3.0</v>
      </c>
      <c r="D1264" s="152">
        <v>3.0</v>
      </c>
      <c r="E1264" s="152">
        <v>1.0</v>
      </c>
      <c r="F1264" s="152">
        <v>7.0</v>
      </c>
      <c r="G1264" s="152" t="s">
        <v>8479</v>
      </c>
      <c r="H1264" s="152" t="s">
        <v>8482</v>
      </c>
      <c r="I1264" s="154"/>
      <c r="J1264" s="152" t="s">
        <v>23</v>
      </c>
      <c r="K1264" s="152">
        <v>3429.0</v>
      </c>
      <c r="L1264" s="154"/>
      <c r="M1264" s="154"/>
      <c r="N1264" s="152" t="s">
        <v>8384</v>
      </c>
    </row>
    <row r="1265">
      <c r="A1265" s="152" t="s">
        <v>8476</v>
      </c>
      <c r="B1265" s="152" t="s">
        <v>8477</v>
      </c>
      <c r="C1265" s="152">
        <v>3.0</v>
      </c>
      <c r="D1265" s="152">
        <v>4.0</v>
      </c>
      <c r="E1265" s="152">
        <v>1.0</v>
      </c>
      <c r="F1265" s="152">
        <v>7.0</v>
      </c>
      <c r="G1265" s="152" t="s">
        <v>8479</v>
      </c>
      <c r="H1265" s="152" t="s">
        <v>8483</v>
      </c>
      <c r="I1265" s="154"/>
      <c r="J1265" s="152" t="s">
        <v>23</v>
      </c>
      <c r="K1265" s="152">
        <v>3429.0</v>
      </c>
      <c r="L1265" s="154"/>
      <c r="M1265" s="154"/>
      <c r="N1265" s="152" t="s">
        <v>8384</v>
      </c>
    </row>
    <row r="1266">
      <c r="A1266" s="152" t="s">
        <v>8476</v>
      </c>
      <c r="B1266" s="152" t="s">
        <v>8477</v>
      </c>
      <c r="C1266" s="152">
        <v>3.0</v>
      </c>
      <c r="D1266" s="152">
        <v>5.0</v>
      </c>
      <c r="E1266" s="152">
        <v>1.0</v>
      </c>
      <c r="F1266" s="152">
        <v>7.0</v>
      </c>
      <c r="G1266" s="152" t="s">
        <v>8479</v>
      </c>
      <c r="H1266" s="152" t="s">
        <v>8484</v>
      </c>
      <c r="I1266" s="154"/>
      <c r="J1266" s="152" t="s">
        <v>23</v>
      </c>
      <c r="K1266" s="152">
        <v>1719.0</v>
      </c>
      <c r="L1266" s="154"/>
      <c r="M1266" s="154"/>
      <c r="N1266" s="152" t="s">
        <v>8384</v>
      </c>
    </row>
    <row r="1267">
      <c r="A1267" s="152" t="s">
        <v>8476</v>
      </c>
      <c r="B1267" s="152" t="s">
        <v>8477</v>
      </c>
      <c r="C1267" s="152">
        <v>3.0</v>
      </c>
      <c r="D1267" s="152">
        <v>6.0</v>
      </c>
      <c r="E1267" s="152">
        <v>1.0</v>
      </c>
      <c r="F1267" s="152">
        <v>7.0</v>
      </c>
      <c r="G1267" s="152" t="s">
        <v>8479</v>
      </c>
      <c r="H1267" s="152" t="s">
        <v>8485</v>
      </c>
      <c r="I1267" s="154"/>
      <c r="J1267" s="152" t="s">
        <v>23</v>
      </c>
      <c r="K1267" s="152">
        <v>1719.0</v>
      </c>
      <c r="L1267" s="154"/>
      <c r="M1267" s="154"/>
      <c r="N1267" s="152" t="s">
        <v>8384</v>
      </c>
    </row>
    <row r="1268">
      <c r="A1268" s="152" t="s">
        <v>8476</v>
      </c>
      <c r="B1268" s="152" t="s">
        <v>8477</v>
      </c>
      <c r="C1268" s="152">
        <v>3.0</v>
      </c>
      <c r="D1268" s="152">
        <v>7.0</v>
      </c>
      <c r="E1268" s="152">
        <v>1.0</v>
      </c>
      <c r="F1268" s="152">
        <v>7.0</v>
      </c>
      <c r="G1268" s="152" t="s">
        <v>8479</v>
      </c>
      <c r="H1268" s="152" t="s">
        <v>8486</v>
      </c>
      <c r="I1268" s="154"/>
      <c r="J1268" s="152" t="s">
        <v>23</v>
      </c>
      <c r="K1268" s="152">
        <v>3719.0</v>
      </c>
      <c r="L1268" s="154"/>
      <c r="M1268" s="154"/>
      <c r="N1268" s="152" t="s">
        <v>8384</v>
      </c>
    </row>
    <row r="1269">
      <c r="A1269" s="152" t="s">
        <v>8476</v>
      </c>
      <c r="B1269" s="152" t="s">
        <v>8477</v>
      </c>
      <c r="C1269" s="152">
        <v>3.0</v>
      </c>
      <c r="D1269" s="152">
        <v>8.0</v>
      </c>
      <c r="E1269" s="152">
        <v>1.0</v>
      </c>
      <c r="F1269" s="152">
        <v>7.0</v>
      </c>
      <c r="G1269" s="152" t="s">
        <v>8479</v>
      </c>
      <c r="H1269" s="152" t="s">
        <v>8487</v>
      </c>
      <c r="I1269" s="154"/>
      <c r="J1269" s="152" t="s">
        <v>23</v>
      </c>
      <c r="K1269" s="152">
        <v>3719.0</v>
      </c>
      <c r="L1269" s="154"/>
      <c r="M1269" s="154"/>
      <c r="N1269" s="152" t="s">
        <v>8384</v>
      </c>
    </row>
    <row r="1270">
      <c r="A1270" s="152" t="s">
        <v>8476</v>
      </c>
      <c r="B1270" s="152" t="s">
        <v>8477</v>
      </c>
      <c r="C1270" s="152">
        <v>3.0</v>
      </c>
      <c r="D1270" s="152">
        <v>9.0</v>
      </c>
      <c r="E1270" s="152">
        <v>1.0</v>
      </c>
      <c r="F1270" s="152">
        <v>7.0</v>
      </c>
      <c r="G1270" s="152" t="s">
        <v>8479</v>
      </c>
      <c r="H1270" s="152" t="s">
        <v>8488</v>
      </c>
      <c r="I1270" s="154"/>
      <c r="J1270" s="152" t="s">
        <v>23</v>
      </c>
      <c r="K1270" s="152">
        <v>1859.0</v>
      </c>
      <c r="L1270" s="154"/>
      <c r="M1270" s="154"/>
      <c r="N1270" s="152" t="s">
        <v>8384</v>
      </c>
    </row>
    <row r="1271">
      <c r="A1271" s="152" t="s">
        <v>8476</v>
      </c>
      <c r="B1271" s="152" t="s">
        <v>8477</v>
      </c>
      <c r="C1271" s="152">
        <v>3.0</v>
      </c>
      <c r="D1271" s="152">
        <v>10.0</v>
      </c>
      <c r="E1271" s="152">
        <v>1.0</v>
      </c>
      <c r="F1271" s="152">
        <v>7.0</v>
      </c>
      <c r="G1271" s="152" t="s">
        <v>8479</v>
      </c>
      <c r="H1271" s="152" t="s">
        <v>8489</v>
      </c>
      <c r="I1271" s="154"/>
      <c r="J1271" s="152" t="s">
        <v>23</v>
      </c>
      <c r="K1271" s="152">
        <v>1859.0</v>
      </c>
      <c r="L1271" s="154"/>
      <c r="M1271" s="154"/>
      <c r="N1271" s="152" t="s">
        <v>8384</v>
      </c>
    </row>
    <row r="1272">
      <c r="A1272" s="152" t="s">
        <v>8476</v>
      </c>
      <c r="B1272" s="152" t="s">
        <v>8477</v>
      </c>
      <c r="C1272" s="152">
        <v>3.0</v>
      </c>
      <c r="D1272" s="152">
        <v>1.0</v>
      </c>
      <c r="E1272" s="152">
        <v>1.0</v>
      </c>
      <c r="F1272" s="152">
        <v>8.0</v>
      </c>
      <c r="G1272" s="152" t="s">
        <v>8479</v>
      </c>
      <c r="H1272" s="152" t="s">
        <v>8480</v>
      </c>
      <c r="I1272" s="154"/>
      <c r="J1272" s="152" t="s">
        <v>23</v>
      </c>
      <c r="K1272" s="152">
        <v>3339.0</v>
      </c>
      <c r="L1272" s="154"/>
      <c r="M1272" s="154"/>
      <c r="N1272" s="152" t="s">
        <v>8384</v>
      </c>
    </row>
    <row r="1273">
      <c r="A1273" s="152" t="s">
        <v>8476</v>
      </c>
      <c r="B1273" s="152" t="s">
        <v>8477</v>
      </c>
      <c r="C1273" s="152">
        <v>3.0</v>
      </c>
      <c r="D1273" s="152">
        <v>2.0</v>
      </c>
      <c r="E1273" s="152">
        <v>1.0</v>
      </c>
      <c r="F1273" s="152">
        <v>8.0</v>
      </c>
      <c r="G1273" s="152" t="s">
        <v>8479</v>
      </c>
      <c r="H1273" s="152" t="s">
        <v>8481</v>
      </c>
      <c r="I1273" s="154"/>
      <c r="J1273" s="152" t="s">
        <v>23</v>
      </c>
      <c r="K1273" s="152">
        <v>1669.0</v>
      </c>
      <c r="L1273" s="154"/>
      <c r="M1273" s="154"/>
      <c r="N1273" s="152" t="s">
        <v>8384</v>
      </c>
    </row>
    <row r="1274">
      <c r="A1274" s="152" t="s">
        <v>8476</v>
      </c>
      <c r="B1274" s="152" t="s">
        <v>8477</v>
      </c>
      <c r="C1274" s="152">
        <v>3.0</v>
      </c>
      <c r="D1274" s="152">
        <v>3.0</v>
      </c>
      <c r="E1274" s="152">
        <v>1.0</v>
      </c>
      <c r="F1274" s="152">
        <v>8.0</v>
      </c>
      <c r="G1274" s="152" t="s">
        <v>8479</v>
      </c>
      <c r="H1274" s="152" t="s">
        <v>8482</v>
      </c>
      <c r="I1274" s="154"/>
      <c r="J1274" s="152" t="s">
        <v>23</v>
      </c>
      <c r="K1274" s="152">
        <v>3429.0</v>
      </c>
      <c r="L1274" s="154"/>
      <c r="M1274" s="154"/>
      <c r="N1274" s="152" t="s">
        <v>8384</v>
      </c>
    </row>
    <row r="1275">
      <c r="A1275" s="152" t="s">
        <v>8476</v>
      </c>
      <c r="B1275" s="152" t="s">
        <v>8477</v>
      </c>
      <c r="C1275" s="152">
        <v>3.0</v>
      </c>
      <c r="D1275" s="152">
        <v>4.0</v>
      </c>
      <c r="E1275" s="152">
        <v>1.0</v>
      </c>
      <c r="F1275" s="152">
        <v>8.0</v>
      </c>
      <c r="G1275" s="152" t="s">
        <v>8479</v>
      </c>
      <c r="H1275" s="152" t="s">
        <v>8483</v>
      </c>
      <c r="I1275" s="154"/>
      <c r="J1275" s="152" t="s">
        <v>23</v>
      </c>
      <c r="K1275" s="152">
        <v>3429.0</v>
      </c>
      <c r="L1275" s="154"/>
      <c r="M1275" s="154"/>
      <c r="N1275" s="152" t="s">
        <v>8384</v>
      </c>
    </row>
    <row r="1276">
      <c r="A1276" s="152" t="s">
        <v>8476</v>
      </c>
      <c r="B1276" s="152" t="s">
        <v>8477</v>
      </c>
      <c r="C1276" s="152">
        <v>3.0</v>
      </c>
      <c r="D1276" s="152">
        <v>5.0</v>
      </c>
      <c r="E1276" s="152">
        <v>1.0</v>
      </c>
      <c r="F1276" s="152">
        <v>8.0</v>
      </c>
      <c r="G1276" s="152" t="s">
        <v>8479</v>
      </c>
      <c r="H1276" s="152" t="s">
        <v>8484</v>
      </c>
      <c r="I1276" s="154"/>
      <c r="J1276" s="152" t="s">
        <v>23</v>
      </c>
      <c r="K1276" s="152">
        <v>1719.0</v>
      </c>
      <c r="L1276" s="154"/>
      <c r="M1276" s="154"/>
      <c r="N1276" s="152" t="s">
        <v>8384</v>
      </c>
    </row>
    <row r="1277">
      <c r="A1277" s="152" t="s">
        <v>8476</v>
      </c>
      <c r="B1277" s="152" t="s">
        <v>8477</v>
      </c>
      <c r="C1277" s="152">
        <v>3.0</v>
      </c>
      <c r="D1277" s="152">
        <v>6.0</v>
      </c>
      <c r="E1277" s="152">
        <v>1.0</v>
      </c>
      <c r="F1277" s="152">
        <v>8.0</v>
      </c>
      <c r="G1277" s="152" t="s">
        <v>8479</v>
      </c>
      <c r="H1277" s="152" t="s">
        <v>8485</v>
      </c>
      <c r="I1277" s="154"/>
      <c r="J1277" s="152" t="s">
        <v>23</v>
      </c>
      <c r="K1277" s="152">
        <v>1719.0</v>
      </c>
      <c r="L1277" s="154"/>
      <c r="M1277" s="154"/>
      <c r="N1277" s="152" t="s">
        <v>8384</v>
      </c>
    </row>
    <row r="1278">
      <c r="A1278" s="152" t="s">
        <v>8476</v>
      </c>
      <c r="B1278" s="152" t="s">
        <v>8477</v>
      </c>
      <c r="C1278" s="152">
        <v>3.0</v>
      </c>
      <c r="D1278" s="152">
        <v>7.0</v>
      </c>
      <c r="E1278" s="152">
        <v>1.0</v>
      </c>
      <c r="F1278" s="152">
        <v>8.0</v>
      </c>
      <c r="G1278" s="152" t="s">
        <v>8479</v>
      </c>
      <c r="H1278" s="152" t="s">
        <v>8486</v>
      </c>
      <c r="I1278" s="154"/>
      <c r="J1278" s="152" t="s">
        <v>23</v>
      </c>
      <c r="K1278" s="152">
        <v>3719.0</v>
      </c>
      <c r="L1278" s="154"/>
      <c r="M1278" s="154"/>
      <c r="N1278" s="152" t="s">
        <v>8384</v>
      </c>
    </row>
    <row r="1279">
      <c r="A1279" s="152" t="s">
        <v>8476</v>
      </c>
      <c r="B1279" s="152" t="s">
        <v>8477</v>
      </c>
      <c r="C1279" s="152">
        <v>3.0</v>
      </c>
      <c r="D1279" s="152">
        <v>8.0</v>
      </c>
      <c r="E1279" s="152">
        <v>1.0</v>
      </c>
      <c r="F1279" s="152">
        <v>8.0</v>
      </c>
      <c r="G1279" s="152" t="s">
        <v>8479</v>
      </c>
      <c r="H1279" s="152" t="s">
        <v>8487</v>
      </c>
      <c r="I1279" s="154"/>
      <c r="J1279" s="152" t="s">
        <v>23</v>
      </c>
      <c r="K1279" s="152">
        <v>3719.0</v>
      </c>
      <c r="L1279" s="154"/>
      <c r="M1279" s="154"/>
      <c r="N1279" s="152" t="s">
        <v>8384</v>
      </c>
    </row>
    <row r="1280">
      <c r="A1280" s="152" t="s">
        <v>8476</v>
      </c>
      <c r="B1280" s="152" t="s">
        <v>8477</v>
      </c>
      <c r="C1280" s="152">
        <v>3.0</v>
      </c>
      <c r="D1280" s="152">
        <v>9.0</v>
      </c>
      <c r="E1280" s="152">
        <v>1.0</v>
      </c>
      <c r="F1280" s="152">
        <v>8.0</v>
      </c>
      <c r="G1280" s="152" t="s">
        <v>8479</v>
      </c>
      <c r="H1280" s="152" t="s">
        <v>8488</v>
      </c>
      <c r="I1280" s="154"/>
      <c r="J1280" s="152" t="s">
        <v>23</v>
      </c>
      <c r="K1280" s="152">
        <v>1859.0</v>
      </c>
      <c r="L1280" s="154"/>
      <c r="M1280" s="154"/>
      <c r="N1280" s="152" t="s">
        <v>8384</v>
      </c>
    </row>
    <row r="1281">
      <c r="A1281" s="152" t="s">
        <v>8476</v>
      </c>
      <c r="B1281" s="152" t="s">
        <v>8477</v>
      </c>
      <c r="C1281" s="152">
        <v>3.0</v>
      </c>
      <c r="D1281" s="152">
        <v>10.0</v>
      </c>
      <c r="E1281" s="152">
        <v>1.0</v>
      </c>
      <c r="F1281" s="152">
        <v>8.0</v>
      </c>
      <c r="G1281" s="152" t="s">
        <v>8479</v>
      </c>
      <c r="H1281" s="152" t="s">
        <v>8489</v>
      </c>
      <c r="I1281" s="154"/>
      <c r="J1281" s="152" t="s">
        <v>23</v>
      </c>
      <c r="K1281" s="152">
        <v>1859.0</v>
      </c>
      <c r="L1281" s="154"/>
      <c r="M1281" s="154"/>
      <c r="N1281" s="152" t="s">
        <v>8384</v>
      </c>
    </row>
    <row r="1282">
      <c r="A1282" s="152" t="s">
        <v>8476</v>
      </c>
      <c r="B1282" s="152" t="s">
        <v>8477</v>
      </c>
      <c r="C1282" s="152">
        <v>3.0</v>
      </c>
      <c r="D1282" s="152">
        <v>1.0</v>
      </c>
      <c r="E1282" s="152">
        <v>1.0</v>
      </c>
      <c r="F1282" s="152">
        <v>9.0</v>
      </c>
      <c r="G1282" s="152" t="s">
        <v>8479</v>
      </c>
      <c r="H1282" s="152" t="s">
        <v>8480</v>
      </c>
      <c r="I1282" s="154"/>
      <c r="J1282" s="152" t="s">
        <v>23</v>
      </c>
      <c r="K1282" s="152">
        <v>3339.0</v>
      </c>
      <c r="L1282" s="154"/>
      <c r="M1282" s="154"/>
      <c r="N1282" s="152" t="s">
        <v>8384</v>
      </c>
    </row>
    <row r="1283">
      <c r="A1283" s="152" t="s">
        <v>8476</v>
      </c>
      <c r="B1283" s="152" t="s">
        <v>8477</v>
      </c>
      <c r="C1283" s="152">
        <v>3.0</v>
      </c>
      <c r="D1283" s="152">
        <v>2.0</v>
      </c>
      <c r="E1283" s="152">
        <v>1.0</v>
      </c>
      <c r="F1283" s="152">
        <v>9.0</v>
      </c>
      <c r="G1283" s="152" t="s">
        <v>8479</v>
      </c>
      <c r="H1283" s="152" t="s">
        <v>8481</v>
      </c>
      <c r="I1283" s="154"/>
      <c r="J1283" s="152" t="s">
        <v>23</v>
      </c>
      <c r="K1283" s="152">
        <v>1669.0</v>
      </c>
      <c r="L1283" s="154"/>
      <c r="M1283" s="154"/>
      <c r="N1283" s="152" t="s">
        <v>8384</v>
      </c>
    </row>
    <row r="1284">
      <c r="A1284" s="152" t="s">
        <v>8476</v>
      </c>
      <c r="B1284" s="152" t="s">
        <v>8477</v>
      </c>
      <c r="C1284" s="152">
        <v>3.0</v>
      </c>
      <c r="D1284" s="152">
        <v>3.0</v>
      </c>
      <c r="E1284" s="152">
        <v>1.0</v>
      </c>
      <c r="F1284" s="152">
        <v>9.0</v>
      </c>
      <c r="G1284" s="152" t="s">
        <v>8479</v>
      </c>
      <c r="H1284" s="152" t="s">
        <v>8482</v>
      </c>
      <c r="I1284" s="154"/>
      <c r="J1284" s="152" t="s">
        <v>23</v>
      </c>
      <c r="K1284" s="152">
        <v>3429.0</v>
      </c>
      <c r="L1284" s="154"/>
      <c r="M1284" s="154"/>
      <c r="N1284" s="152" t="s">
        <v>8384</v>
      </c>
    </row>
    <row r="1285">
      <c r="A1285" s="152" t="s">
        <v>8476</v>
      </c>
      <c r="B1285" s="152" t="s">
        <v>8477</v>
      </c>
      <c r="C1285" s="152">
        <v>3.0</v>
      </c>
      <c r="D1285" s="152">
        <v>4.0</v>
      </c>
      <c r="E1285" s="152">
        <v>1.0</v>
      </c>
      <c r="F1285" s="152">
        <v>9.0</v>
      </c>
      <c r="G1285" s="152" t="s">
        <v>8479</v>
      </c>
      <c r="H1285" s="152" t="s">
        <v>8483</v>
      </c>
      <c r="I1285" s="154"/>
      <c r="J1285" s="152" t="s">
        <v>23</v>
      </c>
      <c r="K1285" s="152">
        <v>3429.0</v>
      </c>
      <c r="L1285" s="154"/>
      <c r="M1285" s="154"/>
      <c r="N1285" s="152" t="s">
        <v>8384</v>
      </c>
    </row>
    <row r="1286">
      <c r="A1286" s="152" t="s">
        <v>8476</v>
      </c>
      <c r="B1286" s="152" t="s">
        <v>8477</v>
      </c>
      <c r="C1286" s="152">
        <v>3.0</v>
      </c>
      <c r="D1286" s="152">
        <v>5.0</v>
      </c>
      <c r="E1286" s="152">
        <v>1.0</v>
      </c>
      <c r="F1286" s="152">
        <v>9.0</v>
      </c>
      <c r="G1286" s="152" t="s">
        <v>8479</v>
      </c>
      <c r="H1286" s="152" t="s">
        <v>8484</v>
      </c>
      <c r="I1286" s="154"/>
      <c r="J1286" s="152" t="s">
        <v>23</v>
      </c>
      <c r="K1286" s="152">
        <v>1719.0</v>
      </c>
      <c r="L1286" s="154"/>
      <c r="M1286" s="154"/>
      <c r="N1286" s="152" t="s">
        <v>8384</v>
      </c>
    </row>
    <row r="1287">
      <c r="A1287" s="152" t="s">
        <v>8476</v>
      </c>
      <c r="B1287" s="152" t="s">
        <v>8477</v>
      </c>
      <c r="C1287" s="152">
        <v>3.0</v>
      </c>
      <c r="D1287" s="152">
        <v>6.0</v>
      </c>
      <c r="E1287" s="152">
        <v>1.0</v>
      </c>
      <c r="F1287" s="152">
        <v>9.0</v>
      </c>
      <c r="G1287" s="152" t="s">
        <v>8479</v>
      </c>
      <c r="H1287" s="152" t="s">
        <v>8485</v>
      </c>
      <c r="I1287" s="154"/>
      <c r="J1287" s="152" t="s">
        <v>23</v>
      </c>
      <c r="K1287" s="152">
        <v>1719.0</v>
      </c>
      <c r="L1287" s="154"/>
      <c r="M1287" s="154"/>
      <c r="N1287" s="152" t="s">
        <v>8384</v>
      </c>
    </row>
    <row r="1288">
      <c r="A1288" s="152" t="s">
        <v>8476</v>
      </c>
      <c r="B1288" s="152" t="s">
        <v>8477</v>
      </c>
      <c r="C1288" s="152">
        <v>3.0</v>
      </c>
      <c r="D1288" s="152">
        <v>7.0</v>
      </c>
      <c r="E1288" s="152">
        <v>1.0</v>
      </c>
      <c r="F1288" s="152">
        <v>9.0</v>
      </c>
      <c r="G1288" s="152" t="s">
        <v>8479</v>
      </c>
      <c r="H1288" s="152" t="s">
        <v>8486</v>
      </c>
      <c r="I1288" s="154"/>
      <c r="J1288" s="152" t="s">
        <v>23</v>
      </c>
      <c r="K1288" s="152">
        <v>3719.0</v>
      </c>
      <c r="L1288" s="154"/>
      <c r="M1288" s="154"/>
      <c r="N1288" s="152" t="s">
        <v>8384</v>
      </c>
    </row>
    <row r="1289">
      <c r="A1289" s="152" t="s">
        <v>8476</v>
      </c>
      <c r="B1289" s="152" t="s">
        <v>8477</v>
      </c>
      <c r="C1289" s="152">
        <v>3.0</v>
      </c>
      <c r="D1289" s="152">
        <v>8.0</v>
      </c>
      <c r="E1289" s="152">
        <v>1.0</v>
      </c>
      <c r="F1289" s="152">
        <v>9.0</v>
      </c>
      <c r="G1289" s="152" t="s">
        <v>8479</v>
      </c>
      <c r="H1289" s="152" t="s">
        <v>8487</v>
      </c>
      <c r="I1289" s="154"/>
      <c r="J1289" s="152" t="s">
        <v>23</v>
      </c>
      <c r="K1289" s="152">
        <v>3719.0</v>
      </c>
      <c r="L1289" s="154"/>
      <c r="M1289" s="154"/>
      <c r="N1289" s="152" t="s">
        <v>8384</v>
      </c>
    </row>
    <row r="1290">
      <c r="A1290" s="152" t="s">
        <v>8476</v>
      </c>
      <c r="B1290" s="152" t="s">
        <v>8477</v>
      </c>
      <c r="C1290" s="152">
        <v>3.0</v>
      </c>
      <c r="D1290" s="152">
        <v>9.0</v>
      </c>
      <c r="E1290" s="152">
        <v>1.0</v>
      </c>
      <c r="F1290" s="152">
        <v>9.0</v>
      </c>
      <c r="G1290" s="152" t="s">
        <v>8479</v>
      </c>
      <c r="H1290" s="152" t="s">
        <v>8488</v>
      </c>
      <c r="I1290" s="154"/>
      <c r="J1290" s="152" t="s">
        <v>23</v>
      </c>
      <c r="K1290" s="152">
        <v>1859.0</v>
      </c>
      <c r="L1290" s="154"/>
      <c r="M1290" s="154"/>
      <c r="N1290" s="152" t="s">
        <v>8384</v>
      </c>
    </row>
    <row r="1291">
      <c r="A1291" s="152" t="s">
        <v>8476</v>
      </c>
      <c r="B1291" s="152" t="s">
        <v>8477</v>
      </c>
      <c r="C1291" s="152">
        <v>3.0</v>
      </c>
      <c r="D1291" s="152">
        <v>10.0</v>
      </c>
      <c r="E1291" s="152">
        <v>1.0</v>
      </c>
      <c r="F1291" s="152">
        <v>9.0</v>
      </c>
      <c r="G1291" s="152" t="s">
        <v>8479</v>
      </c>
      <c r="H1291" s="152" t="s">
        <v>8489</v>
      </c>
      <c r="I1291" s="154"/>
      <c r="J1291" s="152" t="s">
        <v>23</v>
      </c>
      <c r="K1291" s="152">
        <v>1859.0</v>
      </c>
      <c r="L1291" s="154"/>
      <c r="M1291" s="154"/>
      <c r="N1291" s="152" t="s">
        <v>8384</v>
      </c>
    </row>
    <row r="1292">
      <c r="A1292" s="152" t="s">
        <v>8476</v>
      </c>
      <c r="B1292" s="152" t="s">
        <v>8477</v>
      </c>
      <c r="C1292" s="152">
        <v>3.0</v>
      </c>
      <c r="D1292" s="152">
        <v>1.0</v>
      </c>
      <c r="E1292" s="152">
        <v>1.0</v>
      </c>
      <c r="F1292" s="152">
        <v>10.0</v>
      </c>
      <c r="G1292" s="152" t="s">
        <v>8479</v>
      </c>
      <c r="H1292" s="152" t="s">
        <v>8480</v>
      </c>
      <c r="I1292" s="154"/>
      <c r="J1292" s="152" t="s">
        <v>23</v>
      </c>
      <c r="K1292" s="152">
        <v>3339.0</v>
      </c>
      <c r="L1292" s="154"/>
      <c r="M1292" s="154"/>
      <c r="N1292" s="152" t="s">
        <v>8384</v>
      </c>
    </row>
    <row r="1293">
      <c r="A1293" s="152" t="s">
        <v>8476</v>
      </c>
      <c r="B1293" s="152" t="s">
        <v>8477</v>
      </c>
      <c r="C1293" s="152">
        <v>3.0</v>
      </c>
      <c r="D1293" s="152">
        <v>2.0</v>
      </c>
      <c r="E1293" s="152">
        <v>1.0</v>
      </c>
      <c r="F1293" s="152">
        <v>10.0</v>
      </c>
      <c r="G1293" s="152" t="s">
        <v>8479</v>
      </c>
      <c r="H1293" s="152" t="s">
        <v>8481</v>
      </c>
      <c r="I1293" s="154"/>
      <c r="J1293" s="152" t="s">
        <v>23</v>
      </c>
      <c r="K1293" s="152">
        <v>1669.0</v>
      </c>
      <c r="L1293" s="154"/>
      <c r="M1293" s="154"/>
      <c r="N1293" s="152" t="s">
        <v>8384</v>
      </c>
    </row>
    <row r="1294">
      <c r="A1294" s="152" t="s">
        <v>8476</v>
      </c>
      <c r="B1294" s="152" t="s">
        <v>8477</v>
      </c>
      <c r="C1294" s="152">
        <v>3.0</v>
      </c>
      <c r="D1294" s="152">
        <v>3.0</v>
      </c>
      <c r="E1294" s="152">
        <v>1.0</v>
      </c>
      <c r="F1294" s="152">
        <v>10.0</v>
      </c>
      <c r="G1294" s="152" t="s">
        <v>8479</v>
      </c>
      <c r="H1294" s="152" t="s">
        <v>8482</v>
      </c>
      <c r="I1294" s="154"/>
      <c r="J1294" s="152" t="s">
        <v>23</v>
      </c>
      <c r="K1294" s="152">
        <v>3429.0</v>
      </c>
      <c r="L1294" s="154"/>
      <c r="M1294" s="154"/>
      <c r="N1294" s="152" t="s">
        <v>8384</v>
      </c>
    </row>
    <row r="1295">
      <c r="A1295" s="152" t="s">
        <v>8476</v>
      </c>
      <c r="B1295" s="152" t="s">
        <v>8477</v>
      </c>
      <c r="C1295" s="152">
        <v>3.0</v>
      </c>
      <c r="D1295" s="152">
        <v>4.0</v>
      </c>
      <c r="E1295" s="152">
        <v>1.0</v>
      </c>
      <c r="F1295" s="152">
        <v>10.0</v>
      </c>
      <c r="G1295" s="152" t="s">
        <v>8479</v>
      </c>
      <c r="H1295" s="152" t="s">
        <v>8483</v>
      </c>
      <c r="I1295" s="154"/>
      <c r="J1295" s="152" t="s">
        <v>23</v>
      </c>
      <c r="K1295" s="152">
        <v>3429.0</v>
      </c>
      <c r="L1295" s="154"/>
      <c r="M1295" s="154"/>
      <c r="N1295" s="152" t="s">
        <v>8384</v>
      </c>
    </row>
    <row r="1296">
      <c r="A1296" s="152" t="s">
        <v>8476</v>
      </c>
      <c r="B1296" s="152" t="s">
        <v>8477</v>
      </c>
      <c r="C1296" s="152">
        <v>3.0</v>
      </c>
      <c r="D1296" s="152">
        <v>5.0</v>
      </c>
      <c r="E1296" s="152">
        <v>1.0</v>
      </c>
      <c r="F1296" s="152">
        <v>10.0</v>
      </c>
      <c r="G1296" s="152" t="s">
        <v>8479</v>
      </c>
      <c r="H1296" s="152" t="s">
        <v>8484</v>
      </c>
      <c r="I1296" s="154"/>
      <c r="J1296" s="152" t="s">
        <v>23</v>
      </c>
      <c r="K1296" s="152">
        <v>1719.0</v>
      </c>
      <c r="L1296" s="154"/>
      <c r="M1296" s="154"/>
      <c r="N1296" s="152" t="s">
        <v>8384</v>
      </c>
    </row>
    <row r="1297">
      <c r="A1297" s="152" t="s">
        <v>8476</v>
      </c>
      <c r="B1297" s="152" t="s">
        <v>8477</v>
      </c>
      <c r="C1297" s="152">
        <v>3.0</v>
      </c>
      <c r="D1297" s="152">
        <v>6.0</v>
      </c>
      <c r="E1297" s="152">
        <v>1.0</v>
      </c>
      <c r="F1297" s="152">
        <v>10.0</v>
      </c>
      <c r="G1297" s="152" t="s">
        <v>8479</v>
      </c>
      <c r="H1297" s="152" t="s">
        <v>8485</v>
      </c>
      <c r="I1297" s="154"/>
      <c r="J1297" s="152" t="s">
        <v>23</v>
      </c>
      <c r="K1297" s="152">
        <v>1719.0</v>
      </c>
      <c r="L1297" s="154"/>
      <c r="M1297" s="154"/>
      <c r="N1297" s="152" t="s">
        <v>8384</v>
      </c>
    </row>
    <row r="1298">
      <c r="A1298" s="152" t="s">
        <v>8476</v>
      </c>
      <c r="B1298" s="152" t="s">
        <v>8477</v>
      </c>
      <c r="C1298" s="152">
        <v>3.0</v>
      </c>
      <c r="D1298" s="152">
        <v>7.0</v>
      </c>
      <c r="E1298" s="152">
        <v>1.0</v>
      </c>
      <c r="F1298" s="152">
        <v>10.0</v>
      </c>
      <c r="G1298" s="152" t="s">
        <v>8479</v>
      </c>
      <c r="H1298" s="152" t="s">
        <v>8486</v>
      </c>
      <c r="I1298" s="154"/>
      <c r="J1298" s="152" t="s">
        <v>23</v>
      </c>
      <c r="K1298" s="152">
        <v>3719.0</v>
      </c>
      <c r="L1298" s="154"/>
      <c r="M1298" s="154"/>
      <c r="N1298" s="152" t="s">
        <v>8384</v>
      </c>
    </row>
    <row r="1299">
      <c r="A1299" s="152" t="s">
        <v>8476</v>
      </c>
      <c r="B1299" s="152" t="s">
        <v>8477</v>
      </c>
      <c r="C1299" s="152">
        <v>3.0</v>
      </c>
      <c r="D1299" s="152">
        <v>8.0</v>
      </c>
      <c r="E1299" s="152">
        <v>1.0</v>
      </c>
      <c r="F1299" s="152">
        <v>10.0</v>
      </c>
      <c r="G1299" s="152" t="s">
        <v>8479</v>
      </c>
      <c r="H1299" s="152" t="s">
        <v>8487</v>
      </c>
      <c r="I1299" s="154"/>
      <c r="J1299" s="152" t="s">
        <v>23</v>
      </c>
      <c r="K1299" s="152">
        <v>3719.0</v>
      </c>
      <c r="L1299" s="154"/>
      <c r="M1299" s="154"/>
      <c r="N1299" s="152" t="s">
        <v>8384</v>
      </c>
    </row>
    <row r="1300">
      <c r="A1300" s="152" t="s">
        <v>8476</v>
      </c>
      <c r="B1300" s="152" t="s">
        <v>8477</v>
      </c>
      <c r="C1300" s="152">
        <v>3.0</v>
      </c>
      <c r="D1300" s="152">
        <v>9.0</v>
      </c>
      <c r="E1300" s="152">
        <v>1.0</v>
      </c>
      <c r="F1300" s="152">
        <v>10.0</v>
      </c>
      <c r="G1300" s="152" t="s">
        <v>8479</v>
      </c>
      <c r="H1300" s="152" t="s">
        <v>8488</v>
      </c>
      <c r="I1300" s="154"/>
      <c r="J1300" s="152" t="s">
        <v>23</v>
      </c>
      <c r="K1300" s="152">
        <v>1859.0</v>
      </c>
      <c r="L1300" s="154"/>
      <c r="M1300" s="154"/>
      <c r="N1300" s="152" t="s">
        <v>8384</v>
      </c>
    </row>
    <row r="1301">
      <c r="A1301" s="152" t="s">
        <v>8476</v>
      </c>
      <c r="B1301" s="152" t="s">
        <v>8477</v>
      </c>
      <c r="C1301" s="152">
        <v>3.0</v>
      </c>
      <c r="D1301" s="152">
        <v>10.0</v>
      </c>
      <c r="E1301" s="152">
        <v>1.0</v>
      </c>
      <c r="F1301" s="152">
        <v>10.0</v>
      </c>
      <c r="G1301" s="152" t="s">
        <v>8479</v>
      </c>
      <c r="H1301" s="152" t="s">
        <v>8489</v>
      </c>
      <c r="I1301" s="154"/>
      <c r="J1301" s="152" t="s">
        <v>23</v>
      </c>
      <c r="K1301" s="152">
        <v>1859.0</v>
      </c>
      <c r="L1301" s="154"/>
      <c r="M1301" s="154"/>
      <c r="N1301" s="152" t="s">
        <v>8384</v>
      </c>
    </row>
    <row r="1302">
      <c r="A1302" s="152" t="s">
        <v>8490</v>
      </c>
      <c r="B1302" s="152" t="s">
        <v>8491</v>
      </c>
      <c r="C1302" s="152">
        <v>1.0</v>
      </c>
      <c r="D1302" s="152">
        <v>1.0</v>
      </c>
      <c r="E1302" s="154"/>
      <c r="F1302" s="154"/>
      <c r="G1302" s="152" t="s">
        <v>8382</v>
      </c>
      <c r="H1302" s="152" t="s">
        <v>8383</v>
      </c>
      <c r="I1302" s="154"/>
      <c r="J1302" s="154"/>
      <c r="K1302" s="154"/>
      <c r="L1302" s="154"/>
      <c r="M1302" s="154"/>
      <c r="N1302" s="152" t="s">
        <v>8384</v>
      </c>
    </row>
    <row r="1303">
      <c r="A1303" s="152" t="s">
        <v>8490</v>
      </c>
      <c r="B1303" s="152" t="s">
        <v>8491</v>
      </c>
      <c r="C1303" s="152">
        <v>1.0</v>
      </c>
      <c r="D1303" s="152">
        <v>2.0</v>
      </c>
      <c r="E1303" s="154"/>
      <c r="F1303" s="154"/>
      <c r="G1303" s="152" t="s">
        <v>8382</v>
      </c>
      <c r="H1303" s="152" t="s">
        <v>8385</v>
      </c>
      <c r="I1303" s="154"/>
      <c r="J1303" s="154"/>
      <c r="K1303" s="154"/>
      <c r="L1303" s="154"/>
      <c r="M1303" s="154"/>
      <c r="N1303" s="152" t="s">
        <v>8384</v>
      </c>
    </row>
    <row r="1304">
      <c r="A1304" s="152" t="s">
        <v>8490</v>
      </c>
      <c r="B1304" s="152" t="s">
        <v>8491</v>
      </c>
      <c r="C1304" s="152">
        <v>1.0</v>
      </c>
      <c r="D1304" s="152">
        <v>3.0</v>
      </c>
      <c r="E1304" s="154"/>
      <c r="F1304" s="154"/>
      <c r="G1304" s="152" t="s">
        <v>8382</v>
      </c>
      <c r="H1304" s="152" t="s">
        <v>8386</v>
      </c>
      <c r="I1304" s="154"/>
      <c r="J1304" s="154"/>
      <c r="K1304" s="154"/>
      <c r="L1304" s="154"/>
      <c r="M1304" s="154"/>
      <c r="N1304" s="152" t="s">
        <v>8384</v>
      </c>
    </row>
    <row r="1305">
      <c r="A1305" s="152" t="s">
        <v>8490</v>
      </c>
      <c r="B1305" s="152" t="s">
        <v>8491</v>
      </c>
      <c r="C1305" s="152">
        <v>1.0</v>
      </c>
      <c r="D1305" s="152">
        <v>4.0</v>
      </c>
      <c r="E1305" s="154"/>
      <c r="F1305" s="154"/>
      <c r="G1305" s="152" t="s">
        <v>8382</v>
      </c>
      <c r="H1305" s="152" t="s">
        <v>8387</v>
      </c>
      <c r="I1305" s="154"/>
      <c r="J1305" s="154"/>
      <c r="K1305" s="154"/>
      <c r="L1305" s="154"/>
      <c r="M1305" s="154"/>
      <c r="N1305" s="152" t="s">
        <v>8384</v>
      </c>
    </row>
    <row r="1306">
      <c r="A1306" s="152" t="s">
        <v>8490</v>
      </c>
      <c r="B1306" s="152" t="s">
        <v>8491</v>
      </c>
      <c r="C1306" s="152">
        <v>1.0</v>
      </c>
      <c r="D1306" s="152">
        <v>5.0</v>
      </c>
      <c r="E1306" s="154"/>
      <c r="F1306" s="154"/>
      <c r="G1306" s="152" t="s">
        <v>8382</v>
      </c>
      <c r="H1306" s="152" t="s">
        <v>8388</v>
      </c>
      <c r="I1306" s="154"/>
      <c r="J1306" s="154"/>
      <c r="K1306" s="154"/>
      <c r="L1306" s="154"/>
      <c r="M1306" s="154"/>
      <c r="N1306" s="152" t="s">
        <v>8384</v>
      </c>
    </row>
    <row r="1307">
      <c r="A1307" s="152" t="s">
        <v>8490</v>
      </c>
      <c r="B1307" s="152" t="s">
        <v>8491</v>
      </c>
      <c r="C1307" s="152">
        <v>1.0</v>
      </c>
      <c r="D1307" s="152">
        <v>6.0</v>
      </c>
      <c r="E1307" s="154"/>
      <c r="F1307" s="154"/>
      <c r="G1307" s="152" t="s">
        <v>8382</v>
      </c>
      <c r="H1307" s="152" t="s">
        <v>8389</v>
      </c>
      <c r="I1307" s="154"/>
      <c r="J1307" s="154"/>
      <c r="K1307" s="154"/>
      <c r="L1307" s="154"/>
      <c r="M1307" s="154"/>
      <c r="N1307" s="152" t="s">
        <v>8384</v>
      </c>
    </row>
    <row r="1308">
      <c r="A1308" s="152" t="s">
        <v>8490</v>
      </c>
      <c r="B1308" s="152" t="s">
        <v>8491</v>
      </c>
      <c r="C1308" s="152">
        <v>1.0</v>
      </c>
      <c r="D1308" s="152">
        <v>7.0</v>
      </c>
      <c r="E1308" s="154"/>
      <c r="F1308" s="154"/>
      <c r="G1308" s="152" t="s">
        <v>8382</v>
      </c>
      <c r="H1308" s="152" t="s">
        <v>5767</v>
      </c>
      <c r="I1308" s="154"/>
      <c r="J1308" s="154"/>
      <c r="K1308" s="154"/>
      <c r="L1308" s="154"/>
      <c r="M1308" s="154"/>
      <c r="N1308" s="152" t="s">
        <v>8384</v>
      </c>
    </row>
    <row r="1309">
      <c r="A1309" s="152" t="s">
        <v>8490</v>
      </c>
      <c r="B1309" s="152" t="s">
        <v>8491</v>
      </c>
      <c r="C1309" s="152">
        <v>1.0</v>
      </c>
      <c r="D1309" s="152">
        <v>8.0</v>
      </c>
      <c r="E1309" s="154"/>
      <c r="F1309" s="154"/>
      <c r="G1309" s="152" t="s">
        <v>8382</v>
      </c>
      <c r="H1309" s="152" t="s">
        <v>8390</v>
      </c>
      <c r="I1309" s="154"/>
      <c r="J1309" s="154"/>
      <c r="K1309" s="154"/>
      <c r="L1309" s="154"/>
      <c r="M1309" s="154"/>
      <c r="N1309" s="152" t="s">
        <v>8384</v>
      </c>
    </row>
    <row r="1310">
      <c r="A1310" s="152" t="s">
        <v>8490</v>
      </c>
      <c r="B1310" s="152" t="s">
        <v>8491</v>
      </c>
      <c r="C1310" s="152">
        <v>1.0</v>
      </c>
      <c r="D1310" s="152">
        <v>9.0</v>
      </c>
      <c r="E1310" s="154"/>
      <c r="F1310" s="154"/>
      <c r="G1310" s="152" t="s">
        <v>8382</v>
      </c>
      <c r="H1310" s="152" t="s">
        <v>8391</v>
      </c>
      <c r="I1310" s="154"/>
      <c r="J1310" s="154"/>
      <c r="K1310" s="154"/>
      <c r="L1310" s="154"/>
      <c r="M1310" s="154"/>
      <c r="N1310" s="152" t="s">
        <v>8384</v>
      </c>
    </row>
    <row r="1311">
      <c r="A1311" s="152" t="s">
        <v>8490</v>
      </c>
      <c r="B1311" s="152" t="s">
        <v>8491</v>
      </c>
      <c r="C1311" s="152">
        <v>1.0</v>
      </c>
      <c r="D1311" s="152">
        <v>10.0</v>
      </c>
      <c r="E1311" s="154"/>
      <c r="F1311" s="154"/>
      <c r="G1311" s="152" t="s">
        <v>8382</v>
      </c>
      <c r="H1311" s="152" t="s">
        <v>8392</v>
      </c>
      <c r="I1311" s="154"/>
      <c r="J1311" s="154"/>
      <c r="K1311" s="154"/>
      <c r="L1311" s="154"/>
      <c r="M1311" s="154"/>
      <c r="N1311" s="152" t="s">
        <v>8384</v>
      </c>
    </row>
    <row r="1312">
      <c r="A1312" s="152" t="s">
        <v>8490</v>
      </c>
      <c r="B1312" s="152" t="s">
        <v>8491</v>
      </c>
      <c r="C1312" s="152">
        <v>2.0</v>
      </c>
      <c r="D1312" s="152">
        <v>1.0</v>
      </c>
      <c r="E1312" s="152">
        <v>1.0</v>
      </c>
      <c r="F1312" s="152">
        <v>1.0</v>
      </c>
      <c r="G1312" s="152" t="s">
        <v>8393</v>
      </c>
      <c r="H1312" s="152" t="s">
        <v>8394</v>
      </c>
      <c r="I1312" s="152" t="s">
        <v>6862</v>
      </c>
      <c r="J1312" s="154"/>
      <c r="K1312" s="154"/>
      <c r="L1312" s="154"/>
      <c r="M1312" s="154"/>
      <c r="N1312" s="152" t="s">
        <v>8395</v>
      </c>
    </row>
    <row r="1313">
      <c r="A1313" s="152" t="s">
        <v>8490</v>
      </c>
      <c r="B1313" s="152" t="s">
        <v>8491</v>
      </c>
      <c r="C1313" s="152">
        <v>2.0</v>
      </c>
      <c r="D1313" s="152">
        <v>2.0</v>
      </c>
      <c r="E1313" s="152">
        <v>1.0</v>
      </c>
      <c r="F1313" s="152">
        <v>2.0</v>
      </c>
      <c r="G1313" s="152" t="s">
        <v>8393</v>
      </c>
      <c r="H1313" s="152" t="s">
        <v>8396</v>
      </c>
      <c r="I1313" s="152" t="s">
        <v>6893</v>
      </c>
      <c r="J1313" s="154"/>
      <c r="K1313" s="154"/>
      <c r="L1313" s="154"/>
      <c r="M1313" s="154"/>
      <c r="N1313" s="152" t="s">
        <v>8395</v>
      </c>
    </row>
    <row r="1314">
      <c r="A1314" s="152" t="s">
        <v>8490</v>
      </c>
      <c r="B1314" s="152" t="s">
        <v>8491</v>
      </c>
      <c r="C1314" s="152">
        <v>2.0</v>
      </c>
      <c r="D1314" s="152">
        <v>3.0</v>
      </c>
      <c r="E1314" s="152">
        <v>1.0</v>
      </c>
      <c r="F1314" s="152">
        <v>3.0</v>
      </c>
      <c r="G1314" s="152" t="s">
        <v>8393</v>
      </c>
      <c r="H1314" s="152" t="s">
        <v>8397</v>
      </c>
      <c r="I1314" s="152" t="s">
        <v>6796</v>
      </c>
      <c r="J1314" s="154"/>
      <c r="K1314" s="154"/>
      <c r="L1314" s="154"/>
      <c r="M1314" s="154"/>
      <c r="N1314" s="152" t="s">
        <v>8395</v>
      </c>
    </row>
    <row r="1315">
      <c r="A1315" s="152" t="s">
        <v>8490</v>
      </c>
      <c r="B1315" s="152" t="s">
        <v>8491</v>
      </c>
      <c r="C1315" s="152">
        <v>2.0</v>
      </c>
      <c r="D1315" s="152">
        <v>4.0</v>
      </c>
      <c r="E1315" s="152">
        <v>1.0</v>
      </c>
      <c r="F1315" s="152">
        <v>4.0</v>
      </c>
      <c r="G1315" s="152" t="s">
        <v>8393</v>
      </c>
      <c r="H1315" s="152" t="s">
        <v>8398</v>
      </c>
      <c r="I1315" s="152" t="s">
        <v>6726</v>
      </c>
      <c r="J1315" s="154"/>
      <c r="K1315" s="154"/>
      <c r="L1315" s="154"/>
      <c r="M1315" s="154"/>
      <c r="N1315" s="152" t="s">
        <v>8395</v>
      </c>
    </row>
    <row r="1316">
      <c r="A1316" s="152" t="s">
        <v>8490</v>
      </c>
      <c r="B1316" s="152" t="s">
        <v>8491</v>
      </c>
      <c r="C1316" s="152">
        <v>2.0</v>
      </c>
      <c r="D1316" s="152">
        <v>5.0</v>
      </c>
      <c r="E1316" s="152">
        <v>1.0</v>
      </c>
      <c r="F1316" s="152">
        <v>5.0</v>
      </c>
      <c r="G1316" s="152" t="s">
        <v>8393</v>
      </c>
      <c r="H1316" s="152" t="s">
        <v>8478</v>
      </c>
      <c r="I1316" s="152" t="s">
        <v>6924</v>
      </c>
      <c r="J1316" s="154"/>
      <c r="K1316" s="154"/>
      <c r="L1316" s="154"/>
      <c r="M1316" s="154"/>
      <c r="N1316" s="152" t="s">
        <v>8395</v>
      </c>
    </row>
    <row r="1317">
      <c r="A1317" s="152" t="s">
        <v>8490</v>
      </c>
      <c r="B1317" s="152" t="s">
        <v>8491</v>
      </c>
      <c r="C1317" s="152">
        <v>2.0</v>
      </c>
      <c r="D1317" s="152">
        <v>6.0</v>
      </c>
      <c r="E1317" s="152">
        <v>1.0</v>
      </c>
      <c r="F1317" s="152">
        <v>6.0</v>
      </c>
      <c r="G1317" s="152" t="s">
        <v>8393</v>
      </c>
      <c r="H1317" s="152" t="s">
        <v>8400</v>
      </c>
      <c r="I1317" s="152" t="s">
        <v>6893</v>
      </c>
      <c r="J1317" s="154"/>
      <c r="K1317" s="154"/>
      <c r="L1317" s="154"/>
      <c r="M1317" s="154"/>
      <c r="N1317" s="152" t="s">
        <v>8395</v>
      </c>
    </row>
    <row r="1318">
      <c r="A1318" s="152" t="s">
        <v>8490</v>
      </c>
      <c r="B1318" s="152" t="s">
        <v>8491</v>
      </c>
      <c r="C1318" s="152">
        <v>2.0</v>
      </c>
      <c r="D1318" s="152">
        <v>7.0</v>
      </c>
      <c r="E1318" s="152">
        <v>1.0</v>
      </c>
      <c r="F1318" s="152">
        <v>7.0</v>
      </c>
      <c r="G1318" s="152" t="s">
        <v>8393</v>
      </c>
      <c r="H1318" s="152" t="s">
        <v>8401</v>
      </c>
      <c r="I1318" s="152" t="s">
        <v>6796</v>
      </c>
      <c r="J1318" s="154"/>
      <c r="K1318" s="154"/>
      <c r="L1318" s="154"/>
      <c r="M1318" s="154"/>
      <c r="N1318" s="152" t="s">
        <v>8395</v>
      </c>
    </row>
    <row r="1319">
      <c r="A1319" s="152" t="s">
        <v>8490</v>
      </c>
      <c r="B1319" s="152" t="s">
        <v>8491</v>
      </c>
      <c r="C1319" s="152">
        <v>2.0</v>
      </c>
      <c r="D1319" s="152">
        <v>8.0</v>
      </c>
      <c r="E1319" s="152">
        <v>1.0</v>
      </c>
      <c r="F1319" s="152">
        <v>8.0</v>
      </c>
      <c r="G1319" s="152" t="s">
        <v>8393</v>
      </c>
      <c r="H1319" s="152" t="s">
        <v>8402</v>
      </c>
      <c r="I1319" s="152" t="s">
        <v>6831</v>
      </c>
      <c r="J1319" s="154"/>
      <c r="K1319" s="154"/>
      <c r="L1319" s="154"/>
      <c r="M1319" s="154"/>
      <c r="N1319" s="152" t="s">
        <v>8395</v>
      </c>
    </row>
    <row r="1320">
      <c r="A1320" s="152" t="s">
        <v>8490</v>
      </c>
      <c r="B1320" s="152" t="s">
        <v>8491</v>
      </c>
      <c r="C1320" s="152">
        <v>2.0</v>
      </c>
      <c r="D1320" s="152">
        <v>9.0</v>
      </c>
      <c r="E1320" s="152">
        <v>1.0</v>
      </c>
      <c r="F1320" s="152">
        <v>9.0</v>
      </c>
      <c r="G1320" s="152" t="s">
        <v>8393</v>
      </c>
      <c r="H1320" s="152" t="s">
        <v>8403</v>
      </c>
      <c r="I1320" s="152" t="s">
        <v>6836</v>
      </c>
      <c r="J1320" s="154"/>
      <c r="K1320" s="154"/>
      <c r="L1320" s="154"/>
      <c r="M1320" s="154"/>
      <c r="N1320" s="152" t="s">
        <v>8395</v>
      </c>
    </row>
    <row r="1321">
      <c r="A1321" s="152" t="s">
        <v>8490</v>
      </c>
      <c r="B1321" s="152" t="s">
        <v>8491</v>
      </c>
      <c r="C1321" s="152">
        <v>2.0</v>
      </c>
      <c r="D1321" s="152">
        <v>10.0</v>
      </c>
      <c r="E1321" s="152">
        <v>1.0</v>
      </c>
      <c r="F1321" s="152">
        <v>10.0</v>
      </c>
      <c r="G1321" s="152" t="s">
        <v>8393</v>
      </c>
      <c r="H1321" s="152" t="s">
        <v>8404</v>
      </c>
      <c r="I1321" s="152" t="s">
        <v>8405</v>
      </c>
      <c r="J1321" s="154"/>
      <c r="K1321" s="154"/>
      <c r="L1321" s="154"/>
      <c r="M1321" s="154"/>
      <c r="N1321" s="152" t="s">
        <v>8395</v>
      </c>
    </row>
    <row r="1322">
      <c r="A1322" s="152" t="s">
        <v>8490</v>
      </c>
      <c r="B1322" s="152" t="s">
        <v>8491</v>
      </c>
      <c r="C1322" s="152">
        <v>3.0</v>
      </c>
      <c r="D1322" s="152">
        <v>1.0</v>
      </c>
      <c r="E1322" s="152">
        <v>1.0</v>
      </c>
      <c r="F1322" s="152">
        <v>1.0</v>
      </c>
      <c r="G1322" s="152" t="s">
        <v>8479</v>
      </c>
      <c r="H1322" s="152" t="s">
        <v>8480</v>
      </c>
      <c r="I1322" s="154"/>
      <c r="J1322" s="152" t="s">
        <v>23</v>
      </c>
      <c r="K1322" s="152">
        <v>1609.0</v>
      </c>
      <c r="L1322" s="154"/>
      <c r="M1322" s="154"/>
      <c r="N1322" s="152" t="s">
        <v>8384</v>
      </c>
    </row>
    <row r="1323">
      <c r="A1323" s="152" t="s">
        <v>8490</v>
      </c>
      <c r="B1323" s="152" t="s">
        <v>8491</v>
      </c>
      <c r="C1323" s="152">
        <v>3.0</v>
      </c>
      <c r="D1323" s="152">
        <v>2.0</v>
      </c>
      <c r="E1323" s="152">
        <v>1.0</v>
      </c>
      <c r="F1323" s="152">
        <v>1.0</v>
      </c>
      <c r="G1323" s="152" t="s">
        <v>8479</v>
      </c>
      <c r="H1323" s="152" t="s">
        <v>8481</v>
      </c>
      <c r="I1323" s="154"/>
      <c r="J1323" s="152" t="s">
        <v>23</v>
      </c>
      <c r="K1323" s="152">
        <v>839.0</v>
      </c>
      <c r="L1323" s="154"/>
      <c r="M1323" s="154"/>
      <c r="N1323" s="152" t="s">
        <v>8384</v>
      </c>
    </row>
    <row r="1324">
      <c r="A1324" s="152" t="s">
        <v>8490</v>
      </c>
      <c r="B1324" s="152" t="s">
        <v>8491</v>
      </c>
      <c r="C1324" s="152">
        <v>3.0</v>
      </c>
      <c r="D1324" s="152">
        <v>3.0</v>
      </c>
      <c r="E1324" s="152">
        <v>1.0</v>
      </c>
      <c r="F1324" s="152">
        <v>1.0</v>
      </c>
      <c r="G1324" s="152" t="s">
        <v>8479</v>
      </c>
      <c r="H1324" s="152" t="s">
        <v>8482</v>
      </c>
      <c r="I1324" s="154"/>
      <c r="J1324" s="152" t="s">
        <v>23</v>
      </c>
      <c r="K1324" s="152">
        <v>1789.0</v>
      </c>
      <c r="L1324" s="154"/>
      <c r="M1324" s="154"/>
      <c r="N1324" s="152" t="s">
        <v>8384</v>
      </c>
    </row>
    <row r="1325">
      <c r="A1325" s="152" t="s">
        <v>8490</v>
      </c>
      <c r="B1325" s="152" t="s">
        <v>8491</v>
      </c>
      <c r="C1325" s="152">
        <v>3.0</v>
      </c>
      <c r="D1325" s="152">
        <v>4.0</v>
      </c>
      <c r="E1325" s="152">
        <v>1.0</v>
      </c>
      <c r="F1325" s="152">
        <v>1.0</v>
      </c>
      <c r="G1325" s="152" t="s">
        <v>8479</v>
      </c>
      <c r="H1325" s="152" t="s">
        <v>8483</v>
      </c>
      <c r="I1325" s="154"/>
      <c r="J1325" s="152" t="s">
        <v>23</v>
      </c>
      <c r="K1325" s="152">
        <v>1789.0</v>
      </c>
      <c r="L1325" s="154"/>
      <c r="M1325" s="154"/>
      <c r="N1325" s="152" t="s">
        <v>8384</v>
      </c>
    </row>
    <row r="1326">
      <c r="A1326" s="152" t="s">
        <v>8490</v>
      </c>
      <c r="B1326" s="152" t="s">
        <v>8491</v>
      </c>
      <c r="C1326" s="152">
        <v>3.0</v>
      </c>
      <c r="D1326" s="152">
        <v>5.0</v>
      </c>
      <c r="E1326" s="152">
        <v>1.0</v>
      </c>
      <c r="F1326" s="152">
        <v>1.0</v>
      </c>
      <c r="G1326" s="152" t="s">
        <v>8479</v>
      </c>
      <c r="H1326" s="152" t="s">
        <v>8484</v>
      </c>
      <c r="I1326" s="154"/>
      <c r="J1326" s="152" t="s">
        <v>23</v>
      </c>
      <c r="K1326" s="152">
        <v>959.0</v>
      </c>
      <c r="L1326" s="154"/>
      <c r="M1326" s="154"/>
      <c r="N1326" s="152" t="s">
        <v>8384</v>
      </c>
    </row>
    <row r="1327">
      <c r="A1327" s="152" t="s">
        <v>8490</v>
      </c>
      <c r="B1327" s="152" t="s">
        <v>8491</v>
      </c>
      <c r="C1327" s="152">
        <v>3.0</v>
      </c>
      <c r="D1327" s="152">
        <v>6.0</v>
      </c>
      <c r="E1327" s="152">
        <v>1.0</v>
      </c>
      <c r="F1327" s="152">
        <v>1.0</v>
      </c>
      <c r="G1327" s="152" t="s">
        <v>8479</v>
      </c>
      <c r="H1327" s="152" t="s">
        <v>8485</v>
      </c>
      <c r="I1327" s="154"/>
      <c r="J1327" s="152" t="s">
        <v>23</v>
      </c>
      <c r="K1327" s="152">
        <v>959.0</v>
      </c>
      <c r="L1327" s="154"/>
      <c r="M1327" s="154"/>
      <c r="N1327" s="152" t="s">
        <v>8384</v>
      </c>
    </row>
    <row r="1328">
      <c r="A1328" s="152" t="s">
        <v>8490</v>
      </c>
      <c r="B1328" s="152" t="s">
        <v>8491</v>
      </c>
      <c r="C1328" s="152">
        <v>3.0</v>
      </c>
      <c r="D1328" s="152">
        <v>7.0</v>
      </c>
      <c r="E1328" s="152">
        <v>1.0</v>
      </c>
      <c r="F1328" s="152">
        <v>1.0</v>
      </c>
      <c r="G1328" s="152" t="s">
        <v>8479</v>
      </c>
      <c r="H1328" s="152" t="s">
        <v>8486</v>
      </c>
      <c r="I1328" s="154"/>
      <c r="J1328" s="152" t="s">
        <v>23</v>
      </c>
      <c r="K1328" s="152">
        <v>2019.0</v>
      </c>
      <c r="L1328" s="154"/>
      <c r="M1328" s="154"/>
      <c r="N1328" s="152" t="s">
        <v>8384</v>
      </c>
    </row>
    <row r="1329">
      <c r="A1329" s="152" t="s">
        <v>8490</v>
      </c>
      <c r="B1329" s="152" t="s">
        <v>8491</v>
      </c>
      <c r="C1329" s="152">
        <v>3.0</v>
      </c>
      <c r="D1329" s="152">
        <v>8.0</v>
      </c>
      <c r="E1329" s="152">
        <v>1.0</v>
      </c>
      <c r="F1329" s="152">
        <v>1.0</v>
      </c>
      <c r="G1329" s="152" t="s">
        <v>8479</v>
      </c>
      <c r="H1329" s="152" t="s">
        <v>8487</v>
      </c>
      <c r="I1329" s="154"/>
      <c r="J1329" s="152" t="s">
        <v>23</v>
      </c>
      <c r="K1329" s="152">
        <v>2019.0</v>
      </c>
      <c r="L1329" s="154"/>
      <c r="M1329" s="154"/>
      <c r="N1329" s="152" t="s">
        <v>8384</v>
      </c>
    </row>
    <row r="1330">
      <c r="A1330" s="152" t="s">
        <v>8490</v>
      </c>
      <c r="B1330" s="152" t="s">
        <v>8491</v>
      </c>
      <c r="C1330" s="152">
        <v>3.0</v>
      </c>
      <c r="D1330" s="152">
        <v>9.0</v>
      </c>
      <c r="E1330" s="152">
        <v>1.0</v>
      </c>
      <c r="F1330" s="152">
        <v>1.0</v>
      </c>
      <c r="G1330" s="152" t="s">
        <v>8479</v>
      </c>
      <c r="H1330" s="152" t="s">
        <v>8488</v>
      </c>
      <c r="I1330" s="154"/>
      <c r="J1330" s="152" t="s">
        <v>23</v>
      </c>
      <c r="K1330" s="152">
        <v>1039.0</v>
      </c>
      <c r="L1330" s="154"/>
      <c r="M1330" s="154"/>
      <c r="N1330" s="152" t="s">
        <v>8384</v>
      </c>
    </row>
    <row r="1331">
      <c r="A1331" s="152" t="s">
        <v>8490</v>
      </c>
      <c r="B1331" s="152" t="s">
        <v>8491</v>
      </c>
      <c r="C1331" s="152">
        <v>3.0</v>
      </c>
      <c r="D1331" s="152">
        <v>10.0</v>
      </c>
      <c r="E1331" s="152">
        <v>1.0</v>
      </c>
      <c r="F1331" s="152">
        <v>1.0</v>
      </c>
      <c r="G1331" s="152" t="s">
        <v>8479</v>
      </c>
      <c r="H1331" s="152" t="s">
        <v>8489</v>
      </c>
      <c r="I1331" s="154"/>
      <c r="J1331" s="152" t="s">
        <v>23</v>
      </c>
      <c r="K1331" s="152">
        <v>1039.0</v>
      </c>
      <c r="L1331" s="154"/>
      <c r="M1331" s="154"/>
      <c r="N1331" s="152" t="s">
        <v>8384</v>
      </c>
    </row>
    <row r="1332">
      <c r="A1332" s="152" t="s">
        <v>8490</v>
      </c>
      <c r="B1332" s="152" t="s">
        <v>8491</v>
      </c>
      <c r="C1332" s="152">
        <v>3.0</v>
      </c>
      <c r="D1332" s="152">
        <v>1.0</v>
      </c>
      <c r="E1332" s="152">
        <v>1.0</v>
      </c>
      <c r="F1332" s="152">
        <v>2.0</v>
      </c>
      <c r="G1332" s="152" t="s">
        <v>8479</v>
      </c>
      <c r="H1332" s="152" t="s">
        <v>8480</v>
      </c>
      <c r="I1332" s="154"/>
      <c r="J1332" s="152" t="s">
        <v>23</v>
      </c>
      <c r="K1332" s="152">
        <v>1719.0</v>
      </c>
      <c r="L1332" s="154"/>
      <c r="M1332" s="154"/>
      <c r="N1332" s="152" t="s">
        <v>8384</v>
      </c>
    </row>
    <row r="1333">
      <c r="A1333" s="152" t="s">
        <v>8490</v>
      </c>
      <c r="B1333" s="152" t="s">
        <v>8491</v>
      </c>
      <c r="C1333" s="152">
        <v>3.0</v>
      </c>
      <c r="D1333" s="152">
        <v>2.0</v>
      </c>
      <c r="E1333" s="152">
        <v>1.0</v>
      </c>
      <c r="F1333" s="152">
        <v>2.0</v>
      </c>
      <c r="G1333" s="152" t="s">
        <v>8479</v>
      </c>
      <c r="H1333" s="152" t="s">
        <v>8481</v>
      </c>
      <c r="I1333" s="154"/>
      <c r="J1333" s="152" t="s">
        <v>23</v>
      </c>
      <c r="K1333" s="152">
        <v>899.0</v>
      </c>
      <c r="L1333" s="154"/>
      <c r="M1333" s="154"/>
      <c r="N1333" s="152" t="s">
        <v>8384</v>
      </c>
    </row>
    <row r="1334">
      <c r="A1334" s="152" t="s">
        <v>8490</v>
      </c>
      <c r="B1334" s="152" t="s">
        <v>8491</v>
      </c>
      <c r="C1334" s="152">
        <v>3.0</v>
      </c>
      <c r="D1334" s="152">
        <v>3.0</v>
      </c>
      <c r="E1334" s="152">
        <v>1.0</v>
      </c>
      <c r="F1334" s="152">
        <v>2.0</v>
      </c>
      <c r="G1334" s="152" t="s">
        <v>8479</v>
      </c>
      <c r="H1334" s="152" t="s">
        <v>8482</v>
      </c>
      <c r="I1334" s="154"/>
      <c r="J1334" s="152" t="s">
        <v>23</v>
      </c>
      <c r="K1334" s="152">
        <v>1909.0</v>
      </c>
      <c r="L1334" s="154"/>
      <c r="M1334" s="154"/>
      <c r="N1334" s="152" t="s">
        <v>8384</v>
      </c>
    </row>
    <row r="1335">
      <c r="A1335" s="152" t="s">
        <v>8490</v>
      </c>
      <c r="B1335" s="152" t="s">
        <v>8491</v>
      </c>
      <c r="C1335" s="152">
        <v>3.0</v>
      </c>
      <c r="D1335" s="152">
        <v>4.0</v>
      </c>
      <c r="E1335" s="152">
        <v>1.0</v>
      </c>
      <c r="F1335" s="152">
        <v>2.0</v>
      </c>
      <c r="G1335" s="152" t="s">
        <v>8479</v>
      </c>
      <c r="H1335" s="152" t="s">
        <v>8483</v>
      </c>
      <c r="I1335" s="154"/>
      <c r="J1335" s="152" t="s">
        <v>23</v>
      </c>
      <c r="K1335" s="152">
        <v>1909.0</v>
      </c>
      <c r="L1335" s="154"/>
      <c r="M1335" s="154"/>
      <c r="N1335" s="152" t="s">
        <v>8384</v>
      </c>
    </row>
    <row r="1336">
      <c r="A1336" s="152" t="s">
        <v>8490</v>
      </c>
      <c r="B1336" s="152" t="s">
        <v>8491</v>
      </c>
      <c r="C1336" s="152">
        <v>3.0</v>
      </c>
      <c r="D1336" s="152">
        <v>5.0</v>
      </c>
      <c r="E1336" s="152">
        <v>1.0</v>
      </c>
      <c r="F1336" s="152">
        <v>2.0</v>
      </c>
      <c r="G1336" s="152" t="s">
        <v>8479</v>
      </c>
      <c r="H1336" s="152" t="s">
        <v>8484</v>
      </c>
      <c r="I1336" s="154"/>
      <c r="J1336" s="152" t="s">
        <v>23</v>
      </c>
      <c r="K1336" s="152">
        <v>1019.0</v>
      </c>
      <c r="L1336" s="154"/>
      <c r="M1336" s="154"/>
      <c r="N1336" s="152" t="s">
        <v>8384</v>
      </c>
    </row>
    <row r="1337">
      <c r="A1337" s="152" t="s">
        <v>8490</v>
      </c>
      <c r="B1337" s="152" t="s">
        <v>8491</v>
      </c>
      <c r="C1337" s="152">
        <v>3.0</v>
      </c>
      <c r="D1337" s="152">
        <v>6.0</v>
      </c>
      <c r="E1337" s="152">
        <v>1.0</v>
      </c>
      <c r="F1337" s="152">
        <v>2.0</v>
      </c>
      <c r="G1337" s="152" t="s">
        <v>8479</v>
      </c>
      <c r="H1337" s="152" t="s">
        <v>8485</v>
      </c>
      <c r="I1337" s="154"/>
      <c r="J1337" s="152" t="s">
        <v>23</v>
      </c>
      <c r="K1337" s="152">
        <v>1019.0</v>
      </c>
      <c r="L1337" s="154"/>
      <c r="M1337" s="154"/>
      <c r="N1337" s="152" t="s">
        <v>8384</v>
      </c>
    </row>
    <row r="1338">
      <c r="A1338" s="152" t="s">
        <v>8490</v>
      </c>
      <c r="B1338" s="152" t="s">
        <v>8491</v>
      </c>
      <c r="C1338" s="152">
        <v>3.0</v>
      </c>
      <c r="D1338" s="152">
        <v>7.0</v>
      </c>
      <c r="E1338" s="152">
        <v>1.0</v>
      </c>
      <c r="F1338" s="152">
        <v>2.0</v>
      </c>
      <c r="G1338" s="152" t="s">
        <v>8479</v>
      </c>
      <c r="H1338" s="152" t="s">
        <v>8486</v>
      </c>
      <c r="I1338" s="154"/>
      <c r="J1338" s="152" t="s">
        <v>23</v>
      </c>
      <c r="K1338" s="152">
        <v>2149.0</v>
      </c>
      <c r="L1338" s="154"/>
      <c r="M1338" s="154"/>
      <c r="N1338" s="152" t="s">
        <v>8384</v>
      </c>
    </row>
    <row r="1339">
      <c r="A1339" s="152" t="s">
        <v>8490</v>
      </c>
      <c r="B1339" s="152" t="s">
        <v>8491</v>
      </c>
      <c r="C1339" s="152">
        <v>3.0</v>
      </c>
      <c r="D1339" s="152">
        <v>8.0</v>
      </c>
      <c r="E1339" s="152">
        <v>1.0</v>
      </c>
      <c r="F1339" s="152">
        <v>2.0</v>
      </c>
      <c r="G1339" s="152" t="s">
        <v>8479</v>
      </c>
      <c r="H1339" s="152" t="s">
        <v>8487</v>
      </c>
      <c r="I1339" s="154"/>
      <c r="J1339" s="152" t="s">
        <v>23</v>
      </c>
      <c r="K1339" s="152">
        <v>2149.0</v>
      </c>
      <c r="L1339" s="154"/>
      <c r="M1339" s="154"/>
      <c r="N1339" s="152" t="s">
        <v>8384</v>
      </c>
    </row>
    <row r="1340">
      <c r="A1340" s="152" t="s">
        <v>8490</v>
      </c>
      <c r="B1340" s="152" t="s">
        <v>8491</v>
      </c>
      <c r="C1340" s="152">
        <v>3.0</v>
      </c>
      <c r="D1340" s="152">
        <v>9.0</v>
      </c>
      <c r="E1340" s="152">
        <v>1.0</v>
      </c>
      <c r="F1340" s="152">
        <v>2.0</v>
      </c>
      <c r="G1340" s="152" t="s">
        <v>8479</v>
      </c>
      <c r="H1340" s="152" t="s">
        <v>8488</v>
      </c>
      <c r="I1340" s="154"/>
      <c r="J1340" s="152" t="s">
        <v>23</v>
      </c>
      <c r="K1340" s="152">
        <v>1109.0</v>
      </c>
      <c r="L1340" s="154"/>
      <c r="M1340" s="154"/>
      <c r="N1340" s="152" t="s">
        <v>8384</v>
      </c>
    </row>
    <row r="1341">
      <c r="A1341" s="152" t="s">
        <v>8490</v>
      </c>
      <c r="B1341" s="152" t="s">
        <v>8491</v>
      </c>
      <c r="C1341" s="152">
        <v>3.0</v>
      </c>
      <c r="D1341" s="152">
        <v>10.0</v>
      </c>
      <c r="E1341" s="152">
        <v>1.0</v>
      </c>
      <c r="F1341" s="152">
        <v>2.0</v>
      </c>
      <c r="G1341" s="152" t="s">
        <v>8479</v>
      </c>
      <c r="H1341" s="152" t="s">
        <v>8489</v>
      </c>
      <c r="I1341" s="154"/>
      <c r="J1341" s="152" t="s">
        <v>23</v>
      </c>
      <c r="K1341" s="152">
        <v>1109.0</v>
      </c>
      <c r="L1341" s="154"/>
      <c r="M1341" s="154"/>
      <c r="N1341" s="152" t="s">
        <v>8384</v>
      </c>
    </row>
    <row r="1342">
      <c r="A1342" s="152" t="s">
        <v>8490</v>
      </c>
      <c r="B1342" s="152" t="s">
        <v>8491</v>
      </c>
      <c r="C1342" s="152">
        <v>3.0</v>
      </c>
      <c r="D1342" s="152">
        <v>1.0</v>
      </c>
      <c r="E1342" s="152">
        <v>1.0</v>
      </c>
      <c r="F1342" s="152">
        <v>3.0</v>
      </c>
      <c r="G1342" s="152" t="s">
        <v>8479</v>
      </c>
      <c r="H1342" s="152" t="s">
        <v>8480</v>
      </c>
      <c r="I1342" s="154"/>
      <c r="J1342" s="152" t="s">
        <v>23</v>
      </c>
      <c r="K1342" s="152">
        <v>1719.0</v>
      </c>
      <c r="L1342" s="154"/>
      <c r="M1342" s="154"/>
      <c r="N1342" s="152" t="s">
        <v>8384</v>
      </c>
    </row>
    <row r="1343">
      <c r="A1343" s="152" t="s">
        <v>8490</v>
      </c>
      <c r="B1343" s="152" t="s">
        <v>8491</v>
      </c>
      <c r="C1343" s="152">
        <v>3.0</v>
      </c>
      <c r="D1343" s="152">
        <v>2.0</v>
      </c>
      <c r="E1343" s="152">
        <v>1.0</v>
      </c>
      <c r="F1343" s="152">
        <v>3.0</v>
      </c>
      <c r="G1343" s="152" t="s">
        <v>8479</v>
      </c>
      <c r="H1343" s="152" t="s">
        <v>8481</v>
      </c>
      <c r="I1343" s="154"/>
      <c r="J1343" s="152" t="s">
        <v>23</v>
      </c>
      <c r="K1343" s="152">
        <v>899.0</v>
      </c>
      <c r="L1343" s="154"/>
      <c r="M1343" s="154"/>
      <c r="N1343" s="152" t="s">
        <v>8384</v>
      </c>
    </row>
    <row r="1344">
      <c r="A1344" s="152" t="s">
        <v>8490</v>
      </c>
      <c r="B1344" s="152" t="s">
        <v>8491</v>
      </c>
      <c r="C1344" s="152">
        <v>3.0</v>
      </c>
      <c r="D1344" s="152">
        <v>3.0</v>
      </c>
      <c r="E1344" s="152">
        <v>1.0</v>
      </c>
      <c r="F1344" s="152">
        <v>3.0</v>
      </c>
      <c r="G1344" s="152" t="s">
        <v>8479</v>
      </c>
      <c r="H1344" s="152" t="s">
        <v>8482</v>
      </c>
      <c r="I1344" s="154"/>
      <c r="J1344" s="152" t="s">
        <v>23</v>
      </c>
      <c r="K1344" s="152">
        <v>1909.0</v>
      </c>
      <c r="L1344" s="154"/>
      <c r="M1344" s="154"/>
      <c r="N1344" s="152" t="s">
        <v>8384</v>
      </c>
    </row>
    <row r="1345">
      <c r="A1345" s="152" t="s">
        <v>8490</v>
      </c>
      <c r="B1345" s="152" t="s">
        <v>8491</v>
      </c>
      <c r="C1345" s="152">
        <v>3.0</v>
      </c>
      <c r="D1345" s="152">
        <v>4.0</v>
      </c>
      <c r="E1345" s="152">
        <v>1.0</v>
      </c>
      <c r="F1345" s="152">
        <v>3.0</v>
      </c>
      <c r="G1345" s="152" t="s">
        <v>8479</v>
      </c>
      <c r="H1345" s="152" t="s">
        <v>8483</v>
      </c>
      <c r="I1345" s="154"/>
      <c r="J1345" s="152" t="s">
        <v>23</v>
      </c>
      <c r="K1345" s="152">
        <v>1909.0</v>
      </c>
      <c r="L1345" s="154"/>
      <c r="M1345" s="154"/>
      <c r="N1345" s="152" t="s">
        <v>8384</v>
      </c>
    </row>
    <row r="1346">
      <c r="A1346" s="152" t="s">
        <v>8490</v>
      </c>
      <c r="B1346" s="152" t="s">
        <v>8491</v>
      </c>
      <c r="C1346" s="152">
        <v>3.0</v>
      </c>
      <c r="D1346" s="152">
        <v>5.0</v>
      </c>
      <c r="E1346" s="152">
        <v>1.0</v>
      </c>
      <c r="F1346" s="152">
        <v>3.0</v>
      </c>
      <c r="G1346" s="152" t="s">
        <v>8479</v>
      </c>
      <c r="H1346" s="152" t="s">
        <v>8484</v>
      </c>
      <c r="I1346" s="154"/>
      <c r="J1346" s="152" t="s">
        <v>23</v>
      </c>
      <c r="K1346" s="152">
        <v>1019.0</v>
      </c>
      <c r="L1346" s="154"/>
      <c r="M1346" s="154"/>
      <c r="N1346" s="152" t="s">
        <v>8384</v>
      </c>
    </row>
    <row r="1347">
      <c r="A1347" s="152" t="s">
        <v>8490</v>
      </c>
      <c r="B1347" s="152" t="s">
        <v>8491</v>
      </c>
      <c r="C1347" s="152">
        <v>3.0</v>
      </c>
      <c r="D1347" s="152">
        <v>6.0</v>
      </c>
      <c r="E1347" s="152">
        <v>1.0</v>
      </c>
      <c r="F1347" s="152">
        <v>3.0</v>
      </c>
      <c r="G1347" s="152" t="s">
        <v>8479</v>
      </c>
      <c r="H1347" s="152" t="s">
        <v>8485</v>
      </c>
      <c r="I1347" s="154"/>
      <c r="J1347" s="152" t="s">
        <v>23</v>
      </c>
      <c r="K1347" s="152">
        <v>1019.0</v>
      </c>
      <c r="L1347" s="154"/>
      <c r="M1347" s="154"/>
      <c r="N1347" s="152" t="s">
        <v>8384</v>
      </c>
    </row>
    <row r="1348">
      <c r="A1348" s="152" t="s">
        <v>8490</v>
      </c>
      <c r="B1348" s="152" t="s">
        <v>8491</v>
      </c>
      <c r="C1348" s="152">
        <v>3.0</v>
      </c>
      <c r="D1348" s="152">
        <v>7.0</v>
      </c>
      <c r="E1348" s="152">
        <v>1.0</v>
      </c>
      <c r="F1348" s="152">
        <v>3.0</v>
      </c>
      <c r="G1348" s="152" t="s">
        <v>8479</v>
      </c>
      <c r="H1348" s="152" t="s">
        <v>8486</v>
      </c>
      <c r="I1348" s="154"/>
      <c r="J1348" s="152" t="s">
        <v>23</v>
      </c>
      <c r="K1348" s="152">
        <v>2149.0</v>
      </c>
      <c r="L1348" s="154"/>
      <c r="M1348" s="154"/>
      <c r="N1348" s="152" t="s">
        <v>8384</v>
      </c>
    </row>
    <row r="1349">
      <c r="A1349" s="152" t="s">
        <v>8490</v>
      </c>
      <c r="B1349" s="152" t="s">
        <v>8491</v>
      </c>
      <c r="C1349" s="152">
        <v>3.0</v>
      </c>
      <c r="D1349" s="152">
        <v>8.0</v>
      </c>
      <c r="E1349" s="152">
        <v>1.0</v>
      </c>
      <c r="F1349" s="152">
        <v>3.0</v>
      </c>
      <c r="G1349" s="152" t="s">
        <v>8479</v>
      </c>
      <c r="H1349" s="152" t="s">
        <v>8487</v>
      </c>
      <c r="I1349" s="154"/>
      <c r="J1349" s="152" t="s">
        <v>23</v>
      </c>
      <c r="K1349" s="152">
        <v>2149.0</v>
      </c>
      <c r="L1349" s="154"/>
      <c r="M1349" s="154"/>
      <c r="N1349" s="152" t="s">
        <v>8384</v>
      </c>
    </row>
    <row r="1350">
      <c r="A1350" s="152" t="s">
        <v>8490</v>
      </c>
      <c r="B1350" s="152" t="s">
        <v>8491</v>
      </c>
      <c r="C1350" s="152">
        <v>3.0</v>
      </c>
      <c r="D1350" s="152">
        <v>9.0</v>
      </c>
      <c r="E1350" s="152">
        <v>1.0</v>
      </c>
      <c r="F1350" s="152">
        <v>3.0</v>
      </c>
      <c r="G1350" s="152" t="s">
        <v>8479</v>
      </c>
      <c r="H1350" s="152" t="s">
        <v>8488</v>
      </c>
      <c r="I1350" s="154"/>
      <c r="J1350" s="152" t="s">
        <v>23</v>
      </c>
      <c r="K1350" s="152">
        <v>1109.0</v>
      </c>
      <c r="L1350" s="154"/>
      <c r="M1350" s="154"/>
      <c r="N1350" s="152" t="s">
        <v>8384</v>
      </c>
    </row>
    <row r="1351">
      <c r="A1351" s="152" t="s">
        <v>8490</v>
      </c>
      <c r="B1351" s="152" t="s">
        <v>8491</v>
      </c>
      <c r="C1351" s="152">
        <v>3.0</v>
      </c>
      <c r="D1351" s="152">
        <v>10.0</v>
      </c>
      <c r="E1351" s="152">
        <v>1.0</v>
      </c>
      <c r="F1351" s="152">
        <v>3.0</v>
      </c>
      <c r="G1351" s="152" t="s">
        <v>8479</v>
      </c>
      <c r="H1351" s="152" t="s">
        <v>8489</v>
      </c>
      <c r="I1351" s="154"/>
      <c r="J1351" s="152" t="s">
        <v>23</v>
      </c>
      <c r="K1351" s="152">
        <v>1109.0</v>
      </c>
      <c r="L1351" s="154"/>
      <c r="M1351" s="154"/>
      <c r="N1351" s="152" t="s">
        <v>8384</v>
      </c>
    </row>
    <row r="1352">
      <c r="A1352" s="152" t="s">
        <v>8490</v>
      </c>
      <c r="B1352" s="152" t="s">
        <v>8491</v>
      </c>
      <c r="C1352" s="152">
        <v>3.0</v>
      </c>
      <c r="D1352" s="152">
        <v>1.0</v>
      </c>
      <c r="E1352" s="152">
        <v>1.0</v>
      </c>
      <c r="F1352" s="152">
        <v>4.0</v>
      </c>
      <c r="G1352" s="152" t="s">
        <v>8479</v>
      </c>
      <c r="H1352" s="152" t="s">
        <v>8480</v>
      </c>
      <c r="I1352" s="154"/>
      <c r="J1352" s="152" t="s">
        <v>23</v>
      </c>
      <c r="K1352" s="152">
        <v>1719.0</v>
      </c>
      <c r="L1352" s="154"/>
      <c r="M1352" s="154"/>
      <c r="N1352" s="152" t="s">
        <v>8384</v>
      </c>
    </row>
    <row r="1353">
      <c r="A1353" s="152" t="s">
        <v>8490</v>
      </c>
      <c r="B1353" s="152" t="s">
        <v>8491</v>
      </c>
      <c r="C1353" s="152">
        <v>3.0</v>
      </c>
      <c r="D1353" s="152">
        <v>2.0</v>
      </c>
      <c r="E1353" s="152">
        <v>1.0</v>
      </c>
      <c r="F1353" s="152">
        <v>4.0</v>
      </c>
      <c r="G1353" s="152" t="s">
        <v>8479</v>
      </c>
      <c r="H1353" s="152" t="s">
        <v>8481</v>
      </c>
      <c r="I1353" s="154"/>
      <c r="J1353" s="152" t="s">
        <v>23</v>
      </c>
      <c r="K1353" s="152">
        <v>899.0</v>
      </c>
      <c r="L1353" s="154"/>
      <c r="M1353" s="154"/>
      <c r="N1353" s="152" t="s">
        <v>8384</v>
      </c>
    </row>
    <row r="1354">
      <c r="A1354" s="152" t="s">
        <v>8490</v>
      </c>
      <c r="B1354" s="152" t="s">
        <v>8491</v>
      </c>
      <c r="C1354" s="152">
        <v>3.0</v>
      </c>
      <c r="D1354" s="152">
        <v>3.0</v>
      </c>
      <c r="E1354" s="152">
        <v>1.0</v>
      </c>
      <c r="F1354" s="152">
        <v>4.0</v>
      </c>
      <c r="G1354" s="152" t="s">
        <v>8479</v>
      </c>
      <c r="H1354" s="152" t="s">
        <v>8482</v>
      </c>
      <c r="I1354" s="154"/>
      <c r="J1354" s="152" t="s">
        <v>23</v>
      </c>
      <c r="K1354" s="152">
        <v>1909.0</v>
      </c>
      <c r="L1354" s="154"/>
      <c r="M1354" s="154"/>
      <c r="N1354" s="152" t="s">
        <v>8384</v>
      </c>
    </row>
    <row r="1355">
      <c r="A1355" s="152" t="s">
        <v>8490</v>
      </c>
      <c r="B1355" s="152" t="s">
        <v>8491</v>
      </c>
      <c r="C1355" s="152">
        <v>3.0</v>
      </c>
      <c r="D1355" s="152">
        <v>4.0</v>
      </c>
      <c r="E1355" s="152">
        <v>1.0</v>
      </c>
      <c r="F1355" s="152">
        <v>4.0</v>
      </c>
      <c r="G1355" s="152" t="s">
        <v>8479</v>
      </c>
      <c r="H1355" s="152" t="s">
        <v>8483</v>
      </c>
      <c r="I1355" s="154"/>
      <c r="J1355" s="152" t="s">
        <v>23</v>
      </c>
      <c r="K1355" s="152">
        <v>1909.0</v>
      </c>
      <c r="L1355" s="154"/>
      <c r="M1355" s="154"/>
      <c r="N1355" s="152" t="s">
        <v>8384</v>
      </c>
    </row>
    <row r="1356">
      <c r="A1356" s="152" t="s">
        <v>8490</v>
      </c>
      <c r="B1356" s="152" t="s">
        <v>8491</v>
      </c>
      <c r="C1356" s="152">
        <v>3.0</v>
      </c>
      <c r="D1356" s="152">
        <v>5.0</v>
      </c>
      <c r="E1356" s="152">
        <v>1.0</v>
      </c>
      <c r="F1356" s="152">
        <v>4.0</v>
      </c>
      <c r="G1356" s="152" t="s">
        <v>8479</v>
      </c>
      <c r="H1356" s="152" t="s">
        <v>8484</v>
      </c>
      <c r="I1356" s="154"/>
      <c r="J1356" s="152" t="s">
        <v>23</v>
      </c>
      <c r="K1356" s="152">
        <v>1019.0</v>
      </c>
      <c r="L1356" s="154"/>
      <c r="M1356" s="154"/>
      <c r="N1356" s="152" t="s">
        <v>8384</v>
      </c>
    </row>
    <row r="1357">
      <c r="A1357" s="152" t="s">
        <v>8490</v>
      </c>
      <c r="B1357" s="152" t="s">
        <v>8491</v>
      </c>
      <c r="C1357" s="152">
        <v>3.0</v>
      </c>
      <c r="D1357" s="152">
        <v>6.0</v>
      </c>
      <c r="E1357" s="152">
        <v>1.0</v>
      </c>
      <c r="F1357" s="152">
        <v>4.0</v>
      </c>
      <c r="G1357" s="152" t="s">
        <v>8479</v>
      </c>
      <c r="H1357" s="152" t="s">
        <v>8485</v>
      </c>
      <c r="I1357" s="154"/>
      <c r="J1357" s="152" t="s">
        <v>23</v>
      </c>
      <c r="K1357" s="152">
        <v>1019.0</v>
      </c>
      <c r="L1357" s="154"/>
      <c r="M1357" s="154"/>
      <c r="N1357" s="152" t="s">
        <v>8384</v>
      </c>
    </row>
    <row r="1358">
      <c r="A1358" s="152" t="s">
        <v>8490</v>
      </c>
      <c r="B1358" s="152" t="s">
        <v>8491</v>
      </c>
      <c r="C1358" s="152">
        <v>3.0</v>
      </c>
      <c r="D1358" s="152">
        <v>7.0</v>
      </c>
      <c r="E1358" s="152">
        <v>1.0</v>
      </c>
      <c r="F1358" s="152">
        <v>4.0</v>
      </c>
      <c r="G1358" s="152" t="s">
        <v>8479</v>
      </c>
      <c r="H1358" s="152" t="s">
        <v>8486</v>
      </c>
      <c r="I1358" s="154"/>
      <c r="J1358" s="152" t="s">
        <v>23</v>
      </c>
      <c r="K1358" s="152">
        <v>2149.0</v>
      </c>
      <c r="L1358" s="154"/>
      <c r="M1358" s="154"/>
      <c r="N1358" s="152" t="s">
        <v>8384</v>
      </c>
    </row>
    <row r="1359">
      <c r="A1359" s="152" t="s">
        <v>8490</v>
      </c>
      <c r="B1359" s="152" t="s">
        <v>8491</v>
      </c>
      <c r="C1359" s="152">
        <v>3.0</v>
      </c>
      <c r="D1359" s="152">
        <v>8.0</v>
      </c>
      <c r="E1359" s="152">
        <v>1.0</v>
      </c>
      <c r="F1359" s="152">
        <v>4.0</v>
      </c>
      <c r="G1359" s="152" t="s">
        <v>8479</v>
      </c>
      <c r="H1359" s="152" t="s">
        <v>8487</v>
      </c>
      <c r="I1359" s="154"/>
      <c r="J1359" s="152" t="s">
        <v>23</v>
      </c>
      <c r="K1359" s="152">
        <v>2149.0</v>
      </c>
      <c r="L1359" s="154"/>
      <c r="M1359" s="154"/>
      <c r="N1359" s="152" t="s">
        <v>8384</v>
      </c>
    </row>
    <row r="1360">
      <c r="A1360" s="152" t="s">
        <v>8490</v>
      </c>
      <c r="B1360" s="152" t="s">
        <v>8491</v>
      </c>
      <c r="C1360" s="152">
        <v>3.0</v>
      </c>
      <c r="D1360" s="152">
        <v>9.0</v>
      </c>
      <c r="E1360" s="152">
        <v>1.0</v>
      </c>
      <c r="F1360" s="152">
        <v>4.0</v>
      </c>
      <c r="G1360" s="152" t="s">
        <v>8479</v>
      </c>
      <c r="H1360" s="152" t="s">
        <v>8488</v>
      </c>
      <c r="I1360" s="154"/>
      <c r="J1360" s="152" t="s">
        <v>23</v>
      </c>
      <c r="K1360" s="152">
        <v>1109.0</v>
      </c>
      <c r="L1360" s="154"/>
      <c r="M1360" s="154"/>
      <c r="N1360" s="152" t="s">
        <v>8384</v>
      </c>
    </row>
    <row r="1361">
      <c r="A1361" s="152" t="s">
        <v>8490</v>
      </c>
      <c r="B1361" s="152" t="s">
        <v>8491</v>
      </c>
      <c r="C1361" s="152">
        <v>3.0</v>
      </c>
      <c r="D1361" s="152">
        <v>10.0</v>
      </c>
      <c r="E1361" s="152">
        <v>1.0</v>
      </c>
      <c r="F1361" s="152">
        <v>4.0</v>
      </c>
      <c r="G1361" s="152" t="s">
        <v>8479</v>
      </c>
      <c r="H1361" s="152" t="s">
        <v>8489</v>
      </c>
      <c r="I1361" s="154"/>
      <c r="J1361" s="152" t="s">
        <v>23</v>
      </c>
      <c r="K1361" s="152">
        <v>1109.0</v>
      </c>
      <c r="L1361" s="154"/>
      <c r="M1361" s="154"/>
      <c r="N1361" s="152" t="s">
        <v>8384</v>
      </c>
    </row>
    <row r="1362">
      <c r="A1362" s="152" t="s">
        <v>8490</v>
      </c>
      <c r="B1362" s="152" t="s">
        <v>8491</v>
      </c>
      <c r="C1362" s="152">
        <v>3.0</v>
      </c>
      <c r="D1362" s="152">
        <v>1.0</v>
      </c>
      <c r="E1362" s="152">
        <v>1.0</v>
      </c>
      <c r="F1362" s="152">
        <v>5.0</v>
      </c>
      <c r="G1362" s="152" t="s">
        <v>8479</v>
      </c>
      <c r="H1362" s="152" t="s">
        <v>8480</v>
      </c>
      <c r="I1362" s="154"/>
      <c r="J1362" s="152" t="s">
        <v>23</v>
      </c>
      <c r="K1362" s="152">
        <v>1719.0</v>
      </c>
      <c r="L1362" s="154"/>
      <c r="M1362" s="154"/>
      <c r="N1362" s="152" t="s">
        <v>8384</v>
      </c>
    </row>
    <row r="1363">
      <c r="A1363" s="152" t="s">
        <v>8490</v>
      </c>
      <c r="B1363" s="152" t="s">
        <v>8491</v>
      </c>
      <c r="C1363" s="152">
        <v>3.0</v>
      </c>
      <c r="D1363" s="152">
        <v>2.0</v>
      </c>
      <c r="E1363" s="152">
        <v>1.0</v>
      </c>
      <c r="F1363" s="152">
        <v>5.0</v>
      </c>
      <c r="G1363" s="152" t="s">
        <v>8479</v>
      </c>
      <c r="H1363" s="152" t="s">
        <v>8481</v>
      </c>
      <c r="I1363" s="154"/>
      <c r="J1363" s="152" t="s">
        <v>23</v>
      </c>
      <c r="K1363" s="152">
        <v>899.0</v>
      </c>
      <c r="L1363" s="154"/>
      <c r="M1363" s="154"/>
      <c r="N1363" s="152" t="s">
        <v>8384</v>
      </c>
    </row>
    <row r="1364">
      <c r="A1364" s="152" t="s">
        <v>8490</v>
      </c>
      <c r="B1364" s="152" t="s">
        <v>8491</v>
      </c>
      <c r="C1364" s="152">
        <v>3.0</v>
      </c>
      <c r="D1364" s="152">
        <v>3.0</v>
      </c>
      <c r="E1364" s="152">
        <v>1.0</v>
      </c>
      <c r="F1364" s="152">
        <v>5.0</v>
      </c>
      <c r="G1364" s="152" t="s">
        <v>8479</v>
      </c>
      <c r="H1364" s="152" t="s">
        <v>8482</v>
      </c>
      <c r="I1364" s="154"/>
      <c r="J1364" s="152" t="s">
        <v>23</v>
      </c>
      <c r="K1364" s="152">
        <v>1909.0</v>
      </c>
      <c r="L1364" s="154"/>
      <c r="M1364" s="154"/>
      <c r="N1364" s="152" t="s">
        <v>8384</v>
      </c>
    </row>
    <row r="1365">
      <c r="A1365" s="152" t="s">
        <v>8490</v>
      </c>
      <c r="B1365" s="152" t="s">
        <v>8491</v>
      </c>
      <c r="C1365" s="152">
        <v>3.0</v>
      </c>
      <c r="D1365" s="152">
        <v>4.0</v>
      </c>
      <c r="E1365" s="152">
        <v>1.0</v>
      </c>
      <c r="F1365" s="152">
        <v>5.0</v>
      </c>
      <c r="G1365" s="152" t="s">
        <v>8479</v>
      </c>
      <c r="H1365" s="152" t="s">
        <v>8483</v>
      </c>
      <c r="I1365" s="154"/>
      <c r="J1365" s="152" t="s">
        <v>23</v>
      </c>
      <c r="K1365" s="152">
        <v>1909.0</v>
      </c>
      <c r="L1365" s="154"/>
      <c r="M1365" s="154"/>
      <c r="N1365" s="152" t="s">
        <v>8384</v>
      </c>
    </row>
    <row r="1366">
      <c r="A1366" s="152" t="s">
        <v>8490</v>
      </c>
      <c r="B1366" s="152" t="s">
        <v>8491</v>
      </c>
      <c r="C1366" s="152">
        <v>3.0</v>
      </c>
      <c r="D1366" s="152">
        <v>5.0</v>
      </c>
      <c r="E1366" s="152">
        <v>1.0</v>
      </c>
      <c r="F1366" s="152">
        <v>5.0</v>
      </c>
      <c r="G1366" s="152" t="s">
        <v>8479</v>
      </c>
      <c r="H1366" s="152" t="s">
        <v>8484</v>
      </c>
      <c r="I1366" s="154"/>
      <c r="J1366" s="152" t="s">
        <v>23</v>
      </c>
      <c r="K1366" s="152">
        <v>1019.0</v>
      </c>
      <c r="L1366" s="154"/>
      <c r="M1366" s="154"/>
      <c r="N1366" s="152" t="s">
        <v>8384</v>
      </c>
    </row>
    <row r="1367">
      <c r="A1367" s="152" t="s">
        <v>8490</v>
      </c>
      <c r="B1367" s="152" t="s">
        <v>8491</v>
      </c>
      <c r="C1367" s="152">
        <v>3.0</v>
      </c>
      <c r="D1367" s="152">
        <v>6.0</v>
      </c>
      <c r="E1367" s="152">
        <v>1.0</v>
      </c>
      <c r="F1367" s="152">
        <v>5.0</v>
      </c>
      <c r="G1367" s="152" t="s">
        <v>8479</v>
      </c>
      <c r="H1367" s="152" t="s">
        <v>8485</v>
      </c>
      <c r="I1367" s="154"/>
      <c r="J1367" s="152" t="s">
        <v>23</v>
      </c>
      <c r="K1367" s="152">
        <v>1019.0</v>
      </c>
      <c r="L1367" s="154"/>
      <c r="M1367" s="154"/>
      <c r="N1367" s="152" t="s">
        <v>8384</v>
      </c>
    </row>
    <row r="1368">
      <c r="A1368" s="152" t="s">
        <v>8490</v>
      </c>
      <c r="B1368" s="152" t="s">
        <v>8491</v>
      </c>
      <c r="C1368" s="152">
        <v>3.0</v>
      </c>
      <c r="D1368" s="152">
        <v>7.0</v>
      </c>
      <c r="E1368" s="152">
        <v>1.0</v>
      </c>
      <c r="F1368" s="152">
        <v>5.0</v>
      </c>
      <c r="G1368" s="152" t="s">
        <v>8479</v>
      </c>
      <c r="H1368" s="152" t="s">
        <v>8486</v>
      </c>
      <c r="I1368" s="154"/>
      <c r="J1368" s="152" t="s">
        <v>23</v>
      </c>
      <c r="K1368" s="152">
        <v>2149.0</v>
      </c>
      <c r="L1368" s="154"/>
      <c r="M1368" s="154"/>
      <c r="N1368" s="152" t="s">
        <v>8384</v>
      </c>
    </row>
    <row r="1369">
      <c r="A1369" s="152" t="s">
        <v>8490</v>
      </c>
      <c r="B1369" s="152" t="s">
        <v>8491</v>
      </c>
      <c r="C1369" s="152">
        <v>3.0</v>
      </c>
      <c r="D1369" s="152">
        <v>8.0</v>
      </c>
      <c r="E1369" s="152">
        <v>1.0</v>
      </c>
      <c r="F1369" s="152">
        <v>5.0</v>
      </c>
      <c r="G1369" s="152" t="s">
        <v>8479</v>
      </c>
      <c r="H1369" s="152" t="s">
        <v>8487</v>
      </c>
      <c r="I1369" s="154"/>
      <c r="J1369" s="152" t="s">
        <v>23</v>
      </c>
      <c r="K1369" s="152">
        <v>2149.0</v>
      </c>
      <c r="L1369" s="154"/>
      <c r="M1369" s="154"/>
      <c r="N1369" s="152" t="s">
        <v>8384</v>
      </c>
    </row>
    <row r="1370">
      <c r="A1370" s="152" t="s">
        <v>8490</v>
      </c>
      <c r="B1370" s="152" t="s">
        <v>8491</v>
      </c>
      <c r="C1370" s="152">
        <v>3.0</v>
      </c>
      <c r="D1370" s="152">
        <v>9.0</v>
      </c>
      <c r="E1370" s="152">
        <v>1.0</v>
      </c>
      <c r="F1370" s="152">
        <v>5.0</v>
      </c>
      <c r="G1370" s="152" t="s">
        <v>8479</v>
      </c>
      <c r="H1370" s="152" t="s">
        <v>8488</v>
      </c>
      <c r="I1370" s="154"/>
      <c r="J1370" s="152" t="s">
        <v>23</v>
      </c>
      <c r="K1370" s="152">
        <v>1109.0</v>
      </c>
      <c r="L1370" s="154"/>
      <c r="M1370" s="154"/>
      <c r="N1370" s="152" t="s">
        <v>8384</v>
      </c>
    </row>
    <row r="1371">
      <c r="A1371" s="152" t="s">
        <v>8490</v>
      </c>
      <c r="B1371" s="152" t="s">
        <v>8491</v>
      </c>
      <c r="C1371" s="152">
        <v>3.0</v>
      </c>
      <c r="D1371" s="152">
        <v>10.0</v>
      </c>
      <c r="E1371" s="152">
        <v>1.0</v>
      </c>
      <c r="F1371" s="152">
        <v>5.0</v>
      </c>
      <c r="G1371" s="152" t="s">
        <v>8479</v>
      </c>
      <c r="H1371" s="152" t="s">
        <v>8489</v>
      </c>
      <c r="I1371" s="154"/>
      <c r="J1371" s="152" t="s">
        <v>23</v>
      </c>
      <c r="K1371" s="152">
        <v>1109.0</v>
      </c>
      <c r="L1371" s="154"/>
      <c r="M1371" s="154"/>
      <c r="N1371" s="152" t="s">
        <v>8384</v>
      </c>
    </row>
    <row r="1372">
      <c r="A1372" s="152" t="s">
        <v>8490</v>
      </c>
      <c r="B1372" s="152" t="s">
        <v>8491</v>
      </c>
      <c r="C1372" s="152">
        <v>3.0</v>
      </c>
      <c r="D1372" s="152">
        <v>1.0</v>
      </c>
      <c r="E1372" s="152">
        <v>1.0</v>
      </c>
      <c r="F1372" s="152">
        <v>6.0</v>
      </c>
      <c r="G1372" s="152" t="s">
        <v>8479</v>
      </c>
      <c r="H1372" s="152" t="s">
        <v>8480</v>
      </c>
      <c r="I1372" s="154"/>
      <c r="J1372" s="152" t="s">
        <v>23</v>
      </c>
      <c r="K1372" s="152">
        <v>2019.0</v>
      </c>
      <c r="L1372" s="154"/>
      <c r="M1372" s="154"/>
      <c r="N1372" s="152" t="s">
        <v>8384</v>
      </c>
    </row>
    <row r="1373">
      <c r="A1373" s="152" t="s">
        <v>8490</v>
      </c>
      <c r="B1373" s="152" t="s">
        <v>8491</v>
      </c>
      <c r="C1373" s="152">
        <v>3.0</v>
      </c>
      <c r="D1373" s="152">
        <v>2.0</v>
      </c>
      <c r="E1373" s="152">
        <v>1.0</v>
      </c>
      <c r="F1373" s="152">
        <v>6.0</v>
      </c>
      <c r="G1373" s="152" t="s">
        <v>8479</v>
      </c>
      <c r="H1373" s="152" t="s">
        <v>8481</v>
      </c>
      <c r="I1373" s="154"/>
      <c r="J1373" s="152" t="s">
        <v>23</v>
      </c>
      <c r="K1373" s="152">
        <v>1049.0</v>
      </c>
      <c r="L1373" s="154"/>
      <c r="M1373" s="154"/>
      <c r="N1373" s="152" t="s">
        <v>8384</v>
      </c>
    </row>
    <row r="1374">
      <c r="A1374" s="152" t="s">
        <v>8490</v>
      </c>
      <c r="B1374" s="152" t="s">
        <v>8491</v>
      </c>
      <c r="C1374" s="152">
        <v>3.0</v>
      </c>
      <c r="D1374" s="152">
        <v>3.0</v>
      </c>
      <c r="E1374" s="152">
        <v>1.0</v>
      </c>
      <c r="F1374" s="152">
        <v>6.0</v>
      </c>
      <c r="G1374" s="152" t="s">
        <v>8479</v>
      </c>
      <c r="H1374" s="152" t="s">
        <v>8482</v>
      </c>
      <c r="I1374" s="154"/>
      <c r="J1374" s="152" t="s">
        <v>23</v>
      </c>
      <c r="K1374" s="152">
        <v>2229.0</v>
      </c>
      <c r="L1374" s="154"/>
      <c r="M1374" s="154"/>
      <c r="N1374" s="152" t="s">
        <v>8384</v>
      </c>
    </row>
    <row r="1375">
      <c r="A1375" s="152" t="s">
        <v>8490</v>
      </c>
      <c r="B1375" s="152" t="s">
        <v>8491</v>
      </c>
      <c r="C1375" s="152">
        <v>3.0</v>
      </c>
      <c r="D1375" s="152">
        <v>4.0</v>
      </c>
      <c r="E1375" s="152">
        <v>1.0</v>
      </c>
      <c r="F1375" s="152">
        <v>6.0</v>
      </c>
      <c r="G1375" s="152" t="s">
        <v>8479</v>
      </c>
      <c r="H1375" s="152" t="s">
        <v>8483</v>
      </c>
      <c r="I1375" s="154"/>
      <c r="J1375" s="152" t="s">
        <v>23</v>
      </c>
      <c r="K1375" s="152">
        <v>2229.0</v>
      </c>
      <c r="L1375" s="154"/>
      <c r="M1375" s="154"/>
      <c r="N1375" s="152" t="s">
        <v>8384</v>
      </c>
    </row>
    <row r="1376">
      <c r="A1376" s="152" t="s">
        <v>8490</v>
      </c>
      <c r="B1376" s="152" t="s">
        <v>8491</v>
      </c>
      <c r="C1376" s="152">
        <v>3.0</v>
      </c>
      <c r="D1376" s="152">
        <v>5.0</v>
      </c>
      <c r="E1376" s="152">
        <v>1.0</v>
      </c>
      <c r="F1376" s="152">
        <v>6.0</v>
      </c>
      <c r="G1376" s="152" t="s">
        <v>8479</v>
      </c>
      <c r="H1376" s="152" t="s">
        <v>8484</v>
      </c>
      <c r="I1376" s="154"/>
      <c r="J1376" s="152" t="s">
        <v>23</v>
      </c>
      <c r="K1376" s="152">
        <v>1199.0</v>
      </c>
      <c r="L1376" s="154"/>
      <c r="M1376" s="154"/>
      <c r="N1376" s="152" t="s">
        <v>8384</v>
      </c>
    </row>
    <row r="1377">
      <c r="A1377" s="152" t="s">
        <v>8490</v>
      </c>
      <c r="B1377" s="152" t="s">
        <v>8491</v>
      </c>
      <c r="C1377" s="152">
        <v>3.0</v>
      </c>
      <c r="D1377" s="152">
        <v>6.0</v>
      </c>
      <c r="E1377" s="152">
        <v>1.0</v>
      </c>
      <c r="F1377" s="152">
        <v>6.0</v>
      </c>
      <c r="G1377" s="152" t="s">
        <v>8479</v>
      </c>
      <c r="H1377" s="152" t="s">
        <v>8485</v>
      </c>
      <c r="I1377" s="154"/>
      <c r="J1377" s="152" t="s">
        <v>23</v>
      </c>
      <c r="K1377" s="152">
        <v>1199.0</v>
      </c>
      <c r="L1377" s="154"/>
      <c r="M1377" s="154"/>
      <c r="N1377" s="152" t="s">
        <v>8384</v>
      </c>
    </row>
    <row r="1378">
      <c r="A1378" s="152" t="s">
        <v>8490</v>
      </c>
      <c r="B1378" s="152" t="s">
        <v>8491</v>
      </c>
      <c r="C1378" s="152">
        <v>3.0</v>
      </c>
      <c r="D1378" s="152">
        <v>7.0</v>
      </c>
      <c r="E1378" s="152">
        <v>1.0</v>
      </c>
      <c r="F1378" s="152">
        <v>6.0</v>
      </c>
      <c r="G1378" s="152" t="s">
        <v>8479</v>
      </c>
      <c r="H1378" s="152" t="s">
        <v>8486</v>
      </c>
      <c r="I1378" s="154"/>
      <c r="J1378" s="152" t="s">
        <v>23</v>
      </c>
      <c r="K1378" s="152">
        <v>2519.0</v>
      </c>
      <c r="L1378" s="154"/>
      <c r="M1378" s="154"/>
      <c r="N1378" s="152" t="s">
        <v>8384</v>
      </c>
    </row>
    <row r="1379">
      <c r="A1379" s="152" t="s">
        <v>8490</v>
      </c>
      <c r="B1379" s="152" t="s">
        <v>8491</v>
      </c>
      <c r="C1379" s="152">
        <v>3.0</v>
      </c>
      <c r="D1379" s="152">
        <v>8.0</v>
      </c>
      <c r="E1379" s="152">
        <v>1.0</v>
      </c>
      <c r="F1379" s="152">
        <v>6.0</v>
      </c>
      <c r="G1379" s="152" t="s">
        <v>8479</v>
      </c>
      <c r="H1379" s="152" t="s">
        <v>8487</v>
      </c>
      <c r="I1379" s="154"/>
      <c r="J1379" s="152" t="s">
        <v>23</v>
      </c>
      <c r="K1379" s="152">
        <v>2519.0</v>
      </c>
      <c r="L1379" s="154"/>
      <c r="M1379" s="154"/>
      <c r="N1379" s="152" t="s">
        <v>8384</v>
      </c>
    </row>
    <row r="1380">
      <c r="A1380" s="152" t="s">
        <v>8490</v>
      </c>
      <c r="B1380" s="152" t="s">
        <v>8491</v>
      </c>
      <c r="C1380" s="152">
        <v>3.0</v>
      </c>
      <c r="D1380" s="152">
        <v>9.0</v>
      </c>
      <c r="E1380" s="152">
        <v>1.0</v>
      </c>
      <c r="F1380" s="152">
        <v>6.0</v>
      </c>
      <c r="G1380" s="152" t="s">
        <v>8479</v>
      </c>
      <c r="H1380" s="152" t="s">
        <v>8488</v>
      </c>
      <c r="I1380" s="154"/>
      <c r="J1380" s="152" t="s">
        <v>23</v>
      </c>
      <c r="K1380" s="152">
        <v>1309.0</v>
      </c>
      <c r="L1380" s="154"/>
      <c r="M1380" s="154"/>
      <c r="N1380" s="152" t="s">
        <v>8384</v>
      </c>
    </row>
    <row r="1381">
      <c r="A1381" s="152" t="s">
        <v>8490</v>
      </c>
      <c r="B1381" s="152" t="s">
        <v>8491</v>
      </c>
      <c r="C1381" s="152">
        <v>3.0</v>
      </c>
      <c r="D1381" s="152">
        <v>10.0</v>
      </c>
      <c r="E1381" s="152">
        <v>1.0</v>
      </c>
      <c r="F1381" s="152">
        <v>6.0</v>
      </c>
      <c r="G1381" s="152" t="s">
        <v>8479</v>
      </c>
      <c r="H1381" s="152" t="s">
        <v>8489</v>
      </c>
      <c r="I1381" s="154"/>
      <c r="J1381" s="152" t="s">
        <v>23</v>
      </c>
      <c r="K1381" s="152">
        <v>1309.0</v>
      </c>
      <c r="L1381" s="154"/>
      <c r="M1381" s="154"/>
      <c r="N1381" s="152" t="s">
        <v>8384</v>
      </c>
    </row>
    <row r="1382">
      <c r="A1382" s="152" t="s">
        <v>8490</v>
      </c>
      <c r="B1382" s="152" t="s">
        <v>8491</v>
      </c>
      <c r="C1382" s="152">
        <v>3.0</v>
      </c>
      <c r="D1382" s="152">
        <v>1.0</v>
      </c>
      <c r="E1382" s="152">
        <v>1.0</v>
      </c>
      <c r="F1382" s="152">
        <v>7.0</v>
      </c>
      <c r="G1382" s="152" t="s">
        <v>8479</v>
      </c>
      <c r="H1382" s="152" t="s">
        <v>8480</v>
      </c>
      <c r="I1382" s="154"/>
      <c r="J1382" s="152" t="s">
        <v>23</v>
      </c>
      <c r="K1382" s="152">
        <v>2019.0</v>
      </c>
      <c r="L1382" s="154"/>
      <c r="M1382" s="154"/>
      <c r="N1382" s="152" t="s">
        <v>8384</v>
      </c>
    </row>
    <row r="1383">
      <c r="A1383" s="152" t="s">
        <v>8490</v>
      </c>
      <c r="B1383" s="152" t="s">
        <v>8491</v>
      </c>
      <c r="C1383" s="152">
        <v>3.0</v>
      </c>
      <c r="D1383" s="152">
        <v>2.0</v>
      </c>
      <c r="E1383" s="152">
        <v>1.0</v>
      </c>
      <c r="F1383" s="152">
        <v>7.0</v>
      </c>
      <c r="G1383" s="152" t="s">
        <v>8479</v>
      </c>
      <c r="H1383" s="152" t="s">
        <v>8481</v>
      </c>
      <c r="I1383" s="154"/>
      <c r="J1383" s="152" t="s">
        <v>23</v>
      </c>
      <c r="K1383" s="152">
        <v>1049.0</v>
      </c>
      <c r="L1383" s="154"/>
      <c r="M1383" s="154"/>
      <c r="N1383" s="152" t="s">
        <v>8384</v>
      </c>
    </row>
    <row r="1384">
      <c r="A1384" s="152" t="s">
        <v>8490</v>
      </c>
      <c r="B1384" s="152" t="s">
        <v>8491</v>
      </c>
      <c r="C1384" s="152">
        <v>3.0</v>
      </c>
      <c r="D1384" s="152">
        <v>3.0</v>
      </c>
      <c r="E1384" s="152">
        <v>1.0</v>
      </c>
      <c r="F1384" s="152">
        <v>7.0</v>
      </c>
      <c r="G1384" s="152" t="s">
        <v>8479</v>
      </c>
      <c r="H1384" s="152" t="s">
        <v>8482</v>
      </c>
      <c r="I1384" s="154"/>
      <c r="J1384" s="152" t="s">
        <v>23</v>
      </c>
      <c r="K1384" s="152">
        <v>2229.0</v>
      </c>
      <c r="L1384" s="154"/>
      <c r="M1384" s="154"/>
      <c r="N1384" s="152" t="s">
        <v>8384</v>
      </c>
    </row>
    <row r="1385">
      <c r="A1385" s="152" t="s">
        <v>8490</v>
      </c>
      <c r="B1385" s="152" t="s">
        <v>8491</v>
      </c>
      <c r="C1385" s="152">
        <v>3.0</v>
      </c>
      <c r="D1385" s="152">
        <v>4.0</v>
      </c>
      <c r="E1385" s="152">
        <v>1.0</v>
      </c>
      <c r="F1385" s="152">
        <v>7.0</v>
      </c>
      <c r="G1385" s="152" t="s">
        <v>8479</v>
      </c>
      <c r="H1385" s="152" t="s">
        <v>8483</v>
      </c>
      <c r="I1385" s="154"/>
      <c r="J1385" s="152" t="s">
        <v>23</v>
      </c>
      <c r="K1385" s="152">
        <v>2229.0</v>
      </c>
      <c r="L1385" s="154"/>
      <c r="M1385" s="154"/>
      <c r="N1385" s="152" t="s">
        <v>8384</v>
      </c>
    </row>
    <row r="1386">
      <c r="A1386" s="152" t="s">
        <v>8490</v>
      </c>
      <c r="B1386" s="152" t="s">
        <v>8491</v>
      </c>
      <c r="C1386" s="152">
        <v>3.0</v>
      </c>
      <c r="D1386" s="152">
        <v>5.0</v>
      </c>
      <c r="E1386" s="152">
        <v>1.0</v>
      </c>
      <c r="F1386" s="152">
        <v>7.0</v>
      </c>
      <c r="G1386" s="152" t="s">
        <v>8479</v>
      </c>
      <c r="H1386" s="152" t="s">
        <v>8484</v>
      </c>
      <c r="I1386" s="154"/>
      <c r="J1386" s="152" t="s">
        <v>23</v>
      </c>
      <c r="K1386" s="152">
        <v>1199.0</v>
      </c>
      <c r="L1386" s="154"/>
      <c r="M1386" s="154"/>
      <c r="N1386" s="152" t="s">
        <v>8384</v>
      </c>
    </row>
    <row r="1387">
      <c r="A1387" s="152" t="s">
        <v>8490</v>
      </c>
      <c r="B1387" s="152" t="s">
        <v>8491</v>
      </c>
      <c r="C1387" s="152">
        <v>3.0</v>
      </c>
      <c r="D1387" s="152">
        <v>6.0</v>
      </c>
      <c r="E1387" s="152">
        <v>1.0</v>
      </c>
      <c r="F1387" s="152">
        <v>7.0</v>
      </c>
      <c r="G1387" s="152" t="s">
        <v>8479</v>
      </c>
      <c r="H1387" s="152" t="s">
        <v>8485</v>
      </c>
      <c r="I1387" s="154"/>
      <c r="J1387" s="152" t="s">
        <v>23</v>
      </c>
      <c r="K1387" s="152">
        <v>1199.0</v>
      </c>
      <c r="L1387" s="154"/>
      <c r="M1387" s="154"/>
      <c r="N1387" s="152" t="s">
        <v>8384</v>
      </c>
    </row>
    <row r="1388">
      <c r="A1388" s="152" t="s">
        <v>8490</v>
      </c>
      <c r="B1388" s="152" t="s">
        <v>8491</v>
      </c>
      <c r="C1388" s="152">
        <v>3.0</v>
      </c>
      <c r="D1388" s="152">
        <v>7.0</v>
      </c>
      <c r="E1388" s="152">
        <v>1.0</v>
      </c>
      <c r="F1388" s="152">
        <v>7.0</v>
      </c>
      <c r="G1388" s="152" t="s">
        <v>8479</v>
      </c>
      <c r="H1388" s="152" t="s">
        <v>8486</v>
      </c>
      <c r="I1388" s="154"/>
      <c r="J1388" s="152" t="s">
        <v>23</v>
      </c>
      <c r="K1388" s="152">
        <v>2519.0</v>
      </c>
      <c r="L1388" s="154"/>
      <c r="M1388" s="154"/>
      <c r="N1388" s="152" t="s">
        <v>8384</v>
      </c>
    </row>
    <row r="1389">
      <c r="A1389" s="152" t="s">
        <v>8490</v>
      </c>
      <c r="B1389" s="152" t="s">
        <v>8491</v>
      </c>
      <c r="C1389" s="152">
        <v>3.0</v>
      </c>
      <c r="D1389" s="152">
        <v>8.0</v>
      </c>
      <c r="E1389" s="152">
        <v>1.0</v>
      </c>
      <c r="F1389" s="152">
        <v>7.0</v>
      </c>
      <c r="G1389" s="152" t="s">
        <v>8479</v>
      </c>
      <c r="H1389" s="152" t="s">
        <v>8487</v>
      </c>
      <c r="I1389" s="154"/>
      <c r="J1389" s="152" t="s">
        <v>23</v>
      </c>
      <c r="K1389" s="152">
        <v>2519.0</v>
      </c>
      <c r="L1389" s="154"/>
      <c r="M1389" s="154"/>
      <c r="N1389" s="152" t="s">
        <v>8384</v>
      </c>
    </row>
    <row r="1390">
      <c r="A1390" s="152" t="s">
        <v>8490</v>
      </c>
      <c r="B1390" s="152" t="s">
        <v>8491</v>
      </c>
      <c r="C1390" s="152">
        <v>3.0</v>
      </c>
      <c r="D1390" s="152">
        <v>9.0</v>
      </c>
      <c r="E1390" s="152">
        <v>1.0</v>
      </c>
      <c r="F1390" s="152">
        <v>7.0</v>
      </c>
      <c r="G1390" s="152" t="s">
        <v>8479</v>
      </c>
      <c r="H1390" s="152" t="s">
        <v>8488</v>
      </c>
      <c r="I1390" s="154"/>
      <c r="J1390" s="152" t="s">
        <v>23</v>
      </c>
      <c r="K1390" s="152">
        <v>1309.0</v>
      </c>
      <c r="L1390" s="154"/>
      <c r="M1390" s="154"/>
      <c r="N1390" s="152" t="s">
        <v>8384</v>
      </c>
    </row>
    <row r="1391">
      <c r="A1391" s="152" t="s">
        <v>8490</v>
      </c>
      <c r="B1391" s="152" t="s">
        <v>8491</v>
      </c>
      <c r="C1391" s="152">
        <v>3.0</v>
      </c>
      <c r="D1391" s="152">
        <v>10.0</v>
      </c>
      <c r="E1391" s="152">
        <v>1.0</v>
      </c>
      <c r="F1391" s="152">
        <v>7.0</v>
      </c>
      <c r="G1391" s="152" t="s">
        <v>8479</v>
      </c>
      <c r="H1391" s="152" t="s">
        <v>8489</v>
      </c>
      <c r="I1391" s="154"/>
      <c r="J1391" s="152" t="s">
        <v>23</v>
      </c>
      <c r="K1391" s="152">
        <v>1309.0</v>
      </c>
      <c r="L1391" s="154"/>
      <c r="M1391" s="154"/>
      <c r="N1391" s="152" t="s">
        <v>8384</v>
      </c>
    </row>
    <row r="1392">
      <c r="A1392" s="152" t="s">
        <v>8490</v>
      </c>
      <c r="B1392" s="152" t="s">
        <v>8491</v>
      </c>
      <c r="C1392" s="152">
        <v>3.0</v>
      </c>
      <c r="D1392" s="152">
        <v>1.0</v>
      </c>
      <c r="E1392" s="152">
        <v>1.0</v>
      </c>
      <c r="F1392" s="152">
        <v>8.0</v>
      </c>
      <c r="G1392" s="152" t="s">
        <v>8479</v>
      </c>
      <c r="H1392" s="152" t="s">
        <v>8480</v>
      </c>
      <c r="I1392" s="154"/>
      <c r="J1392" s="152" t="s">
        <v>23</v>
      </c>
      <c r="K1392" s="152">
        <v>2019.0</v>
      </c>
      <c r="L1392" s="154"/>
      <c r="M1392" s="154"/>
      <c r="N1392" s="152" t="s">
        <v>8384</v>
      </c>
    </row>
    <row r="1393">
      <c r="A1393" s="152" t="s">
        <v>8490</v>
      </c>
      <c r="B1393" s="152" t="s">
        <v>8491</v>
      </c>
      <c r="C1393" s="152">
        <v>3.0</v>
      </c>
      <c r="D1393" s="152">
        <v>2.0</v>
      </c>
      <c r="E1393" s="152">
        <v>1.0</v>
      </c>
      <c r="F1393" s="152">
        <v>8.0</v>
      </c>
      <c r="G1393" s="152" t="s">
        <v>8479</v>
      </c>
      <c r="H1393" s="152" t="s">
        <v>8481</v>
      </c>
      <c r="I1393" s="154"/>
      <c r="J1393" s="152" t="s">
        <v>23</v>
      </c>
      <c r="K1393" s="152">
        <v>1049.0</v>
      </c>
      <c r="L1393" s="154"/>
      <c r="M1393" s="154"/>
      <c r="N1393" s="152" t="s">
        <v>8384</v>
      </c>
    </row>
    <row r="1394">
      <c r="A1394" s="152" t="s">
        <v>8490</v>
      </c>
      <c r="B1394" s="152" t="s">
        <v>8491</v>
      </c>
      <c r="C1394" s="152">
        <v>3.0</v>
      </c>
      <c r="D1394" s="152">
        <v>3.0</v>
      </c>
      <c r="E1394" s="152">
        <v>1.0</v>
      </c>
      <c r="F1394" s="152">
        <v>8.0</v>
      </c>
      <c r="G1394" s="152" t="s">
        <v>8479</v>
      </c>
      <c r="H1394" s="152" t="s">
        <v>8482</v>
      </c>
      <c r="I1394" s="154"/>
      <c r="J1394" s="152" t="s">
        <v>23</v>
      </c>
      <c r="K1394" s="152">
        <v>2229.0</v>
      </c>
      <c r="L1394" s="154"/>
      <c r="M1394" s="154"/>
      <c r="N1394" s="152" t="s">
        <v>8384</v>
      </c>
    </row>
    <row r="1395">
      <c r="A1395" s="152" t="s">
        <v>8490</v>
      </c>
      <c r="B1395" s="152" t="s">
        <v>8491</v>
      </c>
      <c r="C1395" s="152">
        <v>3.0</v>
      </c>
      <c r="D1395" s="152">
        <v>4.0</v>
      </c>
      <c r="E1395" s="152">
        <v>1.0</v>
      </c>
      <c r="F1395" s="152">
        <v>8.0</v>
      </c>
      <c r="G1395" s="152" t="s">
        <v>8479</v>
      </c>
      <c r="H1395" s="152" t="s">
        <v>8483</v>
      </c>
      <c r="I1395" s="154"/>
      <c r="J1395" s="152" t="s">
        <v>23</v>
      </c>
      <c r="K1395" s="152">
        <v>2229.0</v>
      </c>
      <c r="L1395" s="154"/>
      <c r="M1395" s="154"/>
      <c r="N1395" s="152" t="s">
        <v>8384</v>
      </c>
    </row>
    <row r="1396">
      <c r="A1396" s="152" t="s">
        <v>8490</v>
      </c>
      <c r="B1396" s="152" t="s">
        <v>8491</v>
      </c>
      <c r="C1396" s="152">
        <v>3.0</v>
      </c>
      <c r="D1396" s="152">
        <v>5.0</v>
      </c>
      <c r="E1396" s="152">
        <v>1.0</v>
      </c>
      <c r="F1396" s="152">
        <v>8.0</v>
      </c>
      <c r="G1396" s="152" t="s">
        <v>8479</v>
      </c>
      <c r="H1396" s="152" t="s">
        <v>8484</v>
      </c>
      <c r="I1396" s="154"/>
      <c r="J1396" s="152" t="s">
        <v>23</v>
      </c>
      <c r="K1396" s="152">
        <v>1199.0</v>
      </c>
      <c r="L1396" s="154"/>
      <c r="M1396" s="154"/>
      <c r="N1396" s="152" t="s">
        <v>8384</v>
      </c>
    </row>
    <row r="1397">
      <c r="A1397" s="152" t="s">
        <v>8490</v>
      </c>
      <c r="B1397" s="152" t="s">
        <v>8491</v>
      </c>
      <c r="C1397" s="152">
        <v>3.0</v>
      </c>
      <c r="D1397" s="152">
        <v>6.0</v>
      </c>
      <c r="E1397" s="152">
        <v>1.0</v>
      </c>
      <c r="F1397" s="152">
        <v>8.0</v>
      </c>
      <c r="G1397" s="152" t="s">
        <v>8479</v>
      </c>
      <c r="H1397" s="152" t="s">
        <v>8485</v>
      </c>
      <c r="I1397" s="154"/>
      <c r="J1397" s="152" t="s">
        <v>23</v>
      </c>
      <c r="K1397" s="152">
        <v>1199.0</v>
      </c>
      <c r="L1397" s="154"/>
      <c r="M1397" s="154"/>
      <c r="N1397" s="152" t="s">
        <v>8384</v>
      </c>
    </row>
    <row r="1398">
      <c r="A1398" s="152" t="s">
        <v>8490</v>
      </c>
      <c r="B1398" s="152" t="s">
        <v>8491</v>
      </c>
      <c r="C1398" s="152">
        <v>3.0</v>
      </c>
      <c r="D1398" s="152">
        <v>7.0</v>
      </c>
      <c r="E1398" s="152">
        <v>1.0</v>
      </c>
      <c r="F1398" s="152">
        <v>8.0</v>
      </c>
      <c r="G1398" s="152" t="s">
        <v>8479</v>
      </c>
      <c r="H1398" s="152" t="s">
        <v>8486</v>
      </c>
      <c r="I1398" s="154"/>
      <c r="J1398" s="152" t="s">
        <v>23</v>
      </c>
      <c r="K1398" s="152">
        <v>2519.0</v>
      </c>
      <c r="L1398" s="154"/>
      <c r="M1398" s="154"/>
      <c r="N1398" s="152" t="s">
        <v>8384</v>
      </c>
    </row>
    <row r="1399">
      <c r="A1399" s="152" t="s">
        <v>8490</v>
      </c>
      <c r="B1399" s="152" t="s">
        <v>8491</v>
      </c>
      <c r="C1399" s="152">
        <v>3.0</v>
      </c>
      <c r="D1399" s="152">
        <v>8.0</v>
      </c>
      <c r="E1399" s="152">
        <v>1.0</v>
      </c>
      <c r="F1399" s="152">
        <v>8.0</v>
      </c>
      <c r="G1399" s="152" t="s">
        <v>8479</v>
      </c>
      <c r="H1399" s="152" t="s">
        <v>8487</v>
      </c>
      <c r="I1399" s="154"/>
      <c r="J1399" s="152" t="s">
        <v>23</v>
      </c>
      <c r="K1399" s="152">
        <v>2519.0</v>
      </c>
      <c r="L1399" s="154"/>
      <c r="M1399" s="154"/>
      <c r="N1399" s="152" t="s">
        <v>8384</v>
      </c>
    </row>
    <row r="1400">
      <c r="A1400" s="152" t="s">
        <v>8490</v>
      </c>
      <c r="B1400" s="152" t="s">
        <v>8491</v>
      </c>
      <c r="C1400" s="152">
        <v>3.0</v>
      </c>
      <c r="D1400" s="152">
        <v>9.0</v>
      </c>
      <c r="E1400" s="152">
        <v>1.0</v>
      </c>
      <c r="F1400" s="152">
        <v>8.0</v>
      </c>
      <c r="G1400" s="152" t="s">
        <v>8479</v>
      </c>
      <c r="H1400" s="152" t="s">
        <v>8488</v>
      </c>
      <c r="I1400" s="154"/>
      <c r="J1400" s="152" t="s">
        <v>23</v>
      </c>
      <c r="K1400" s="152">
        <v>1309.0</v>
      </c>
      <c r="L1400" s="154"/>
      <c r="M1400" s="154"/>
      <c r="N1400" s="152" t="s">
        <v>8384</v>
      </c>
    </row>
    <row r="1401">
      <c r="A1401" s="152" t="s">
        <v>8490</v>
      </c>
      <c r="B1401" s="152" t="s">
        <v>8491</v>
      </c>
      <c r="C1401" s="152">
        <v>3.0</v>
      </c>
      <c r="D1401" s="152">
        <v>10.0</v>
      </c>
      <c r="E1401" s="152">
        <v>1.0</v>
      </c>
      <c r="F1401" s="152">
        <v>8.0</v>
      </c>
      <c r="G1401" s="152" t="s">
        <v>8479</v>
      </c>
      <c r="H1401" s="152" t="s">
        <v>8489</v>
      </c>
      <c r="I1401" s="154"/>
      <c r="J1401" s="152" t="s">
        <v>23</v>
      </c>
      <c r="K1401" s="152">
        <v>1309.0</v>
      </c>
      <c r="L1401" s="154"/>
      <c r="M1401" s="154"/>
      <c r="N1401" s="152" t="s">
        <v>8384</v>
      </c>
    </row>
    <row r="1402">
      <c r="A1402" s="152" t="s">
        <v>8490</v>
      </c>
      <c r="B1402" s="152" t="s">
        <v>8491</v>
      </c>
      <c r="C1402" s="152">
        <v>3.0</v>
      </c>
      <c r="D1402" s="152">
        <v>1.0</v>
      </c>
      <c r="E1402" s="152">
        <v>1.0</v>
      </c>
      <c r="F1402" s="152">
        <v>9.0</v>
      </c>
      <c r="G1402" s="152" t="s">
        <v>8479</v>
      </c>
      <c r="H1402" s="152" t="s">
        <v>8480</v>
      </c>
      <c r="I1402" s="154"/>
      <c r="J1402" s="152" t="s">
        <v>23</v>
      </c>
      <c r="K1402" s="152">
        <v>2019.0</v>
      </c>
      <c r="L1402" s="154"/>
      <c r="M1402" s="154"/>
      <c r="N1402" s="152" t="s">
        <v>8384</v>
      </c>
    </row>
    <row r="1403">
      <c r="A1403" s="152" t="s">
        <v>8490</v>
      </c>
      <c r="B1403" s="152" t="s">
        <v>8491</v>
      </c>
      <c r="C1403" s="152">
        <v>3.0</v>
      </c>
      <c r="D1403" s="152">
        <v>2.0</v>
      </c>
      <c r="E1403" s="152">
        <v>1.0</v>
      </c>
      <c r="F1403" s="152">
        <v>9.0</v>
      </c>
      <c r="G1403" s="152" t="s">
        <v>8479</v>
      </c>
      <c r="H1403" s="152" t="s">
        <v>8481</v>
      </c>
      <c r="I1403" s="154"/>
      <c r="J1403" s="152" t="s">
        <v>23</v>
      </c>
      <c r="K1403" s="152">
        <v>1049.0</v>
      </c>
      <c r="L1403" s="154"/>
      <c r="M1403" s="154"/>
      <c r="N1403" s="152" t="s">
        <v>8384</v>
      </c>
    </row>
    <row r="1404">
      <c r="A1404" s="152" t="s">
        <v>8490</v>
      </c>
      <c r="B1404" s="152" t="s">
        <v>8491</v>
      </c>
      <c r="C1404" s="152">
        <v>3.0</v>
      </c>
      <c r="D1404" s="152">
        <v>3.0</v>
      </c>
      <c r="E1404" s="152">
        <v>1.0</v>
      </c>
      <c r="F1404" s="152">
        <v>9.0</v>
      </c>
      <c r="G1404" s="152" t="s">
        <v>8479</v>
      </c>
      <c r="H1404" s="152" t="s">
        <v>8482</v>
      </c>
      <c r="I1404" s="154"/>
      <c r="J1404" s="152" t="s">
        <v>23</v>
      </c>
      <c r="K1404" s="152">
        <v>2229.0</v>
      </c>
      <c r="L1404" s="154"/>
      <c r="M1404" s="154"/>
      <c r="N1404" s="152" t="s">
        <v>8384</v>
      </c>
    </row>
    <row r="1405">
      <c r="A1405" s="152" t="s">
        <v>8490</v>
      </c>
      <c r="B1405" s="152" t="s">
        <v>8491</v>
      </c>
      <c r="C1405" s="152">
        <v>3.0</v>
      </c>
      <c r="D1405" s="152">
        <v>4.0</v>
      </c>
      <c r="E1405" s="152">
        <v>1.0</v>
      </c>
      <c r="F1405" s="152">
        <v>9.0</v>
      </c>
      <c r="G1405" s="152" t="s">
        <v>8479</v>
      </c>
      <c r="H1405" s="152" t="s">
        <v>8483</v>
      </c>
      <c r="I1405" s="154"/>
      <c r="J1405" s="152" t="s">
        <v>23</v>
      </c>
      <c r="K1405" s="152">
        <v>2229.0</v>
      </c>
      <c r="L1405" s="154"/>
      <c r="M1405" s="154"/>
      <c r="N1405" s="152" t="s">
        <v>8384</v>
      </c>
    </row>
    <row r="1406">
      <c r="A1406" s="152" t="s">
        <v>8490</v>
      </c>
      <c r="B1406" s="152" t="s">
        <v>8491</v>
      </c>
      <c r="C1406" s="152">
        <v>3.0</v>
      </c>
      <c r="D1406" s="152">
        <v>5.0</v>
      </c>
      <c r="E1406" s="152">
        <v>1.0</v>
      </c>
      <c r="F1406" s="152">
        <v>9.0</v>
      </c>
      <c r="G1406" s="152" t="s">
        <v>8479</v>
      </c>
      <c r="H1406" s="152" t="s">
        <v>8484</v>
      </c>
      <c r="I1406" s="154"/>
      <c r="J1406" s="152" t="s">
        <v>23</v>
      </c>
      <c r="K1406" s="152">
        <v>1199.0</v>
      </c>
      <c r="L1406" s="154"/>
      <c r="M1406" s="154"/>
      <c r="N1406" s="152" t="s">
        <v>8384</v>
      </c>
    </row>
    <row r="1407">
      <c r="A1407" s="152" t="s">
        <v>8490</v>
      </c>
      <c r="B1407" s="152" t="s">
        <v>8491</v>
      </c>
      <c r="C1407" s="152">
        <v>3.0</v>
      </c>
      <c r="D1407" s="152">
        <v>6.0</v>
      </c>
      <c r="E1407" s="152">
        <v>1.0</v>
      </c>
      <c r="F1407" s="152">
        <v>9.0</v>
      </c>
      <c r="G1407" s="152" t="s">
        <v>8479</v>
      </c>
      <c r="H1407" s="152" t="s">
        <v>8485</v>
      </c>
      <c r="I1407" s="154"/>
      <c r="J1407" s="152" t="s">
        <v>23</v>
      </c>
      <c r="K1407" s="152">
        <v>1199.0</v>
      </c>
      <c r="L1407" s="154"/>
      <c r="M1407" s="154"/>
      <c r="N1407" s="152" t="s">
        <v>8384</v>
      </c>
    </row>
    <row r="1408">
      <c r="A1408" s="152" t="s">
        <v>8490</v>
      </c>
      <c r="B1408" s="152" t="s">
        <v>8491</v>
      </c>
      <c r="C1408" s="152">
        <v>3.0</v>
      </c>
      <c r="D1408" s="152">
        <v>7.0</v>
      </c>
      <c r="E1408" s="152">
        <v>1.0</v>
      </c>
      <c r="F1408" s="152">
        <v>9.0</v>
      </c>
      <c r="G1408" s="152" t="s">
        <v>8479</v>
      </c>
      <c r="H1408" s="152" t="s">
        <v>8486</v>
      </c>
      <c r="I1408" s="154"/>
      <c r="J1408" s="152" t="s">
        <v>23</v>
      </c>
      <c r="K1408" s="152">
        <v>2519.0</v>
      </c>
      <c r="L1408" s="154"/>
      <c r="M1408" s="154"/>
      <c r="N1408" s="152" t="s">
        <v>8384</v>
      </c>
    </row>
    <row r="1409">
      <c r="A1409" s="152" t="s">
        <v>8490</v>
      </c>
      <c r="B1409" s="152" t="s">
        <v>8491</v>
      </c>
      <c r="C1409" s="152">
        <v>3.0</v>
      </c>
      <c r="D1409" s="152">
        <v>8.0</v>
      </c>
      <c r="E1409" s="152">
        <v>1.0</v>
      </c>
      <c r="F1409" s="152">
        <v>9.0</v>
      </c>
      <c r="G1409" s="152" t="s">
        <v>8479</v>
      </c>
      <c r="H1409" s="152" t="s">
        <v>8487</v>
      </c>
      <c r="I1409" s="154"/>
      <c r="J1409" s="152" t="s">
        <v>23</v>
      </c>
      <c r="K1409" s="152">
        <v>2519.0</v>
      </c>
      <c r="L1409" s="154"/>
      <c r="M1409" s="154"/>
      <c r="N1409" s="152" t="s">
        <v>8384</v>
      </c>
    </row>
    <row r="1410">
      <c r="A1410" s="152" t="s">
        <v>8490</v>
      </c>
      <c r="B1410" s="152" t="s">
        <v>8491</v>
      </c>
      <c r="C1410" s="152">
        <v>3.0</v>
      </c>
      <c r="D1410" s="152">
        <v>9.0</v>
      </c>
      <c r="E1410" s="152">
        <v>1.0</v>
      </c>
      <c r="F1410" s="152">
        <v>9.0</v>
      </c>
      <c r="G1410" s="152" t="s">
        <v>8479</v>
      </c>
      <c r="H1410" s="152" t="s">
        <v>8488</v>
      </c>
      <c r="I1410" s="154"/>
      <c r="J1410" s="152" t="s">
        <v>23</v>
      </c>
      <c r="K1410" s="152">
        <v>1309.0</v>
      </c>
      <c r="L1410" s="154"/>
      <c r="M1410" s="154"/>
      <c r="N1410" s="152" t="s">
        <v>8384</v>
      </c>
    </row>
    <row r="1411">
      <c r="A1411" s="152" t="s">
        <v>8490</v>
      </c>
      <c r="B1411" s="152" t="s">
        <v>8491</v>
      </c>
      <c r="C1411" s="152">
        <v>3.0</v>
      </c>
      <c r="D1411" s="152">
        <v>10.0</v>
      </c>
      <c r="E1411" s="152">
        <v>1.0</v>
      </c>
      <c r="F1411" s="152">
        <v>9.0</v>
      </c>
      <c r="G1411" s="152" t="s">
        <v>8479</v>
      </c>
      <c r="H1411" s="152" t="s">
        <v>8489</v>
      </c>
      <c r="I1411" s="154"/>
      <c r="J1411" s="152" t="s">
        <v>23</v>
      </c>
      <c r="K1411" s="152">
        <v>1309.0</v>
      </c>
      <c r="L1411" s="154"/>
      <c r="M1411" s="154"/>
      <c r="N1411" s="152" t="s">
        <v>8384</v>
      </c>
    </row>
    <row r="1412">
      <c r="A1412" s="152" t="s">
        <v>8490</v>
      </c>
      <c r="B1412" s="152" t="s">
        <v>8491</v>
      </c>
      <c r="C1412" s="152">
        <v>3.0</v>
      </c>
      <c r="D1412" s="152">
        <v>1.0</v>
      </c>
      <c r="E1412" s="152">
        <v>1.0</v>
      </c>
      <c r="F1412" s="152">
        <v>10.0</v>
      </c>
      <c r="G1412" s="152" t="s">
        <v>8479</v>
      </c>
      <c r="H1412" s="152" t="s">
        <v>8480</v>
      </c>
      <c r="I1412" s="154"/>
      <c r="J1412" s="152" t="s">
        <v>23</v>
      </c>
      <c r="K1412" s="152">
        <v>2019.0</v>
      </c>
      <c r="L1412" s="154"/>
      <c r="M1412" s="154"/>
      <c r="N1412" s="152" t="s">
        <v>8384</v>
      </c>
    </row>
    <row r="1413">
      <c r="A1413" s="152" t="s">
        <v>8490</v>
      </c>
      <c r="B1413" s="152" t="s">
        <v>8491</v>
      </c>
      <c r="C1413" s="152">
        <v>3.0</v>
      </c>
      <c r="D1413" s="152">
        <v>2.0</v>
      </c>
      <c r="E1413" s="152">
        <v>1.0</v>
      </c>
      <c r="F1413" s="152">
        <v>10.0</v>
      </c>
      <c r="G1413" s="152" t="s">
        <v>8479</v>
      </c>
      <c r="H1413" s="152" t="s">
        <v>8481</v>
      </c>
      <c r="I1413" s="154"/>
      <c r="J1413" s="152" t="s">
        <v>23</v>
      </c>
      <c r="K1413" s="152">
        <v>1049.0</v>
      </c>
      <c r="L1413" s="154"/>
      <c r="M1413" s="154"/>
      <c r="N1413" s="152" t="s">
        <v>8384</v>
      </c>
    </row>
    <row r="1414">
      <c r="A1414" s="152" t="s">
        <v>8490</v>
      </c>
      <c r="B1414" s="152" t="s">
        <v>8491</v>
      </c>
      <c r="C1414" s="152">
        <v>3.0</v>
      </c>
      <c r="D1414" s="152">
        <v>3.0</v>
      </c>
      <c r="E1414" s="152">
        <v>1.0</v>
      </c>
      <c r="F1414" s="152">
        <v>10.0</v>
      </c>
      <c r="G1414" s="152" t="s">
        <v>8479</v>
      </c>
      <c r="H1414" s="152" t="s">
        <v>8482</v>
      </c>
      <c r="I1414" s="154"/>
      <c r="J1414" s="152" t="s">
        <v>23</v>
      </c>
      <c r="K1414" s="152">
        <v>2229.0</v>
      </c>
      <c r="L1414" s="154"/>
      <c r="M1414" s="154"/>
      <c r="N1414" s="152" t="s">
        <v>8384</v>
      </c>
    </row>
    <row r="1415">
      <c r="A1415" s="152" t="s">
        <v>8490</v>
      </c>
      <c r="B1415" s="152" t="s">
        <v>8491</v>
      </c>
      <c r="C1415" s="152">
        <v>3.0</v>
      </c>
      <c r="D1415" s="152">
        <v>4.0</v>
      </c>
      <c r="E1415" s="152">
        <v>1.0</v>
      </c>
      <c r="F1415" s="152">
        <v>10.0</v>
      </c>
      <c r="G1415" s="152" t="s">
        <v>8479</v>
      </c>
      <c r="H1415" s="152" t="s">
        <v>8483</v>
      </c>
      <c r="I1415" s="154"/>
      <c r="J1415" s="152" t="s">
        <v>23</v>
      </c>
      <c r="K1415" s="152">
        <v>2229.0</v>
      </c>
      <c r="L1415" s="154"/>
      <c r="M1415" s="154"/>
      <c r="N1415" s="152" t="s">
        <v>8384</v>
      </c>
    </row>
    <row r="1416">
      <c r="A1416" s="152" t="s">
        <v>8490</v>
      </c>
      <c r="B1416" s="152" t="s">
        <v>8491</v>
      </c>
      <c r="C1416" s="152">
        <v>3.0</v>
      </c>
      <c r="D1416" s="152">
        <v>5.0</v>
      </c>
      <c r="E1416" s="152">
        <v>1.0</v>
      </c>
      <c r="F1416" s="152">
        <v>10.0</v>
      </c>
      <c r="G1416" s="152" t="s">
        <v>8479</v>
      </c>
      <c r="H1416" s="152" t="s">
        <v>8484</v>
      </c>
      <c r="I1416" s="154"/>
      <c r="J1416" s="152" t="s">
        <v>23</v>
      </c>
      <c r="K1416" s="152">
        <v>1199.0</v>
      </c>
      <c r="L1416" s="154"/>
      <c r="M1416" s="154"/>
      <c r="N1416" s="152" t="s">
        <v>8384</v>
      </c>
    </row>
    <row r="1417">
      <c r="A1417" s="152" t="s">
        <v>8490</v>
      </c>
      <c r="B1417" s="152" t="s">
        <v>8491</v>
      </c>
      <c r="C1417" s="152">
        <v>3.0</v>
      </c>
      <c r="D1417" s="152">
        <v>6.0</v>
      </c>
      <c r="E1417" s="152">
        <v>1.0</v>
      </c>
      <c r="F1417" s="152">
        <v>10.0</v>
      </c>
      <c r="G1417" s="152" t="s">
        <v>8479</v>
      </c>
      <c r="H1417" s="152" t="s">
        <v>8485</v>
      </c>
      <c r="I1417" s="154"/>
      <c r="J1417" s="152" t="s">
        <v>23</v>
      </c>
      <c r="K1417" s="152">
        <v>1199.0</v>
      </c>
      <c r="L1417" s="154"/>
      <c r="M1417" s="154"/>
      <c r="N1417" s="152" t="s">
        <v>8384</v>
      </c>
    </row>
    <row r="1418">
      <c r="A1418" s="152" t="s">
        <v>8490</v>
      </c>
      <c r="B1418" s="152" t="s">
        <v>8491</v>
      </c>
      <c r="C1418" s="152">
        <v>3.0</v>
      </c>
      <c r="D1418" s="152">
        <v>7.0</v>
      </c>
      <c r="E1418" s="152">
        <v>1.0</v>
      </c>
      <c r="F1418" s="152">
        <v>10.0</v>
      </c>
      <c r="G1418" s="152" t="s">
        <v>8479</v>
      </c>
      <c r="H1418" s="152" t="s">
        <v>8486</v>
      </c>
      <c r="I1418" s="154"/>
      <c r="J1418" s="152" t="s">
        <v>23</v>
      </c>
      <c r="K1418" s="152">
        <v>2519.0</v>
      </c>
      <c r="L1418" s="154"/>
      <c r="M1418" s="154"/>
      <c r="N1418" s="152" t="s">
        <v>8384</v>
      </c>
    </row>
    <row r="1419">
      <c r="A1419" s="152" t="s">
        <v>8490</v>
      </c>
      <c r="B1419" s="152" t="s">
        <v>8491</v>
      </c>
      <c r="C1419" s="152">
        <v>3.0</v>
      </c>
      <c r="D1419" s="152">
        <v>8.0</v>
      </c>
      <c r="E1419" s="152">
        <v>1.0</v>
      </c>
      <c r="F1419" s="152">
        <v>10.0</v>
      </c>
      <c r="G1419" s="152" t="s">
        <v>8479</v>
      </c>
      <c r="H1419" s="152" t="s">
        <v>8487</v>
      </c>
      <c r="I1419" s="154"/>
      <c r="J1419" s="152" t="s">
        <v>23</v>
      </c>
      <c r="K1419" s="152">
        <v>2519.0</v>
      </c>
      <c r="L1419" s="154"/>
      <c r="M1419" s="154"/>
      <c r="N1419" s="152" t="s">
        <v>8384</v>
      </c>
    </row>
    <row r="1420">
      <c r="A1420" s="152" t="s">
        <v>8490</v>
      </c>
      <c r="B1420" s="152" t="s">
        <v>8491</v>
      </c>
      <c r="C1420" s="152">
        <v>3.0</v>
      </c>
      <c r="D1420" s="152">
        <v>9.0</v>
      </c>
      <c r="E1420" s="152">
        <v>1.0</v>
      </c>
      <c r="F1420" s="152">
        <v>10.0</v>
      </c>
      <c r="G1420" s="152" t="s">
        <v>8479</v>
      </c>
      <c r="H1420" s="152" t="s">
        <v>8488</v>
      </c>
      <c r="I1420" s="154"/>
      <c r="J1420" s="152" t="s">
        <v>23</v>
      </c>
      <c r="K1420" s="152">
        <v>1309.0</v>
      </c>
      <c r="L1420" s="154"/>
      <c r="M1420" s="154"/>
      <c r="N1420" s="152" t="s">
        <v>8384</v>
      </c>
    </row>
    <row r="1421">
      <c r="A1421" s="152" t="s">
        <v>8490</v>
      </c>
      <c r="B1421" s="152" t="s">
        <v>8491</v>
      </c>
      <c r="C1421" s="152">
        <v>3.0</v>
      </c>
      <c r="D1421" s="152">
        <v>10.0</v>
      </c>
      <c r="E1421" s="152">
        <v>1.0</v>
      </c>
      <c r="F1421" s="152">
        <v>10.0</v>
      </c>
      <c r="G1421" s="152" t="s">
        <v>8479</v>
      </c>
      <c r="H1421" s="152" t="s">
        <v>8489</v>
      </c>
      <c r="I1421" s="154"/>
      <c r="J1421" s="152" t="s">
        <v>23</v>
      </c>
      <c r="K1421" s="152">
        <v>1309.0</v>
      </c>
      <c r="L1421" s="154"/>
      <c r="M1421" s="154"/>
      <c r="N1421" s="152" t="s">
        <v>8384</v>
      </c>
    </row>
    <row r="1422">
      <c r="A1422" s="152" t="s">
        <v>8492</v>
      </c>
      <c r="B1422" s="152" t="s">
        <v>8493</v>
      </c>
      <c r="C1422" s="152">
        <v>1.0</v>
      </c>
      <c r="D1422" s="152">
        <v>1.0</v>
      </c>
      <c r="E1422" s="154"/>
      <c r="F1422" s="154"/>
      <c r="G1422" s="152" t="s">
        <v>8382</v>
      </c>
      <c r="H1422" s="152" t="s">
        <v>8383</v>
      </c>
      <c r="I1422" s="154"/>
      <c r="J1422" s="154"/>
      <c r="K1422" s="154"/>
      <c r="L1422" s="154"/>
      <c r="M1422" s="154"/>
      <c r="N1422" s="152" t="s">
        <v>8384</v>
      </c>
    </row>
    <row r="1423">
      <c r="A1423" s="152" t="s">
        <v>8492</v>
      </c>
      <c r="B1423" s="152" t="s">
        <v>8493</v>
      </c>
      <c r="C1423" s="152">
        <v>1.0</v>
      </c>
      <c r="D1423" s="152">
        <v>2.0</v>
      </c>
      <c r="E1423" s="154"/>
      <c r="F1423" s="154"/>
      <c r="G1423" s="152" t="s">
        <v>8382</v>
      </c>
      <c r="H1423" s="152" t="s">
        <v>8385</v>
      </c>
      <c r="I1423" s="154"/>
      <c r="J1423" s="154"/>
      <c r="K1423" s="154"/>
      <c r="L1423" s="154"/>
      <c r="M1423" s="154"/>
      <c r="N1423" s="152" t="s">
        <v>8384</v>
      </c>
    </row>
    <row r="1424">
      <c r="A1424" s="152" t="s">
        <v>8492</v>
      </c>
      <c r="B1424" s="152" t="s">
        <v>8493</v>
      </c>
      <c r="C1424" s="152">
        <v>1.0</v>
      </c>
      <c r="D1424" s="152">
        <v>3.0</v>
      </c>
      <c r="E1424" s="154"/>
      <c r="F1424" s="154"/>
      <c r="G1424" s="152" t="s">
        <v>8382</v>
      </c>
      <c r="H1424" s="152" t="s">
        <v>8386</v>
      </c>
      <c r="I1424" s="154"/>
      <c r="J1424" s="154"/>
      <c r="K1424" s="154"/>
      <c r="L1424" s="154"/>
      <c r="M1424" s="154"/>
      <c r="N1424" s="152" t="s">
        <v>8384</v>
      </c>
    </row>
    <row r="1425">
      <c r="A1425" s="152" t="s">
        <v>8492</v>
      </c>
      <c r="B1425" s="152" t="s">
        <v>8493</v>
      </c>
      <c r="C1425" s="152">
        <v>1.0</v>
      </c>
      <c r="D1425" s="152">
        <v>4.0</v>
      </c>
      <c r="E1425" s="154"/>
      <c r="F1425" s="154"/>
      <c r="G1425" s="152" t="s">
        <v>8382</v>
      </c>
      <c r="H1425" s="152" t="s">
        <v>8387</v>
      </c>
      <c r="I1425" s="154"/>
      <c r="J1425" s="154"/>
      <c r="K1425" s="154"/>
      <c r="L1425" s="154"/>
      <c r="M1425" s="154"/>
      <c r="N1425" s="152" t="s">
        <v>8384</v>
      </c>
    </row>
    <row r="1426">
      <c r="A1426" s="152" t="s">
        <v>8492</v>
      </c>
      <c r="B1426" s="152" t="s">
        <v>8493</v>
      </c>
      <c r="C1426" s="152">
        <v>1.0</v>
      </c>
      <c r="D1426" s="152">
        <v>5.0</v>
      </c>
      <c r="E1426" s="154"/>
      <c r="F1426" s="154"/>
      <c r="G1426" s="152" t="s">
        <v>8382</v>
      </c>
      <c r="H1426" s="152" t="s">
        <v>8388</v>
      </c>
      <c r="I1426" s="154"/>
      <c r="J1426" s="154"/>
      <c r="K1426" s="154"/>
      <c r="L1426" s="154"/>
      <c r="M1426" s="154"/>
      <c r="N1426" s="152" t="s">
        <v>8384</v>
      </c>
    </row>
    <row r="1427">
      <c r="A1427" s="152" t="s">
        <v>8492</v>
      </c>
      <c r="B1427" s="152" t="s">
        <v>8493</v>
      </c>
      <c r="C1427" s="152">
        <v>1.0</v>
      </c>
      <c r="D1427" s="152">
        <v>6.0</v>
      </c>
      <c r="E1427" s="154"/>
      <c r="F1427" s="154"/>
      <c r="G1427" s="152" t="s">
        <v>8382</v>
      </c>
      <c r="H1427" s="152" t="s">
        <v>8389</v>
      </c>
      <c r="I1427" s="154"/>
      <c r="J1427" s="154"/>
      <c r="K1427" s="154"/>
      <c r="L1427" s="154"/>
      <c r="M1427" s="154"/>
      <c r="N1427" s="152" t="s">
        <v>8384</v>
      </c>
    </row>
    <row r="1428">
      <c r="A1428" s="152" t="s">
        <v>8492</v>
      </c>
      <c r="B1428" s="152" t="s">
        <v>8493</v>
      </c>
      <c r="C1428" s="152">
        <v>1.0</v>
      </c>
      <c r="D1428" s="152">
        <v>7.0</v>
      </c>
      <c r="E1428" s="154"/>
      <c r="F1428" s="154"/>
      <c r="G1428" s="152" t="s">
        <v>8382</v>
      </c>
      <c r="H1428" s="152" t="s">
        <v>5767</v>
      </c>
      <c r="I1428" s="154"/>
      <c r="J1428" s="154"/>
      <c r="K1428" s="154"/>
      <c r="L1428" s="154"/>
      <c r="M1428" s="154"/>
      <c r="N1428" s="152" t="s">
        <v>8384</v>
      </c>
    </row>
    <row r="1429">
      <c r="A1429" s="152" t="s">
        <v>8492</v>
      </c>
      <c r="B1429" s="152" t="s">
        <v>8493</v>
      </c>
      <c r="C1429" s="152">
        <v>1.0</v>
      </c>
      <c r="D1429" s="152">
        <v>8.0</v>
      </c>
      <c r="E1429" s="154"/>
      <c r="F1429" s="154"/>
      <c r="G1429" s="152" t="s">
        <v>8382</v>
      </c>
      <c r="H1429" s="152" t="s">
        <v>8390</v>
      </c>
      <c r="I1429" s="154"/>
      <c r="J1429" s="154"/>
      <c r="K1429" s="154"/>
      <c r="L1429" s="154"/>
      <c r="M1429" s="154"/>
      <c r="N1429" s="152" t="s">
        <v>8384</v>
      </c>
    </row>
    <row r="1430">
      <c r="A1430" s="152" t="s">
        <v>8492</v>
      </c>
      <c r="B1430" s="152" t="s">
        <v>8493</v>
      </c>
      <c r="C1430" s="152">
        <v>1.0</v>
      </c>
      <c r="D1430" s="152">
        <v>9.0</v>
      </c>
      <c r="E1430" s="154"/>
      <c r="F1430" s="154"/>
      <c r="G1430" s="152" t="s">
        <v>8382</v>
      </c>
      <c r="H1430" s="152" t="s">
        <v>8391</v>
      </c>
      <c r="I1430" s="154"/>
      <c r="J1430" s="154"/>
      <c r="K1430" s="154"/>
      <c r="L1430" s="154"/>
      <c r="M1430" s="154"/>
      <c r="N1430" s="152" t="s">
        <v>8384</v>
      </c>
    </row>
    <row r="1431">
      <c r="A1431" s="152" t="s">
        <v>8492</v>
      </c>
      <c r="B1431" s="152" t="s">
        <v>8493</v>
      </c>
      <c r="C1431" s="152">
        <v>1.0</v>
      </c>
      <c r="D1431" s="152">
        <v>10.0</v>
      </c>
      <c r="E1431" s="154"/>
      <c r="F1431" s="154"/>
      <c r="G1431" s="152" t="s">
        <v>8382</v>
      </c>
      <c r="H1431" s="152" t="s">
        <v>8392</v>
      </c>
      <c r="I1431" s="154"/>
      <c r="J1431" s="154"/>
      <c r="K1431" s="154"/>
      <c r="L1431" s="154"/>
      <c r="M1431" s="154"/>
      <c r="N1431" s="152" t="s">
        <v>8384</v>
      </c>
    </row>
    <row r="1432">
      <c r="A1432" s="152" t="s">
        <v>8492</v>
      </c>
      <c r="B1432" s="152" t="s">
        <v>8493</v>
      </c>
      <c r="C1432" s="152">
        <v>2.0</v>
      </c>
      <c r="D1432" s="152">
        <v>1.0</v>
      </c>
      <c r="E1432" s="152">
        <v>1.0</v>
      </c>
      <c r="F1432" s="152">
        <v>1.0</v>
      </c>
      <c r="G1432" s="152" t="s">
        <v>8393</v>
      </c>
      <c r="H1432" s="152" t="s">
        <v>8394</v>
      </c>
      <c r="I1432" s="152" t="s">
        <v>6862</v>
      </c>
      <c r="J1432" s="154"/>
      <c r="K1432" s="154"/>
      <c r="L1432" s="154"/>
      <c r="M1432" s="154"/>
      <c r="N1432" s="152" t="s">
        <v>8395</v>
      </c>
    </row>
    <row r="1433">
      <c r="A1433" s="152" t="s">
        <v>8492</v>
      </c>
      <c r="B1433" s="152" t="s">
        <v>8493</v>
      </c>
      <c r="C1433" s="152">
        <v>2.0</v>
      </c>
      <c r="D1433" s="152">
        <v>2.0</v>
      </c>
      <c r="E1433" s="152">
        <v>1.0</v>
      </c>
      <c r="F1433" s="152">
        <v>2.0</v>
      </c>
      <c r="G1433" s="152" t="s">
        <v>8393</v>
      </c>
      <c r="H1433" s="152" t="s">
        <v>8396</v>
      </c>
      <c r="I1433" s="152" t="s">
        <v>6893</v>
      </c>
      <c r="J1433" s="154"/>
      <c r="K1433" s="154"/>
      <c r="L1433" s="154"/>
      <c r="M1433" s="154"/>
      <c r="N1433" s="152" t="s">
        <v>8395</v>
      </c>
    </row>
    <row r="1434">
      <c r="A1434" s="152" t="s">
        <v>8492</v>
      </c>
      <c r="B1434" s="152" t="s">
        <v>8493</v>
      </c>
      <c r="C1434" s="152">
        <v>2.0</v>
      </c>
      <c r="D1434" s="152">
        <v>3.0</v>
      </c>
      <c r="E1434" s="152">
        <v>1.0</v>
      </c>
      <c r="F1434" s="152">
        <v>3.0</v>
      </c>
      <c r="G1434" s="152" t="s">
        <v>8393</v>
      </c>
      <c r="H1434" s="152" t="s">
        <v>8397</v>
      </c>
      <c r="I1434" s="152" t="s">
        <v>6796</v>
      </c>
      <c r="J1434" s="154"/>
      <c r="K1434" s="154"/>
      <c r="L1434" s="154"/>
      <c r="M1434" s="154"/>
      <c r="N1434" s="152" t="s">
        <v>8395</v>
      </c>
    </row>
    <row r="1435">
      <c r="A1435" s="152" t="s">
        <v>8492</v>
      </c>
      <c r="B1435" s="152" t="s">
        <v>8493</v>
      </c>
      <c r="C1435" s="152">
        <v>2.0</v>
      </c>
      <c r="D1435" s="152">
        <v>4.0</v>
      </c>
      <c r="E1435" s="152">
        <v>1.0</v>
      </c>
      <c r="F1435" s="152">
        <v>4.0</v>
      </c>
      <c r="G1435" s="152" t="s">
        <v>8393</v>
      </c>
      <c r="H1435" s="152" t="s">
        <v>8398</v>
      </c>
      <c r="I1435" s="152" t="s">
        <v>6726</v>
      </c>
      <c r="J1435" s="154"/>
      <c r="K1435" s="154"/>
      <c r="L1435" s="154"/>
      <c r="M1435" s="154"/>
      <c r="N1435" s="152" t="s">
        <v>8395</v>
      </c>
    </row>
    <row r="1436">
      <c r="A1436" s="152" t="s">
        <v>8492</v>
      </c>
      <c r="B1436" s="152" t="s">
        <v>8493</v>
      </c>
      <c r="C1436" s="152">
        <v>2.0</v>
      </c>
      <c r="D1436" s="152">
        <v>5.0</v>
      </c>
      <c r="E1436" s="152">
        <v>1.0</v>
      </c>
      <c r="F1436" s="152">
        <v>5.0</v>
      </c>
      <c r="G1436" s="152" t="s">
        <v>8393</v>
      </c>
      <c r="H1436" s="152" t="s">
        <v>8478</v>
      </c>
      <c r="I1436" s="152" t="s">
        <v>6924</v>
      </c>
      <c r="J1436" s="154"/>
      <c r="K1436" s="154"/>
      <c r="L1436" s="154"/>
      <c r="M1436" s="154"/>
      <c r="N1436" s="152" t="s">
        <v>8395</v>
      </c>
    </row>
    <row r="1437">
      <c r="A1437" s="152" t="s">
        <v>8492</v>
      </c>
      <c r="B1437" s="152" t="s">
        <v>8493</v>
      </c>
      <c r="C1437" s="152">
        <v>2.0</v>
      </c>
      <c r="D1437" s="152">
        <v>6.0</v>
      </c>
      <c r="E1437" s="152">
        <v>1.0</v>
      </c>
      <c r="F1437" s="152">
        <v>6.0</v>
      </c>
      <c r="G1437" s="152" t="s">
        <v>8393</v>
      </c>
      <c r="H1437" s="152" t="s">
        <v>8400</v>
      </c>
      <c r="I1437" s="152" t="s">
        <v>6893</v>
      </c>
      <c r="J1437" s="154"/>
      <c r="K1437" s="154"/>
      <c r="L1437" s="154"/>
      <c r="M1437" s="154"/>
      <c r="N1437" s="152" t="s">
        <v>8395</v>
      </c>
    </row>
    <row r="1438">
      <c r="A1438" s="152" t="s">
        <v>8492</v>
      </c>
      <c r="B1438" s="152" t="s">
        <v>8493</v>
      </c>
      <c r="C1438" s="152">
        <v>2.0</v>
      </c>
      <c r="D1438" s="152">
        <v>7.0</v>
      </c>
      <c r="E1438" s="152">
        <v>1.0</v>
      </c>
      <c r="F1438" s="152">
        <v>7.0</v>
      </c>
      <c r="G1438" s="152" t="s">
        <v>8393</v>
      </c>
      <c r="H1438" s="152" t="s">
        <v>8401</v>
      </c>
      <c r="I1438" s="152" t="s">
        <v>6796</v>
      </c>
      <c r="J1438" s="154"/>
      <c r="K1438" s="154"/>
      <c r="L1438" s="154"/>
      <c r="M1438" s="154"/>
      <c r="N1438" s="152" t="s">
        <v>8395</v>
      </c>
    </row>
    <row r="1439">
      <c r="A1439" s="152" t="s">
        <v>8492</v>
      </c>
      <c r="B1439" s="152" t="s">
        <v>8493</v>
      </c>
      <c r="C1439" s="152">
        <v>2.0</v>
      </c>
      <c r="D1439" s="152">
        <v>8.0</v>
      </c>
      <c r="E1439" s="152">
        <v>1.0</v>
      </c>
      <c r="F1439" s="152">
        <v>8.0</v>
      </c>
      <c r="G1439" s="152" t="s">
        <v>8393</v>
      </c>
      <c r="H1439" s="152" t="s">
        <v>8402</v>
      </c>
      <c r="I1439" s="152" t="s">
        <v>6831</v>
      </c>
      <c r="J1439" s="154"/>
      <c r="K1439" s="154"/>
      <c r="L1439" s="154"/>
      <c r="M1439" s="154"/>
      <c r="N1439" s="152" t="s">
        <v>8395</v>
      </c>
    </row>
    <row r="1440">
      <c r="A1440" s="152" t="s">
        <v>8492</v>
      </c>
      <c r="B1440" s="152" t="s">
        <v>8493</v>
      </c>
      <c r="C1440" s="152">
        <v>2.0</v>
      </c>
      <c r="D1440" s="152">
        <v>9.0</v>
      </c>
      <c r="E1440" s="152">
        <v>1.0</v>
      </c>
      <c r="F1440" s="152">
        <v>9.0</v>
      </c>
      <c r="G1440" s="152" t="s">
        <v>8393</v>
      </c>
      <c r="H1440" s="152" t="s">
        <v>8403</v>
      </c>
      <c r="I1440" s="152" t="s">
        <v>6836</v>
      </c>
      <c r="J1440" s="154"/>
      <c r="K1440" s="154"/>
      <c r="L1440" s="154"/>
      <c r="M1440" s="154"/>
      <c r="N1440" s="152" t="s">
        <v>8395</v>
      </c>
    </row>
    <row r="1441">
      <c r="A1441" s="152" t="s">
        <v>8492</v>
      </c>
      <c r="B1441" s="152" t="s">
        <v>8493</v>
      </c>
      <c r="C1441" s="152">
        <v>2.0</v>
      </c>
      <c r="D1441" s="152">
        <v>10.0</v>
      </c>
      <c r="E1441" s="152">
        <v>1.0</v>
      </c>
      <c r="F1441" s="152">
        <v>10.0</v>
      </c>
      <c r="G1441" s="152" t="s">
        <v>8393</v>
      </c>
      <c r="H1441" s="152" t="s">
        <v>8404</v>
      </c>
      <c r="I1441" s="152" t="s">
        <v>8405</v>
      </c>
      <c r="J1441" s="154"/>
      <c r="K1441" s="154"/>
      <c r="L1441" s="154"/>
      <c r="M1441" s="154"/>
      <c r="N1441" s="152" t="s">
        <v>8395</v>
      </c>
    </row>
    <row r="1442">
      <c r="A1442" s="152" t="s">
        <v>8492</v>
      </c>
      <c r="B1442" s="152" t="s">
        <v>8493</v>
      </c>
      <c r="C1442" s="152">
        <v>3.0</v>
      </c>
      <c r="D1442" s="152">
        <v>1.0</v>
      </c>
      <c r="E1442" s="152">
        <v>1.0</v>
      </c>
      <c r="F1442" s="152">
        <v>1.0</v>
      </c>
      <c r="G1442" s="152" t="s">
        <v>8479</v>
      </c>
      <c r="H1442" s="152" t="s">
        <v>8480</v>
      </c>
      <c r="I1442" s="154"/>
      <c r="J1442" s="152" t="s">
        <v>23</v>
      </c>
      <c r="K1442" s="152">
        <v>1859.0</v>
      </c>
      <c r="L1442" s="154"/>
      <c r="M1442" s="154"/>
      <c r="N1442" s="152" t="s">
        <v>8384</v>
      </c>
    </row>
    <row r="1443">
      <c r="A1443" s="152" t="s">
        <v>8492</v>
      </c>
      <c r="B1443" s="152" t="s">
        <v>8493</v>
      </c>
      <c r="C1443" s="152">
        <v>3.0</v>
      </c>
      <c r="D1443" s="152">
        <v>2.0</v>
      </c>
      <c r="E1443" s="152">
        <v>1.0</v>
      </c>
      <c r="F1443" s="152">
        <v>1.0</v>
      </c>
      <c r="G1443" s="152" t="s">
        <v>8479</v>
      </c>
      <c r="H1443" s="152" t="s">
        <v>8481</v>
      </c>
      <c r="I1443" s="154"/>
      <c r="J1443" s="152" t="s">
        <v>23</v>
      </c>
      <c r="K1443" s="152">
        <v>849.0</v>
      </c>
      <c r="L1443" s="154"/>
      <c r="M1443" s="154"/>
      <c r="N1443" s="152" t="s">
        <v>8384</v>
      </c>
    </row>
    <row r="1444">
      <c r="A1444" s="152" t="s">
        <v>8492</v>
      </c>
      <c r="B1444" s="152" t="s">
        <v>8493</v>
      </c>
      <c r="C1444" s="152">
        <v>3.0</v>
      </c>
      <c r="D1444" s="152">
        <v>3.0</v>
      </c>
      <c r="E1444" s="152">
        <v>1.0</v>
      </c>
      <c r="F1444" s="152">
        <v>1.0</v>
      </c>
      <c r="G1444" s="152" t="s">
        <v>8479</v>
      </c>
      <c r="H1444" s="152" t="s">
        <v>8482</v>
      </c>
      <c r="I1444" s="154"/>
      <c r="J1444" s="152" t="s">
        <v>23</v>
      </c>
      <c r="K1444" s="152">
        <v>2049.0</v>
      </c>
      <c r="L1444" s="154"/>
      <c r="M1444" s="154"/>
      <c r="N1444" s="152" t="s">
        <v>8384</v>
      </c>
    </row>
    <row r="1445">
      <c r="A1445" s="152" t="s">
        <v>8492</v>
      </c>
      <c r="B1445" s="152" t="s">
        <v>8493</v>
      </c>
      <c r="C1445" s="152">
        <v>3.0</v>
      </c>
      <c r="D1445" s="152">
        <v>4.0</v>
      </c>
      <c r="E1445" s="152">
        <v>1.0</v>
      </c>
      <c r="F1445" s="152">
        <v>1.0</v>
      </c>
      <c r="G1445" s="152" t="s">
        <v>8479</v>
      </c>
      <c r="H1445" s="152" t="s">
        <v>8483</v>
      </c>
      <c r="I1445" s="154"/>
      <c r="J1445" s="152" t="s">
        <v>23</v>
      </c>
      <c r="K1445" s="152">
        <v>2049.0</v>
      </c>
      <c r="L1445" s="154"/>
      <c r="M1445" s="154"/>
      <c r="N1445" s="152" t="s">
        <v>8384</v>
      </c>
    </row>
    <row r="1446">
      <c r="A1446" s="152" t="s">
        <v>8492</v>
      </c>
      <c r="B1446" s="152" t="s">
        <v>8493</v>
      </c>
      <c r="C1446" s="152">
        <v>3.0</v>
      </c>
      <c r="D1446" s="152">
        <v>5.0</v>
      </c>
      <c r="E1446" s="152">
        <v>1.0</v>
      </c>
      <c r="F1446" s="152">
        <v>1.0</v>
      </c>
      <c r="G1446" s="152" t="s">
        <v>8479</v>
      </c>
      <c r="H1446" s="152" t="s">
        <v>8484</v>
      </c>
      <c r="I1446" s="154"/>
      <c r="J1446" s="152" t="s">
        <v>23</v>
      </c>
      <c r="K1446" s="152">
        <v>949.0</v>
      </c>
      <c r="L1446" s="154"/>
      <c r="M1446" s="154"/>
      <c r="N1446" s="152" t="s">
        <v>8384</v>
      </c>
    </row>
    <row r="1447">
      <c r="A1447" s="152" t="s">
        <v>8492</v>
      </c>
      <c r="B1447" s="152" t="s">
        <v>8493</v>
      </c>
      <c r="C1447" s="152">
        <v>3.0</v>
      </c>
      <c r="D1447" s="152">
        <v>6.0</v>
      </c>
      <c r="E1447" s="152">
        <v>1.0</v>
      </c>
      <c r="F1447" s="152">
        <v>1.0</v>
      </c>
      <c r="G1447" s="152" t="s">
        <v>8479</v>
      </c>
      <c r="H1447" s="152" t="s">
        <v>8485</v>
      </c>
      <c r="I1447" s="154"/>
      <c r="J1447" s="152" t="s">
        <v>23</v>
      </c>
      <c r="K1447" s="152">
        <v>949.0</v>
      </c>
      <c r="L1447" s="154"/>
      <c r="M1447" s="154"/>
      <c r="N1447" s="152" t="s">
        <v>8384</v>
      </c>
    </row>
    <row r="1448">
      <c r="A1448" s="152" t="s">
        <v>8492</v>
      </c>
      <c r="B1448" s="152" t="s">
        <v>8493</v>
      </c>
      <c r="C1448" s="152">
        <v>3.0</v>
      </c>
      <c r="D1448" s="152">
        <v>7.0</v>
      </c>
      <c r="E1448" s="152">
        <v>1.0</v>
      </c>
      <c r="F1448" s="152">
        <v>1.0</v>
      </c>
      <c r="G1448" s="152" t="s">
        <v>8479</v>
      </c>
      <c r="H1448" s="152" t="s">
        <v>8486</v>
      </c>
      <c r="I1448" s="154"/>
      <c r="J1448" s="152" t="s">
        <v>23</v>
      </c>
      <c r="K1448" s="152">
        <v>2169.0</v>
      </c>
      <c r="L1448" s="154"/>
      <c r="M1448" s="154"/>
      <c r="N1448" s="152" t="s">
        <v>8384</v>
      </c>
    </row>
    <row r="1449">
      <c r="A1449" s="152" t="s">
        <v>8492</v>
      </c>
      <c r="B1449" s="152" t="s">
        <v>8493</v>
      </c>
      <c r="C1449" s="152">
        <v>3.0</v>
      </c>
      <c r="D1449" s="152">
        <v>8.0</v>
      </c>
      <c r="E1449" s="152">
        <v>1.0</v>
      </c>
      <c r="F1449" s="152">
        <v>1.0</v>
      </c>
      <c r="G1449" s="152" t="s">
        <v>8479</v>
      </c>
      <c r="H1449" s="152" t="s">
        <v>8487</v>
      </c>
      <c r="I1449" s="154"/>
      <c r="J1449" s="152" t="s">
        <v>23</v>
      </c>
      <c r="K1449" s="152">
        <v>2169.0</v>
      </c>
      <c r="L1449" s="154"/>
      <c r="M1449" s="154"/>
      <c r="N1449" s="152" t="s">
        <v>8384</v>
      </c>
    </row>
    <row r="1450">
      <c r="A1450" s="152" t="s">
        <v>8492</v>
      </c>
      <c r="B1450" s="152" t="s">
        <v>8493</v>
      </c>
      <c r="C1450" s="152">
        <v>3.0</v>
      </c>
      <c r="D1450" s="152">
        <v>9.0</v>
      </c>
      <c r="E1450" s="152">
        <v>1.0</v>
      </c>
      <c r="F1450" s="152">
        <v>1.0</v>
      </c>
      <c r="G1450" s="152" t="s">
        <v>8479</v>
      </c>
      <c r="H1450" s="152" t="s">
        <v>8488</v>
      </c>
      <c r="I1450" s="154"/>
      <c r="J1450" s="152" t="s">
        <v>23</v>
      </c>
      <c r="K1450" s="152">
        <v>1049.0</v>
      </c>
      <c r="L1450" s="154"/>
      <c r="M1450" s="154"/>
      <c r="N1450" s="152" t="s">
        <v>8384</v>
      </c>
    </row>
    <row r="1451">
      <c r="A1451" s="152" t="s">
        <v>8492</v>
      </c>
      <c r="B1451" s="152" t="s">
        <v>8493</v>
      </c>
      <c r="C1451" s="152">
        <v>3.0</v>
      </c>
      <c r="D1451" s="152">
        <v>10.0</v>
      </c>
      <c r="E1451" s="152">
        <v>1.0</v>
      </c>
      <c r="F1451" s="152">
        <v>1.0</v>
      </c>
      <c r="G1451" s="152" t="s">
        <v>8479</v>
      </c>
      <c r="H1451" s="152" t="s">
        <v>8489</v>
      </c>
      <c r="I1451" s="154"/>
      <c r="J1451" s="152" t="s">
        <v>23</v>
      </c>
      <c r="K1451" s="152">
        <v>1049.0</v>
      </c>
      <c r="L1451" s="154"/>
      <c r="M1451" s="154"/>
      <c r="N1451" s="152" t="s">
        <v>8384</v>
      </c>
    </row>
    <row r="1452">
      <c r="A1452" s="152" t="s">
        <v>8492</v>
      </c>
      <c r="B1452" s="152" t="s">
        <v>8493</v>
      </c>
      <c r="C1452" s="152">
        <v>3.0</v>
      </c>
      <c r="D1452" s="152">
        <v>1.0</v>
      </c>
      <c r="E1452" s="152">
        <v>1.0</v>
      </c>
      <c r="F1452" s="152">
        <v>2.0</v>
      </c>
      <c r="G1452" s="152" t="s">
        <v>8479</v>
      </c>
      <c r="H1452" s="152" t="s">
        <v>8480</v>
      </c>
      <c r="I1452" s="154"/>
      <c r="J1452" s="152" t="s">
        <v>23</v>
      </c>
      <c r="K1452" s="152">
        <v>1999.0</v>
      </c>
      <c r="L1452" s="154"/>
      <c r="M1452" s="154"/>
      <c r="N1452" s="152" t="s">
        <v>8384</v>
      </c>
    </row>
    <row r="1453">
      <c r="A1453" s="152" t="s">
        <v>8492</v>
      </c>
      <c r="B1453" s="152" t="s">
        <v>8493</v>
      </c>
      <c r="C1453" s="152">
        <v>3.0</v>
      </c>
      <c r="D1453" s="152">
        <v>2.0</v>
      </c>
      <c r="E1453" s="152">
        <v>1.0</v>
      </c>
      <c r="F1453" s="152">
        <v>2.0</v>
      </c>
      <c r="G1453" s="152" t="s">
        <v>8479</v>
      </c>
      <c r="H1453" s="152" t="s">
        <v>8481</v>
      </c>
      <c r="I1453" s="154"/>
      <c r="J1453" s="152" t="s">
        <v>23</v>
      </c>
      <c r="K1453" s="152">
        <v>919.0</v>
      </c>
      <c r="L1453" s="154"/>
      <c r="M1453" s="154"/>
      <c r="N1453" s="152" t="s">
        <v>8384</v>
      </c>
    </row>
    <row r="1454">
      <c r="A1454" s="152" t="s">
        <v>8492</v>
      </c>
      <c r="B1454" s="152" t="s">
        <v>8493</v>
      </c>
      <c r="C1454" s="152">
        <v>3.0</v>
      </c>
      <c r="D1454" s="152">
        <v>3.0</v>
      </c>
      <c r="E1454" s="152">
        <v>1.0</v>
      </c>
      <c r="F1454" s="152">
        <v>2.0</v>
      </c>
      <c r="G1454" s="152" t="s">
        <v>8479</v>
      </c>
      <c r="H1454" s="152" t="s">
        <v>8482</v>
      </c>
      <c r="I1454" s="154"/>
      <c r="J1454" s="152" t="s">
        <v>23</v>
      </c>
      <c r="K1454" s="152">
        <v>2209.0</v>
      </c>
      <c r="L1454" s="154"/>
      <c r="M1454" s="154"/>
      <c r="N1454" s="152" t="s">
        <v>8384</v>
      </c>
    </row>
    <row r="1455">
      <c r="A1455" s="152" t="s">
        <v>8492</v>
      </c>
      <c r="B1455" s="152" t="s">
        <v>8493</v>
      </c>
      <c r="C1455" s="152">
        <v>3.0</v>
      </c>
      <c r="D1455" s="152">
        <v>4.0</v>
      </c>
      <c r="E1455" s="152">
        <v>1.0</v>
      </c>
      <c r="F1455" s="152">
        <v>2.0</v>
      </c>
      <c r="G1455" s="152" t="s">
        <v>8479</v>
      </c>
      <c r="H1455" s="152" t="s">
        <v>8483</v>
      </c>
      <c r="I1455" s="154"/>
      <c r="J1455" s="152" t="s">
        <v>23</v>
      </c>
      <c r="K1455" s="152">
        <v>2209.0</v>
      </c>
      <c r="L1455" s="154"/>
      <c r="M1455" s="154"/>
      <c r="N1455" s="152" t="s">
        <v>8384</v>
      </c>
    </row>
    <row r="1456">
      <c r="A1456" s="152" t="s">
        <v>8492</v>
      </c>
      <c r="B1456" s="152" t="s">
        <v>8493</v>
      </c>
      <c r="C1456" s="152">
        <v>3.0</v>
      </c>
      <c r="D1456" s="152">
        <v>5.0</v>
      </c>
      <c r="E1456" s="152">
        <v>1.0</v>
      </c>
      <c r="F1456" s="152">
        <v>2.0</v>
      </c>
      <c r="G1456" s="152" t="s">
        <v>8479</v>
      </c>
      <c r="H1456" s="152" t="s">
        <v>8484</v>
      </c>
      <c r="I1456" s="154"/>
      <c r="J1456" s="152" t="s">
        <v>23</v>
      </c>
      <c r="K1456" s="152">
        <v>1029.0</v>
      </c>
      <c r="L1456" s="154"/>
      <c r="M1456" s="154"/>
      <c r="N1456" s="152" t="s">
        <v>8384</v>
      </c>
    </row>
    <row r="1457">
      <c r="A1457" s="152" t="s">
        <v>8492</v>
      </c>
      <c r="B1457" s="152" t="s">
        <v>8493</v>
      </c>
      <c r="C1457" s="152">
        <v>3.0</v>
      </c>
      <c r="D1457" s="152">
        <v>6.0</v>
      </c>
      <c r="E1457" s="152">
        <v>1.0</v>
      </c>
      <c r="F1457" s="152">
        <v>2.0</v>
      </c>
      <c r="G1457" s="152" t="s">
        <v>8479</v>
      </c>
      <c r="H1457" s="152" t="s">
        <v>8485</v>
      </c>
      <c r="I1457" s="154"/>
      <c r="J1457" s="152" t="s">
        <v>23</v>
      </c>
      <c r="K1457" s="152">
        <v>1029.0</v>
      </c>
      <c r="L1457" s="154"/>
      <c r="M1457" s="154"/>
      <c r="N1457" s="152" t="s">
        <v>8384</v>
      </c>
    </row>
    <row r="1458">
      <c r="A1458" s="152" t="s">
        <v>8492</v>
      </c>
      <c r="B1458" s="152" t="s">
        <v>8493</v>
      </c>
      <c r="C1458" s="152">
        <v>3.0</v>
      </c>
      <c r="D1458" s="152">
        <v>7.0</v>
      </c>
      <c r="E1458" s="152">
        <v>1.0</v>
      </c>
      <c r="F1458" s="152">
        <v>2.0</v>
      </c>
      <c r="G1458" s="152" t="s">
        <v>8479</v>
      </c>
      <c r="H1458" s="152" t="s">
        <v>8486</v>
      </c>
      <c r="I1458" s="154"/>
      <c r="J1458" s="152" t="s">
        <v>23</v>
      </c>
      <c r="K1458" s="152">
        <v>2349.0</v>
      </c>
      <c r="L1458" s="154"/>
      <c r="M1458" s="154"/>
      <c r="N1458" s="152" t="s">
        <v>8384</v>
      </c>
    </row>
    <row r="1459">
      <c r="A1459" s="152" t="s">
        <v>8492</v>
      </c>
      <c r="B1459" s="152" t="s">
        <v>8493</v>
      </c>
      <c r="C1459" s="152">
        <v>3.0</v>
      </c>
      <c r="D1459" s="152">
        <v>8.0</v>
      </c>
      <c r="E1459" s="152">
        <v>1.0</v>
      </c>
      <c r="F1459" s="152">
        <v>2.0</v>
      </c>
      <c r="G1459" s="152" t="s">
        <v>8479</v>
      </c>
      <c r="H1459" s="152" t="s">
        <v>8487</v>
      </c>
      <c r="I1459" s="154"/>
      <c r="J1459" s="152" t="s">
        <v>23</v>
      </c>
      <c r="K1459" s="152">
        <v>2349.0</v>
      </c>
      <c r="L1459" s="154"/>
      <c r="M1459" s="154"/>
      <c r="N1459" s="152" t="s">
        <v>8384</v>
      </c>
    </row>
    <row r="1460">
      <c r="A1460" s="152" t="s">
        <v>8492</v>
      </c>
      <c r="B1460" s="152" t="s">
        <v>8493</v>
      </c>
      <c r="C1460" s="152">
        <v>3.0</v>
      </c>
      <c r="D1460" s="152">
        <v>9.0</v>
      </c>
      <c r="E1460" s="152">
        <v>1.0</v>
      </c>
      <c r="F1460" s="152">
        <v>2.0</v>
      </c>
      <c r="G1460" s="152" t="s">
        <v>8479</v>
      </c>
      <c r="H1460" s="152" t="s">
        <v>8488</v>
      </c>
      <c r="I1460" s="154"/>
      <c r="J1460" s="152" t="s">
        <v>23</v>
      </c>
      <c r="K1460" s="152">
        <v>1129.0</v>
      </c>
      <c r="L1460" s="154"/>
      <c r="M1460" s="154"/>
      <c r="N1460" s="152" t="s">
        <v>8384</v>
      </c>
    </row>
    <row r="1461">
      <c r="A1461" s="152" t="s">
        <v>8492</v>
      </c>
      <c r="B1461" s="152" t="s">
        <v>8493</v>
      </c>
      <c r="C1461" s="152">
        <v>3.0</v>
      </c>
      <c r="D1461" s="152">
        <v>10.0</v>
      </c>
      <c r="E1461" s="152">
        <v>1.0</v>
      </c>
      <c r="F1461" s="152">
        <v>2.0</v>
      </c>
      <c r="G1461" s="152" t="s">
        <v>8479</v>
      </c>
      <c r="H1461" s="152" t="s">
        <v>8489</v>
      </c>
      <c r="I1461" s="154"/>
      <c r="J1461" s="152" t="s">
        <v>23</v>
      </c>
      <c r="K1461" s="152">
        <v>1129.0</v>
      </c>
      <c r="L1461" s="154"/>
      <c r="M1461" s="154"/>
      <c r="N1461" s="152" t="s">
        <v>8384</v>
      </c>
    </row>
    <row r="1462">
      <c r="A1462" s="152" t="s">
        <v>8492</v>
      </c>
      <c r="B1462" s="152" t="s">
        <v>8493</v>
      </c>
      <c r="C1462" s="152">
        <v>3.0</v>
      </c>
      <c r="D1462" s="152">
        <v>1.0</v>
      </c>
      <c r="E1462" s="152">
        <v>1.0</v>
      </c>
      <c r="F1462" s="152">
        <v>3.0</v>
      </c>
      <c r="G1462" s="152" t="s">
        <v>8479</v>
      </c>
      <c r="H1462" s="152" t="s">
        <v>8480</v>
      </c>
      <c r="I1462" s="154"/>
      <c r="J1462" s="152" t="s">
        <v>23</v>
      </c>
      <c r="K1462" s="152">
        <v>1999.0</v>
      </c>
      <c r="L1462" s="154"/>
      <c r="M1462" s="154"/>
      <c r="N1462" s="152" t="s">
        <v>8384</v>
      </c>
    </row>
    <row r="1463">
      <c r="A1463" s="152" t="s">
        <v>8492</v>
      </c>
      <c r="B1463" s="152" t="s">
        <v>8493</v>
      </c>
      <c r="C1463" s="152">
        <v>3.0</v>
      </c>
      <c r="D1463" s="152">
        <v>2.0</v>
      </c>
      <c r="E1463" s="152">
        <v>1.0</v>
      </c>
      <c r="F1463" s="152">
        <v>3.0</v>
      </c>
      <c r="G1463" s="152" t="s">
        <v>8479</v>
      </c>
      <c r="H1463" s="152" t="s">
        <v>8481</v>
      </c>
      <c r="I1463" s="154"/>
      <c r="J1463" s="152" t="s">
        <v>23</v>
      </c>
      <c r="K1463" s="152">
        <v>919.0</v>
      </c>
      <c r="L1463" s="154"/>
      <c r="M1463" s="154"/>
      <c r="N1463" s="152" t="s">
        <v>8384</v>
      </c>
    </row>
    <row r="1464">
      <c r="A1464" s="152" t="s">
        <v>8492</v>
      </c>
      <c r="B1464" s="152" t="s">
        <v>8493</v>
      </c>
      <c r="C1464" s="152">
        <v>3.0</v>
      </c>
      <c r="D1464" s="152">
        <v>3.0</v>
      </c>
      <c r="E1464" s="152">
        <v>1.0</v>
      </c>
      <c r="F1464" s="152">
        <v>3.0</v>
      </c>
      <c r="G1464" s="152" t="s">
        <v>8479</v>
      </c>
      <c r="H1464" s="152" t="s">
        <v>8482</v>
      </c>
      <c r="I1464" s="154"/>
      <c r="J1464" s="152" t="s">
        <v>23</v>
      </c>
      <c r="K1464" s="152">
        <v>2209.0</v>
      </c>
      <c r="L1464" s="154"/>
      <c r="M1464" s="154"/>
      <c r="N1464" s="152" t="s">
        <v>8384</v>
      </c>
    </row>
    <row r="1465">
      <c r="A1465" s="152" t="s">
        <v>8492</v>
      </c>
      <c r="B1465" s="152" t="s">
        <v>8493</v>
      </c>
      <c r="C1465" s="152">
        <v>3.0</v>
      </c>
      <c r="D1465" s="152">
        <v>4.0</v>
      </c>
      <c r="E1465" s="152">
        <v>1.0</v>
      </c>
      <c r="F1465" s="152">
        <v>3.0</v>
      </c>
      <c r="G1465" s="152" t="s">
        <v>8479</v>
      </c>
      <c r="H1465" s="152" t="s">
        <v>8483</v>
      </c>
      <c r="I1465" s="154"/>
      <c r="J1465" s="152" t="s">
        <v>23</v>
      </c>
      <c r="K1465" s="152">
        <v>2209.0</v>
      </c>
      <c r="L1465" s="154"/>
      <c r="M1465" s="154"/>
      <c r="N1465" s="152" t="s">
        <v>8384</v>
      </c>
    </row>
    <row r="1466">
      <c r="A1466" s="152" t="s">
        <v>8492</v>
      </c>
      <c r="B1466" s="152" t="s">
        <v>8493</v>
      </c>
      <c r="C1466" s="152">
        <v>3.0</v>
      </c>
      <c r="D1466" s="152">
        <v>5.0</v>
      </c>
      <c r="E1466" s="152">
        <v>1.0</v>
      </c>
      <c r="F1466" s="152">
        <v>3.0</v>
      </c>
      <c r="G1466" s="152" t="s">
        <v>8479</v>
      </c>
      <c r="H1466" s="152" t="s">
        <v>8484</v>
      </c>
      <c r="I1466" s="154"/>
      <c r="J1466" s="152" t="s">
        <v>23</v>
      </c>
      <c r="K1466" s="152">
        <v>1029.0</v>
      </c>
      <c r="L1466" s="154"/>
      <c r="M1466" s="154"/>
      <c r="N1466" s="152" t="s">
        <v>8384</v>
      </c>
    </row>
    <row r="1467">
      <c r="A1467" s="152" t="s">
        <v>8492</v>
      </c>
      <c r="B1467" s="152" t="s">
        <v>8493</v>
      </c>
      <c r="C1467" s="152">
        <v>3.0</v>
      </c>
      <c r="D1467" s="152">
        <v>6.0</v>
      </c>
      <c r="E1467" s="152">
        <v>1.0</v>
      </c>
      <c r="F1467" s="152">
        <v>3.0</v>
      </c>
      <c r="G1467" s="152" t="s">
        <v>8479</v>
      </c>
      <c r="H1467" s="152" t="s">
        <v>8485</v>
      </c>
      <c r="I1467" s="154"/>
      <c r="J1467" s="152" t="s">
        <v>23</v>
      </c>
      <c r="K1467" s="152">
        <v>1029.0</v>
      </c>
      <c r="L1467" s="154"/>
      <c r="M1467" s="154"/>
      <c r="N1467" s="152" t="s">
        <v>8384</v>
      </c>
    </row>
    <row r="1468">
      <c r="A1468" s="152" t="s">
        <v>8492</v>
      </c>
      <c r="B1468" s="152" t="s">
        <v>8493</v>
      </c>
      <c r="C1468" s="152">
        <v>3.0</v>
      </c>
      <c r="D1468" s="152">
        <v>7.0</v>
      </c>
      <c r="E1468" s="152">
        <v>1.0</v>
      </c>
      <c r="F1468" s="152">
        <v>3.0</v>
      </c>
      <c r="G1468" s="152" t="s">
        <v>8479</v>
      </c>
      <c r="H1468" s="152" t="s">
        <v>8486</v>
      </c>
      <c r="I1468" s="154"/>
      <c r="J1468" s="152" t="s">
        <v>23</v>
      </c>
      <c r="K1468" s="152">
        <v>2349.0</v>
      </c>
      <c r="L1468" s="154"/>
      <c r="M1468" s="154"/>
      <c r="N1468" s="152" t="s">
        <v>8384</v>
      </c>
    </row>
    <row r="1469">
      <c r="A1469" s="152" t="s">
        <v>8492</v>
      </c>
      <c r="B1469" s="152" t="s">
        <v>8493</v>
      </c>
      <c r="C1469" s="152">
        <v>3.0</v>
      </c>
      <c r="D1469" s="152">
        <v>8.0</v>
      </c>
      <c r="E1469" s="152">
        <v>1.0</v>
      </c>
      <c r="F1469" s="152">
        <v>3.0</v>
      </c>
      <c r="G1469" s="152" t="s">
        <v>8479</v>
      </c>
      <c r="H1469" s="152" t="s">
        <v>8487</v>
      </c>
      <c r="I1469" s="154"/>
      <c r="J1469" s="152" t="s">
        <v>23</v>
      </c>
      <c r="K1469" s="152">
        <v>2349.0</v>
      </c>
      <c r="L1469" s="154"/>
      <c r="M1469" s="154"/>
      <c r="N1469" s="152" t="s">
        <v>8384</v>
      </c>
    </row>
    <row r="1470">
      <c r="A1470" s="152" t="s">
        <v>8492</v>
      </c>
      <c r="B1470" s="152" t="s">
        <v>8493</v>
      </c>
      <c r="C1470" s="152">
        <v>3.0</v>
      </c>
      <c r="D1470" s="152">
        <v>9.0</v>
      </c>
      <c r="E1470" s="152">
        <v>1.0</v>
      </c>
      <c r="F1470" s="152">
        <v>3.0</v>
      </c>
      <c r="G1470" s="152" t="s">
        <v>8479</v>
      </c>
      <c r="H1470" s="152" t="s">
        <v>8488</v>
      </c>
      <c r="I1470" s="154"/>
      <c r="J1470" s="152" t="s">
        <v>23</v>
      </c>
      <c r="K1470" s="152">
        <v>1129.0</v>
      </c>
      <c r="L1470" s="154"/>
      <c r="M1470" s="154"/>
      <c r="N1470" s="152" t="s">
        <v>8384</v>
      </c>
    </row>
    <row r="1471">
      <c r="A1471" s="152" t="s">
        <v>8492</v>
      </c>
      <c r="B1471" s="152" t="s">
        <v>8493</v>
      </c>
      <c r="C1471" s="152">
        <v>3.0</v>
      </c>
      <c r="D1471" s="152">
        <v>10.0</v>
      </c>
      <c r="E1471" s="152">
        <v>1.0</v>
      </c>
      <c r="F1471" s="152">
        <v>3.0</v>
      </c>
      <c r="G1471" s="152" t="s">
        <v>8479</v>
      </c>
      <c r="H1471" s="152" t="s">
        <v>8489</v>
      </c>
      <c r="I1471" s="154"/>
      <c r="J1471" s="152" t="s">
        <v>23</v>
      </c>
      <c r="K1471" s="152">
        <v>1129.0</v>
      </c>
      <c r="L1471" s="154"/>
      <c r="M1471" s="154"/>
      <c r="N1471" s="152" t="s">
        <v>8384</v>
      </c>
    </row>
    <row r="1472">
      <c r="A1472" s="152" t="s">
        <v>8492</v>
      </c>
      <c r="B1472" s="152" t="s">
        <v>8493</v>
      </c>
      <c r="C1472" s="152">
        <v>3.0</v>
      </c>
      <c r="D1472" s="152">
        <v>1.0</v>
      </c>
      <c r="E1472" s="152">
        <v>1.0</v>
      </c>
      <c r="F1472" s="152">
        <v>4.0</v>
      </c>
      <c r="G1472" s="152" t="s">
        <v>8479</v>
      </c>
      <c r="H1472" s="152" t="s">
        <v>8480</v>
      </c>
      <c r="I1472" s="154"/>
      <c r="J1472" s="152" t="s">
        <v>23</v>
      </c>
      <c r="K1472" s="152">
        <v>1999.0</v>
      </c>
      <c r="L1472" s="154"/>
      <c r="M1472" s="154"/>
      <c r="N1472" s="152" t="s">
        <v>8384</v>
      </c>
    </row>
    <row r="1473">
      <c r="A1473" s="152" t="s">
        <v>8492</v>
      </c>
      <c r="B1473" s="152" t="s">
        <v>8493</v>
      </c>
      <c r="C1473" s="152">
        <v>3.0</v>
      </c>
      <c r="D1473" s="152">
        <v>2.0</v>
      </c>
      <c r="E1473" s="152">
        <v>1.0</v>
      </c>
      <c r="F1473" s="152">
        <v>4.0</v>
      </c>
      <c r="G1473" s="152" t="s">
        <v>8479</v>
      </c>
      <c r="H1473" s="152" t="s">
        <v>8481</v>
      </c>
      <c r="I1473" s="154"/>
      <c r="J1473" s="152" t="s">
        <v>23</v>
      </c>
      <c r="K1473" s="152">
        <v>919.0</v>
      </c>
      <c r="L1473" s="154"/>
      <c r="M1473" s="154"/>
      <c r="N1473" s="152" t="s">
        <v>8384</v>
      </c>
    </row>
    <row r="1474">
      <c r="A1474" s="152" t="s">
        <v>8492</v>
      </c>
      <c r="B1474" s="152" t="s">
        <v>8493</v>
      </c>
      <c r="C1474" s="152">
        <v>3.0</v>
      </c>
      <c r="D1474" s="152">
        <v>3.0</v>
      </c>
      <c r="E1474" s="152">
        <v>1.0</v>
      </c>
      <c r="F1474" s="152">
        <v>4.0</v>
      </c>
      <c r="G1474" s="152" t="s">
        <v>8479</v>
      </c>
      <c r="H1474" s="152" t="s">
        <v>8482</v>
      </c>
      <c r="I1474" s="154"/>
      <c r="J1474" s="152" t="s">
        <v>23</v>
      </c>
      <c r="K1474" s="152">
        <v>2209.0</v>
      </c>
      <c r="L1474" s="154"/>
      <c r="M1474" s="154"/>
      <c r="N1474" s="152" t="s">
        <v>8384</v>
      </c>
    </row>
    <row r="1475">
      <c r="A1475" s="152" t="s">
        <v>8492</v>
      </c>
      <c r="B1475" s="152" t="s">
        <v>8493</v>
      </c>
      <c r="C1475" s="152">
        <v>3.0</v>
      </c>
      <c r="D1475" s="152">
        <v>4.0</v>
      </c>
      <c r="E1475" s="152">
        <v>1.0</v>
      </c>
      <c r="F1475" s="152">
        <v>4.0</v>
      </c>
      <c r="G1475" s="152" t="s">
        <v>8479</v>
      </c>
      <c r="H1475" s="152" t="s">
        <v>8483</v>
      </c>
      <c r="I1475" s="154"/>
      <c r="J1475" s="152" t="s">
        <v>23</v>
      </c>
      <c r="K1475" s="152">
        <v>2209.0</v>
      </c>
      <c r="L1475" s="154"/>
      <c r="M1475" s="154"/>
      <c r="N1475" s="152" t="s">
        <v>8384</v>
      </c>
    </row>
    <row r="1476">
      <c r="A1476" s="152" t="s">
        <v>8492</v>
      </c>
      <c r="B1476" s="152" t="s">
        <v>8493</v>
      </c>
      <c r="C1476" s="152">
        <v>3.0</v>
      </c>
      <c r="D1476" s="152">
        <v>5.0</v>
      </c>
      <c r="E1476" s="152">
        <v>1.0</v>
      </c>
      <c r="F1476" s="152">
        <v>4.0</v>
      </c>
      <c r="G1476" s="152" t="s">
        <v>8479</v>
      </c>
      <c r="H1476" s="152" t="s">
        <v>8484</v>
      </c>
      <c r="I1476" s="154"/>
      <c r="J1476" s="152" t="s">
        <v>23</v>
      </c>
      <c r="K1476" s="152">
        <v>1029.0</v>
      </c>
      <c r="L1476" s="154"/>
      <c r="M1476" s="154"/>
      <c r="N1476" s="152" t="s">
        <v>8384</v>
      </c>
    </row>
    <row r="1477">
      <c r="A1477" s="152" t="s">
        <v>8492</v>
      </c>
      <c r="B1477" s="152" t="s">
        <v>8493</v>
      </c>
      <c r="C1477" s="152">
        <v>3.0</v>
      </c>
      <c r="D1477" s="152">
        <v>6.0</v>
      </c>
      <c r="E1477" s="152">
        <v>1.0</v>
      </c>
      <c r="F1477" s="152">
        <v>4.0</v>
      </c>
      <c r="G1477" s="152" t="s">
        <v>8479</v>
      </c>
      <c r="H1477" s="152" t="s">
        <v>8485</v>
      </c>
      <c r="I1477" s="154"/>
      <c r="J1477" s="152" t="s">
        <v>23</v>
      </c>
      <c r="K1477" s="152">
        <v>1029.0</v>
      </c>
      <c r="L1477" s="154"/>
      <c r="M1477" s="154"/>
      <c r="N1477" s="152" t="s">
        <v>8384</v>
      </c>
    </row>
    <row r="1478">
      <c r="A1478" s="152" t="s">
        <v>8492</v>
      </c>
      <c r="B1478" s="152" t="s">
        <v>8493</v>
      </c>
      <c r="C1478" s="152">
        <v>3.0</v>
      </c>
      <c r="D1478" s="152">
        <v>7.0</v>
      </c>
      <c r="E1478" s="152">
        <v>1.0</v>
      </c>
      <c r="F1478" s="152">
        <v>4.0</v>
      </c>
      <c r="G1478" s="152" t="s">
        <v>8479</v>
      </c>
      <c r="H1478" s="152" t="s">
        <v>8486</v>
      </c>
      <c r="I1478" s="154"/>
      <c r="J1478" s="152" t="s">
        <v>23</v>
      </c>
      <c r="K1478" s="152">
        <v>2349.0</v>
      </c>
      <c r="L1478" s="154"/>
      <c r="M1478" s="154"/>
      <c r="N1478" s="152" t="s">
        <v>8384</v>
      </c>
    </row>
    <row r="1479">
      <c r="A1479" s="152" t="s">
        <v>8492</v>
      </c>
      <c r="B1479" s="152" t="s">
        <v>8493</v>
      </c>
      <c r="C1479" s="152">
        <v>3.0</v>
      </c>
      <c r="D1479" s="152">
        <v>8.0</v>
      </c>
      <c r="E1479" s="152">
        <v>1.0</v>
      </c>
      <c r="F1479" s="152">
        <v>4.0</v>
      </c>
      <c r="G1479" s="152" t="s">
        <v>8479</v>
      </c>
      <c r="H1479" s="152" t="s">
        <v>8487</v>
      </c>
      <c r="I1479" s="154"/>
      <c r="J1479" s="152" t="s">
        <v>23</v>
      </c>
      <c r="K1479" s="152">
        <v>2349.0</v>
      </c>
      <c r="L1479" s="154"/>
      <c r="M1479" s="154"/>
      <c r="N1479" s="152" t="s">
        <v>8384</v>
      </c>
    </row>
    <row r="1480">
      <c r="A1480" s="152" t="s">
        <v>8492</v>
      </c>
      <c r="B1480" s="152" t="s">
        <v>8493</v>
      </c>
      <c r="C1480" s="152">
        <v>3.0</v>
      </c>
      <c r="D1480" s="152">
        <v>9.0</v>
      </c>
      <c r="E1480" s="152">
        <v>1.0</v>
      </c>
      <c r="F1480" s="152">
        <v>4.0</v>
      </c>
      <c r="G1480" s="152" t="s">
        <v>8479</v>
      </c>
      <c r="H1480" s="152" t="s">
        <v>8488</v>
      </c>
      <c r="I1480" s="154"/>
      <c r="J1480" s="152" t="s">
        <v>23</v>
      </c>
      <c r="K1480" s="152">
        <v>1129.0</v>
      </c>
      <c r="L1480" s="154"/>
      <c r="M1480" s="154"/>
      <c r="N1480" s="152" t="s">
        <v>8384</v>
      </c>
    </row>
    <row r="1481">
      <c r="A1481" s="152" t="s">
        <v>8492</v>
      </c>
      <c r="B1481" s="152" t="s">
        <v>8493</v>
      </c>
      <c r="C1481" s="152">
        <v>3.0</v>
      </c>
      <c r="D1481" s="152">
        <v>10.0</v>
      </c>
      <c r="E1481" s="152">
        <v>1.0</v>
      </c>
      <c r="F1481" s="152">
        <v>4.0</v>
      </c>
      <c r="G1481" s="152" t="s">
        <v>8479</v>
      </c>
      <c r="H1481" s="152" t="s">
        <v>8489</v>
      </c>
      <c r="I1481" s="154"/>
      <c r="J1481" s="152" t="s">
        <v>23</v>
      </c>
      <c r="K1481" s="152">
        <v>1129.0</v>
      </c>
      <c r="L1481" s="154"/>
      <c r="M1481" s="154"/>
      <c r="N1481" s="152" t="s">
        <v>8384</v>
      </c>
    </row>
    <row r="1482">
      <c r="A1482" s="152" t="s">
        <v>8492</v>
      </c>
      <c r="B1482" s="152" t="s">
        <v>8493</v>
      </c>
      <c r="C1482" s="152">
        <v>3.0</v>
      </c>
      <c r="D1482" s="152">
        <v>1.0</v>
      </c>
      <c r="E1482" s="152">
        <v>1.0</v>
      </c>
      <c r="F1482" s="152">
        <v>5.0</v>
      </c>
      <c r="G1482" s="152" t="s">
        <v>8479</v>
      </c>
      <c r="H1482" s="152" t="s">
        <v>8480</v>
      </c>
      <c r="I1482" s="154"/>
      <c r="J1482" s="152" t="s">
        <v>23</v>
      </c>
      <c r="K1482" s="152">
        <v>1999.0</v>
      </c>
      <c r="L1482" s="154"/>
      <c r="M1482" s="154"/>
      <c r="N1482" s="152" t="s">
        <v>8384</v>
      </c>
    </row>
    <row r="1483">
      <c r="A1483" s="152" t="s">
        <v>8492</v>
      </c>
      <c r="B1483" s="152" t="s">
        <v>8493</v>
      </c>
      <c r="C1483" s="152">
        <v>3.0</v>
      </c>
      <c r="D1483" s="152">
        <v>2.0</v>
      </c>
      <c r="E1483" s="152">
        <v>1.0</v>
      </c>
      <c r="F1483" s="152">
        <v>5.0</v>
      </c>
      <c r="G1483" s="152" t="s">
        <v>8479</v>
      </c>
      <c r="H1483" s="152" t="s">
        <v>8481</v>
      </c>
      <c r="I1483" s="154"/>
      <c r="J1483" s="152" t="s">
        <v>23</v>
      </c>
      <c r="K1483" s="152">
        <v>919.0</v>
      </c>
      <c r="L1483" s="154"/>
      <c r="M1483" s="154"/>
      <c r="N1483" s="152" t="s">
        <v>8384</v>
      </c>
    </row>
    <row r="1484">
      <c r="A1484" s="152" t="s">
        <v>8492</v>
      </c>
      <c r="B1484" s="152" t="s">
        <v>8493</v>
      </c>
      <c r="C1484" s="152">
        <v>3.0</v>
      </c>
      <c r="D1484" s="152">
        <v>3.0</v>
      </c>
      <c r="E1484" s="152">
        <v>1.0</v>
      </c>
      <c r="F1484" s="152">
        <v>5.0</v>
      </c>
      <c r="G1484" s="152" t="s">
        <v>8479</v>
      </c>
      <c r="H1484" s="152" t="s">
        <v>8482</v>
      </c>
      <c r="I1484" s="154"/>
      <c r="J1484" s="152" t="s">
        <v>23</v>
      </c>
      <c r="K1484" s="152">
        <v>2209.0</v>
      </c>
      <c r="L1484" s="154"/>
      <c r="M1484" s="154"/>
      <c r="N1484" s="152" t="s">
        <v>8384</v>
      </c>
    </row>
    <row r="1485">
      <c r="A1485" s="152" t="s">
        <v>8492</v>
      </c>
      <c r="B1485" s="152" t="s">
        <v>8493</v>
      </c>
      <c r="C1485" s="152">
        <v>3.0</v>
      </c>
      <c r="D1485" s="152">
        <v>4.0</v>
      </c>
      <c r="E1485" s="152">
        <v>1.0</v>
      </c>
      <c r="F1485" s="152">
        <v>5.0</v>
      </c>
      <c r="G1485" s="152" t="s">
        <v>8479</v>
      </c>
      <c r="H1485" s="152" t="s">
        <v>8483</v>
      </c>
      <c r="I1485" s="154"/>
      <c r="J1485" s="152" t="s">
        <v>23</v>
      </c>
      <c r="K1485" s="152">
        <v>2209.0</v>
      </c>
      <c r="L1485" s="154"/>
      <c r="M1485" s="154"/>
      <c r="N1485" s="152" t="s">
        <v>8384</v>
      </c>
    </row>
    <row r="1486">
      <c r="A1486" s="152" t="s">
        <v>8492</v>
      </c>
      <c r="B1486" s="152" t="s">
        <v>8493</v>
      </c>
      <c r="C1486" s="152">
        <v>3.0</v>
      </c>
      <c r="D1486" s="152">
        <v>5.0</v>
      </c>
      <c r="E1486" s="152">
        <v>1.0</v>
      </c>
      <c r="F1486" s="152">
        <v>5.0</v>
      </c>
      <c r="G1486" s="152" t="s">
        <v>8479</v>
      </c>
      <c r="H1486" s="152" t="s">
        <v>8484</v>
      </c>
      <c r="I1486" s="154"/>
      <c r="J1486" s="152" t="s">
        <v>23</v>
      </c>
      <c r="K1486" s="152">
        <v>1029.0</v>
      </c>
      <c r="L1486" s="154"/>
      <c r="M1486" s="154"/>
      <c r="N1486" s="152" t="s">
        <v>8384</v>
      </c>
    </row>
    <row r="1487">
      <c r="A1487" s="152" t="s">
        <v>8492</v>
      </c>
      <c r="B1487" s="152" t="s">
        <v>8493</v>
      </c>
      <c r="C1487" s="152">
        <v>3.0</v>
      </c>
      <c r="D1487" s="152">
        <v>6.0</v>
      </c>
      <c r="E1487" s="152">
        <v>1.0</v>
      </c>
      <c r="F1487" s="152">
        <v>5.0</v>
      </c>
      <c r="G1487" s="152" t="s">
        <v>8479</v>
      </c>
      <c r="H1487" s="152" t="s">
        <v>8485</v>
      </c>
      <c r="I1487" s="154"/>
      <c r="J1487" s="152" t="s">
        <v>23</v>
      </c>
      <c r="K1487" s="152">
        <v>1029.0</v>
      </c>
      <c r="L1487" s="154"/>
      <c r="M1487" s="154"/>
      <c r="N1487" s="152" t="s">
        <v>8384</v>
      </c>
    </row>
    <row r="1488">
      <c r="A1488" s="152" t="s">
        <v>8492</v>
      </c>
      <c r="B1488" s="152" t="s">
        <v>8493</v>
      </c>
      <c r="C1488" s="152">
        <v>3.0</v>
      </c>
      <c r="D1488" s="152">
        <v>7.0</v>
      </c>
      <c r="E1488" s="152">
        <v>1.0</v>
      </c>
      <c r="F1488" s="152">
        <v>5.0</v>
      </c>
      <c r="G1488" s="152" t="s">
        <v>8479</v>
      </c>
      <c r="H1488" s="152" t="s">
        <v>8486</v>
      </c>
      <c r="I1488" s="154"/>
      <c r="J1488" s="152" t="s">
        <v>23</v>
      </c>
      <c r="K1488" s="152">
        <v>2349.0</v>
      </c>
      <c r="L1488" s="154"/>
      <c r="M1488" s="154"/>
      <c r="N1488" s="152" t="s">
        <v>8384</v>
      </c>
    </row>
    <row r="1489">
      <c r="A1489" s="152" t="s">
        <v>8492</v>
      </c>
      <c r="B1489" s="152" t="s">
        <v>8493</v>
      </c>
      <c r="C1489" s="152">
        <v>3.0</v>
      </c>
      <c r="D1489" s="152">
        <v>8.0</v>
      </c>
      <c r="E1489" s="152">
        <v>1.0</v>
      </c>
      <c r="F1489" s="152">
        <v>5.0</v>
      </c>
      <c r="G1489" s="152" t="s">
        <v>8479</v>
      </c>
      <c r="H1489" s="152" t="s">
        <v>8487</v>
      </c>
      <c r="I1489" s="154"/>
      <c r="J1489" s="152" t="s">
        <v>23</v>
      </c>
      <c r="K1489" s="152">
        <v>2349.0</v>
      </c>
      <c r="L1489" s="154"/>
      <c r="M1489" s="154"/>
      <c r="N1489" s="152" t="s">
        <v>8384</v>
      </c>
    </row>
    <row r="1490">
      <c r="A1490" s="152" t="s">
        <v>8492</v>
      </c>
      <c r="B1490" s="152" t="s">
        <v>8493</v>
      </c>
      <c r="C1490" s="152">
        <v>3.0</v>
      </c>
      <c r="D1490" s="152">
        <v>9.0</v>
      </c>
      <c r="E1490" s="152">
        <v>1.0</v>
      </c>
      <c r="F1490" s="152">
        <v>5.0</v>
      </c>
      <c r="G1490" s="152" t="s">
        <v>8479</v>
      </c>
      <c r="H1490" s="152" t="s">
        <v>8488</v>
      </c>
      <c r="I1490" s="154"/>
      <c r="J1490" s="152" t="s">
        <v>23</v>
      </c>
      <c r="K1490" s="152">
        <v>1129.0</v>
      </c>
      <c r="L1490" s="154"/>
      <c r="M1490" s="154"/>
      <c r="N1490" s="152" t="s">
        <v>8384</v>
      </c>
    </row>
    <row r="1491">
      <c r="A1491" s="152" t="s">
        <v>8492</v>
      </c>
      <c r="B1491" s="152" t="s">
        <v>8493</v>
      </c>
      <c r="C1491" s="152">
        <v>3.0</v>
      </c>
      <c r="D1491" s="152">
        <v>10.0</v>
      </c>
      <c r="E1491" s="152">
        <v>1.0</v>
      </c>
      <c r="F1491" s="152">
        <v>5.0</v>
      </c>
      <c r="G1491" s="152" t="s">
        <v>8479</v>
      </c>
      <c r="H1491" s="152" t="s">
        <v>8489</v>
      </c>
      <c r="I1491" s="154"/>
      <c r="J1491" s="152" t="s">
        <v>23</v>
      </c>
      <c r="K1491" s="152">
        <v>1129.0</v>
      </c>
      <c r="L1491" s="154"/>
      <c r="M1491" s="154"/>
      <c r="N1491" s="152" t="s">
        <v>8384</v>
      </c>
    </row>
    <row r="1492">
      <c r="A1492" s="152" t="s">
        <v>8492</v>
      </c>
      <c r="B1492" s="152" t="s">
        <v>8493</v>
      </c>
      <c r="C1492" s="152">
        <v>3.0</v>
      </c>
      <c r="D1492" s="152">
        <v>1.0</v>
      </c>
      <c r="E1492" s="152">
        <v>1.0</v>
      </c>
      <c r="F1492" s="152">
        <v>6.0</v>
      </c>
      <c r="G1492" s="152" t="s">
        <v>8479</v>
      </c>
      <c r="H1492" s="152" t="s">
        <v>8480</v>
      </c>
      <c r="I1492" s="154"/>
      <c r="J1492" s="152" t="s">
        <v>23</v>
      </c>
      <c r="K1492" s="152">
        <v>2689.0</v>
      </c>
      <c r="L1492" s="154"/>
      <c r="M1492" s="154"/>
      <c r="N1492" s="152" t="s">
        <v>8384</v>
      </c>
    </row>
    <row r="1493">
      <c r="A1493" s="152" t="s">
        <v>8492</v>
      </c>
      <c r="B1493" s="152" t="s">
        <v>8493</v>
      </c>
      <c r="C1493" s="152">
        <v>3.0</v>
      </c>
      <c r="D1493" s="152">
        <v>2.0</v>
      </c>
      <c r="E1493" s="152">
        <v>1.0</v>
      </c>
      <c r="F1493" s="152">
        <v>6.0</v>
      </c>
      <c r="G1493" s="152" t="s">
        <v>8479</v>
      </c>
      <c r="H1493" s="152" t="s">
        <v>8481</v>
      </c>
      <c r="I1493" s="154"/>
      <c r="J1493" s="152" t="s">
        <v>23</v>
      </c>
      <c r="K1493" s="152">
        <v>1219.0</v>
      </c>
      <c r="L1493" s="154"/>
      <c r="M1493" s="154"/>
      <c r="N1493" s="152" t="s">
        <v>8384</v>
      </c>
    </row>
    <row r="1494">
      <c r="A1494" s="152" t="s">
        <v>8492</v>
      </c>
      <c r="B1494" s="152" t="s">
        <v>8493</v>
      </c>
      <c r="C1494" s="152">
        <v>3.0</v>
      </c>
      <c r="D1494" s="152">
        <v>3.0</v>
      </c>
      <c r="E1494" s="152">
        <v>1.0</v>
      </c>
      <c r="F1494" s="152">
        <v>6.0</v>
      </c>
      <c r="G1494" s="152" t="s">
        <v>8479</v>
      </c>
      <c r="H1494" s="152" t="s">
        <v>8482</v>
      </c>
      <c r="I1494" s="154"/>
      <c r="J1494" s="152" t="s">
        <v>23</v>
      </c>
      <c r="K1494" s="152">
        <v>2969.0</v>
      </c>
      <c r="L1494" s="154"/>
      <c r="M1494" s="154"/>
      <c r="N1494" s="152" t="s">
        <v>8384</v>
      </c>
    </row>
    <row r="1495">
      <c r="A1495" s="152" t="s">
        <v>8492</v>
      </c>
      <c r="B1495" s="152" t="s">
        <v>8493</v>
      </c>
      <c r="C1495" s="152">
        <v>3.0</v>
      </c>
      <c r="D1495" s="152">
        <v>4.0</v>
      </c>
      <c r="E1495" s="152">
        <v>1.0</v>
      </c>
      <c r="F1495" s="152">
        <v>6.0</v>
      </c>
      <c r="G1495" s="152" t="s">
        <v>8479</v>
      </c>
      <c r="H1495" s="152" t="s">
        <v>8483</v>
      </c>
      <c r="I1495" s="154"/>
      <c r="J1495" s="152" t="s">
        <v>23</v>
      </c>
      <c r="K1495" s="152">
        <v>2969.0</v>
      </c>
      <c r="L1495" s="154"/>
      <c r="M1495" s="154"/>
      <c r="N1495" s="152" t="s">
        <v>8384</v>
      </c>
    </row>
    <row r="1496">
      <c r="A1496" s="152" t="s">
        <v>8492</v>
      </c>
      <c r="B1496" s="152" t="s">
        <v>8493</v>
      </c>
      <c r="C1496" s="152">
        <v>3.0</v>
      </c>
      <c r="D1496" s="152">
        <v>5.0</v>
      </c>
      <c r="E1496" s="152">
        <v>1.0</v>
      </c>
      <c r="F1496" s="152">
        <v>6.0</v>
      </c>
      <c r="G1496" s="152" t="s">
        <v>8479</v>
      </c>
      <c r="H1496" s="152" t="s">
        <v>8484</v>
      </c>
      <c r="I1496" s="154"/>
      <c r="J1496" s="152" t="s">
        <v>23</v>
      </c>
      <c r="K1496" s="152">
        <v>1379.0</v>
      </c>
      <c r="L1496" s="154"/>
      <c r="M1496" s="154"/>
      <c r="N1496" s="152" t="s">
        <v>8384</v>
      </c>
    </row>
    <row r="1497">
      <c r="A1497" s="152" t="s">
        <v>8492</v>
      </c>
      <c r="B1497" s="152" t="s">
        <v>8493</v>
      </c>
      <c r="C1497" s="152">
        <v>3.0</v>
      </c>
      <c r="D1497" s="152">
        <v>6.0</v>
      </c>
      <c r="E1497" s="152">
        <v>1.0</v>
      </c>
      <c r="F1497" s="152">
        <v>6.0</v>
      </c>
      <c r="G1497" s="152" t="s">
        <v>8479</v>
      </c>
      <c r="H1497" s="152" t="s">
        <v>8485</v>
      </c>
      <c r="I1497" s="154"/>
      <c r="J1497" s="152" t="s">
        <v>23</v>
      </c>
      <c r="K1497" s="152">
        <v>1379.0</v>
      </c>
      <c r="L1497" s="154"/>
      <c r="M1497" s="154"/>
      <c r="N1497" s="152" t="s">
        <v>8384</v>
      </c>
    </row>
    <row r="1498">
      <c r="A1498" s="152" t="s">
        <v>8492</v>
      </c>
      <c r="B1498" s="152" t="s">
        <v>8493</v>
      </c>
      <c r="C1498" s="152">
        <v>3.0</v>
      </c>
      <c r="D1498" s="152">
        <v>7.0</v>
      </c>
      <c r="E1498" s="152">
        <v>1.0</v>
      </c>
      <c r="F1498" s="152">
        <v>6.0</v>
      </c>
      <c r="G1498" s="152" t="s">
        <v>8479</v>
      </c>
      <c r="H1498" s="152" t="s">
        <v>8486</v>
      </c>
      <c r="I1498" s="154"/>
      <c r="J1498" s="152" t="s">
        <v>23</v>
      </c>
      <c r="K1498" s="152">
        <v>3139.0</v>
      </c>
      <c r="L1498" s="154"/>
      <c r="M1498" s="154"/>
      <c r="N1498" s="152" t="s">
        <v>8384</v>
      </c>
    </row>
    <row r="1499">
      <c r="A1499" s="152" t="s">
        <v>8492</v>
      </c>
      <c r="B1499" s="152" t="s">
        <v>8493</v>
      </c>
      <c r="C1499" s="152">
        <v>3.0</v>
      </c>
      <c r="D1499" s="152">
        <v>8.0</v>
      </c>
      <c r="E1499" s="152">
        <v>1.0</v>
      </c>
      <c r="F1499" s="152">
        <v>6.0</v>
      </c>
      <c r="G1499" s="152" t="s">
        <v>8479</v>
      </c>
      <c r="H1499" s="152" t="s">
        <v>8487</v>
      </c>
      <c r="I1499" s="154"/>
      <c r="J1499" s="152" t="s">
        <v>23</v>
      </c>
      <c r="K1499" s="152">
        <v>3139.0</v>
      </c>
      <c r="L1499" s="154"/>
      <c r="M1499" s="154"/>
      <c r="N1499" s="152" t="s">
        <v>8384</v>
      </c>
    </row>
    <row r="1500">
      <c r="A1500" s="152" t="s">
        <v>8492</v>
      </c>
      <c r="B1500" s="152" t="s">
        <v>8493</v>
      </c>
      <c r="C1500" s="152">
        <v>3.0</v>
      </c>
      <c r="D1500" s="152">
        <v>9.0</v>
      </c>
      <c r="E1500" s="152">
        <v>1.0</v>
      </c>
      <c r="F1500" s="152">
        <v>6.0</v>
      </c>
      <c r="G1500" s="152" t="s">
        <v>8479</v>
      </c>
      <c r="H1500" s="152" t="s">
        <v>8488</v>
      </c>
      <c r="I1500" s="154"/>
      <c r="J1500" s="152" t="s">
        <v>23</v>
      </c>
      <c r="K1500" s="152">
        <v>1519.0</v>
      </c>
      <c r="L1500" s="154"/>
      <c r="M1500" s="154"/>
      <c r="N1500" s="152" t="s">
        <v>8384</v>
      </c>
    </row>
    <row r="1501">
      <c r="A1501" s="152" t="s">
        <v>8492</v>
      </c>
      <c r="B1501" s="152" t="s">
        <v>8493</v>
      </c>
      <c r="C1501" s="152">
        <v>3.0</v>
      </c>
      <c r="D1501" s="152">
        <v>10.0</v>
      </c>
      <c r="E1501" s="152">
        <v>1.0</v>
      </c>
      <c r="F1501" s="152">
        <v>6.0</v>
      </c>
      <c r="G1501" s="152" t="s">
        <v>8479</v>
      </c>
      <c r="H1501" s="152" t="s">
        <v>8489</v>
      </c>
      <c r="I1501" s="154"/>
      <c r="J1501" s="152" t="s">
        <v>23</v>
      </c>
      <c r="K1501" s="152">
        <v>1519.0</v>
      </c>
      <c r="L1501" s="154"/>
      <c r="M1501" s="154"/>
      <c r="N1501" s="152" t="s">
        <v>8384</v>
      </c>
    </row>
    <row r="1502">
      <c r="A1502" s="152" t="s">
        <v>8492</v>
      </c>
      <c r="B1502" s="152" t="s">
        <v>8493</v>
      </c>
      <c r="C1502" s="152">
        <v>3.0</v>
      </c>
      <c r="D1502" s="152">
        <v>1.0</v>
      </c>
      <c r="E1502" s="152">
        <v>1.0</v>
      </c>
      <c r="F1502" s="152">
        <v>7.0</v>
      </c>
      <c r="G1502" s="152" t="s">
        <v>8479</v>
      </c>
      <c r="H1502" s="152" t="s">
        <v>8480</v>
      </c>
      <c r="I1502" s="154"/>
      <c r="J1502" s="152" t="s">
        <v>23</v>
      </c>
      <c r="K1502" s="152">
        <v>2689.0</v>
      </c>
      <c r="L1502" s="154"/>
      <c r="M1502" s="154"/>
      <c r="N1502" s="152" t="s">
        <v>8384</v>
      </c>
    </row>
    <row r="1503">
      <c r="A1503" s="152" t="s">
        <v>8492</v>
      </c>
      <c r="B1503" s="152" t="s">
        <v>8493</v>
      </c>
      <c r="C1503" s="152">
        <v>3.0</v>
      </c>
      <c r="D1503" s="152">
        <v>2.0</v>
      </c>
      <c r="E1503" s="152">
        <v>1.0</v>
      </c>
      <c r="F1503" s="152">
        <v>7.0</v>
      </c>
      <c r="G1503" s="152" t="s">
        <v>8479</v>
      </c>
      <c r="H1503" s="152" t="s">
        <v>8481</v>
      </c>
      <c r="I1503" s="154"/>
      <c r="J1503" s="152" t="s">
        <v>23</v>
      </c>
      <c r="K1503" s="152">
        <v>1219.0</v>
      </c>
      <c r="L1503" s="154"/>
      <c r="M1503" s="154"/>
      <c r="N1503" s="152" t="s">
        <v>8384</v>
      </c>
    </row>
    <row r="1504">
      <c r="A1504" s="152" t="s">
        <v>8492</v>
      </c>
      <c r="B1504" s="152" t="s">
        <v>8493</v>
      </c>
      <c r="C1504" s="152">
        <v>3.0</v>
      </c>
      <c r="D1504" s="152">
        <v>3.0</v>
      </c>
      <c r="E1504" s="152">
        <v>1.0</v>
      </c>
      <c r="F1504" s="152">
        <v>7.0</v>
      </c>
      <c r="G1504" s="152" t="s">
        <v>8479</v>
      </c>
      <c r="H1504" s="152" t="s">
        <v>8482</v>
      </c>
      <c r="I1504" s="154"/>
      <c r="J1504" s="152" t="s">
        <v>23</v>
      </c>
      <c r="K1504" s="152">
        <v>2969.0</v>
      </c>
      <c r="L1504" s="154"/>
      <c r="M1504" s="154"/>
      <c r="N1504" s="152" t="s">
        <v>8384</v>
      </c>
    </row>
    <row r="1505">
      <c r="A1505" s="152" t="s">
        <v>8492</v>
      </c>
      <c r="B1505" s="152" t="s">
        <v>8493</v>
      </c>
      <c r="C1505" s="152">
        <v>3.0</v>
      </c>
      <c r="D1505" s="152">
        <v>4.0</v>
      </c>
      <c r="E1505" s="152">
        <v>1.0</v>
      </c>
      <c r="F1505" s="152">
        <v>7.0</v>
      </c>
      <c r="G1505" s="152" t="s">
        <v>8479</v>
      </c>
      <c r="H1505" s="152" t="s">
        <v>8483</v>
      </c>
      <c r="I1505" s="154"/>
      <c r="J1505" s="152" t="s">
        <v>23</v>
      </c>
      <c r="K1505" s="152">
        <v>2969.0</v>
      </c>
      <c r="L1505" s="154"/>
      <c r="M1505" s="154"/>
      <c r="N1505" s="152" t="s">
        <v>8384</v>
      </c>
    </row>
    <row r="1506">
      <c r="A1506" s="152" t="s">
        <v>8492</v>
      </c>
      <c r="B1506" s="152" t="s">
        <v>8493</v>
      </c>
      <c r="C1506" s="152">
        <v>3.0</v>
      </c>
      <c r="D1506" s="152">
        <v>5.0</v>
      </c>
      <c r="E1506" s="152">
        <v>1.0</v>
      </c>
      <c r="F1506" s="152">
        <v>7.0</v>
      </c>
      <c r="G1506" s="152" t="s">
        <v>8479</v>
      </c>
      <c r="H1506" s="152" t="s">
        <v>8484</v>
      </c>
      <c r="I1506" s="154"/>
      <c r="J1506" s="152" t="s">
        <v>23</v>
      </c>
      <c r="K1506" s="152">
        <v>1379.0</v>
      </c>
      <c r="L1506" s="154"/>
      <c r="M1506" s="154"/>
      <c r="N1506" s="152" t="s">
        <v>8384</v>
      </c>
    </row>
    <row r="1507">
      <c r="A1507" s="152" t="s">
        <v>8492</v>
      </c>
      <c r="B1507" s="152" t="s">
        <v>8493</v>
      </c>
      <c r="C1507" s="152">
        <v>3.0</v>
      </c>
      <c r="D1507" s="152">
        <v>6.0</v>
      </c>
      <c r="E1507" s="152">
        <v>1.0</v>
      </c>
      <c r="F1507" s="152">
        <v>7.0</v>
      </c>
      <c r="G1507" s="152" t="s">
        <v>8479</v>
      </c>
      <c r="H1507" s="152" t="s">
        <v>8485</v>
      </c>
      <c r="I1507" s="154"/>
      <c r="J1507" s="152" t="s">
        <v>23</v>
      </c>
      <c r="K1507" s="152">
        <v>1379.0</v>
      </c>
      <c r="L1507" s="154"/>
      <c r="M1507" s="154"/>
      <c r="N1507" s="152" t="s">
        <v>8384</v>
      </c>
    </row>
    <row r="1508">
      <c r="A1508" s="152" t="s">
        <v>8492</v>
      </c>
      <c r="B1508" s="152" t="s">
        <v>8493</v>
      </c>
      <c r="C1508" s="152">
        <v>3.0</v>
      </c>
      <c r="D1508" s="152">
        <v>7.0</v>
      </c>
      <c r="E1508" s="152">
        <v>1.0</v>
      </c>
      <c r="F1508" s="152">
        <v>7.0</v>
      </c>
      <c r="G1508" s="152" t="s">
        <v>8479</v>
      </c>
      <c r="H1508" s="152" t="s">
        <v>8486</v>
      </c>
      <c r="I1508" s="154"/>
      <c r="J1508" s="152" t="s">
        <v>23</v>
      </c>
      <c r="K1508" s="152">
        <v>3139.0</v>
      </c>
      <c r="L1508" s="154"/>
      <c r="M1508" s="154"/>
      <c r="N1508" s="152" t="s">
        <v>8384</v>
      </c>
    </row>
    <row r="1509">
      <c r="A1509" s="152" t="s">
        <v>8492</v>
      </c>
      <c r="B1509" s="152" t="s">
        <v>8493</v>
      </c>
      <c r="C1509" s="152">
        <v>3.0</v>
      </c>
      <c r="D1509" s="152">
        <v>8.0</v>
      </c>
      <c r="E1509" s="152">
        <v>1.0</v>
      </c>
      <c r="F1509" s="152">
        <v>7.0</v>
      </c>
      <c r="G1509" s="152" t="s">
        <v>8479</v>
      </c>
      <c r="H1509" s="152" t="s">
        <v>8487</v>
      </c>
      <c r="I1509" s="154"/>
      <c r="J1509" s="152" t="s">
        <v>23</v>
      </c>
      <c r="K1509" s="152">
        <v>3139.0</v>
      </c>
      <c r="L1509" s="154"/>
      <c r="M1509" s="154"/>
      <c r="N1509" s="152" t="s">
        <v>8384</v>
      </c>
    </row>
    <row r="1510">
      <c r="A1510" s="152" t="s">
        <v>8492</v>
      </c>
      <c r="B1510" s="152" t="s">
        <v>8493</v>
      </c>
      <c r="C1510" s="152">
        <v>3.0</v>
      </c>
      <c r="D1510" s="152">
        <v>9.0</v>
      </c>
      <c r="E1510" s="152">
        <v>1.0</v>
      </c>
      <c r="F1510" s="152">
        <v>7.0</v>
      </c>
      <c r="G1510" s="152" t="s">
        <v>8479</v>
      </c>
      <c r="H1510" s="152" t="s">
        <v>8488</v>
      </c>
      <c r="I1510" s="154"/>
      <c r="J1510" s="152" t="s">
        <v>23</v>
      </c>
      <c r="K1510" s="152">
        <v>1519.0</v>
      </c>
      <c r="L1510" s="154"/>
      <c r="M1510" s="154"/>
      <c r="N1510" s="152" t="s">
        <v>8384</v>
      </c>
    </row>
    <row r="1511">
      <c r="A1511" s="152" t="s">
        <v>8492</v>
      </c>
      <c r="B1511" s="152" t="s">
        <v>8493</v>
      </c>
      <c r="C1511" s="152">
        <v>3.0</v>
      </c>
      <c r="D1511" s="152">
        <v>10.0</v>
      </c>
      <c r="E1511" s="152">
        <v>1.0</v>
      </c>
      <c r="F1511" s="152">
        <v>7.0</v>
      </c>
      <c r="G1511" s="152" t="s">
        <v>8479</v>
      </c>
      <c r="H1511" s="152" t="s">
        <v>8489</v>
      </c>
      <c r="I1511" s="154"/>
      <c r="J1511" s="152" t="s">
        <v>23</v>
      </c>
      <c r="K1511" s="152">
        <v>1519.0</v>
      </c>
      <c r="L1511" s="154"/>
      <c r="M1511" s="154"/>
      <c r="N1511" s="152" t="s">
        <v>8384</v>
      </c>
    </row>
    <row r="1512">
      <c r="A1512" s="152" t="s">
        <v>8492</v>
      </c>
      <c r="B1512" s="152" t="s">
        <v>8493</v>
      </c>
      <c r="C1512" s="152">
        <v>3.0</v>
      </c>
      <c r="D1512" s="152">
        <v>1.0</v>
      </c>
      <c r="E1512" s="152">
        <v>1.0</v>
      </c>
      <c r="F1512" s="152">
        <v>8.0</v>
      </c>
      <c r="G1512" s="152" t="s">
        <v>8479</v>
      </c>
      <c r="H1512" s="152" t="s">
        <v>8480</v>
      </c>
      <c r="I1512" s="154"/>
      <c r="J1512" s="152" t="s">
        <v>23</v>
      </c>
      <c r="K1512" s="152">
        <v>2689.0</v>
      </c>
      <c r="L1512" s="154"/>
      <c r="M1512" s="154"/>
      <c r="N1512" s="152" t="s">
        <v>8384</v>
      </c>
    </row>
    <row r="1513">
      <c r="A1513" s="152" t="s">
        <v>8492</v>
      </c>
      <c r="B1513" s="152" t="s">
        <v>8493</v>
      </c>
      <c r="C1513" s="152">
        <v>3.0</v>
      </c>
      <c r="D1513" s="152">
        <v>2.0</v>
      </c>
      <c r="E1513" s="152">
        <v>1.0</v>
      </c>
      <c r="F1513" s="152">
        <v>8.0</v>
      </c>
      <c r="G1513" s="152" t="s">
        <v>8479</v>
      </c>
      <c r="H1513" s="152" t="s">
        <v>8481</v>
      </c>
      <c r="I1513" s="154"/>
      <c r="J1513" s="152" t="s">
        <v>23</v>
      </c>
      <c r="K1513" s="152">
        <v>1219.0</v>
      </c>
      <c r="L1513" s="154"/>
      <c r="M1513" s="154"/>
      <c r="N1513" s="152" t="s">
        <v>8384</v>
      </c>
    </row>
    <row r="1514">
      <c r="A1514" s="152" t="s">
        <v>8492</v>
      </c>
      <c r="B1514" s="152" t="s">
        <v>8493</v>
      </c>
      <c r="C1514" s="152">
        <v>3.0</v>
      </c>
      <c r="D1514" s="152">
        <v>3.0</v>
      </c>
      <c r="E1514" s="152">
        <v>1.0</v>
      </c>
      <c r="F1514" s="152">
        <v>8.0</v>
      </c>
      <c r="G1514" s="152" t="s">
        <v>8479</v>
      </c>
      <c r="H1514" s="152" t="s">
        <v>8482</v>
      </c>
      <c r="I1514" s="154"/>
      <c r="J1514" s="152" t="s">
        <v>23</v>
      </c>
      <c r="K1514" s="152">
        <v>2969.0</v>
      </c>
      <c r="L1514" s="154"/>
      <c r="M1514" s="154"/>
      <c r="N1514" s="152" t="s">
        <v>8384</v>
      </c>
    </row>
    <row r="1515">
      <c r="A1515" s="152" t="s">
        <v>8492</v>
      </c>
      <c r="B1515" s="152" t="s">
        <v>8493</v>
      </c>
      <c r="C1515" s="152">
        <v>3.0</v>
      </c>
      <c r="D1515" s="152">
        <v>4.0</v>
      </c>
      <c r="E1515" s="152">
        <v>1.0</v>
      </c>
      <c r="F1515" s="152">
        <v>8.0</v>
      </c>
      <c r="G1515" s="152" t="s">
        <v>8479</v>
      </c>
      <c r="H1515" s="152" t="s">
        <v>8483</v>
      </c>
      <c r="I1515" s="154"/>
      <c r="J1515" s="152" t="s">
        <v>23</v>
      </c>
      <c r="K1515" s="152">
        <v>2969.0</v>
      </c>
      <c r="L1515" s="154"/>
      <c r="M1515" s="154"/>
      <c r="N1515" s="152" t="s">
        <v>8384</v>
      </c>
    </row>
    <row r="1516">
      <c r="A1516" s="152" t="s">
        <v>8492</v>
      </c>
      <c r="B1516" s="152" t="s">
        <v>8493</v>
      </c>
      <c r="C1516" s="152">
        <v>3.0</v>
      </c>
      <c r="D1516" s="152">
        <v>5.0</v>
      </c>
      <c r="E1516" s="152">
        <v>1.0</v>
      </c>
      <c r="F1516" s="152">
        <v>8.0</v>
      </c>
      <c r="G1516" s="152" t="s">
        <v>8479</v>
      </c>
      <c r="H1516" s="152" t="s">
        <v>8484</v>
      </c>
      <c r="I1516" s="154"/>
      <c r="J1516" s="152" t="s">
        <v>23</v>
      </c>
      <c r="K1516" s="152">
        <v>1379.0</v>
      </c>
      <c r="L1516" s="154"/>
      <c r="M1516" s="154"/>
      <c r="N1516" s="152" t="s">
        <v>8384</v>
      </c>
    </row>
    <row r="1517">
      <c r="A1517" s="152" t="s">
        <v>8492</v>
      </c>
      <c r="B1517" s="152" t="s">
        <v>8493</v>
      </c>
      <c r="C1517" s="152">
        <v>3.0</v>
      </c>
      <c r="D1517" s="152">
        <v>6.0</v>
      </c>
      <c r="E1517" s="152">
        <v>1.0</v>
      </c>
      <c r="F1517" s="152">
        <v>8.0</v>
      </c>
      <c r="G1517" s="152" t="s">
        <v>8479</v>
      </c>
      <c r="H1517" s="152" t="s">
        <v>8485</v>
      </c>
      <c r="I1517" s="154"/>
      <c r="J1517" s="152" t="s">
        <v>23</v>
      </c>
      <c r="K1517" s="152">
        <v>1379.0</v>
      </c>
      <c r="L1517" s="154"/>
      <c r="M1517" s="154"/>
      <c r="N1517" s="152" t="s">
        <v>8384</v>
      </c>
    </row>
    <row r="1518">
      <c r="A1518" s="152" t="s">
        <v>8492</v>
      </c>
      <c r="B1518" s="152" t="s">
        <v>8493</v>
      </c>
      <c r="C1518" s="152">
        <v>3.0</v>
      </c>
      <c r="D1518" s="152">
        <v>7.0</v>
      </c>
      <c r="E1518" s="152">
        <v>1.0</v>
      </c>
      <c r="F1518" s="152">
        <v>8.0</v>
      </c>
      <c r="G1518" s="152" t="s">
        <v>8479</v>
      </c>
      <c r="H1518" s="152" t="s">
        <v>8486</v>
      </c>
      <c r="I1518" s="154"/>
      <c r="J1518" s="152" t="s">
        <v>23</v>
      </c>
      <c r="K1518" s="152">
        <v>3139.0</v>
      </c>
      <c r="L1518" s="154"/>
      <c r="M1518" s="154"/>
      <c r="N1518" s="152" t="s">
        <v>8384</v>
      </c>
    </row>
    <row r="1519">
      <c r="A1519" s="152" t="s">
        <v>8492</v>
      </c>
      <c r="B1519" s="152" t="s">
        <v>8493</v>
      </c>
      <c r="C1519" s="152">
        <v>3.0</v>
      </c>
      <c r="D1519" s="152">
        <v>8.0</v>
      </c>
      <c r="E1519" s="152">
        <v>1.0</v>
      </c>
      <c r="F1519" s="152">
        <v>8.0</v>
      </c>
      <c r="G1519" s="152" t="s">
        <v>8479</v>
      </c>
      <c r="H1519" s="152" t="s">
        <v>8487</v>
      </c>
      <c r="I1519" s="154"/>
      <c r="J1519" s="152" t="s">
        <v>23</v>
      </c>
      <c r="K1519" s="152">
        <v>3139.0</v>
      </c>
      <c r="L1519" s="154"/>
      <c r="M1519" s="154"/>
      <c r="N1519" s="152" t="s">
        <v>8384</v>
      </c>
    </row>
    <row r="1520">
      <c r="A1520" s="152" t="s">
        <v>8492</v>
      </c>
      <c r="B1520" s="152" t="s">
        <v>8493</v>
      </c>
      <c r="C1520" s="152">
        <v>3.0</v>
      </c>
      <c r="D1520" s="152">
        <v>9.0</v>
      </c>
      <c r="E1520" s="152">
        <v>1.0</v>
      </c>
      <c r="F1520" s="152">
        <v>8.0</v>
      </c>
      <c r="G1520" s="152" t="s">
        <v>8479</v>
      </c>
      <c r="H1520" s="152" t="s">
        <v>8488</v>
      </c>
      <c r="I1520" s="154"/>
      <c r="J1520" s="152" t="s">
        <v>23</v>
      </c>
      <c r="K1520" s="152">
        <v>1519.0</v>
      </c>
      <c r="L1520" s="154"/>
      <c r="M1520" s="154"/>
      <c r="N1520" s="152" t="s">
        <v>8384</v>
      </c>
    </row>
    <row r="1521">
      <c r="A1521" s="152" t="s">
        <v>8492</v>
      </c>
      <c r="B1521" s="152" t="s">
        <v>8493</v>
      </c>
      <c r="C1521" s="152">
        <v>3.0</v>
      </c>
      <c r="D1521" s="152">
        <v>10.0</v>
      </c>
      <c r="E1521" s="152">
        <v>1.0</v>
      </c>
      <c r="F1521" s="152">
        <v>8.0</v>
      </c>
      <c r="G1521" s="152" t="s">
        <v>8479</v>
      </c>
      <c r="H1521" s="152" t="s">
        <v>8489</v>
      </c>
      <c r="I1521" s="154"/>
      <c r="J1521" s="152" t="s">
        <v>23</v>
      </c>
      <c r="K1521" s="152">
        <v>1519.0</v>
      </c>
      <c r="L1521" s="154"/>
      <c r="M1521" s="154"/>
      <c r="N1521" s="152" t="s">
        <v>8384</v>
      </c>
    </row>
    <row r="1522">
      <c r="A1522" s="152" t="s">
        <v>8492</v>
      </c>
      <c r="B1522" s="152" t="s">
        <v>8493</v>
      </c>
      <c r="C1522" s="152">
        <v>3.0</v>
      </c>
      <c r="D1522" s="152">
        <v>1.0</v>
      </c>
      <c r="E1522" s="152">
        <v>1.0</v>
      </c>
      <c r="F1522" s="152">
        <v>9.0</v>
      </c>
      <c r="G1522" s="152" t="s">
        <v>8479</v>
      </c>
      <c r="H1522" s="152" t="s">
        <v>8480</v>
      </c>
      <c r="I1522" s="154"/>
      <c r="J1522" s="152" t="s">
        <v>23</v>
      </c>
      <c r="K1522" s="152">
        <v>2689.0</v>
      </c>
      <c r="L1522" s="154"/>
      <c r="M1522" s="154"/>
      <c r="N1522" s="152" t="s">
        <v>8384</v>
      </c>
    </row>
    <row r="1523">
      <c r="A1523" s="152" t="s">
        <v>8492</v>
      </c>
      <c r="B1523" s="152" t="s">
        <v>8493</v>
      </c>
      <c r="C1523" s="152">
        <v>3.0</v>
      </c>
      <c r="D1523" s="152">
        <v>2.0</v>
      </c>
      <c r="E1523" s="152">
        <v>1.0</v>
      </c>
      <c r="F1523" s="152">
        <v>9.0</v>
      </c>
      <c r="G1523" s="152" t="s">
        <v>8479</v>
      </c>
      <c r="H1523" s="152" t="s">
        <v>8481</v>
      </c>
      <c r="I1523" s="154"/>
      <c r="J1523" s="152" t="s">
        <v>23</v>
      </c>
      <c r="K1523" s="152">
        <v>1219.0</v>
      </c>
      <c r="L1523" s="154"/>
      <c r="M1523" s="154"/>
      <c r="N1523" s="152" t="s">
        <v>8384</v>
      </c>
    </row>
    <row r="1524">
      <c r="A1524" s="152" t="s">
        <v>8492</v>
      </c>
      <c r="B1524" s="152" t="s">
        <v>8493</v>
      </c>
      <c r="C1524" s="152">
        <v>3.0</v>
      </c>
      <c r="D1524" s="152">
        <v>3.0</v>
      </c>
      <c r="E1524" s="152">
        <v>1.0</v>
      </c>
      <c r="F1524" s="152">
        <v>9.0</v>
      </c>
      <c r="G1524" s="152" t="s">
        <v>8479</v>
      </c>
      <c r="H1524" s="152" t="s">
        <v>8482</v>
      </c>
      <c r="I1524" s="154"/>
      <c r="J1524" s="152" t="s">
        <v>23</v>
      </c>
      <c r="K1524" s="152">
        <v>2969.0</v>
      </c>
      <c r="L1524" s="154"/>
      <c r="M1524" s="154"/>
      <c r="N1524" s="152" t="s">
        <v>8384</v>
      </c>
    </row>
    <row r="1525">
      <c r="A1525" s="152" t="s">
        <v>8492</v>
      </c>
      <c r="B1525" s="152" t="s">
        <v>8493</v>
      </c>
      <c r="C1525" s="152">
        <v>3.0</v>
      </c>
      <c r="D1525" s="152">
        <v>4.0</v>
      </c>
      <c r="E1525" s="152">
        <v>1.0</v>
      </c>
      <c r="F1525" s="152">
        <v>9.0</v>
      </c>
      <c r="G1525" s="152" t="s">
        <v>8479</v>
      </c>
      <c r="H1525" s="152" t="s">
        <v>8483</v>
      </c>
      <c r="I1525" s="154"/>
      <c r="J1525" s="152" t="s">
        <v>23</v>
      </c>
      <c r="K1525" s="152">
        <v>2969.0</v>
      </c>
      <c r="L1525" s="154"/>
      <c r="M1525" s="154"/>
      <c r="N1525" s="152" t="s">
        <v>8384</v>
      </c>
    </row>
    <row r="1526">
      <c r="A1526" s="152" t="s">
        <v>8492</v>
      </c>
      <c r="B1526" s="152" t="s">
        <v>8493</v>
      </c>
      <c r="C1526" s="152">
        <v>3.0</v>
      </c>
      <c r="D1526" s="152">
        <v>5.0</v>
      </c>
      <c r="E1526" s="152">
        <v>1.0</v>
      </c>
      <c r="F1526" s="152">
        <v>9.0</v>
      </c>
      <c r="G1526" s="152" t="s">
        <v>8479</v>
      </c>
      <c r="H1526" s="152" t="s">
        <v>8484</v>
      </c>
      <c r="I1526" s="154"/>
      <c r="J1526" s="152" t="s">
        <v>23</v>
      </c>
      <c r="K1526" s="152">
        <v>1379.0</v>
      </c>
      <c r="L1526" s="154"/>
      <c r="M1526" s="154"/>
      <c r="N1526" s="152" t="s">
        <v>8384</v>
      </c>
    </row>
    <row r="1527">
      <c r="A1527" s="152" t="s">
        <v>8492</v>
      </c>
      <c r="B1527" s="152" t="s">
        <v>8493</v>
      </c>
      <c r="C1527" s="152">
        <v>3.0</v>
      </c>
      <c r="D1527" s="152">
        <v>6.0</v>
      </c>
      <c r="E1527" s="152">
        <v>1.0</v>
      </c>
      <c r="F1527" s="152">
        <v>9.0</v>
      </c>
      <c r="G1527" s="152" t="s">
        <v>8479</v>
      </c>
      <c r="H1527" s="152" t="s">
        <v>8485</v>
      </c>
      <c r="I1527" s="154"/>
      <c r="J1527" s="152" t="s">
        <v>23</v>
      </c>
      <c r="K1527" s="152">
        <v>1379.0</v>
      </c>
      <c r="L1527" s="154"/>
      <c r="M1527" s="154"/>
      <c r="N1527" s="152" t="s">
        <v>8384</v>
      </c>
    </row>
    <row r="1528">
      <c r="A1528" s="152" t="s">
        <v>8492</v>
      </c>
      <c r="B1528" s="152" t="s">
        <v>8493</v>
      </c>
      <c r="C1528" s="152">
        <v>3.0</v>
      </c>
      <c r="D1528" s="152">
        <v>7.0</v>
      </c>
      <c r="E1528" s="152">
        <v>1.0</v>
      </c>
      <c r="F1528" s="152">
        <v>9.0</v>
      </c>
      <c r="G1528" s="152" t="s">
        <v>8479</v>
      </c>
      <c r="H1528" s="152" t="s">
        <v>8486</v>
      </c>
      <c r="I1528" s="154"/>
      <c r="J1528" s="152" t="s">
        <v>23</v>
      </c>
      <c r="K1528" s="152">
        <v>3139.0</v>
      </c>
      <c r="L1528" s="154"/>
      <c r="M1528" s="154"/>
      <c r="N1528" s="152" t="s">
        <v>8384</v>
      </c>
    </row>
    <row r="1529">
      <c r="A1529" s="152" t="s">
        <v>8492</v>
      </c>
      <c r="B1529" s="152" t="s">
        <v>8493</v>
      </c>
      <c r="C1529" s="152">
        <v>3.0</v>
      </c>
      <c r="D1529" s="152">
        <v>8.0</v>
      </c>
      <c r="E1529" s="152">
        <v>1.0</v>
      </c>
      <c r="F1529" s="152">
        <v>9.0</v>
      </c>
      <c r="G1529" s="152" t="s">
        <v>8479</v>
      </c>
      <c r="H1529" s="152" t="s">
        <v>8487</v>
      </c>
      <c r="I1529" s="154"/>
      <c r="J1529" s="152" t="s">
        <v>23</v>
      </c>
      <c r="K1529" s="152">
        <v>3139.0</v>
      </c>
      <c r="L1529" s="154"/>
      <c r="M1529" s="154"/>
      <c r="N1529" s="152" t="s">
        <v>8384</v>
      </c>
    </row>
    <row r="1530">
      <c r="A1530" s="152" t="s">
        <v>8492</v>
      </c>
      <c r="B1530" s="152" t="s">
        <v>8493</v>
      </c>
      <c r="C1530" s="152">
        <v>3.0</v>
      </c>
      <c r="D1530" s="152">
        <v>9.0</v>
      </c>
      <c r="E1530" s="152">
        <v>1.0</v>
      </c>
      <c r="F1530" s="152">
        <v>9.0</v>
      </c>
      <c r="G1530" s="152" t="s">
        <v>8479</v>
      </c>
      <c r="H1530" s="152" t="s">
        <v>8488</v>
      </c>
      <c r="I1530" s="154"/>
      <c r="J1530" s="152" t="s">
        <v>23</v>
      </c>
      <c r="K1530" s="152">
        <v>1519.0</v>
      </c>
      <c r="L1530" s="154"/>
      <c r="M1530" s="154"/>
      <c r="N1530" s="152" t="s">
        <v>8384</v>
      </c>
    </row>
    <row r="1531">
      <c r="A1531" s="152" t="s">
        <v>8492</v>
      </c>
      <c r="B1531" s="152" t="s">
        <v>8493</v>
      </c>
      <c r="C1531" s="152">
        <v>3.0</v>
      </c>
      <c r="D1531" s="152">
        <v>10.0</v>
      </c>
      <c r="E1531" s="152">
        <v>1.0</v>
      </c>
      <c r="F1531" s="152">
        <v>9.0</v>
      </c>
      <c r="G1531" s="152" t="s">
        <v>8479</v>
      </c>
      <c r="H1531" s="152" t="s">
        <v>8489</v>
      </c>
      <c r="I1531" s="154"/>
      <c r="J1531" s="152" t="s">
        <v>23</v>
      </c>
      <c r="K1531" s="152">
        <v>1519.0</v>
      </c>
      <c r="L1531" s="154"/>
      <c r="M1531" s="154"/>
      <c r="N1531" s="152" t="s">
        <v>8384</v>
      </c>
    </row>
    <row r="1532">
      <c r="A1532" s="152" t="s">
        <v>8492</v>
      </c>
      <c r="B1532" s="152" t="s">
        <v>8493</v>
      </c>
      <c r="C1532" s="152">
        <v>3.0</v>
      </c>
      <c r="D1532" s="152">
        <v>1.0</v>
      </c>
      <c r="E1532" s="152">
        <v>1.0</v>
      </c>
      <c r="F1532" s="152">
        <v>10.0</v>
      </c>
      <c r="G1532" s="152" t="s">
        <v>8479</v>
      </c>
      <c r="H1532" s="152" t="s">
        <v>8480</v>
      </c>
      <c r="I1532" s="154"/>
      <c r="J1532" s="152" t="s">
        <v>23</v>
      </c>
      <c r="K1532" s="152">
        <v>2689.0</v>
      </c>
      <c r="L1532" s="154"/>
      <c r="M1532" s="154"/>
      <c r="N1532" s="152" t="s">
        <v>8384</v>
      </c>
    </row>
    <row r="1533">
      <c r="A1533" s="152" t="s">
        <v>8492</v>
      </c>
      <c r="B1533" s="152" t="s">
        <v>8493</v>
      </c>
      <c r="C1533" s="152">
        <v>3.0</v>
      </c>
      <c r="D1533" s="152">
        <v>2.0</v>
      </c>
      <c r="E1533" s="152">
        <v>1.0</v>
      </c>
      <c r="F1533" s="152">
        <v>10.0</v>
      </c>
      <c r="G1533" s="152" t="s">
        <v>8479</v>
      </c>
      <c r="H1533" s="152" t="s">
        <v>8481</v>
      </c>
      <c r="I1533" s="154"/>
      <c r="J1533" s="152" t="s">
        <v>23</v>
      </c>
      <c r="K1533" s="152">
        <v>1219.0</v>
      </c>
      <c r="L1533" s="154"/>
      <c r="M1533" s="154"/>
      <c r="N1533" s="152" t="s">
        <v>8384</v>
      </c>
    </row>
    <row r="1534">
      <c r="A1534" s="152" t="s">
        <v>8492</v>
      </c>
      <c r="B1534" s="152" t="s">
        <v>8493</v>
      </c>
      <c r="C1534" s="152">
        <v>3.0</v>
      </c>
      <c r="D1534" s="152">
        <v>3.0</v>
      </c>
      <c r="E1534" s="152">
        <v>1.0</v>
      </c>
      <c r="F1534" s="152">
        <v>10.0</v>
      </c>
      <c r="G1534" s="152" t="s">
        <v>8479</v>
      </c>
      <c r="H1534" s="152" t="s">
        <v>8482</v>
      </c>
      <c r="I1534" s="154"/>
      <c r="J1534" s="152" t="s">
        <v>23</v>
      </c>
      <c r="K1534" s="152">
        <v>2969.0</v>
      </c>
      <c r="L1534" s="154"/>
      <c r="M1534" s="154"/>
      <c r="N1534" s="152" t="s">
        <v>8384</v>
      </c>
    </row>
    <row r="1535">
      <c r="A1535" s="152" t="s">
        <v>8492</v>
      </c>
      <c r="B1535" s="152" t="s">
        <v>8493</v>
      </c>
      <c r="C1535" s="152">
        <v>3.0</v>
      </c>
      <c r="D1535" s="152">
        <v>4.0</v>
      </c>
      <c r="E1535" s="152">
        <v>1.0</v>
      </c>
      <c r="F1535" s="152">
        <v>10.0</v>
      </c>
      <c r="G1535" s="152" t="s">
        <v>8479</v>
      </c>
      <c r="H1535" s="152" t="s">
        <v>8483</v>
      </c>
      <c r="I1535" s="154"/>
      <c r="J1535" s="152" t="s">
        <v>23</v>
      </c>
      <c r="K1535" s="152">
        <v>2969.0</v>
      </c>
      <c r="L1535" s="154"/>
      <c r="M1535" s="154"/>
      <c r="N1535" s="152" t="s">
        <v>8384</v>
      </c>
    </row>
    <row r="1536">
      <c r="A1536" s="152" t="s">
        <v>8492</v>
      </c>
      <c r="B1536" s="152" t="s">
        <v>8493</v>
      </c>
      <c r="C1536" s="152">
        <v>3.0</v>
      </c>
      <c r="D1536" s="152">
        <v>5.0</v>
      </c>
      <c r="E1536" s="152">
        <v>1.0</v>
      </c>
      <c r="F1536" s="152">
        <v>10.0</v>
      </c>
      <c r="G1536" s="152" t="s">
        <v>8479</v>
      </c>
      <c r="H1536" s="152" t="s">
        <v>8484</v>
      </c>
      <c r="I1536" s="154"/>
      <c r="J1536" s="152" t="s">
        <v>23</v>
      </c>
      <c r="K1536" s="152">
        <v>1379.0</v>
      </c>
      <c r="L1536" s="154"/>
      <c r="M1536" s="154"/>
      <c r="N1536" s="152" t="s">
        <v>8384</v>
      </c>
    </row>
    <row r="1537">
      <c r="A1537" s="152" t="s">
        <v>8492</v>
      </c>
      <c r="B1537" s="152" t="s">
        <v>8493</v>
      </c>
      <c r="C1537" s="152">
        <v>3.0</v>
      </c>
      <c r="D1537" s="152">
        <v>6.0</v>
      </c>
      <c r="E1537" s="152">
        <v>1.0</v>
      </c>
      <c r="F1537" s="152">
        <v>10.0</v>
      </c>
      <c r="G1537" s="152" t="s">
        <v>8479</v>
      </c>
      <c r="H1537" s="152" t="s">
        <v>8485</v>
      </c>
      <c r="I1537" s="154"/>
      <c r="J1537" s="152" t="s">
        <v>23</v>
      </c>
      <c r="K1537" s="152">
        <v>1379.0</v>
      </c>
      <c r="L1537" s="154"/>
      <c r="M1537" s="154"/>
      <c r="N1537" s="152" t="s">
        <v>8384</v>
      </c>
    </row>
    <row r="1538">
      <c r="A1538" s="152" t="s">
        <v>8492</v>
      </c>
      <c r="B1538" s="152" t="s">
        <v>8493</v>
      </c>
      <c r="C1538" s="152">
        <v>3.0</v>
      </c>
      <c r="D1538" s="152">
        <v>7.0</v>
      </c>
      <c r="E1538" s="152">
        <v>1.0</v>
      </c>
      <c r="F1538" s="152">
        <v>10.0</v>
      </c>
      <c r="G1538" s="152" t="s">
        <v>8479</v>
      </c>
      <c r="H1538" s="152" t="s">
        <v>8486</v>
      </c>
      <c r="I1538" s="154"/>
      <c r="J1538" s="152" t="s">
        <v>23</v>
      </c>
      <c r="K1538" s="152">
        <v>3139.0</v>
      </c>
      <c r="L1538" s="154"/>
      <c r="M1538" s="154"/>
      <c r="N1538" s="152" t="s">
        <v>8384</v>
      </c>
    </row>
    <row r="1539">
      <c r="A1539" s="152" t="s">
        <v>8492</v>
      </c>
      <c r="B1539" s="152" t="s">
        <v>8493</v>
      </c>
      <c r="C1539" s="152">
        <v>3.0</v>
      </c>
      <c r="D1539" s="152">
        <v>8.0</v>
      </c>
      <c r="E1539" s="152">
        <v>1.0</v>
      </c>
      <c r="F1539" s="152">
        <v>10.0</v>
      </c>
      <c r="G1539" s="152" t="s">
        <v>8479</v>
      </c>
      <c r="H1539" s="152" t="s">
        <v>8487</v>
      </c>
      <c r="I1539" s="154"/>
      <c r="J1539" s="152" t="s">
        <v>23</v>
      </c>
      <c r="K1539" s="152">
        <v>3139.0</v>
      </c>
      <c r="L1539" s="154"/>
      <c r="M1539" s="154"/>
      <c r="N1539" s="152" t="s">
        <v>8384</v>
      </c>
    </row>
    <row r="1540">
      <c r="A1540" s="152" t="s">
        <v>8492</v>
      </c>
      <c r="B1540" s="152" t="s">
        <v>8493</v>
      </c>
      <c r="C1540" s="152">
        <v>3.0</v>
      </c>
      <c r="D1540" s="152">
        <v>9.0</v>
      </c>
      <c r="E1540" s="152">
        <v>1.0</v>
      </c>
      <c r="F1540" s="152">
        <v>10.0</v>
      </c>
      <c r="G1540" s="152" t="s">
        <v>8479</v>
      </c>
      <c r="H1540" s="152" t="s">
        <v>8488</v>
      </c>
      <c r="I1540" s="154"/>
      <c r="J1540" s="152" t="s">
        <v>23</v>
      </c>
      <c r="K1540" s="152">
        <v>1519.0</v>
      </c>
      <c r="L1540" s="154"/>
      <c r="M1540" s="154"/>
      <c r="N1540" s="152" t="s">
        <v>8384</v>
      </c>
    </row>
    <row r="1541">
      <c r="A1541" s="152" t="s">
        <v>8492</v>
      </c>
      <c r="B1541" s="152" t="s">
        <v>8493</v>
      </c>
      <c r="C1541" s="152">
        <v>3.0</v>
      </c>
      <c r="D1541" s="152">
        <v>10.0</v>
      </c>
      <c r="E1541" s="152">
        <v>1.0</v>
      </c>
      <c r="F1541" s="152">
        <v>10.0</v>
      </c>
      <c r="G1541" s="152" t="s">
        <v>8479</v>
      </c>
      <c r="H1541" s="152" t="s">
        <v>8489</v>
      </c>
      <c r="I1541" s="154"/>
      <c r="J1541" s="152" t="s">
        <v>23</v>
      </c>
      <c r="K1541" s="152">
        <v>1519.0</v>
      </c>
      <c r="L1541" s="154"/>
      <c r="M1541" s="154"/>
      <c r="N1541" s="152" t="s">
        <v>8384</v>
      </c>
    </row>
    <row r="1542">
      <c r="A1542" s="152" t="s">
        <v>8494</v>
      </c>
      <c r="B1542" s="152" t="s">
        <v>8495</v>
      </c>
      <c r="C1542" s="152">
        <v>1.0</v>
      </c>
      <c r="D1542" s="152">
        <v>1.0</v>
      </c>
      <c r="E1542" s="154"/>
      <c r="F1542" s="154"/>
      <c r="G1542" s="152" t="s">
        <v>8382</v>
      </c>
      <c r="H1542" s="152" t="s">
        <v>8383</v>
      </c>
      <c r="I1542" s="154"/>
      <c r="J1542" s="154"/>
      <c r="K1542" s="154"/>
      <c r="L1542" s="154"/>
      <c r="M1542" s="154"/>
      <c r="N1542" s="152" t="s">
        <v>8384</v>
      </c>
    </row>
    <row r="1543">
      <c r="A1543" s="152" t="s">
        <v>8494</v>
      </c>
      <c r="B1543" s="152" t="s">
        <v>8495</v>
      </c>
      <c r="C1543" s="152">
        <v>1.0</v>
      </c>
      <c r="D1543" s="152">
        <v>2.0</v>
      </c>
      <c r="E1543" s="154"/>
      <c r="F1543" s="154"/>
      <c r="G1543" s="152" t="s">
        <v>8382</v>
      </c>
      <c r="H1543" s="152" t="s">
        <v>8385</v>
      </c>
      <c r="I1543" s="154"/>
      <c r="J1543" s="154"/>
      <c r="K1543" s="154"/>
      <c r="L1543" s="154"/>
      <c r="M1543" s="154"/>
      <c r="N1543" s="152" t="s">
        <v>8384</v>
      </c>
    </row>
    <row r="1544">
      <c r="A1544" s="152" t="s">
        <v>8494</v>
      </c>
      <c r="B1544" s="152" t="s">
        <v>8495</v>
      </c>
      <c r="C1544" s="152">
        <v>1.0</v>
      </c>
      <c r="D1544" s="152">
        <v>3.0</v>
      </c>
      <c r="E1544" s="154"/>
      <c r="F1544" s="154"/>
      <c r="G1544" s="152" t="s">
        <v>8382</v>
      </c>
      <c r="H1544" s="152" t="s">
        <v>8386</v>
      </c>
      <c r="I1544" s="154"/>
      <c r="J1544" s="154"/>
      <c r="K1544" s="154"/>
      <c r="L1544" s="154"/>
      <c r="M1544" s="154"/>
      <c r="N1544" s="152" t="s">
        <v>8384</v>
      </c>
    </row>
    <row r="1545">
      <c r="A1545" s="152" t="s">
        <v>8494</v>
      </c>
      <c r="B1545" s="152" t="s">
        <v>8495</v>
      </c>
      <c r="C1545" s="152">
        <v>1.0</v>
      </c>
      <c r="D1545" s="152">
        <v>4.0</v>
      </c>
      <c r="E1545" s="154"/>
      <c r="F1545" s="154"/>
      <c r="G1545" s="152" t="s">
        <v>8382</v>
      </c>
      <c r="H1545" s="152" t="s">
        <v>8387</v>
      </c>
      <c r="I1545" s="154"/>
      <c r="J1545" s="154"/>
      <c r="K1545" s="154"/>
      <c r="L1545" s="154"/>
      <c r="M1545" s="154"/>
      <c r="N1545" s="152" t="s">
        <v>8384</v>
      </c>
    </row>
    <row r="1546">
      <c r="A1546" s="152" t="s">
        <v>8494</v>
      </c>
      <c r="B1546" s="152" t="s">
        <v>8495</v>
      </c>
      <c r="C1546" s="152">
        <v>1.0</v>
      </c>
      <c r="D1546" s="152">
        <v>5.0</v>
      </c>
      <c r="E1546" s="154"/>
      <c r="F1546" s="154"/>
      <c r="G1546" s="152" t="s">
        <v>8382</v>
      </c>
      <c r="H1546" s="152" t="s">
        <v>8388</v>
      </c>
      <c r="I1546" s="154"/>
      <c r="J1546" s="154"/>
      <c r="K1546" s="154"/>
      <c r="L1546" s="154"/>
      <c r="M1546" s="154"/>
      <c r="N1546" s="152" t="s">
        <v>8384</v>
      </c>
    </row>
    <row r="1547">
      <c r="A1547" s="152" t="s">
        <v>8494</v>
      </c>
      <c r="B1547" s="152" t="s">
        <v>8495</v>
      </c>
      <c r="C1547" s="152">
        <v>1.0</v>
      </c>
      <c r="D1547" s="152">
        <v>6.0</v>
      </c>
      <c r="E1547" s="154"/>
      <c r="F1547" s="154"/>
      <c r="G1547" s="152" t="s">
        <v>8382</v>
      </c>
      <c r="H1547" s="152" t="s">
        <v>8389</v>
      </c>
      <c r="I1547" s="154"/>
      <c r="J1547" s="154"/>
      <c r="K1547" s="154"/>
      <c r="L1547" s="154"/>
      <c r="M1547" s="154"/>
      <c r="N1547" s="152" t="s">
        <v>8384</v>
      </c>
    </row>
    <row r="1548">
      <c r="A1548" s="152" t="s">
        <v>8494</v>
      </c>
      <c r="B1548" s="152" t="s">
        <v>8495</v>
      </c>
      <c r="C1548" s="152">
        <v>1.0</v>
      </c>
      <c r="D1548" s="152">
        <v>7.0</v>
      </c>
      <c r="E1548" s="154"/>
      <c r="F1548" s="154"/>
      <c r="G1548" s="152" t="s">
        <v>8382</v>
      </c>
      <c r="H1548" s="152" t="s">
        <v>5767</v>
      </c>
      <c r="I1548" s="154"/>
      <c r="J1548" s="154"/>
      <c r="K1548" s="154"/>
      <c r="L1548" s="154"/>
      <c r="M1548" s="154"/>
      <c r="N1548" s="152" t="s">
        <v>8384</v>
      </c>
    </row>
    <row r="1549">
      <c r="A1549" s="152" t="s">
        <v>8494</v>
      </c>
      <c r="B1549" s="152" t="s">
        <v>8495</v>
      </c>
      <c r="C1549" s="152">
        <v>1.0</v>
      </c>
      <c r="D1549" s="152">
        <v>8.0</v>
      </c>
      <c r="E1549" s="154"/>
      <c r="F1549" s="154"/>
      <c r="G1549" s="152" t="s">
        <v>8382</v>
      </c>
      <c r="H1549" s="152" t="s">
        <v>8390</v>
      </c>
      <c r="I1549" s="154"/>
      <c r="J1549" s="154"/>
      <c r="K1549" s="154"/>
      <c r="L1549" s="154"/>
      <c r="M1549" s="154"/>
      <c r="N1549" s="152" t="s">
        <v>8384</v>
      </c>
    </row>
    <row r="1550">
      <c r="A1550" s="152" t="s">
        <v>8494</v>
      </c>
      <c r="B1550" s="152" t="s">
        <v>8495</v>
      </c>
      <c r="C1550" s="152">
        <v>1.0</v>
      </c>
      <c r="D1550" s="152">
        <v>9.0</v>
      </c>
      <c r="E1550" s="154"/>
      <c r="F1550" s="154"/>
      <c r="G1550" s="152" t="s">
        <v>8382</v>
      </c>
      <c r="H1550" s="152" t="s">
        <v>8391</v>
      </c>
      <c r="I1550" s="154"/>
      <c r="J1550" s="154"/>
      <c r="K1550" s="154"/>
      <c r="L1550" s="154"/>
      <c r="M1550" s="154"/>
      <c r="N1550" s="152" t="s">
        <v>8384</v>
      </c>
    </row>
    <row r="1551">
      <c r="A1551" s="152" t="s">
        <v>8494</v>
      </c>
      <c r="B1551" s="152" t="s">
        <v>8495</v>
      </c>
      <c r="C1551" s="152">
        <v>1.0</v>
      </c>
      <c r="D1551" s="152">
        <v>10.0</v>
      </c>
      <c r="E1551" s="154"/>
      <c r="F1551" s="154"/>
      <c r="G1551" s="152" t="s">
        <v>8382</v>
      </c>
      <c r="H1551" s="152" t="s">
        <v>8392</v>
      </c>
      <c r="I1551" s="154"/>
      <c r="J1551" s="154"/>
      <c r="K1551" s="154"/>
      <c r="L1551" s="154"/>
      <c r="M1551" s="154"/>
      <c r="N1551" s="152" t="s">
        <v>8384</v>
      </c>
    </row>
    <row r="1552">
      <c r="A1552" s="152" t="s">
        <v>8494</v>
      </c>
      <c r="B1552" s="152" t="s">
        <v>8495</v>
      </c>
      <c r="C1552" s="152">
        <v>2.0</v>
      </c>
      <c r="D1552" s="152">
        <v>1.0</v>
      </c>
      <c r="E1552" s="152">
        <v>1.0</v>
      </c>
      <c r="F1552" s="152">
        <v>1.0</v>
      </c>
      <c r="G1552" s="152" t="s">
        <v>8393</v>
      </c>
      <c r="H1552" s="152" t="s">
        <v>8394</v>
      </c>
      <c r="I1552" s="152" t="s">
        <v>6862</v>
      </c>
      <c r="J1552" s="154"/>
      <c r="K1552" s="154"/>
      <c r="L1552" s="154"/>
      <c r="M1552" s="154"/>
      <c r="N1552" s="152" t="s">
        <v>8395</v>
      </c>
    </row>
    <row r="1553">
      <c r="A1553" s="152" t="s">
        <v>8494</v>
      </c>
      <c r="B1553" s="152" t="s">
        <v>8495</v>
      </c>
      <c r="C1553" s="152">
        <v>2.0</v>
      </c>
      <c r="D1553" s="152">
        <v>2.0</v>
      </c>
      <c r="E1553" s="152">
        <v>1.0</v>
      </c>
      <c r="F1553" s="152">
        <v>2.0</v>
      </c>
      <c r="G1553" s="152" t="s">
        <v>8393</v>
      </c>
      <c r="H1553" s="152" t="s">
        <v>8396</v>
      </c>
      <c r="I1553" s="152" t="s">
        <v>6893</v>
      </c>
      <c r="J1553" s="154"/>
      <c r="K1553" s="154"/>
      <c r="L1553" s="154"/>
      <c r="M1553" s="154"/>
      <c r="N1553" s="152" t="s">
        <v>8395</v>
      </c>
    </row>
    <row r="1554">
      <c r="A1554" s="152" t="s">
        <v>8494</v>
      </c>
      <c r="B1554" s="152" t="s">
        <v>8495</v>
      </c>
      <c r="C1554" s="152">
        <v>2.0</v>
      </c>
      <c r="D1554" s="152">
        <v>3.0</v>
      </c>
      <c r="E1554" s="152">
        <v>1.0</v>
      </c>
      <c r="F1554" s="152">
        <v>3.0</v>
      </c>
      <c r="G1554" s="152" t="s">
        <v>8393</v>
      </c>
      <c r="H1554" s="152" t="s">
        <v>8397</v>
      </c>
      <c r="I1554" s="152" t="s">
        <v>6796</v>
      </c>
      <c r="J1554" s="154"/>
      <c r="K1554" s="154"/>
      <c r="L1554" s="154"/>
      <c r="M1554" s="154"/>
      <c r="N1554" s="152" t="s">
        <v>8395</v>
      </c>
    </row>
    <row r="1555">
      <c r="A1555" s="152" t="s">
        <v>8494</v>
      </c>
      <c r="B1555" s="152" t="s">
        <v>8495</v>
      </c>
      <c r="C1555" s="152">
        <v>2.0</v>
      </c>
      <c r="D1555" s="152">
        <v>4.0</v>
      </c>
      <c r="E1555" s="152">
        <v>1.0</v>
      </c>
      <c r="F1555" s="152">
        <v>4.0</v>
      </c>
      <c r="G1555" s="152" t="s">
        <v>8393</v>
      </c>
      <c r="H1555" s="152" t="s">
        <v>8398</v>
      </c>
      <c r="I1555" s="152" t="s">
        <v>6726</v>
      </c>
      <c r="J1555" s="154"/>
      <c r="K1555" s="154"/>
      <c r="L1555" s="154"/>
      <c r="M1555" s="154"/>
      <c r="N1555" s="152" t="s">
        <v>8395</v>
      </c>
    </row>
    <row r="1556">
      <c r="A1556" s="152" t="s">
        <v>8494</v>
      </c>
      <c r="B1556" s="152" t="s">
        <v>8495</v>
      </c>
      <c r="C1556" s="152">
        <v>2.0</v>
      </c>
      <c r="D1556" s="152">
        <v>5.0</v>
      </c>
      <c r="E1556" s="152">
        <v>1.0</v>
      </c>
      <c r="F1556" s="152">
        <v>5.0</v>
      </c>
      <c r="G1556" s="152" t="s">
        <v>8393</v>
      </c>
      <c r="H1556" s="152" t="s">
        <v>8478</v>
      </c>
      <c r="I1556" s="152" t="s">
        <v>6924</v>
      </c>
      <c r="J1556" s="154"/>
      <c r="K1556" s="154"/>
      <c r="L1556" s="154"/>
      <c r="M1556" s="154"/>
      <c r="N1556" s="152" t="s">
        <v>8395</v>
      </c>
    </row>
    <row r="1557">
      <c r="A1557" s="152" t="s">
        <v>8494</v>
      </c>
      <c r="B1557" s="152" t="s">
        <v>8495</v>
      </c>
      <c r="C1557" s="152">
        <v>2.0</v>
      </c>
      <c r="D1557" s="152">
        <v>6.0</v>
      </c>
      <c r="E1557" s="152">
        <v>1.0</v>
      </c>
      <c r="F1557" s="152">
        <v>6.0</v>
      </c>
      <c r="G1557" s="152" t="s">
        <v>8393</v>
      </c>
      <c r="H1557" s="152" t="s">
        <v>8400</v>
      </c>
      <c r="I1557" s="152" t="s">
        <v>6893</v>
      </c>
      <c r="J1557" s="154"/>
      <c r="K1557" s="154"/>
      <c r="L1557" s="154"/>
      <c r="M1557" s="154"/>
      <c r="N1557" s="152" t="s">
        <v>8395</v>
      </c>
    </row>
    <row r="1558">
      <c r="A1558" s="152" t="s">
        <v>8494</v>
      </c>
      <c r="B1558" s="152" t="s">
        <v>8495</v>
      </c>
      <c r="C1558" s="152">
        <v>2.0</v>
      </c>
      <c r="D1558" s="152">
        <v>7.0</v>
      </c>
      <c r="E1558" s="152">
        <v>1.0</v>
      </c>
      <c r="F1558" s="152">
        <v>7.0</v>
      </c>
      <c r="G1558" s="152" t="s">
        <v>8393</v>
      </c>
      <c r="H1558" s="152" t="s">
        <v>8401</v>
      </c>
      <c r="I1558" s="152" t="s">
        <v>6796</v>
      </c>
      <c r="J1558" s="154"/>
      <c r="K1558" s="154"/>
      <c r="L1558" s="154"/>
      <c r="M1558" s="154"/>
      <c r="N1558" s="152" t="s">
        <v>8395</v>
      </c>
    </row>
    <row r="1559">
      <c r="A1559" s="152" t="s">
        <v>8494</v>
      </c>
      <c r="B1559" s="152" t="s">
        <v>8495</v>
      </c>
      <c r="C1559" s="152">
        <v>2.0</v>
      </c>
      <c r="D1559" s="152">
        <v>8.0</v>
      </c>
      <c r="E1559" s="152">
        <v>1.0</v>
      </c>
      <c r="F1559" s="152">
        <v>8.0</v>
      </c>
      <c r="G1559" s="152" t="s">
        <v>8393</v>
      </c>
      <c r="H1559" s="152" t="s">
        <v>8402</v>
      </c>
      <c r="I1559" s="152" t="s">
        <v>6831</v>
      </c>
      <c r="J1559" s="154"/>
      <c r="K1559" s="154"/>
      <c r="L1559" s="154"/>
      <c r="M1559" s="154"/>
      <c r="N1559" s="152" t="s">
        <v>8395</v>
      </c>
    </row>
    <row r="1560">
      <c r="A1560" s="152" t="s">
        <v>8494</v>
      </c>
      <c r="B1560" s="152" t="s">
        <v>8495</v>
      </c>
      <c r="C1560" s="152">
        <v>2.0</v>
      </c>
      <c r="D1560" s="152">
        <v>9.0</v>
      </c>
      <c r="E1560" s="152">
        <v>1.0</v>
      </c>
      <c r="F1560" s="152">
        <v>9.0</v>
      </c>
      <c r="G1560" s="152" t="s">
        <v>8393</v>
      </c>
      <c r="H1560" s="152" t="s">
        <v>8403</v>
      </c>
      <c r="I1560" s="152" t="s">
        <v>6836</v>
      </c>
      <c r="J1560" s="154"/>
      <c r="K1560" s="154"/>
      <c r="L1560" s="154"/>
      <c r="M1560" s="154"/>
      <c r="N1560" s="152" t="s">
        <v>8395</v>
      </c>
    </row>
    <row r="1561">
      <c r="A1561" s="152" t="s">
        <v>8494</v>
      </c>
      <c r="B1561" s="152" t="s">
        <v>8495</v>
      </c>
      <c r="C1561" s="152">
        <v>2.0</v>
      </c>
      <c r="D1561" s="152">
        <v>10.0</v>
      </c>
      <c r="E1561" s="152">
        <v>1.0</v>
      </c>
      <c r="F1561" s="152">
        <v>10.0</v>
      </c>
      <c r="G1561" s="152" t="s">
        <v>8393</v>
      </c>
      <c r="H1561" s="152" t="s">
        <v>8404</v>
      </c>
      <c r="I1561" s="152" t="s">
        <v>8405</v>
      </c>
      <c r="J1561" s="154"/>
      <c r="K1561" s="154"/>
      <c r="L1561" s="154"/>
      <c r="M1561" s="154"/>
      <c r="N1561" s="152" t="s">
        <v>8395</v>
      </c>
    </row>
    <row r="1562">
      <c r="A1562" s="152" t="s">
        <v>8494</v>
      </c>
      <c r="B1562" s="152" t="s">
        <v>8495</v>
      </c>
      <c r="C1562" s="152">
        <v>3.0</v>
      </c>
      <c r="D1562" s="152">
        <v>1.0</v>
      </c>
      <c r="E1562" s="152">
        <v>1.0</v>
      </c>
      <c r="F1562" s="152">
        <v>1.0</v>
      </c>
      <c r="G1562" s="152" t="s">
        <v>8479</v>
      </c>
      <c r="H1562" s="152" t="s">
        <v>8480</v>
      </c>
      <c r="I1562" s="154"/>
      <c r="J1562" s="152" t="s">
        <v>23</v>
      </c>
      <c r="K1562" s="152">
        <v>1769.0</v>
      </c>
      <c r="L1562" s="154"/>
      <c r="M1562" s="154"/>
      <c r="N1562" s="152" t="s">
        <v>8384</v>
      </c>
    </row>
    <row r="1563">
      <c r="A1563" s="152" t="s">
        <v>8494</v>
      </c>
      <c r="B1563" s="152" t="s">
        <v>8495</v>
      </c>
      <c r="C1563" s="152">
        <v>3.0</v>
      </c>
      <c r="D1563" s="152">
        <v>2.0</v>
      </c>
      <c r="E1563" s="152">
        <v>1.0</v>
      </c>
      <c r="F1563" s="152">
        <v>1.0</v>
      </c>
      <c r="G1563" s="152" t="s">
        <v>8479</v>
      </c>
      <c r="H1563" s="152" t="s">
        <v>8481</v>
      </c>
      <c r="I1563" s="154"/>
      <c r="J1563" s="152" t="s">
        <v>23</v>
      </c>
      <c r="K1563" s="152">
        <v>889.0</v>
      </c>
      <c r="L1563" s="154"/>
      <c r="M1563" s="154"/>
      <c r="N1563" s="152" t="s">
        <v>8384</v>
      </c>
    </row>
    <row r="1564">
      <c r="A1564" s="152" t="s">
        <v>8494</v>
      </c>
      <c r="B1564" s="152" t="s">
        <v>8495</v>
      </c>
      <c r="C1564" s="152">
        <v>3.0</v>
      </c>
      <c r="D1564" s="152">
        <v>3.0</v>
      </c>
      <c r="E1564" s="152">
        <v>1.0</v>
      </c>
      <c r="F1564" s="152">
        <v>1.0</v>
      </c>
      <c r="G1564" s="152" t="s">
        <v>8479</v>
      </c>
      <c r="H1564" s="152" t="s">
        <v>8482</v>
      </c>
      <c r="I1564" s="154"/>
      <c r="J1564" s="152" t="s">
        <v>23</v>
      </c>
      <c r="K1564" s="152">
        <v>1949.0</v>
      </c>
      <c r="L1564" s="154"/>
      <c r="M1564" s="154"/>
      <c r="N1564" s="152" t="s">
        <v>8384</v>
      </c>
    </row>
    <row r="1565">
      <c r="A1565" s="152" t="s">
        <v>8494</v>
      </c>
      <c r="B1565" s="152" t="s">
        <v>8495</v>
      </c>
      <c r="C1565" s="152">
        <v>3.0</v>
      </c>
      <c r="D1565" s="152">
        <v>4.0</v>
      </c>
      <c r="E1565" s="152">
        <v>1.0</v>
      </c>
      <c r="F1565" s="152">
        <v>1.0</v>
      </c>
      <c r="G1565" s="152" t="s">
        <v>8479</v>
      </c>
      <c r="H1565" s="152" t="s">
        <v>8483</v>
      </c>
      <c r="I1565" s="154"/>
      <c r="J1565" s="152" t="s">
        <v>23</v>
      </c>
      <c r="K1565" s="152">
        <v>1949.0</v>
      </c>
      <c r="L1565" s="154"/>
      <c r="M1565" s="154"/>
      <c r="N1565" s="152" t="s">
        <v>8384</v>
      </c>
    </row>
    <row r="1566">
      <c r="A1566" s="152" t="s">
        <v>8494</v>
      </c>
      <c r="B1566" s="152" t="s">
        <v>8495</v>
      </c>
      <c r="C1566" s="152">
        <v>3.0</v>
      </c>
      <c r="D1566" s="152">
        <v>5.0</v>
      </c>
      <c r="E1566" s="152">
        <v>1.0</v>
      </c>
      <c r="F1566" s="152">
        <v>1.0</v>
      </c>
      <c r="G1566" s="152" t="s">
        <v>8479</v>
      </c>
      <c r="H1566" s="152" t="s">
        <v>8484</v>
      </c>
      <c r="I1566" s="154"/>
      <c r="J1566" s="152" t="s">
        <v>23</v>
      </c>
      <c r="K1566" s="152">
        <v>979.0</v>
      </c>
      <c r="L1566" s="154"/>
      <c r="M1566" s="154"/>
      <c r="N1566" s="152" t="s">
        <v>8384</v>
      </c>
    </row>
    <row r="1567">
      <c r="A1567" s="152" t="s">
        <v>8494</v>
      </c>
      <c r="B1567" s="152" t="s">
        <v>8495</v>
      </c>
      <c r="C1567" s="152">
        <v>3.0</v>
      </c>
      <c r="D1567" s="152">
        <v>6.0</v>
      </c>
      <c r="E1567" s="152">
        <v>1.0</v>
      </c>
      <c r="F1567" s="152">
        <v>1.0</v>
      </c>
      <c r="G1567" s="152" t="s">
        <v>8479</v>
      </c>
      <c r="H1567" s="152" t="s">
        <v>8485</v>
      </c>
      <c r="I1567" s="154"/>
      <c r="J1567" s="152" t="s">
        <v>23</v>
      </c>
      <c r="K1567" s="152">
        <v>979.0</v>
      </c>
      <c r="L1567" s="154"/>
      <c r="M1567" s="154"/>
      <c r="N1567" s="152" t="s">
        <v>8384</v>
      </c>
    </row>
    <row r="1568">
      <c r="A1568" s="152" t="s">
        <v>8494</v>
      </c>
      <c r="B1568" s="152" t="s">
        <v>8495</v>
      </c>
      <c r="C1568" s="152">
        <v>3.0</v>
      </c>
      <c r="D1568" s="152">
        <v>7.0</v>
      </c>
      <c r="E1568" s="152">
        <v>1.0</v>
      </c>
      <c r="F1568" s="152">
        <v>1.0</v>
      </c>
      <c r="G1568" s="152" t="s">
        <v>8479</v>
      </c>
      <c r="H1568" s="152" t="s">
        <v>8486</v>
      </c>
      <c r="I1568" s="154"/>
      <c r="J1568" s="152" t="s">
        <v>23</v>
      </c>
      <c r="K1568" s="152">
        <v>2189.0</v>
      </c>
      <c r="L1568" s="154"/>
      <c r="M1568" s="154"/>
      <c r="N1568" s="152" t="s">
        <v>8384</v>
      </c>
    </row>
    <row r="1569">
      <c r="A1569" s="152" t="s">
        <v>8494</v>
      </c>
      <c r="B1569" s="152" t="s">
        <v>8495</v>
      </c>
      <c r="C1569" s="152">
        <v>3.0</v>
      </c>
      <c r="D1569" s="152">
        <v>8.0</v>
      </c>
      <c r="E1569" s="152">
        <v>1.0</v>
      </c>
      <c r="F1569" s="152">
        <v>1.0</v>
      </c>
      <c r="G1569" s="152" t="s">
        <v>8479</v>
      </c>
      <c r="H1569" s="152" t="s">
        <v>8487</v>
      </c>
      <c r="I1569" s="154"/>
      <c r="J1569" s="152" t="s">
        <v>23</v>
      </c>
      <c r="K1569" s="152">
        <v>2189.0</v>
      </c>
      <c r="L1569" s="154"/>
      <c r="M1569" s="154"/>
      <c r="N1569" s="152" t="s">
        <v>8384</v>
      </c>
    </row>
    <row r="1570">
      <c r="A1570" s="152" t="s">
        <v>8494</v>
      </c>
      <c r="B1570" s="152" t="s">
        <v>8495</v>
      </c>
      <c r="C1570" s="152">
        <v>3.0</v>
      </c>
      <c r="D1570" s="152">
        <v>9.0</v>
      </c>
      <c r="E1570" s="152">
        <v>1.0</v>
      </c>
      <c r="F1570" s="152">
        <v>1.0</v>
      </c>
      <c r="G1570" s="152" t="s">
        <v>8479</v>
      </c>
      <c r="H1570" s="152" t="s">
        <v>8488</v>
      </c>
      <c r="I1570" s="154"/>
      <c r="J1570" s="152" t="s">
        <v>23</v>
      </c>
      <c r="K1570" s="152">
        <v>1099.0</v>
      </c>
      <c r="L1570" s="154"/>
      <c r="M1570" s="154"/>
      <c r="N1570" s="152" t="s">
        <v>8384</v>
      </c>
    </row>
    <row r="1571">
      <c r="A1571" s="152" t="s">
        <v>8494</v>
      </c>
      <c r="B1571" s="152" t="s">
        <v>8495</v>
      </c>
      <c r="C1571" s="152">
        <v>3.0</v>
      </c>
      <c r="D1571" s="152">
        <v>10.0</v>
      </c>
      <c r="E1571" s="152">
        <v>1.0</v>
      </c>
      <c r="F1571" s="152">
        <v>1.0</v>
      </c>
      <c r="G1571" s="152" t="s">
        <v>8479</v>
      </c>
      <c r="H1571" s="152" t="s">
        <v>8489</v>
      </c>
      <c r="I1571" s="154"/>
      <c r="J1571" s="152" t="s">
        <v>23</v>
      </c>
      <c r="K1571" s="152">
        <v>1099.0</v>
      </c>
      <c r="L1571" s="154"/>
      <c r="M1571" s="154"/>
      <c r="N1571" s="152" t="s">
        <v>8384</v>
      </c>
    </row>
    <row r="1572">
      <c r="A1572" s="152" t="s">
        <v>8494</v>
      </c>
      <c r="B1572" s="152" t="s">
        <v>8495</v>
      </c>
      <c r="C1572" s="152">
        <v>3.0</v>
      </c>
      <c r="D1572" s="152">
        <v>1.0</v>
      </c>
      <c r="E1572" s="152">
        <v>1.0</v>
      </c>
      <c r="F1572" s="152">
        <v>2.0</v>
      </c>
      <c r="G1572" s="152" t="s">
        <v>8479</v>
      </c>
      <c r="H1572" s="152" t="s">
        <v>8480</v>
      </c>
      <c r="I1572" s="154"/>
      <c r="J1572" s="152" t="s">
        <v>23</v>
      </c>
      <c r="K1572" s="152">
        <v>1909.0</v>
      </c>
      <c r="L1572" s="154"/>
      <c r="M1572" s="154"/>
      <c r="N1572" s="152" t="s">
        <v>8384</v>
      </c>
    </row>
    <row r="1573">
      <c r="A1573" s="152" t="s">
        <v>8494</v>
      </c>
      <c r="B1573" s="152" t="s">
        <v>8495</v>
      </c>
      <c r="C1573" s="152">
        <v>3.0</v>
      </c>
      <c r="D1573" s="152">
        <v>2.0</v>
      </c>
      <c r="E1573" s="152">
        <v>1.0</v>
      </c>
      <c r="F1573" s="152">
        <v>2.0</v>
      </c>
      <c r="G1573" s="152" t="s">
        <v>8479</v>
      </c>
      <c r="H1573" s="152" t="s">
        <v>8481</v>
      </c>
      <c r="I1573" s="154"/>
      <c r="J1573" s="152" t="s">
        <v>23</v>
      </c>
      <c r="K1573" s="152">
        <v>959.0</v>
      </c>
      <c r="L1573" s="154"/>
      <c r="M1573" s="154"/>
      <c r="N1573" s="152" t="s">
        <v>8384</v>
      </c>
    </row>
    <row r="1574">
      <c r="A1574" s="152" t="s">
        <v>8494</v>
      </c>
      <c r="B1574" s="152" t="s">
        <v>8495</v>
      </c>
      <c r="C1574" s="152">
        <v>3.0</v>
      </c>
      <c r="D1574" s="152">
        <v>3.0</v>
      </c>
      <c r="E1574" s="152">
        <v>1.0</v>
      </c>
      <c r="F1574" s="152">
        <v>2.0</v>
      </c>
      <c r="G1574" s="152" t="s">
        <v>8479</v>
      </c>
      <c r="H1574" s="152" t="s">
        <v>8482</v>
      </c>
      <c r="I1574" s="154"/>
      <c r="J1574" s="152" t="s">
        <v>23</v>
      </c>
      <c r="K1574" s="152">
        <v>2109.0</v>
      </c>
      <c r="L1574" s="154"/>
      <c r="M1574" s="154"/>
      <c r="N1574" s="152" t="s">
        <v>8384</v>
      </c>
    </row>
    <row r="1575">
      <c r="A1575" s="152" t="s">
        <v>8494</v>
      </c>
      <c r="B1575" s="152" t="s">
        <v>8495</v>
      </c>
      <c r="C1575" s="152">
        <v>3.0</v>
      </c>
      <c r="D1575" s="152">
        <v>4.0</v>
      </c>
      <c r="E1575" s="152">
        <v>1.0</v>
      </c>
      <c r="F1575" s="152">
        <v>2.0</v>
      </c>
      <c r="G1575" s="152" t="s">
        <v>8479</v>
      </c>
      <c r="H1575" s="152" t="s">
        <v>8483</v>
      </c>
      <c r="I1575" s="154"/>
      <c r="J1575" s="152" t="s">
        <v>23</v>
      </c>
      <c r="K1575" s="152">
        <v>2109.0</v>
      </c>
      <c r="L1575" s="154"/>
      <c r="M1575" s="154"/>
      <c r="N1575" s="152" t="s">
        <v>8384</v>
      </c>
    </row>
    <row r="1576">
      <c r="A1576" s="152" t="s">
        <v>8494</v>
      </c>
      <c r="B1576" s="152" t="s">
        <v>8495</v>
      </c>
      <c r="C1576" s="152">
        <v>3.0</v>
      </c>
      <c r="D1576" s="152">
        <v>5.0</v>
      </c>
      <c r="E1576" s="152">
        <v>1.0</v>
      </c>
      <c r="F1576" s="152">
        <v>2.0</v>
      </c>
      <c r="G1576" s="152" t="s">
        <v>8479</v>
      </c>
      <c r="H1576" s="152" t="s">
        <v>8484</v>
      </c>
      <c r="I1576" s="154"/>
      <c r="J1576" s="152" t="s">
        <v>23</v>
      </c>
      <c r="K1576" s="152">
        <v>1059.0</v>
      </c>
      <c r="L1576" s="154"/>
      <c r="M1576" s="154"/>
      <c r="N1576" s="152" t="s">
        <v>8384</v>
      </c>
    </row>
    <row r="1577">
      <c r="A1577" s="152" t="s">
        <v>8494</v>
      </c>
      <c r="B1577" s="152" t="s">
        <v>8495</v>
      </c>
      <c r="C1577" s="152">
        <v>3.0</v>
      </c>
      <c r="D1577" s="152">
        <v>6.0</v>
      </c>
      <c r="E1577" s="152">
        <v>1.0</v>
      </c>
      <c r="F1577" s="152">
        <v>2.0</v>
      </c>
      <c r="G1577" s="152" t="s">
        <v>8479</v>
      </c>
      <c r="H1577" s="152" t="s">
        <v>8485</v>
      </c>
      <c r="I1577" s="154"/>
      <c r="J1577" s="152" t="s">
        <v>23</v>
      </c>
      <c r="K1577" s="152">
        <v>1059.0</v>
      </c>
      <c r="L1577" s="154"/>
      <c r="M1577" s="154"/>
      <c r="N1577" s="152" t="s">
        <v>8384</v>
      </c>
    </row>
    <row r="1578">
      <c r="A1578" s="152" t="s">
        <v>8494</v>
      </c>
      <c r="B1578" s="152" t="s">
        <v>8495</v>
      </c>
      <c r="C1578" s="152">
        <v>3.0</v>
      </c>
      <c r="D1578" s="152">
        <v>7.0</v>
      </c>
      <c r="E1578" s="152">
        <v>1.0</v>
      </c>
      <c r="F1578" s="152">
        <v>2.0</v>
      </c>
      <c r="G1578" s="152" t="s">
        <v>8479</v>
      </c>
      <c r="H1578" s="152" t="s">
        <v>8486</v>
      </c>
      <c r="I1578" s="154"/>
      <c r="J1578" s="152" t="s">
        <v>23</v>
      </c>
      <c r="K1578" s="152">
        <v>2359.0</v>
      </c>
      <c r="L1578" s="154"/>
      <c r="M1578" s="154"/>
      <c r="N1578" s="152" t="s">
        <v>8384</v>
      </c>
    </row>
    <row r="1579">
      <c r="A1579" s="152" t="s">
        <v>8494</v>
      </c>
      <c r="B1579" s="152" t="s">
        <v>8495</v>
      </c>
      <c r="C1579" s="152">
        <v>3.0</v>
      </c>
      <c r="D1579" s="152">
        <v>8.0</v>
      </c>
      <c r="E1579" s="152">
        <v>1.0</v>
      </c>
      <c r="F1579" s="152">
        <v>2.0</v>
      </c>
      <c r="G1579" s="152" t="s">
        <v>8479</v>
      </c>
      <c r="H1579" s="152" t="s">
        <v>8487</v>
      </c>
      <c r="I1579" s="154"/>
      <c r="J1579" s="152" t="s">
        <v>23</v>
      </c>
      <c r="K1579" s="152">
        <v>2359.0</v>
      </c>
      <c r="L1579" s="154"/>
      <c r="M1579" s="154"/>
      <c r="N1579" s="152" t="s">
        <v>8384</v>
      </c>
    </row>
    <row r="1580">
      <c r="A1580" s="152" t="s">
        <v>8494</v>
      </c>
      <c r="B1580" s="152" t="s">
        <v>8495</v>
      </c>
      <c r="C1580" s="152">
        <v>3.0</v>
      </c>
      <c r="D1580" s="152">
        <v>9.0</v>
      </c>
      <c r="E1580" s="152">
        <v>1.0</v>
      </c>
      <c r="F1580" s="152">
        <v>2.0</v>
      </c>
      <c r="G1580" s="152" t="s">
        <v>8479</v>
      </c>
      <c r="H1580" s="152" t="s">
        <v>8488</v>
      </c>
      <c r="I1580" s="154"/>
      <c r="J1580" s="152" t="s">
        <v>23</v>
      </c>
      <c r="K1580" s="152">
        <v>1179.0</v>
      </c>
      <c r="L1580" s="154"/>
      <c r="M1580" s="154"/>
      <c r="N1580" s="152" t="s">
        <v>8384</v>
      </c>
    </row>
    <row r="1581">
      <c r="A1581" s="152" t="s">
        <v>8494</v>
      </c>
      <c r="B1581" s="152" t="s">
        <v>8495</v>
      </c>
      <c r="C1581" s="152">
        <v>3.0</v>
      </c>
      <c r="D1581" s="152">
        <v>10.0</v>
      </c>
      <c r="E1581" s="152">
        <v>1.0</v>
      </c>
      <c r="F1581" s="152">
        <v>2.0</v>
      </c>
      <c r="G1581" s="152" t="s">
        <v>8479</v>
      </c>
      <c r="H1581" s="152" t="s">
        <v>8489</v>
      </c>
      <c r="I1581" s="154"/>
      <c r="J1581" s="152" t="s">
        <v>23</v>
      </c>
      <c r="K1581" s="152">
        <v>1179.0</v>
      </c>
      <c r="L1581" s="154"/>
      <c r="M1581" s="154"/>
      <c r="N1581" s="152" t="s">
        <v>8384</v>
      </c>
    </row>
    <row r="1582">
      <c r="A1582" s="152" t="s">
        <v>8494</v>
      </c>
      <c r="B1582" s="152" t="s">
        <v>8495</v>
      </c>
      <c r="C1582" s="152">
        <v>3.0</v>
      </c>
      <c r="D1582" s="152">
        <v>1.0</v>
      </c>
      <c r="E1582" s="152">
        <v>1.0</v>
      </c>
      <c r="F1582" s="152">
        <v>3.0</v>
      </c>
      <c r="G1582" s="152" t="s">
        <v>8479</v>
      </c>
      <c r="H1582" s="152" t="s">
        <v>8480</v>
      </c>
      <c r="I1582" s="154"/>
      <c r="J1582" s="152" t="s">
        <v>23</v>
      </c>
      <c r="K1582" s="152">
        <v>1909.0</v>
      </c>
      <c r="L1582" s="154"/>
      <c r="M1582" s="154"/>
      <c r="N1582" s="152" t="s">
        <v>8384</v>
      </c>
    </row>
    <row r="1583">
      <c r="A1583" s="152" t="s">
        <v>8494</v>
      </c>
      <c r="B1583" s="152" t="s">
        <v>8495</v>
      </c>
      <c r="C1583" s="152">
        <v>3.0</v>
      </c>
      <c r="D1583" s="152">
        <v>2.0</v>
      </c>
      <c r="E1583" s="152">
        <v>1.0</v>
      </c>
      <c r="F1583" s="152">
        <v>3.0</v>
      </c>
      <c r="G1583" s="152" t="s">
        <v>8479</v>
      </c>
      <c r="H1583" s="152" t="s">
        <v>8481</v>
      </c>
      <c r="I1583" s="154"/>
      <c r="J1583" s="152" t="s">
        <v>23</v>
      </c>
      <c r="K1583" s="152">
        <v>959.0</v>
      </c>
      <c r="L1583" s="154"/>
      <c r="M1583" s="154"/>
      <c r="N1583" s="152" t="s">
        <v>8384</v>
      </c>
    </row>
    <row r="1584">
      <c r="A1584" s="152" t="s">
        <v>8494</v>
      </c>
      <c r="B1584" s="152" t="s">
        <v>8495</v>
      </c>
      <c r="C1584" s="152">
        <v>3.0</v>
      </c>
      <c r="D1584" s="152">
        <v>3.0</v>
      </c>
      <c r="E1584" s="152">
        <v>1.0</v>
      </c>
      <c r="F1584" s="152">
        <v>3.0</v>
      </c>
      <c r="G1584" s="152" t="s">
        <v>8479</v>
      </c>
      <c r="H1584" s="152" t="s">
        <v>8482</v>
      </c>
      <c r="I1584" s="154"/>
      <c r="J1584" s="152" t="s">
        <v>23</v>
      </c>
      <c r="K1584" s="152">
        <v>2109.0</v>
      </c>
      <c r="L1584" s="154"/>
      <c r="M1584" s="154"/>
      <c r="N1584" s="152" t="s">
        <v>8384</v>
      </c>
    </row>
    <row r="1585">
      <c r="A1585" s="152" t="s">
        <v>8494</v>
      </c>
      <c r="B1585" s="152" t="s">
        <v>8495</v>
      </c>
      <c r="C1585" s="152">
        <v>3.0</v>
      </c>
      <c r="D1585" s="152">
        <v>4.0</v>
      </c>
      <c r="E1585" s="152">
        <v>1.0</v>
      </c>
      <c r="F1585" s="152">
        <v>3.0</v>
      </c>
      <c r="G1585" s="152" t="s">
        <v>8479</v>
      </c>
      <c r="H1585" s="152" t="s">
        <v>8483</v>
      </c>
      <c r="I1585" s="154"/>
      <c r="J1585" s="152" t="s">
        <v>23</v>
      </c>
      <c r="K1585" s="152">
        <v>2109.0</v>
      </c>
      <c r="L1585" s="154"/>
      <c r="M1585" s="154"/>
      <c r="N1585" s="152" t="s">
        <v>8384</v>
      </c>
    </row>
    <row r="1586">
      <c r="A1586" s="152" t="s">
        <v>8494</v>
      </c>
      <c r="B1586" s="152" t="s">
        <v>8495</v>
      </c>
      <c r="C1586" s="152">
        <v>3.0</v>
      </c>
      <c r="D1586" s="152">
        <v>5.0</v>
      </c>
      <c r="E1586" s="152">
        <v>1.0</v>
      </c>
      <c r="F1586" s="152">
        <v>3.0</v>
      </c>
      <c r="G1586" s="152" t="s">
        <v>8479</v>
      </c>
      <c r="H1586" s="152" t="s">
        <v>8484</v>
      </c>
      <c r="I1586" s="154"/>
      <c r="J1586" s="152" t="s">
        <v>23</v>
      </c>
      <c r="K1586" s="152">
        <v>1059.0</v>
      </c>
      <c r="L1586" s="154"/>
      <c r="M1586" s="154"/>
      <c r="N1586" s="152" t="s">
        <v>8384</v>
      </c>
    </row>
    <row r="1587">
      <c r="A1587" s="152" t="s">
        <v>8494</v>
      </c>
      <c r="B1587" s="152" t="s">
        <v>8495</v>
      </c>
      <c r="C1587" s="152">
        <v>3.0</v>
      </c>
      <c r="D1587" s="152">
        <v>6.0</v>
      </c>
      <c r="E1587" s="152">
        <v>1.0</v>
      </c>
      <c r="F1587" s="152">
        <v>3.0</v>
      </c>
      <c r="G1587" s="152" t="s">
        <v>8479</v>
      </c>
      <c r="H1587" s="152" t="s">
        <v>8485</v>
      </c>
      <c r="I1587" s="154"/>
      <c r="J1587" s="152" t="s">
        <v>23</v>
      </c>
      <c r="K1587" s="152">
        <v>1059.0</v>
      </c>
      <c r="L1587" s="154"/>
      <c r="M1587" s="154"/>
      <c r="N1587" s="152" t="s">
        <v>8384</v>
      </c>
    </row>
    <row r="1588">
      <c r="A1588" s="152" t="s">
        <v>8494</v>
      </c>
      <c r="B1588" s="152" t="s">
        <v>8495</v>
      </c>
      <c r="C1588" s="152">
        <v>3.0</v>
      </c>
      <c r="D1588" s="152">
        <v>7.0</v>
      </c>
      <c r="E1588" s="152">
        <v>1.0</v>
      </c>
      <c r="F1588" s="152">
        <v>3.0</v>
      </c>
      <c r="G1588" s="152" t="s">
        <v>8479</v>
      </c>
      <c r="H1588" s="152" t="s">
        <v>8486</v>
      </c>
      <c r="I1588" s="154"/>
      <c r="J1588" s="152" t="s">
        <v>23</v>
      </c>
      <c r="K1588" s="152">
        <v>2359.0</v>
      </c>
      <c r="L1588" s="154"/>
      <c r="M1588" s="154"/>
      <c r="N1588" s="152" t="s">
        <v>8384</v>
      </c>
    </row>
    <row r="1589">
      <c r="A1589" s="152" t="s">
        <v>8494</v>
      </c>
      <c r="B1589" s="152" t="s">
        <v>8495</v>
      </c>
      <c r="C1589" s="152">
        <v>3.0</v>
      </c>
      <c r="D1589" s="152">
        <v>8.0</v>
      </c>
      <c r="E1589" s="152">
        <v>1.0</v>
      </c>
      <c r="F1589" s="152">
        <v>3.0</v>
      </c>
      <c r="G1589" s="152" t="s">
        <v>8479</v>
      </c>
      <c r="H1589" s="152" t="s">
        <v>8487</v>
      </c>
      <c r="I1589" s="154"/>
      <c r="J1589" s="152" t="s">
        <v>23</v>
      </c>
      <c r="K1589" s="152">
        <v>2359.0</v>
      </c>
      <c r="L1589" s="154"/>
      <c r="M1589" s="154"/>
      <c r="N1589" s="152" t="s">
        <v>8384</v>
      </c>
    </row>
    <row r="1590">
      <c r="A1590" s="152" t="s">
        <v>8494</v>
      </c>
      <c r="B1590" s="152" t="s">
        <v>8495</v>
      </c>
      <c r="C1590" s="152">
        <v>3.0</v>
      </c>
      <c r="D1590" s="152">
        <v>9.0</v>
      </c>
      <c r="E1590" s="152">
        <v>1.0</v>
      </c>
      <c r="F1590" s="152">
        <v>3.0</v>
      </c>
      <c r="G1590" s="152" t="s">
        <v>8479</v>
      </c>
      <c r="H1590" s="152" t="s">
        <v>8488</v>
      </c>
      <c r="I1590" s="154"/>
      <c r="J1590" s="152" t="s">
        <v>23</v>
      </c>
      <c r="K1590" s="152">
        <v>1179.0</v>
      </c>
      <c r="L1590" s="154"/>
      <c r="M1590" s="154"/>
      <c r="N1590" s="152" t="s">
        <v>8384</v>
      </c>
    </row>
    <row r="1591">
      <c r="A1591" s="152" t="s">
        <v>8494</v>
      </c>
      <c r="B1591" s="152" t="s">
        <v>8495</v>
      </c>
      <c r="C1591" s="152">
        <v>3.0</v>
      </c>
      <c r="D1591" s="152">
        <v>10.0</v>
      </c>
      <c r="E1591" s="152">
        <v>1.0</v>
      </c>
      <c r="F1591" s="152">
        <v>3.0</v>
      </c>
      <c r="G1591" s="152" t="s">
        <v>8479</v>
      </c>
      <c r="H1591" s="152" t="s">
        <v>8489</v>
      </c>
      <c r="I1591" s="154"/>
      <c r="J1591" s="152" t="s">
        <v>23</v>
      </c>
      <c r="K1591" s="152">
        <v>1179.0</v>
      </c>
      <c r="L1591" s="154"/>
      <c r="M1591" s="154"/>
      <c r="N1591" s="152" t="s">
        <v>8384</v>
      </c>
    </row>
    <row r="1592">
      <c r="A1592" s="152" t="s">
        <v>8494</v>
      </c>
      <c r="B1592" s="152" t="s">
        <v>8495</v>
      </c>
      <c r="C1592" s="152">
        <v>3.0</v>
      </c>
      <c r="D1592" s="152">
        <v>1.0</v>
      </c>
      <c r="E1592" s="152">
        <v>1.0</v>
      </c>
      <c r="F1592" s="152">
        <v>4.0</v>
      </c>
      <c r="G1592" s="152" t="s">
        <v>8479</v>
      </c>
      <c r="H1592" s="152" t="s">
        <v>8480</v>
      </c>
      <c r="I1592" s="154"/>
      <c r="J1592" s="152" t="s">
        <v>23</v>
      </c>
      <c r="K1592" s="152">
        <v>1909.0</v>
      </c>
      <c r="L1592" s="154"/>
      <c r="M1592" s="154"/>
      <c r="N1592" s="152" t="s">
        <v>8384</v>
      </c>
    </row>
    <row r="1593">
      <c r="A1593" s="152" t="s">
        <v>8494</v>
      </c>
      <c r="B1593" s="152" t="s">
        <v>8495</v>
      </c>
      <c r="C1593" s="152">
        <v>3.0</v>
      </c>
      <c r="D1593" s="152">
        <v>2.0</v>
      </c>
      <c r="E1593" s="152">
        <v>1.0</v>
      </c>
      <c r="F1593" s="152">
        <v>4.0</v>
      </c>
      <c r="G1593" s="152" t="s">
        <v>8479</v>
      </c>
      <c r="H1593" s="152" t="s">
        <v>8481</v>
      </c>
      <c r="I1593" s="154"/>
      <c r="J1593" s="152" t="s">
        <v>23</v>
      </c>
      <c r="K1593" s="152">
        <v>959.0</v>
      </c>
      <c r="L1593" s="154"/>
      <c r="M1593" s="154"/>
      <c r="N1593" s="152" t="s">
        <v>8384</v>
      </c>
    </row>
    <row r="1594">
      <c r="A1594" s="152" t="s">
        <v>8494</v>
      </c>
      <c r="B1594" s="152" t="s">
        <v>8495</v>
      </c>
      <c r="C1594" s="152">
        <v>3.0</v>
      </c>
      <c r="D1594" s="152">
        <v>3.0</v>
      </c>
      <c r="E1594" s="152">
        <v>1.0</v>
      </c>
      <c r="F1594" s="152">
        <v>4.0</v>
      </c>
      <c r="G1594" s="152" t="s">
        <v>8479</v>
      </c>
      <c r="H1594" s="152" t="s">
        <v>8482</v>
      </c>
      <c r="I1594" s="154"/>
      <c r="J1594" s="152" t="s">
        <v>23</v>
      </c>
      <c r="K1594" s="152">
        <v>2109.0</v>
      </c>
      <c r="L1594" s="154"/>
      <c r="M1594" s="154"/>
      <c r="N1594" s="152" t="s">
        <v>8384</v>
      </c>
    </row>
    <row r="1595">
      <c r="A1595" s="152" t="s">
        <v>8494</v>
      </c>
      <c r="B1595" s="152" t="s">
        <v>8495</v>
      </c>
      <c r="C1595" s="152">
        <v>3.0</v>
      </c>
      <c r="D1595" s="152">
        <v>4.0</v>
      </c>
      <c r="E1595" s="152">
        <v>1.0</v>
      </c>
      <c r="F1595" s="152">
        <v>4.0</v>
      </c>
      <c r="G1595" s="152" t="s">
        <v>8479</v>
      </c>
      <c r="H1595" s="152" t="s">
        <v>8483</v>
      </c>
      <c r="I1595" s="154"/>
      <c r="J1595" s="152" t="s">
        <v>23</v>
      </c>
      <c r="K1595" s="152">
        <v>2109.0</v>
      </c>
      <c r="L1595" s="154"/>
      <c r="M1595" s="154"/>
      <c r="N1595" s="152" t="s">
        <v>8384</v>
      </c>
    </row>
    <row r="1596">
      <c r="A1596" s="152" t="s">
        <v>8494</v>
      </c>
      <c r="B1596" s="152" t="s">
        <v>8495</v>
      </c>
      <c r="C1596" s="152">
        <v>3.0</v>
      </c>
      <c r="D1596" s="152">
        <v>5.0</v>
      </c>
      <c r="E1596" s="152">
        <v>1.0</v>
      </c>
      <c r="F1596" s="152">
        <v>4.0</v>
      </c>
      <c r="G1596" s="152" t="s">
        <v>8479</v>
      </c>
      <c r="H1596" s="152" t="s">
        <v>8484</v>
      </c>
      <c r="I1596" s="154"/>
      <c r="J1596" s="152" t="s">
        <v>23</v>
      </c>
      <c r="K1596" s="152">
        <v>1059.0</v>
      </c>
      <c r="L1596" s="154"/>
      <c r="M1596" s="154"/>
      <c r="N1596" s="152" t="s">
        <v>8384</v>
      </c>
    </row>
    <row r="1597">
      <c r="A1597" s="152" t="s">
        <v>8494</v>
      </c>
      <c r="B1597" s="152" t="s">
        <v>8495</v>
      </c>
      <c r="C1597" s="152">
        <v>3.0</v>
      </c>
      <c r="D1597" s="152">
        <v>6.0</v>
      </c>
      <c r="E1597" s="152">
        <v>1.0</v>
      </c>
      <c r="F1597" s="152">
        <v>4.0</v>
      </c>
      <c r="G1597" s="152" t="s">
        <v>8479</v>
      </c>
      <c r="H1597" s="152" t="s">
        <v>8485</v>
      </c>
      <c r="I1597" s="154"/>
      <c r="J1597" s="152" t="s">
        <v>23</v>
      </c>
      <c r="K1597" s="152">
        <v>1059.0</v>
      </c>
      <c r="L1597" s="154"/>
      <c r="M1597" s="154"/>
      <c r="N1597" s="152" t="s">
        <v>8384</v>
      </c>
    </row>
    <row r="1598">
      <c r="A1598" s="152" t="s">
        <v>8494</v>
      </c>
      <c r="B1598" s="152" t="s">
        <v>8495</v>
      </c>
      <c r="C1598" s="152">
        <v>3.0</v>
      </c>
      <c r="D1598" s="152">
        <v>7.0</v>
      </c>
      <c r="E1598" s="152">
        <v>1.0</v>
      </c>
      <c r="F1598" s="152">
        <v>4.0</v>
      </c>
      <c r="G1598" s="152" t="s">
        <v>8479</v>
      </c>
      <c r="H1598" s="152" t="s">
        <v>8486</v>
      </c>
      <c r="I1598" s="154"/>
      <c r="J1598" s="152" t="s">
        <v>23</v>
      </c>
      <c r="K1598" s="152">
        <v>2359.0</v>
      </c>
      <c r="L1598" s="154"/>
      <c r="M1598" s="154"/>
      <c r="N1598" s="152" t="s">
        <v>8384</v>
      </c>
    </row>
    <row r="1599">
      <c r="A1599" s="152" t="s">
        <v>8494</v>
      </c>
      <c r="B1599" s="152" t="s">
        <v>8495</v>
      </c>
      <c r="C1599" s="152">
        <v>3.0</v>
      </c>
      <c r="D1599" s="152">
        <v>8.0</v>
      </c>
      <c r="E1599" s="152">
        <v>1.0</v>
      </c>
      <c r="F1599" s="152">
        <v>4.0</v>
      </c>
      <c r="G1599" s="152" t="s">
        <v>8479</v>
      </c>
      <c r="H1599" s="152" t="s">
        <v>8487</v>
      </c>
      <c r="I1599" s="154"/>
      <c r="J1599" s="152" t="s">
        <v>23</v>
      </c>
      <c r="K1599" s="152">
        <v>2359.0</v>
      </c>
      <c r="L1599" s="154"/>
      <c r="M1599" s="154"/>
      <c r="N1599" s="152" t="s">
        <v>8384</v>
      </c>
    </row>
    <row r="1600">
      <c r="A1600" s="152" t="s">
        <v>8494</v>
      </c>
      <c r="B1600" s="152" t="s">
        <v>8495</v>
      </c>
      <c r="C1600" s="152">
        <v>3.0</v>
      </c>
      <c r="D1600" s="152">
        <v>9.0</v>
      </c>
      <c r="E1600" s="152">
        <v>1.0</v>
      </c>
      <c r="F1600" s="152">
        <v>4.0</v>
      </c>
      <c r="G1600" s="152" t="s">
        <v>8479</v>
      </c>
      <c r="H1600" s="152" t="s">
        <v>8488</v>
      </c>
      <c r="I1600" s="154"/>
      <c r="J1600" s="152" t="s">
        <v>23</v>
      </c>
      <c r="K1600" s="152">
        <v>1179.0</v>
      </c>
      <c r="L1600" s="154"/>
      <c r="M1600" s="154"/>
      <c r="N1600" s="152" t="s">
        <v>8384</v>
      </c>
    </row>
    <row r="1601">
      <c r="A1601" s="152" t="s">
        <v>8494</v>
      </c>
      <c r="B1601" s="152" t="s">
        <v>8495</v>
      </c>
      <c r="C1601" s="152">
        <v>3.0</v>
      </c>
      <c r="D1601" s="152">
        <v>10.0</v>
      </c>
      <c r="E1601" s="152">
        <v>1.0</v>
      </c>
      <c r="F1601" s="152">
        <v>4.0</v>
      </c>
      <c r="G1601" s="152" t="s">
        <v>8479</v>
      </c>
      <c r="H1601" s="152" t="s">
        <v>8489</v>
      </c>
      <c r="I1601" s="154"/>
      <c r="J1601" s="152" t="s">
        <v>23</v>
      </c>
      <c r="K1601" s="152">
        <v>1179.0</v>
      </c>
      <c r="L1601" s="154"/>
      <c r="M1601" s="154"/>
      <c r="N1601" s="152" t="s">
        <v>8384</v>
      </c>
    </row>
    <row r="1602">
      <c r="A1602" s="152" t="s">
        <v>8494</v>
      </c>
      <c r="B1602" s="152" t="s">
        <v>8495</v>
      </c>
      <c r="C1602" s="152">
        <v>3.0</v>
      </c>
      <c r="D1602" s="152">
        <v>1.0</v>
      </c>
      <c r="E1602" s="152">
        <v>1.0</v>
      </c>
      <c r="F1602" s="152">
        <v>5.0</v>
      </c>
      <c r="G1602" s="152" t="s">
        <v>8479</v>
      </c>
      <c r="H1602" s="152" t="s">
        <v>8480</v>
      </c>
      <c r="I1602" s="154"/>
      <c r="J1602" s="152" t="s">
        <v>23</v>
      </c>
      <c r="K1602" s="152">
        <v>1909.0</v>
      </c>
      <c r="L1602" s="154"/>
      <c r="M1602" s="154"/>
      <c r="N1602" s="152" t="s">
        <v>8384</v>
      </c>
    </row>
    <row r="1603">
      <c r="A1603" s="152" t="s">
        <v>8494</v>
      </c>
      <c r="B1603" s="152" t="s">
        <v>8495</v>
      </c>
      <c r="C1603" s="152">
        <v>3.0</v>
      </c>
      <c r="D1603" s="152">
        <v>2.0</v>
      </c>
      <c r="E1603" s="152">
        <v>1.0</v>
      </c>
      <c r="F1603" s="152">
        <v>5.0</v>
      </c>
      <c r="G1603" s="152" t="s">
        <v>8479</v>
      </c>
      <c r="H1603" s="152" t="s">
        <v>8481</v>
      </c>
      <c r="I1603" s="154"/>
      <c r="J1603" s="152" t="s">
        <v>23</v>
      </c>
      <c r="K1603" s="152">
        <v>959.0</v>
      </c>
      <c r="L1603" s="154"/>
      <c r="M1603" s="154"/>
      <c r="N1603" s="152" t="s">
        <v>8384</v>
      </c>
    </row>
    <row r="1604">
      <c r="A1604" s="152" t="s">
        <v>8494</v>
      </c>
      <c r="B1604" s="152" t="s">
        <v>8495</v>
      </c>
      <c r="C1604" s="152">
        <v>3.0</v>
      </c>
      <c r="D1604" s="152">
        <v>3.0</v>
      </c>
      <c r="E1604" s="152">
        <v>1.0</v>
      </c>
      <c r="F1604" s="152">
        <v>5.0</v>
      </c>
      <c r="G1604" s="152" t="s">
        <v>8479</v>
      </c>
      <c r="H1604" s="152" t="s">
        <v>8482</v>
      </c>
      <c r="I1604" s="154"/>
      <c r="J1604" s="152" t="s">
        <v>23</v>
      </c>
      <c r="K1604" s="152">
        <v>2109.0</v>
      </c>
      <c r="L1604" s="154"/>
      <c r="M1604" s="154"/>
      <c r="N1604" s="152" t="s">
        <v>8384</v>
      </c>
    </row>
    <row r="1605">
      <c r="A1605" s="152" t="s">
        <v>8494</v>
      </c>
      <c r="B1605" s="152" t="s">
        <v>8495</v>
      </c>
      <c r="C1605" s="152">
        <v>3.0</v>
      </c>
      <c r="D1605" s="152">
        <v>4.0</v>
      </c>
      <c r="E1605" s="152">
        <v>1.0</v>
      </c>
      <c r="F1605" s="152">
        <v>5.0</v>
      </c>
      <c r="G1605" s="152" t="s">
        <v>8479</v>
      </c>
      <c r="H1605" s="152" t="s">
        <v>8483</v>
      </c>
      <c r="I1605" s="154"/>
      <c r="J1605" s="152" t="s">
        <v>23</v>
      </c>
      <c r="K1605" s="152">
        <v>2109.0</v>
      </c>
      <c r="L1605" s="154"/>
      <c r="M1605" s="154"/>
      <c r="N1605" s="152" t="s">
        <v>8384</v>
      </c>
    </row>
    <row r="1606">
      <c r="A1606" s="152" t="s">
        <v>8494</v>
      </c>
      <c r="B1606" s="152" t="s">
        <v>8495</v>
      </c>
      <c r="C1606" s="152">
        <v>3.0</v>
      </c>
      <c r="D1606" s="152">
        <v>5.0</v>
      </c>
      <c r="E1606" s="152">
        <v>1.0</v>
      </c>
      <c r="F1606" s="152">
        <v>5.0</v>
      </c>
      <c r="G1606" s="152" t="s">
        <v>8479</v>
      </c>
      <c r="H1606" s="152" t="s">
        <v>8484</v>
      </c>
      <c r="I1606" s="154"/>
      <c r="J1606" s="152" t="s">
        <v>23</v>
      </c>
      <c r="K1606" s="152">
        <v>1059.0</v>
      </c>
      <c r="L1606" s="154"/>
      <c r="M1606" s="154"/>
      <c r="N1606" s="152" t="s">
        <v>8384</v>
      </c>
    </row>
    <row r="1607">
      <c r="A1607" s="152" t="s">
        <v>8494</v>
      </c>
      <c r="B1607" s="152" t="s">
        <v>8495</v>
      </c>
      <c r="C1607" s="152">
        <v>3.0</v>
      </c>
      <c r="D1607" s="152">
        <v>6.0</v>
      </c>
      <c r="E1607" s="152">
        <v>1.0</v>
      </c>
      <c r="F1607" s="152">
        <v>5.0</v>
      </c>
      <c r="G1607" s="152" t="s">
        <v>8479</v>
      </c>
      <c r="H1607" s="152" t="s">
        <v>8485</v>
      </c>
      <c r="I1607" s="154"/>
      <c r="J1607" s="152" t="s">
        <v>23</v>
      </c>
      <c r="K1607" s="152">
        <v>1059.0</v>
      </c>
      <c r="L1607" s="154"/>
      <c r="M1607" s="154"/>
      <c r="N1607" s="152" t="s">
        <v>8384</v>
      </c>
    </row>
    <row r="1608">
      <c r="A1608" s="152" t="s">
        <v>8494</v>
      </c>
      <c r="B1608" s="152" t="s">
        <v>8495</v>
      </c>
      <c r="C1608" s="152">
        <v>3.0</v>
      </c>
      <c r="D1608" s="152">
        <v>7.0</v>
      </c>
      <c r="E1608" s="152">
        <v>1.0</v>
      </c>
      <c r="F1608" s="152">
        <v>5.0</v>
      </c>
      <c r="G1608" s="152" t="s">
        <v>8479</v>
      </c>
      <c r="H1608" s="152" t="s">
        <v>8486</v>
      </c>
      <c r="I1608" s="154"/>
      <c r="J1608" s="152" t="s">
        <v>23</v>
      </c>
      <c r="K1608" s="152">
        <v>2359.0</v>
      </c>
      <c r="L1608" s="154"/>
      <c r="M1608" s="154"/>
      <c r="N1608" s="152" t="s">
        <v>8384</v>
      </c>
    </row>
    <row r="1609">
      <c r="A1609" s="152" t="s">
        <v>8494</v>
      </c>
      <c r="B1609" s="152" t="s">
        <v>8495</v>
      </c>
      <c r="C1609" s="152">
        <v>3.0</v>
      </c>
      <c r="D1609" s="152">
        <v>8.0</v>
      </c>
      <c r="E1609" s="152">
        <v>1.0</v>
      </c>
      <c r="F1609" s="152">
        <v>5.0</v>
      </c>
      <c r="G1609" s="152" t="s">
        <v>8479</v>
      </c>
      <c r="H1609" s="152" t="s">
        <v>8487</v>
      </c>
      <c r="I1609" s="154"/>
      <c r="J1609" s="152" t="s">
        <v>23</v>
      </c>
      <c r="K1609" s="152">
        <v>2359.0</v>
      </c>
      <c r="L1609" s="154"/>
      <c r="M1609" s="154"/>
      <c r="N1609" s="152" t="s">
        <v>8384</v>
      </c>
    </row>
    <row r="1610">
      <c r="A1610" s="152" t="s">
        <v>8494</v>
      </c>
      <c r="B1610" s="152" t="s">
        <v>8495</v>
      </c>
      <c r="C1610" s="152">
        <v>3.0</v>
      </c>
      <c r="D1610" s="152">
        <v>9.0</v>
      </c>
      <c r="E1610" s="152">
        <v>1.0</v>
      </c>
      <c r="F1610" s="152">
        <v>5.0</v>
      </c>
      <c r="G1610" s="152" t="s">
        <v>8479</v>
      </c>
      <c r="H1610" s="152" t="s">
        <v>8488</v>
      </c>
      <c r="I1610" s="154"/>
      <c r="J1610" s="152" t="s">
        <v>23</v>
      </c>
      <c r="K1610" s="152">
        <v>1179.0</v>
      </c>
      <c r="L1610" s="154"/>
      <c r="M1610" s="154"/>
      <c r="N1610" s="152" t="s">
        <v>8384</v>
      </c>
    </row>
    <row r="1611">
      <c r="A1611" s="152" t="s">
        <v>8494</v>
      </c>
      <c r="B1611" s="152" t="s">
        <v>8495</v>
      </c>
      <c r="C1611" s="152">
        <v>3.0</v>
      </c>
      <c r="D1611" s="152">
        <v>10.0</v>
      </c>
      <c r="E1611" s="152">
        <v>1.0</v>
      </c>
      <c r="F1611" s="152">
        <v>5.0</v>
      </c>
      <c r="G1611" s="152" t="s">
        <v>8479</v>
      </c>
      <c r="H1611" s="152" t="s">
        <v>8489</v>
      </c>
      <c r="I1611" s="154"/>
      <c r="J1611" s="152" t="s">
        <v>23</v>
      </c>
      <c r="K1611" s="152">
        <v>1179.0</v>
      </c>
      <c r="L1611" s="154"/>
      <c r="M1611" s="154"/>
      <c r="N1611" s="152" t="s">
        <v>8384</v>
      </c>
    </row>
    <row r="1612">
      <c r="A1612" s="152" t="s">
        <v>8494</v>
      </c>
      <c r="B1612" s="152" t="s">
        <v>8495</v>
      </c>
      <c r="C1612" s="152">
        <v>3.0</v>
      </c>
      <c r="D1612" s="152">
        <v>1.0</v>
      </c>
      <c r="E1612" s="152">
        <v>1.0</v>
      </c>
      <c r="F1612" s="152">
        <v>6.0</v>
      </c>
      <c r="G1612" s="152" t="s">
        <v>8479</v>
      </c>
      <c r="H1612" s="152" t="s">
        <v>8480</v>
      </c>
      <c r="I1612" s="154"/>
      <c r="J1612" s="152" t="s">
        <v>23</v>
      </c>
      <c r="K1612" s="152">
        <v>2389.0</v>
      </c>
      <c r="L1612" s="154"/>
      <c r="M1612" s="154"/>
      <c r="N1612" s="152" t="s">
        <v>8384</v>
      </c>
    </row>
    <row r="1613">
      <c r="A1613" s="152" t="s">
        <v>8494</v>
      </c>
      <c r="B1613" s="152" t="s">
        <v>8495</v>
      </c>
      <c r="C1613" s="152">
        <v>3.0</v>
      </c>
      <c r="D1613" s="152">
        <v>2.0</v>
      </c>
      <c r="E1613" s="152">
        <v>1.0</v>
      </c>
      <c r="F1613" s="152">
        <v>6.0</v>
      </c>
      <c r="G1613" s="152" t="s">
        <v>8479</v>
      </c>
      <c r="H1613" s="152" t="s">
        <v>8481</v>
      </c>
      <c r="I1613" s="154"/>
      <c r="J1613" s="152" t="s">
        <v>23</v>
      </c>
      <c r="K1613" s="152">
        <v>1189.0</v>
      </c>
      <c r="L1613" s="154"/>
      <c r="M1613" s="154"/>
      <c r="N1613" s="152" t="s">
        <v>8384</v>
      </c>
    </row>
    <row r="1614">
      <c r="A1614" s="152" t="s">
        <v>8494</v>
      </c>
      <c r="B1614" s="152" t="s">
        <v>8495</v>
      </c>
      <c r="C1614" s="152">
        <v>3.0</v>
      </c>
      <c r="D1614" s="152">
        <v>3.0</v>
      </c>
      <c r="E1614" s="152">
        <v>1.0</v>
      </c>
      <c r="F1614" s="152">
        <v>6.0</v>
      </c>
      <c r="G1614" s="152" t="s">
        <v>8479</v>
      </c>
      <c r="H1614" s="152" t="s">
        <v>8482</v>
      </c>
      <c r="I1614" s="154"/>
      <c r="J1614" s="152" t="s">
        <v>23</v>
      </c>
      <c r="K1614" s="152">
        <v>2639.0</v>
      </c>
      <c r="L1614" s="154"/>
      <c r="M1614" s="154"/>
      <c r="N1614" s="152" t="s">
        <v>8384</v>
      </c>
    </row>
    <row r="1615">
      <c r="A1615" s="152" t="s">
        <v>8494</v>
      </c>
      <c r="B1615" s="152" t="s">
        <v>8495</v>
      </c>
      <c r="C1615" s="152">
        <v>3.0</v>
      </c>
      <c r="D1615" s="152">
        <v>4.0</v>
      </c>
      <c r="E1615" s="152">
        <v>1.0</v>
      </c>
      <c r="F1615" s="152">
        <v>6.0</v>
      </c>
      <c r="G1615" s="152" t="s">
        <v>8479</v>
      </c>
      <c r="H1615" s="152" t="s">
        <v>8483</v>
      </c>
      <c r="I1615" s="154"/>
      <c r="J1615" s="152" t="s">
        <v>23</v>
      </c>
      <c r="K1615" s="152">
        <v>2639.0</v>
      </c>
      <c r="L1615" s="154"/>
      <c r="M1615" s="154"/>
      <c r="N1615" s="152" t="s">
        <v>8384</v>
      </c>
    </row>
    <row r="1616">
      <c r="A1616" s="152" t="s">
        <v>8494</v>
      </c>
      <c r="B1616" s="152" t="s">
        <v>8495</v>
      </c>
      <c r="C1616" s="152">
        <v>3.0</v>
      </c>
      <c r="D1616" s="152">
        <v>5.0</v>
      </c>
      <c r="E1616" s="152">
        <v>1.0</v>
      </c>
      <c r="F1616" s="152">
        <v>6.0</v>
      </c>
      <c r="G1616" s="152" t="s">
        <v>8479</v>
      </c>
      <c r="H1616" s="152" t="s">
        <v>8484</v>
      </c>
      <c r="I1616" s="154"/>
      <c r="J1616" s="152" t="s">
        <v>23</v>
      </c>
      <c r="K1616" s="152">
        <v>1319.0</v>
      </c>
      <c r="L1616" s="154"/>
      <c r="M1616" s="154"/>
      <c r="N1616" s="152" t="s">
        <v>8384</v>
      </c>
    </row>
    <row r="1617">
      <c r="A1617" s="152" t="s">
        <v>8494</v>
      </c>
      <c r="B1617" s="152" t="s">
        <v>8495</v>
      </c>
      <c r="C1617" s="152">
        <v>3.0</v>
      </c>
      <c r="D1617" s="152">
        <v>6.0</v>
      </c>
      <c r="E1617" s="152">
        <v>1.0</v>
      </c>
      <c r="F1617" s="152">
        <v>6.0</v>
      </c>
      <c r="G1617" s="152" t="s">
        <v>8479</v>
      </c>
      <c r="H1617" s="152" t="s">
        <v>8485</v>
      </c>
      <c r="I1617" s="154"/>
      <c r="J1617" s="152" t="s">
        <v>23</v>
      </c>
      <c r="K1617" s="152">
        <v>1319.0</v>
      </c>
      <c r="L1617" s="154"/>
      <c r="M1617" s="154"/>
      <c r="N1617" s="152" t="s">
        <v>8384</v>
      </c>
    </row>
    <row r="1618">
      <c r="A1618" s="152" t="s">
        <v>8494</v>
      </c>
      <c r="B1618" s="152" t="s">
        <v>8495</v>
      </c>
      <c r="C1618" s="152">
        <v>3.0</v>
      </c>
      <c r="D1618" s="152">
        <v>7.0</v>
      </c>
      <c r="E1618" s="152">
        <v>1.0</v>
      </c>
      <c r="F1618" s="152">
        <v>6.0</v>
      </c>
      <c r="G1618" s="152" t="s">
        <v>8479</v>
      </c>
      <c r="H1618" s="152" t="s">
        <v>8486</v>
      </c>
      <c r="I1618" s="154"/>
      <c r="J1618" s="152" t="s">
        <v>23</v>
      </c>
      <c r="K1618" s="152">
        <v>2949.0</v>
      </c>
      <c r="L1618" s="154"/>
      <c r="M1618" s="154"/>
      <c r="N1618" s="152" t="s">
        <v>8384</v>
      </c>
    </row>
    <row r="1619">
      <c r="A1619" s="152" t="s">
        <v>8494</v>
      </c>
      <c r="B1619" s="152" t="s">
        <v>8495</v>
      </c>
      <c r="C1619" s="152">
        <v>3.0</v>
      </c>
      <c r="D1619" s="152">
        <v>8.0</v>
      </c>
      <c r="E1619" s="152">
        <v>1.0</v>
      </c>
      <c r="F1619" s="152">
        <v>6.0</v>
      </c>
      <c r="G1619" s="152" t="s">
        <v>8479</v>
      </c>
      <c r="H1619" s="152" t="s">
        <v>8487</v>
      </c>
      <c r="I1619" s="154"/>
      <c r="J1619" s="152" t="s">
        <v>23</v>
      </c>
      <c r="K1619" s="152">
        <v>2949.0</v>
      </c>
      <c r="L1619" s="154"/>
      <c r="M1619" s="154"/>
      <c r="N1619" s="152" t="s">
        <v>8384</v>
      </c>
    </row>
    <row r="1620">
      <c r="A1620" s="152" t="s">
        <v>8494</v>
      </c>
      <c r="B1620" s="152" t="s">
        <v>8495</v>
      </c>
      <c r="C1620" s="152">
        <v>3.0</v>
      </c>
      <c r="D1620" s="152">
        <v>9.0</v>
      </c>
      <c r="E1620" s="152">
        <v>1.0</v>
      </c>
      <c r="F1620" s="152">
        <v>6.0</v>
      </c>
      <c r="G1620" s="152" t="s">
        <v>8479</v>
      </c>
      <c r="H1620" s="152" t="s">
        <v>8488</v>
      </c>
      <c r="I1620" s="154"/>
      <c r="J1620" s="152" t="s">
        <v>23</v>
      </c>
      <c r="K1620" s="152">
        <v>1479.0</v>
      </c>
      <c r="L1620" s="154"/>
      <c r="M1620" s="154"/>
      <c r="N1620" s="152" t="s">
        <v>8384</v>
      </c>
    </row>
    <row r="1621">
      <c r="A1621" s="152" t="s">
        <v>8494</v>
      </c>
      <c r="B1621" s="152" t="s">
        <v>8495</v>
      </c>
      <c r="C1621" s="152">
        <v>3.0</v>
      </c>
      <c r="D1621" s="152">
        <v>10.0</v>
      </c>
      <c r="E1621" s="152">
        <v>1.0</v>
      </c>
      <c r="F1621" s="152">
        <v>6.0</v>
      </c>
      <c r="G1621" s="152" t="s">
        <v>8479</v>
      </c>
      <c r="H1621" s="152" t="s">
        <v>8489</v>
      </c>
      <c r="I1621" s="154"/>
      <c r="J1621" s="152" t="s">
        <v>23</v>
      </c>
      <c r="K1621" s="152">
        <v>1479.0</v>
      </c>
      <c r="L1621" s="154"/>
      <c r="M1621" s="154"/>
      <c r="N1621" s="152" t="s">
        <v>8384</v>
      </c>
    </row>
    <row r="1622">
      <c r="A1622" s="152" t="s">
        <v>8494</v>
      </c>
      <c r="B1622" s="152" t="s">
        <v>8495</v>
      </c>
      <c r="C1622" s="152">
        <v>3.0</v>
      </c>
      <c r="D1622" s="152">
        <v>1.0</v>
      </c>
      <c r="E1622" s="152">
        <v>1.0</v>
      </c>
      <c r="F1622" s="152">
        <v>7.0</v>
      </c>
      <c r="G1622" s="152" t="s">
        <v>8479</v>
      </c>
      <c r="H1622" s="152" t="s">
        <v>8480</v>
      </c>
      <c r="I1622" s="154"/>
      <c r="J1622" s="152" t="s">
        <v>23</v>
      </c>
      <c r="K1622" s="152">
        <v>2389.0</v>
      </c>
      <c r="L1622" s="154"/>
      <c r="M1622" s="154"/>
      <c r="N1622" s="152" t="s">
        <v>8384</v>
      </c>
    </row>
    <row r="1623">
      <c r="A1623" s="152" t="s">
        <v>8494</v>
      </c>
      <c r="B1623" s="152" t="s">
        <v>8495</v>
      </c>
      <c r="C1623" s="152">
        <v>3.0</v>
      </c>
      <c r="D1623" s="152">
        <v>2.0</v>
      </c>
      <c r="E1623" s="152">
        <v>1.0</v>
      </c>
      <c r="F1623" s="152">
        <v>7.0</v>
      </c>
      <c r="G1623" s="152" t="s">
        <v>8479</v>
      </c>
      <c r="H1623" s="152" t="s">
        <v>8481</v>
      </c>
      <c r="I1623" s="154"/>
      <c r="J1623" s="152" t="s">
        <v>23</v>
      </c>
      <c r="K1623" s="152">
        <v>1189.0</v>
      </c>
      <c r="L1623" s="154"/>
      <c r="M1623" s="154"/>
      <c r="N1623" s="152" t="s">
        <v>8384</v>
      </c>
    </row>
    <row r="1624">
      <c r="A1624" s="152" t="s">
        <v>8494</v>
      </c>
      <c r="B1624" s="152" t="s">
        <v>8495</v>
      </c>
      <c r="C1624" s="152">
        <v>3.0</v>
      </c>
      <c r="D1624" s="152">
        <v>3.0</v>
      </c>
      <c r="E1624" s="152">
        <v>1.0</v>
      </c>
      <c r="F1624" s="152">
        <v>7.0</v>
      </c>
      <c r="G1624" s="152" t="s">
        <v>8479</v>
      </c>
      <c r="H1624" s="152" t="s">
        <v>8482</v>
      </c>
      <c r="I1624" s="154"/>
      <c r="J1624" s="152" t="s">
        <v>23</v>
      </c>
      <c r="K1624" s="152">
        <v>2639.0</v>
      </c>
      <c r="L1624" s="154"/>
      <c r="M1624" s="154"/>
      <c r="N1624" s="152" t="s">
        <v>8384</v>
      </c>
    </row>
    <row r="1625">
      <c r="A1625" s="152" t="s">
        <v>8494</v>
      </c>
      <c r="B1625" s="152" t="s">
        <v>8495</v>
      </c>
      <c r="C1625" s="152">
        <v>3.0</v>
      </c>
      <c r="D1625" s="152">
        <v>4.0</v>
      </c>
      <c r="E1625" s="152">
        <v>1.0</v>
      </c>
      <c r="F1625" s="152">
        <v>7.0</v>
      </c>
      <c r="G1625" s="152" t="s">
        <v>8479</v>
      </c>
      <c r="H1625" s="152" t="s">
        <v>8483</v>
      </c>
      <c r="I1625" s="154"/>
      <c r="J1625" s="152" t="s">
        <v>23</v>
      </c>
      <c r="K1625" s="152">
        <v>2639.0</v>
      </c>
      <c r="L1625" s="154"/>
      <c r="M1625" s="154"/>
      <c r="N1625" s="152" t="s">
        <v>8384</v>
      </c>
    </row>
    <row r="1626">
      <c r="A1626" s="152" t="s">
        <v>8494</v>
      </c>
      <c r="B1626" s="152" t="s">
        <v>8495</v>
      </c>
      <c r="C1626" s="152">
        <v>3.0</v>
      </c>
      <c r="D1626" s="152">
        <v>5.0</v>
      </c>
      <c r="E1626" s="152">
        <v>1.0</v>
      </c>
      <c r="F1626" s="152">
        <v>7.0</v>
      </c>
      <c r="G1626" s="152" t="s">
        <v>8479</v>
      </c>
      <c r="H1626" s="152" t="s">
        <v>8484</v>
      </c>
      <c r="I1626" s="154"/>
      <c r="J1626" s="152" t="s">
        <v>23</v>
      </c>
      <c r="K1626" s="152">
        <v>1319.0</v>
      </c>
      <c r="L1626" s="154"/>
      <c r="M1626" s="154"/>
      <c r="N1626" s="152" t="s">
        <v>8384</v>
      </c>
    </row>
    <row r="1627">
      <c r="A1627" s="152" t="s">
        <v>8494</v>
      </c>
      <c r="B1627" s="152" t="s">
        <v>8495</v>
      </c>
      <c r="C1627" s="152">
        <v>3.0</v>
      </c>
      <c r="D1627" s="152">
        <v>6.0</v>
      </c>
      <c r="E1627" s="152">
        <v>1.0</v>
      </c>
      <c r="F1627" s="152">
        <v>7.0</v>
      </c>
      <c r="G1627" s="152" t="s">
        <v>8479</v>
      </c>
      <c r="H1627" s="152" t="s">
        <v>8485</v>
      </c>
      <c r="I1627" s="154"/>
      <c r="J1627" s="152" t="s">
        <v>23</v>
      </c>
      <c r="K1627" s="152">
        <v>1319.0</v>
      </c>
      <c r="L1627" s="154"/>
      <c r="M1627" s="154"/>
      <c r="N1627" s="152" t="s">
        <v>8384</v>
      </c>
    </row>
    <row r="1628">
      <c r="A1628" s="152" t="s">
        <v>8494</v>
      </c>
      <c r="B1628" s="152" t="s">
        <v>8495</v>
      </c>
      <c r="C1628" s="152">
        <v>3.0</v>
      </c>
      <c r="D1628" s="152">
        <v>7.0</v>
      </c>
      <c r="E1628" s="152">
        <v>1.0</v>
      </c>
      <c r="F1628" s="152">
        <v>7.0</v>
      </c>
      <c r="G1628" s="152" t="s">
        <v>8479</v>
      </c>
      <c r="H1628" s="152" t="s">
        <v>8486</v>
      </c>
      <c r="I1628" s="154"/>
      <c r="J1628" s="152" t="s">
        <v>23</v>
      </c>
      <c r="K1628" s="152">
        <v>2949.0</v>
      </c>
      <c r="L1628" s="154"/>
      <c r="M1628" s="154"/>
      <c r="N1628" s="152" t="s">
        <v>8384</v>
      </c>
    </row>
    <row r="1629">
      <c r="A1629" s="152" t="s">
        <v>8494</v>
      </c>
      <c r="B1629" s="152" t="s">
        <v>8495</v>
      </c>
      <c r="C1629" s="152">
        <v>3.0</v>
      </c>
      <c r="D1629" s="152">
        <v>8.0</v>
      </c>
      <c r="E1629" s="152">
        <v>1.0</v>
      </c>
      <c r="F1629" s="152">
        <v>7.0</v>
      </c>
      <c r="G1629" s="152" t="s">
        <v>8479</v>
      </c>
      <c r="H1629" s="152" t="s">
        <v>8487</v>
      </c>
      <c r="I1629" s="154"/>
      <c r="J1629" s="152" t="s">
        <v>23</v>
      </c>
      <c r="K1629" s="152">
        <v>2949.0</v>
      </c>
      <c r="L1629" s="154"/>
      <c r="M1629" s="154"/>
      <c r="N1629" s="152" t="s">
        <v>8384</v>
      </c>
    </row>
    <row r="1630">
      <c r="A1630" s="152" t="s">
        <v>8494</v>
      </c>
      <c r="B1630" s="152" t="s">
        <v>8495</v>
      </c>
      <c r="C1630" s="152">
        <v>3.0</v>
      </c>
      <c r="D1630" s="152">
        <v>9.0</v>
      </c>
      <c r="E1630" s="152">
        <v>1.0</v>
      </c>
      <c r="F1630" s="152">
        <v>7.0</v>
      </c>
      <c r="G1630" s="152" t="s">
        <v>8479</v>
      </c>
      <c r="H1630" s="152" t="s">
        <v>8488</v>
      </c>
      <c r="I1630" s="154"/>
      <c r="J1630" s="152" t="s">
        <v>23</v>
      </c>
      <c r="K1630" s="152">
        <v>1479.0</v>
      </c>
      <c r="L1630" s="154"/>
      <c r="M1630" s="154"/>
      <c r="N1630" s="152" t="s">
        <v>8384</v>
      </c>
    </row>
    <row r="1631">
      <c r="A1631" s="152" t="s">
        <v>8494</v>
      </c>
      <c r="B1631" s="152" t="s">
        <v>8495</v>
      </c>
      <c r="C1631" s="152">
        <v>3.0</v>
      </c>
      <c r="D1631" s="152">
        <v>10.0</v>
      </c>
      <c r="E1631" s="152">
        <v>1.0</v>
      </c>
      <c r="F1631" s="152">
        <v>7.0</v>
      </c>
      <c r="G1631" s="152" t="s">
        <v>8479</v>
      </c>
      <c r="H1631" s="152" t="s">
        <v>8489</v>
      </c>
      <c r="I1631" s="154"/>
      <c r="J1631" s="152" t="s">
        <v>23</v>
      </c>
      <c r="K1631" s="152">
        <v>1479.0</v>
      </c>
      <c r="L1631" s="154"/>
      <c r="M1631" s="154"/>
      <c r="N1631" s="152" t="s">
        <v>8384</v>
      </c>
    </row>
    <row r="1632">
      <c r="A1632" s="152" t="s">
        <v>8494</v>
      </c>
      <c r="B1632" s="152" t="s">
        <v>8495</v>
      </c>
      <c r="C1632" s="152">
        <v>3.0</v>
      </c>
      <c r="D1632" s="152">
        <v>1.0</v>
      </c>
      <c r="E1632" s="152">
        <v>1.0</v>
      </c>
      <c r="F1632" s="152">
        <v>8.0</v>
      </c>
      <c r="G1632" s="152" t="s">
        <v>8479</v>
      </c>
      <c r="H1632" s="152" t="s">
        <v>8480</v>
      </c>
      <c r="I1632" s="154"/>
      <c r="J1632" s="152" t="s">
        <v>23</v>
      </c>
      <c r="K1632" s="152">
        <v>2389.0</v>
      </c>
      <c r="L1632" s="154"/>
      <c r="M1632" s="154"/>
      <c r="N1632" s="152" t="s">
        <v>8384</v>
      </c>
    </row>
    <row r="1633">
      <c r="A1633" s="152" t="s">
        <v>8494</v>
      </c>
      <c r="B1633" s="152" t="s">
        <v>8495</v>
      </c>
      <c r="C1633" s="152">
        <v>3.0</v>
      </c>
      <c r="D1633" s="152">
        <v>2.0</v>
      </c>
      <c r="E1633" s="152">
        <v>1.0</v>
      </c>
      <c r="F1633" s="152">
        <v>8.0</v>
      </c>
      <c r="G1633" s="152" t="s">
        <v>8479</v>
      </c>
      <c r="H1633" s="152" t="s">
        <v>8481</v>
      </c>
      <c r="I1633" s="154"/>
      <c r="J1633" s="152" t="s">
        <v>23</v>
      </c>
      <c r="K1633" s="152">
        <v>1189.0</v>
      </c>
      <c r="L1633" s="154"/>
      <c r="M1633" s="154"/>
      <c r="N1633" s="152" t="s">
        <v>8384</v>
      </c>
    </row>
    <row r="1634">
      <c r="A1634" s="152" t="s">
        <v>8494</v>
      </c>
      <c r="B1634" s="152" t="s">
        <v>8495</v>
      </c>
      <c r="C1634" s="152">
        <v>3.0</v>
      </c>
      <c r="D1634" s="152">
        <v>3.0</v>
      </c>
      <c r="E1634" s="152">
        <v>1.0</v>
      </c>
      <c r="F1634" s="152">
        <v>8.0</v>
      </c>
      <c r="G1634" s="152" t="s">
        <v>8479</v>
      </c>
      <c r="H1634" s="152" t="s">
        <v>8482</v>
      </c>
      <c r="I1634" s="154"/>
      <c r="J1634" s="152" t="s">
        <v>23</v>
      </c>
      <c r="K1634" s="152">
        <v>2639.0</v>
      </c>
      <c r="L1634" s="154"/>
      <c r="M1634" s="154"/>
      <c r="N1634" s="152" t="s">
        <v>8384</v>
      </c>
    </row>
    <row r="1635">
      <c r="A1635" s="152" t="s">
        <v>8494</v>
      </c>
      <c r="B1635" s="152" t="s">
        <v>8495</v>
      </c>
      <c r="C1635" s="152">
        <v>3.0</v>
      </c>
      <c r="D1635" s="152">
        <v>4.0</v>
      </c>
      <c r="E1635" s="152">
        <v>1.0</v>
      </c>
      <c r="F1635" s="152">
        <v>8.0</v>
      </c>
      <c r="G1635" s="152" t="s">
        <v>8479</v>
      </c>
      <c r="H1635" s="152" t="s">
        <v>8483</v>
      </c>
      <c r="I1635" s="154"/>
      <c r="J1635" s="152" t="s">
        <v>23</v>
      </c>
      <c r="K1635" s="152">
        <v>2639.0</v>
      </c>
      <c r="L1635" s="154"/>
      <c r="M1635" s="154"/>
      <c r="N1635" s="152" t="s">
        <v>8384</v>
      </c>
    </row>
    <row r="1636">
      <c r="A1636" s="152" t="s">
        <v>8494</v>
      </c>
      <c r="B1636" s="152" t="s">
        <v>8495</v>
      </c>
      <c r="C1636" s="152">
        <v>3.0</v>
      </c>
      <c r="D1636" s="152">
        <v>5.0</v>
      </c>
      <c r="E1636" s="152">
        <v>1.0</v>
      </c>
      <c r="F1636" s="152">
        <v>8.0</v>
      </c>
      <c r="G1636" s="152" t="s">
        <v>8479</v>
      </c>
      <c r="H1636" s="152" t="s">
        <v>8484</v>
      </c>
      <c r="I1636" s="154"/>
      <c r="J1636" s="152" t="s">
        <v>23</v>
      </c>
      <c r="K1636" s="152">
        <v>1319.0</v>
      </c>
      <c r="L1636" s="154"/>
      <c r="M1636" s="154"/>
      <c r="N1636" s="152" t="s">
        <v>8384</v>
      </c>
    </row>
    <row r="1637">
      <c r="A1637" s="152" t="s">
        <v>8494</v>
      </c>
      <c r="B1637" s="152" t="s">
        <v>8495</v>
      </c>
      <c r="C1637" s="152">
        <v>3.0</v>
      </c>
      <c r="D1637" s="152">
        <v>6.0</v>
      </c>
      <c r="E1637" s="152">
        <v>1.0</v>
      </c>
      <c r="F1637" s="152">
        <v>8.0</v>
      </c>
      <c r="G1637" s="152" t="s">
        <v>8479</v>
      </c>
      <c r="H1637" s="152" t="s">
        <v>8485</v>
      </c>
      <c r="I1637" s="154"/>
      <c r="J1637" s="152" t="s">
        <v>23</v>
      </c>
      <c r="K1637" s="152">
        <v>1319.0</v>
      </c>
      <c r="L1637" s="154"/>
      <c r="M1637" s="154"/>
      <c r="N1637" s="152" t="s">
        <v>8384</v>
      </c>
    </row>
    <row r="1638">
      <c r="A1638" s="152" t="s">
        <v>8494</v>
      </c>
      <c r="B1638" s="152" t="s">
        <v>8495</v>
      </c>
      <c r="C1638" s="152">
        <v>3.0</v>
      </c>
      <c r="D1638" s="152">
        <v>7.0</v>
      </c>
      <c r="E1638" s="152">
        <v>1.0</v>
      </c>
      <c r="F1638" s="152">
        <v>8.0</v>
      </c>
      <c r="G1638" s="152" t="s">
        <v>8479</v>
      </c>
      <c r="H1638" s="152" t="s">
        <v>8486</v>
      </c>
      <c r="I1638" s="154"/>
      <c r="J1638" s="152" t="s">
        <v>23</v>
      </c>
      <c r="K1638" s="152">
        <v>2949.0</v>
      </c>
      <c r="L1638" s="154"/>
      <c r="M1638" s="154"/>
      <c r="N1638" s="152" t="s">
        <v>8384</v>
      </c>
    </row>
    <row r="1639">
      <c r="A1639" s="152" t="s">
        <v>8494</v>
      </c>
      <c r="B1639" s="152" t="s">
        <v>8495</v>
      </c>
      <c r="C1639" s="152">
        <v>3.0</v>
      </c>
      <c r="D1639" s="152">
        <v>8.0</v>
      </c>
      <c r="E1639" s="152">
        <v>1.0</v>
      </c>
      <c r="F1639" s="152">
        <v>8.0</v>
      </c>
      <c r="G1639" s="152" t="s">
        <v>8479</v>
      </c>
      <c r="H1639" s="152" t="s">
        <v>8487</v>
      </c>
      <c r="I1639" s="154"/>
      <c r="J1639" s="152" t="s">
        <v>23</v>
      </c>
      <c r="K1639" s="152">
        <v>2949.0</v>
      </c>
      <c r="L1639" s="154"/>
      <c r="M1639" s="154"/>
      <c r="N1639" s="152" t="s">
        <v>8384</v>
      </c>
    </row>
    <row r="1640">
      <c r="A1640" s="152" t="s">
        <v>8494</v>
      </c>
      <c r="B1640" s="152" t="s">
        <v>8495</v>
      </c>
      <c r="C1640" s="152">
        <v>3.0</v>
      </c>
      <c r="D1640" s="152">
        <v>9.0</v>
      </c>
      <c r="E1640" s="152">
        <v>1.0</v>
      </c>
      <c r="F1640" s="152">
        <v>8.0</v>
      </c>
      <c r="G1640" s="152" t="s">
        <v>8479</v>
      </c>
      <c r="H1640" s="152" t="s">
        <v>8488</v>
      </c>
      <c r="I1640" s="154"/>
      <c r="J1640" s="152" t="s">
        <v>23</v>
      </c>
      <c r="K1640" s="152">
        <v>1479.0</v>
      </c>
      <c r="L1640" s="154"/>
      <c r="M1640" s="154"/>
      <c r="N1640" s="152" t="s">
        <v>8384</v>
      </c>
    </row>
    <row r="1641">
      <c r="A1641" s="152" t="s">
        <v>8494</v>
      </c>
      <c r="B1641" s="152" t="s">
        <v>8495</v>
      </c>
      <c r="C1641" s="152">
        <v>3.0</v>
      </c>
      <c r="D1641" s="152">
        <v>10.0</v>
      </c>
      <c r="E1641" s="152">
        <v>1.0</v>
      </c>
      <c r="F1641" s="152">
        <v>8.0</v>
      </c>
      <c r="G1641" s="152" t="s">
        <v>8479</v>
      </c>
      <c r="H1641" s="152" t="s">
        <v>8489</v>
      </c>
      <c r="I1641" s="154"/>
      <c r="J1641" s="152" t="s">
        <v>23</v>
      </c>
      <c r="K1641" s="152">
        <v>1479.0</v>
      </c>
      <c r="L1641" s="154"/>
      <c r="M1641" s="154"/>
      <c r="N1641" s="152" t="s">
        <v>8384</v>
      </c>
    </row>
    <row r="1642">
      <c r="A1642" s="152" t="s">
        <v>8494</v>
      </c>
      <c r="B1642" s="152" t="s">
        <v>8495</v>
      </c>
      <c r="C1642" s="152">
        <v>3.0</v>
      </c>
      <c r="D1642" s="152">
        <v>1.0</v>
      </c>
      <c r="E1642" s="152">
        <v>1.0</v>
      </c>
      <c r="F1642" s="152">
        <v>9.0</v>
      </c>
      <c r="G1642" s="152" t="s">
        <v>8479</v>
      </c>
      <c r="H1642" s="152" t="s">
        <v>8480</v>
      </c>
      <c r="I1642" s="154"/>
      <c r="J1642" s="152" t="s">
        <v>23</v>
      </c>
      <c r="K1642" s="152">
        <v>2389.0</v>
      </c>
      <c r="L1642" s="154"/>
      <c r="M1642" s="154"/>
      <c r="N1642" s="152" t="s">
        <v>8384</v>
      </c>
    </row>
    <row r="1643">
      <c r="A1643" s="152" t="s">
        <v>8494</v>
      </c>
      <c r="B1643" s="152" t="s">
        <v>8495</v>
      </c>
      <c r="C1643" s="152">
        <v>3.0</v>
      </c>
      <c r="D1643" s="152">
        <v>2.0</v>
      </c>
      <c r="E1643" s="152">
        <v>1.0</v>
      </c>
      <c r="F1643" s="152">
        <v>9.0</v>
      </c>
      <c r="G1643" s="152" t="s">
        <v>8479</v>
      </c>
      <c r="H1643" s="152" t="s">
        <v>8481</v>
      </c>
      <c r="I1643" s="154"/>
      <c r="J1643" s="152" t="s">
        <v>23</v>
      </c>
      <c r="K1643" s="152">
        <v>1189.0</v>
      </c>
      <c r="L1643" s="154"/>
      <c r="M1643" s="154"/>
      <c r="N1643" s="152" t="s">
        <v>8384</v>
      </c>
    </row>
    <row r="1644">
      <c r="A1644" s="152" t="s">
        <v>8494</v>
      </c>
      <c r="B1644" s="152" t="s">
        <v>8495</v>
      </c>
      <c r="C1644" s="152">
        <v>3.0</v>
      </c>
      <c r="D1644" s="152">
        <v>3.0</v>
      </c>
      <c r="E1644" s="152">
        <v>1.0</v>
      </c>
      <c r="F1644" s="152">
        <v>9.0</v>
      </c>
      <c r="G1644" s="152" t="s">
        <v>8479</v>
      </c>
      <c r="H1644" s="152" t="s">
        <v>8482</v>
      </c>
      <c r="I1644" s="154"/>
      <c r="J1644" s="152" t="s">
        <v>23</v>
      </c>
      <c r="K1644" s="152">
        <v>2639.0</v>
      </c>
      <c r="L1644" s="154"/>
      <c r="M1644" s="154"/>
      <c r="N1644" s="152" t="s">
        <v>8384</v>
      </c>
    </row>
    <row r="1645">
      <c r="A1645" s="152" t="s">
        <v>8494</v>
      </c>
      <c r="B1645" s="152" t="s">
        <v>8495</v>
      </c>
      <c r="C1645" s="152">
        <v>3.0</v>
      </c>
      <c r="D1645" s="152">
        <v>4.0</v>
      </c>
      <c r="E1645" s="152">
        <v>1.0</v>
      </c>
      <c r="F1645" s="152">
        <v>9.0</v>
      </c>
      <c r="G1645" s="152" t="s">
        <v>8479</v>
      </c>
      <c r="H1645" s="152" t="s">
        <v>8483</v>
      </c>
      <c r="I1645" s="154"/>
      <c r="J1645" s="152" t="s">
        <v>23</v>
      </c>
      <c r="K1645" s="152">
        <v>2639.0</v>
      </c>
      <c r="L1645" s="154"/>
      <c r="M1645" s="154"/>
      <c r="N1645" s="152" t="s">
        <v>8384</v>
      </c>
    </row>
    <row r="1646">
      <c r="A1646" s="152" t="s">
        <v>8494</v>
      </c>
      <c r="B1646" s="152" t="s">
        <v>8495</v>
      </c>
      <c r="C1646" s="152">
        <v>3.0</v>
      </c>
      <c r="D1646" s="152">
        <v>5.0</v>
      </c>
      <c r="E1646" s="152">
        <v>1.0</v>
      </c>
      <c r="F1646" s="152">
        <v>9.0</v>
      </c>
      <c r="G1646" s="152" t="s">
        <v>8479</v>
      </c>
      <c r="H1646" s="152" t="s">
        <v>8484</v>
      </c>
      <c r="I1646" s="154"/>
      <c r="J1646" s="152" t="s">
        <v>23</v>
      </c>
      <c r="K1646" s="152">
        <v>1319.0</v>
      </c>
      <c r="L1646" s="154"/>
      <c r="M1646" s="154"/>
      <c r="N1646" s="152" t="s">
        <v>8384</v>
      </c>
    </row>
    <row r="1647">
      <c r="A1647" s="152" t="s">
        <v>8494</v>
      </c>
      <c r="B1647" s="152" t="s">
        <v>8495</v>
      </c>
      <c r="C1647" s="152">
        <v>3.0</v>
      </c>
      <c r="D1647" s="152">
        <v>6.0</v>
      </c>
      <c r="E1647" s="152">
        <v>1.0</v>
      </c>
      <c r="F1647" s="152">
        <v>9.0</v>
      </c>
      <c r="G1647" s="152" t="s">
        <v>8479</v>
      </c>
      <c r="H1647" s="152" t="s">
        <v>8485</v>
      </c>
      <c r="I1647" s="154"/>
      <c r="J1647" s="152" t="s">
        <v>23</v>
      </c>
      <c r="K1647" s="152">
        <v>1319.0</v>
      </c>
      <c r="L1647" s="154"/>
      <c r="M1647" s="154"/>
      <c r="N1647" s="152" t="s">
        <v>8384</v>
      </c>
    </row>
    <row r="1648">
      <c r="A1648" s="152" t="s">
        <v>8494</v>
      </c>
      <c r="B1648" s="152" t="s">
        <v>8495</v>
      </c>
      <c r="C1648" s="152">
        <v>3.0</v>
      </c>
      <c r="D1648" s="152">
        <v>7.0</v>
      </c>
      <c r="E1648" s="152">
        <v>1.0</v>
      </c>
      <c r="F1648" s="152">
        <v>9.0</v>
      </c>
      <c r="G1648" s="152" t="s">
        <v>8479</v>
      </c>
      <c r="H1648" s="152" t="s">
        <v>8486</v>
      </c>
      <c r="I1648" s="154"/>
      <c r="J1648" s="152" t="s">
        <v>23</v>
      </c>
      <c r="K1648" s="152">
        <v>2949.0</v>
      </c>
      <c r="L1648" s="154"/>
      <c r="M1648" s="154"/>
      <c r="N1648" s="152" t="s">
        <v>8384</v>
      </c>
    </row>
    <row r="1649">
      <c r="A1649" s="152" t="s">
        <v>8494</v>
      </c>
      <c r="B1649" s="152" t="s">
        <v>8495</v>
      </c>
      <c r="C1649" s="152">
        <v>3.0</v>
      </c>
      <c r="D1649" s="152">
        <v>8.0</v>
      </c>
      <c r="E1649" s="152">
        <v>1.0</v>
      </c>
      <c r="F1649" s="152">
        <v>9.0</v>
      </c>
      <c r="G1649" s="152" t="s">
        <v>8479</v>
      </c>
      <c r="H1649" s="152" t="s">
        <v>8487</v>
      </c>
      <c r="I1649" s="154"/>
      <c r="J1649" s="152" t="s">
        <v>23</v>
      </c>
      <c r="K1649" s="152">
        <v>2949.0</v>
      </c>
      <c r="L1649" s="154"/>
      <c r="M1649" s="154"/>
      <c r="N1649" s="152" t="s">
        <v>8384</v>
      </c>
    </row>
    <row r="1650">
      <c r="A1650" s="152" t="s">
        <v>8494</v>
      </c>
      <c r="B1650" s="152" t="s">
        <v>8495</v>
      </c>
      <c r="C1650" s="152">
        <v>3.0</v>
      </c>
      <c r="D1650" s="152">
        <v>9.0</v>
      </c>
      <c r="E1650" s="152">
        <v>1.0</v>
      </c>
      <c r="F1650" s="152">
        <v>9.0</v>
      </c>
      <c r="G1650" s="152" t="s">
        <v>8479</v>
      </c>
      <c r="H1650" s="152" t="s">
        <v>8488</v>
      </c>
      <c r="I1650" s="154"/>
      <c r="J1650" s="152" t="s">
        <v>23</v>
      </c>
      <c r="K1650" s="152">
        <v>1479.0</v>
      </c>
      <c r="L1650" s="154"/>
      <c r="M1650" s="154"/>
      <c r="N1650" s="152" t="s">
        <v>8384</v>
      </c>
    </row>
    <row r="1651">
      <c r="A1651" s="152" t="s">
        <v>8494</v>
      </c>
      <c r="B1651" s="152" t="s">
        <v>8495</v>
      </c>
      <c r="C1651" s="152">
        <v>3.0</v>
      </c>
      <c r="D1651" s="152">
        <v>10.0</v>
      </c>
      <c r="E1651" s="152">
        <v>1.0</v>
      </c>
      <c r="F1651" s="152">
        <v>9.0</v>
      </c>
      <c r="G1651" s="152" t="s">
        <v>8479</v>
      </c>
      <c r="H1651" s="152" t="s">
        <v>8489</v>
      </c>
      <c r="I1651" s="154"/>
      <c r="J1651" s="152" t="s">
        <v>23</v>
      </c>
      <c r="K1651" s="152">
        <v>1479.0</v>
      </c>
      <c r="L1651" s="154"/>
      <c r="M1651" s="154"/>
      <c r="N1651" s="152" t="s">
        <v>8384</v>
      </c>
    </row>
    <row r="1652">
      <c r="A1652" s="152" t="s">
        <v>8494</v>
      </c>
      <c r="B1652" s="152" t="s">
        <v>8495</v>
      </c>
      <c r="C1652" s="152">
        <v>3.0</v>
      </c>
      <c r="D1652" s="152">
        <v>1.0</v>
      </c>
      <c r="E1652" s="152">
        <v>1.0</v>
      </c>
      <c r="F1652" s="152">
        <v>10.0</v>
      </c>
      <c r="G1652" s="152" t="s">
        <v>8479</v>
      </c>
      <c r="H1652" s="152" t="s">
        <v>8480</v>
      </c>
      <c r="I1652" s="154"/>
      <c r="J1652" s="152" t="s">
        <v>23</v>
      </c>
      <c r="K1652" s="152">
        <v>2389.0</v>
      </c>
      <c r="L1652" s="154"/>
      <c r="M1652" s="154"/>
      <c r="N1652" s="152" t="s">
        <v>8384</v>
      </c>
    </row>
    <row r="1653">
      <c r="A1653" s="152" t="s">
        <v>8494</v>
      </c>
      <c r="B1653" s="152" t="s">
        <v>8495</v>
      </c>
      <c r="C1653" s="152">
        <v>3.0</v>
      </c>
      <c r="D1653" s="152">
        <v>2.0</v>
      </c>
      <c r="E1653" s="152">
        <v>1.0</v>
      </c>
      <c r="F1653" s="152">
        <v>10.0</v>
      </c>
      <c r="G1653" s="152" t="s">
        <v>8479</v>
      </c>
      <c r="H1653" s="152" t="s">
        <v>8481</v>
      </c>
      <c r="I1653" s="154"/>
      <c r="J1653" s="152" t="s">
        <v>23</v>
      </c>
      <c r="K1653" s="152">
        <v>1189.0</v>
      </c>
      <c r="L1653" s="154"/>
      <c r="M1653" s="154"/>
      <c r="N1653" s="152" t="s">
        <v>8384</v>
      </c>
    </row>
    <row r="1654">
      <c r="A1654" s="152" t="s">
        <v>8494</v>
      </c>
      <c r="B1654" s="152" t="s">
        <v>8495</v>
      </c>
      <c r="C1654" s="152">
        <v>3.0</v>
      </c>
      <c r="D1654" s="152">
        <v>3.0</v>
      </c>
      <c r="E1654" s="152">
        <v>1.0</v>
      </c>
      <c r="F1654" s="152">
        <v>10.0</v>
      </c>
      <c r="G1654" s="152" t="s">
        <v>8479</v>
      </c>
      <c r="H1654" s="152" t="s">
        <v>8482</v>
      </c>
      <c r="I1654" s="154"/>
      <c r="J1654" s="152" t="s">
        <v>23</v>
      </c>
      <c r="K1654" s="152">
        <v>2639.0</v>
      </c>
      <c r="L1654" s="154"/>
      <c r="M1654" s="154"/>
      <c r="N1654" s="152" t="s">
        <v>8384</v>
      </c>
    </row>
    <row r="1655">
      <c r="A1655" s="152" t="s">
        <v>8494</v>
      </c>
      <c r="B1655" s="152" t="s">
        <v>8495</v>
      </c>
      <c r="C1655" s="152">
        <v>3.0</v>
      </c>
      <c r="D1655" s="152">
        <v>4.0</v>
      </c>
      <c r="E1655" s="152">
        <v>1.0</v>
      </c>
      <c r="F1655" s="152">
        <v>10.0</v>
      </c>
      <c r="G1655" s="152" t="s">
        <v>8479</v>
      </c>
      <c r="H1655" s="152" t="s">
        <v>8483</v>
      </c>
      <c r="I1655" s="154"/>
      <c r="J1655" s="152" t="s">
        <v>23</v>
      </c>
      <c r="K1655" s="152">
        <v>2639.0</v>
      </c>
      <c r="L1655" s="154"/>
      <c r="M1655" s="154"/>
      <c r="N1655" s="152" t="s">
        <v>8384</v>
      </c>
    </row>
    <row r="1656">
      <c r="A1656" s="152" t="s">
        <v>8494</v>
      </c>
      <c r="B1656" s="152" t="s">
        <v>8495</v>
      </c>
      <c r="C1656" s="152">
        <v>3.0</v>
      </c>
      <c r="D1656" s="152">
        <v>5.0</v>
      </c>
      <c r="E1656" s="152">
        <v>1.0</v>
      </c>
      <c r="F1656" s="152">
        <v>10.0</v>
      </c>
      <c r="G1656" s="152" t="s">
        <v>8479</v>
      </c>
      <c r="H1656" s="152" t="s">
        <v>8484</v>
      </c>
      <c r="I1656" s="154"/>
      <c r="J1656" s="152" t="s">
        <v>23</v>
      </c>
      <c r="K1656" s="152">
        <v>1319.0</v>
      </c>
      <c r="L1656" s="154"/>
      <c r="M1656" s="154"/>
      <c r="N1656" s="152" t="s">
        <v>8384</v>
      </c>
    </row>
    <row r="1657">
      <c r="A1657" s="152" t="s">
        <v>8494</v>
      </c>
      <c r="B1657" s="152" t="s">
        <v>8495</v>
      </c>
      <c r="C1657" s="152">
        <v>3.0</v>
      </c>
      <c r="D1657" s="152">
        <v>6.0</v>
      </c>
      <c r="E1657" s="152">
        <v>1.0</v>
      </c>
      <c r="F1657" s="152">
        <v>10.0</v>
      </c>
      <c r="G1657" s="152" t="s">
        <v>8479</v>
      </c>
      <c r="H1657" s="152" t="s">
        <v>8485</v>
      </c>
      <c r="I1657" s="154"/>
      <c r="J1657" s="152" t="s">
        <v>23</v>
      </c>
      <c r="K1657" s="152">
        <v>1319.0</v>
      </c>
      <c r="L1657" s="154"/>
      <c r="M1657" s="154"/>
      <c r="N1657" s="152" t="s">
        <v>8384</v>
      </c>
    </row>
    <row r="1658">
      <c r="A1658" s="152" t="s">
        <v>8494</v>
      </c>
      <c r="B1658" s="152" t="s">
        <v>8495</v>
      </c>
      <c r="C1658" s="152">
        <v>3.0</v>
      </c>
      <c r="D1658" s="152">
        <v>7.0</v>
      </c>
      <c r="E1658" s="152">
        <v>1.0</v>
      </c>
      <c r="F1658" s="152">
        <v>10.0</v>
      </c>
      <c r="G1658" s="152" t="s">
        <v>8479</v>
      </c>
      <c r="H1658" s="152" t="s">
        <v>8486</v>
      </c>
      <c r="I1658" s="154"/>
      <c r="J1658" s="152" t="s">
        <v>23</v>
      </c>
      <c r="K1658" s="152">
        <v>2949.0</v>
      </c>
      <c r="L1658" s="154"/>
      <c r="M1658" s="154"/>
      <c r="N1658" s="152" t="s">
        <v>8384</v>
      </c>
    </row>
    <row r="1659">
      <c r="A1659" s="152" t="s">
        <v>8494</v>
      </c>
      <c r="B1659" s="152" t="s">
        <v>8495</v>
      </c>
      <c r="C1659" s="152">
        <v>3.0</v>
      </c>
      <c r="D1659" s="152">
        <v>8.0</v>
      </c>
      <c r="E1659" s="152">
        <v>1.0</v>
      </c>
      <c r="F1659" s="152">
        <v>10.0</v>
      </c>
      <c r="G1659" s="152" t="s">
        <v>8479</v>
      </c>
      <c r="H1659" s="152" t="s">
        <v>8487</v>
      </c>
      <c r="I1659" s="154"/>
      <c r="J1659" s="152" t="s">
        <v>23</v>
      </c>
      <c r="K1659" s="152">
        <v>2949.0</v>
      </c>
      <c r="L1659" s="154"/>
      <c r="M1659" s="154"/>
      <c r="N1659" s="152" t="s">
        <v>8384</v>
      </c>
    </row>
    <row r="1660">
      <c r="A1660" s="152" t="s">
        <v>8494</v>
      </c>
      <c r="B1660" s="152" t="s">
        <v>8495</v>
      </c>
      <c r="C1660" s="152">
        <v>3.0</v>
      </c>
      <c r="D1660" s="152">
        <v>9.0</v>
      </c>
      <c r="E1660" s="152">
        <v>1.0</v>
      </c>
      <c r="F1660" s="152">
        <v>10.0</v>
      </c>
      <c r="G1660" s="152" t="s">
        <v>8479</v>
      </c>
      <c r="H1660" s="152" t="s">
        <v>8488</v>
      </c>
      <c r="I1660" s="154"/>
      <c r="J1660" s="152" t="s">
        <v>23</v>
      </c>
      <c r="K1660" s="152">
        <v>1479.0</v>
      </c>
      <c r="L1660" s="154"/>
      <c r="M1660" s="154"/>
      <c r="N1660" s="152" t="s">
        <v>8384</v>
      </c>
    </row>
    <row r="1661">
      <c r="A1661" s="152" t="s">
        <v>8494</v>
      </c>
      <c r="B1661" s="152" t="s">
        <v>8495</v>
      </c>
      <c r="C1661" s="152">
        <v>3.0</v>
      </c>
      <c r="D1661" s="152">
        <v>10.0</v>
      </c>
      <c r="E1661" s="152">
        <v>1.0</v>
      </c>
      <c r="F1661" s="152">
        <v>10.0</v>
      </c>
      <c r="G1661" s="152" t="s">
        <v>8479</v>
      </c>
      <c r="H1661" s="152" t="s">
        <v>8489</v>
      </c>
      <c r="I1661" s="154"/>
      <c r="J1661" s="152" t="s">
        <v>23</v>
      </c>
      <c r="K1661" s="152">
        <v>1479.0</v>
      </c>
      <c r="L1661" s="154"/>
      <c r="M1661" s="154"/>
      <c r="N1661" s="152" t="s">
        <v>8384</v>
      </c>
    </row>
    <row r="1662">
      <c r="A1662" s="152" t="s">
        <v>8496</v>
      </c>
      <c r="B1662" s="152" t="s">
        <v>8497</v>
      </c>
      <c r="C1662" s="152">
        <v>1.0</v>
      </c>
      <c r="D1662" s="152">
        <v>1.0</v>
      </c>
      <c r="E1662" s="154"/>
      <c r="F1662" s="154"/>
      <c r="G1662" s="152" t="s">
        <v>8382</v>
      </c>
      <c r="H1662" s="152" t="s">
        <v>8383</v>
      </c>
      <c r="I1662" s="154"/>
      <c r="J1662" s="154"/>
      <c r="K1662" s="154"/>
      <c r="L1662" s="154"/>
      <c r="M1662" s="154"/>
      <c r="N1662" s="152" t="s">
        <v>8384</v>
      </c>
    </row>
    <row r="1663">
      <c r="A1663" s="152" t="s">
        <v>8496</v>
      </c>
      <c r="B1663" s="152" t="s">
        <v>8497</v>
      </c>
      <c r="C1663" s="152">
        <v>1.0</v>
      </c>
      <c r="D1663" s="152">
        <v>2.0</v>
      </c>
      <c r="E1663" s="154"/>
      <c r="F1663" s="154"/>
      <c r="G1663" s="152" t="s">
        <v>8382</v>
      </c>
      <c r="H1663" s="152" t="s">
        <v>8385</v>
      </c>
      <c r="I1663" s="154"/>
      <c r="J1663" s="154"/>
      <c r="K1663" s="154"/>
      <c r="L1663" s="154"/>
      <c r="M1663" s="154"/>
      <c r="N1663" s="152" t="s">
        <v>8384</v>
      </c>
    </row>
    <row r="1664">
      <c r="A1664" s="152" t="s">
        <v>8496</v>
      </c>
      <c r="B1664" s="152" t="s">
        <v>8497</v>
      </c>
      <c r="C1664" s="152">
        <v>1.0</v>
      </c>
      <c r="D1664" s="152">
        <v>3.0</v>
      </c>
      <c r="E1664" s="154"/>
      <c r="F1664" s="154"/>
      <c r="G1664" s="152" t="s">
        <v>8382</v>
      </c>
      <c r="H1664" s="152" t="s">
        <v>8386</v>
      </c>
      <c r="I1664" s="154"/>
      <c r="J1664" s="154"/>
      <c r="K1664" s="154"/>
      <c r="L1664" s="154"/>
      <c r="M1664" s="154"/>
      <c r="N1664" s="152" t="s">
        <v>8384</v>
      </c>
    </row>
    <row r="1665">
      <c r="A1665" s="152" t="s">
        <v>8496</v>
      </c>
      <c r="B1665" s="152" t="s">
        <v>8497</v>
      </c>
      <c r="C1665" s="152">
        <v>1.0</v>
      </c>
      <c r="D1665" s="152">
        <v>4.0</v>
      </c>
      <c r="E1665" s="154"/>
      <c r="F1665" s="154"/>
      <c r="G1665" s="152" t="s">
        <v>8382</v>
      </c>
      <c r="H1665" s="152" t="s">
        <v>8387</v>
      </c>
      <c r="I1665" s="154"/>
      <c r="J1665" s="154"/>
      <c r="K1665" s="154"/>
      <c r="L1665" s="154"/>
      <c r="M1665" s="154"/>
      <c r="N1665" s="152" t="s">
        <v>8384</v>
      </c>
    </row>
    <row r="1666">
      <c r="A1666" s="152" t="s">
        <v>8496</v>
      </c>
      <c r="B1666" s="152" t="s">
        <v>8497</v>
      </c>
      <c r="C1666" s="152">
        <v>1.0</v>
      </c>
      <c r="D1666" s="152">
        <v>5.0</v>
      </c>
      <c r="E1666" s="154"/>
      <c r="F1666" s="154"/>
      <c r="G1666" s="152" t="s">
        <v>8382</v>
      </c>
      <c r="H1666" s="152" t="s">
        <v>8388</v>
      </c>
      <c r="I1666" s="154"/>
      <c r="J1666" s="154"/>
      <c r="K1666" s="154"/>
      <c r="L1666" s="154"/>
      <c r="M1666" s="154"/>
      <c r="N1666" s="152" t="s">
        <v>8384</v>
      </c>
    </row>
    <row r="1667">
      <c r="A1667" s="152" t="s">
        <v>8496</v>
      </c>
      <c r="B1667" s="152" t="s">
        <v>8497</v>
      </c>
      <c r="C1667" s="152">
        <v>1.0</v>
      </c>
      <c r="D1667" s="152">
        <v>6.0</v>
      </c>
      <c r="E1667" s="154"/>
      <c r="F1667" s="154"/>
      <c r="G1667" s="152" t="s">
        <v>8382</v>
      </c>
      <c r="H1667" s="152" t="s">
        <v>8389</v>
      </c>
      <c r="I1667" s="154"/>
      <c r="J1667" s="154"/>
      <c r="K1667" s="154"/>
      <c r="L1667" s="154"/>
      <c r="M1667" s="154"/>
      <c r="N1667" s="152" t="s">
        <v>8384</v>
      </c>
    </row>
    <row r="1668">
      <c r="A1668" s="152" t="s">
        <v>8496</v>
      </c>
      <c r="B1668" s="152" t="s">
        <v>8497</v>
      </c>
      <c r="C1668" s="152">
        <v>1.0</v>
      </c>
      <c r="D1668" s="152">
        <v>7.0</v>
      </c>
      <c r="E1668" s="154"/>
      <c r="F1668" s="154"/>
      <c r="G1668" s="152" t="s">
        <v>8382</v>
      </c>
      <c r="H1668" s="152" t="s">
        <v>5767</v>
      </c>
      <c r="I1668" s="154"/>
      <c r="J1668" s="154"/>
      <c r="K1668" s="154"/>
      <c r="L1668" s="154"/>
      <c r="M1668" s="154"/>
      <c r="N1668" s="152" t="s">
        <v>8384</v>
      </c>
    </row>
    <row r="1669">
      <c r="A1669" s="152" t="s">
        <v>8496</v>
      </c>
      <c r="B1669" s="152" t="s">
        <v>8497</v>
      </c>
      <c r="C1669" s="152">
        <v>1.0</v>
      </c>
      <c r="D1669" s="152">
        <v>8.0</v>
      </c>
      <c r="E1669" s="154"/>
      <c r="F1669" s="154"/>
      <c r="G1669" s="152" t="s">
        <v>8382</v>
      </c>
      <c r="H1669" s="152" t="s">
        <v>8390</v>
      </c>
      <c r="I1669" s="154"/>
      <c r="J1669" s="154"/>
      <c r="K1669" s="154"/>
      <c r="L1669" s="154"/>
      <c r="M1669" s="154"/>
      <c r="N1669" s="152" t="s">
        <v>8384</v>
      </c>
    </row>
    <row r="1670">
      <c r="A1670" s="152" t="s">
        <v>8496</v>
      </c>
      <c r="B1670" s="152" t="s">
        <v>8497</v>
      </c>
      <c r="C1670" s="152">
        <v>1.0</v>
      </c>
      <c r="D1670" s="152">
        <v>9.0</v>
      </c>
      <c r="E1670" s="154"/>
      <c r="F1670" s="154"/>
      <c r="G1670" s="152" t="s">
        <v>8382</v>
      </c>
      <c r="H1670" s="152" t="s">
        <v>8391</v>
      </c>
      <c r="I1670" s="154"/>
      <c r="J1670" s="154"/>
      <c r="K1670" s="154"/>
      <c r="L1670" s="154"/>
      <c r="M1670" s="154"/>
      <c r="N1670" s="152" t="s">
        <v>8384</v>
      </c>
    </row>
    <row r="1671">
      <c r="A1671" s="152" t="s">
        <v>8496</v>
      </c>
      <c r="B1671" s="152" t="s">
        <v>8497</v>
      </c>
      <c r="C1671" s="152">
        <v>1.0</v>
      </c>
      <c r="D1671" s="152">
        <v>10.0</v>
      </c>
      <c r="E1671" s="154"/>
      <c r="F1671" s="154"/>
      <c r="G1671" s="152" t="s">
        <v>8382</v>
      </c>
      <c r="H1671" s="152" t="s">
        <v>8392</v>
      </c>
      <c r="I1671" s="154"/>
      <c r="J1671" s="154"/>
      <c r="K1671" s="154"/>
      <c r="L1671" s="154"/>
      <c r="M1671" s="154"/>
      <c r="N1671" s="152" t="s">
        <v>8384</v>
      </c>
    </row>
    <row r="1672">
      <c r="A1672" s="152" t="s">
        <v>8496</v>
      </c>
      <c r="B1672" s="152" t="s">
        <v>8497</v>
      </c>
      <c r="C1672" s="152">
        <v>2.0</v>
      </c>
      <c r="D1672" s="152">
        <v>1.0</v>
      </c>
      <c r="E1672" s="152">
        <v>1.0</v>
      </c>
      <c r="F1672" s="152">
        <v>1.0</v>
      </c>
      <c r="G1672" s="152" t="s">
        <v>8393</v>
      </c>
      <c r="H1672" s="152" t="s">
        <v>8394</v>
      </c>
      <c r="I1672" s="152" t="s">
        <v>6862</v>
      </c>
      <c r="J1672" s="154"/>
      <c r="K1672" s="154"/>
      <c r="L1672" s="154"/>
      <c r="M1672" s="154"/>
      <c r="N1672" s="152" t="s">
        <v>8395</v>
      </c>
    </row>
    <row r="1673">
      <c r="A1673" s="152" t="s">
        <v>8496</v>
      </c>
      <c r="B1673" s="152" t="s">
        <v>8497</v>
      </c>
      <c r="C1673" s="152">
        <v>2.0</v>
      </c>
      <c r="D1673" s="152">
        <v>2.0</v>
      </c>
      <c r="E1673" s="152">
        <v>1.0</v>
      </c>
      <c r="F1673" s="152">
        <v>2.0</v>
      </c>
      <c r="G1673" s="152" t="s">
        <v>8393</v>
      </c>
      <c r="H1673" s="152" t="s">
        <v>8396</v>
      </c>
      <c r="I1673" s="152" t="s">
        <v>6893</v>
      </c>
      <c r="J1673" s="154"/>
      <c r="K1673" s="154"/>
      <c r="L1673" s="154"/>
      <c r="M1673" s="154"/>
      <c r="N1673" s="152" t="s">
        <v>8395</v>
      </c>
    </row>
    <row r="1674">
      <c r="A1674" s="152" t="s">
        <v>8496</v>
      </c>
      <c r="B1674" s="152" t="s">
        <v>8497</v>
      </c>
      <c r="C1674" s="152">
        <v>2.0</v>
      </c>
      <c r="D1674" s="152">
        <v>3.0</v>
      </c>
      <c r="E1674" s="152">
        <v>1.0</v>
      </c>
      <c r="F1674" s="152">
        <v>3.0</v>
      </c>
      <c r="G1674" s="152" t="s">
        <v>8393</v>
      </c>
      <c r="H1674" s="152" t="s">
        <v>8397</v>
      </c>
      <c r="I1674" s="152" t="s">
        <v>6796</v>
      </c>
      <c r="J1674" s="154"/>
      <c r="K1674" s="154"/>
      <c r="L1674" s="154"/>
      <c r="M1674" s="154"/>
      <c r="N1674" s="152" t="s">
        <v>8395</v>
      </c>
    </row>
    <row r="1675">
      <c r="A1675" s="152" t="s">
        <v>8496</v>
      </c>
      <c r="B1675" s="152" t="s">
        <v>8497</v>
      </c>
      <c r="C1675" s="152">
        <v>2.0</v>
      </c>
      <c r="D1675" s="152">
        <v>4.0</v>
      </c>
      <c r="E1675" s="152">
        <v>1.0</v>
      </c>
      <c r="F1675" s="152">
        <v>4.0</v>
      </c>
      <c r="G1675" s="152" t="s">
        <v>8393</v>
      </c>
      <c r="H1675" s="152" t="s">
        <v>8398</v>
      </c>
      <c r="I1675" s="152" t="s">
        <v>6726</v>
      </c>
      <c r="J1675" s="154"/>
      <c r="K1675" s="154"/>
      <c r="L1675" s="154"/>
      <c r="M1675" s="154"/>
      <c r="N1675" s="152" t="s">
        <v>8395</v>
      </c>
    </row>
    <row r="1676">
      <c r="A1676" s="152" t="s">
        <v>8496</v>
      </c>
      <c r="B1676" s="152" t="s">
        <v>8497</v>
      </c>
      <c r="C1676" s="152">
        <v>2.0</v>
      </c>
      <c r="D1676" s="152">
        <v>5.0</v>
      </c>
      <c r="E1676" s="152">
        <v>1.0</v>
      </c>
      <c r="F1676" s="152">
        <v>5.0</v>
      </c>
      <c r="G1676" s="152" t="s">
        <v>8393</v>
      </c>
      <c r="H1676" s="152" t="s">
        <v>8478</v>
      </c>
      <c r="I1676" s="152" t="s">
        <v>6924</v>
      </c>
      <c r="J1676" s="154"/>
      <c r="K1676" s="154"/>
      <c r="L1676" s="154"/>
      <c r="M1676" s="154"/>
      <c r="N1676" s="152" t="s">
        <v>8395</v>
      </c>
    </row>
    <row r="1677">
      <c r="A1677" s="152" t="s">
        <v>8496</v>
      </c>
      <c r="B1677" s="152" t="s">
        <v>8497</v>
      </c>
      <c r="C1677" s="152">
        <v>2.0</v>
      </c>
      <c r="D1677" s="152">
        <v>6.0</v>
      </c>
      <c r="E1677" s="152">
        <v>1.0</v>
      </c>
      <c r="F1677" s="152">
        <v>6.0</v>
      </c>
      <c r="G1677" s="152" t="s">
        <v>8393</v>
      </c>
      <c r="H1677" s="152" t="s">
        <v>8400</v>
      </c>
      <c r="I1677" s="152" t="s">
        <v>6893</v>
      </c>
      <c r="J1677" s="154"/>
      <c r="K1677" s="154"/>
      <c r="L1677" s="154"/>
      <c r="M1677" s="154"/>
      <c r="N1677" s="152" t="s">
        <v>8395</v>
      </c>
    </row>
    <row r="1678">
      <c r="A1678" s="152" t="s">
        <v>8496</v>
      </c>
      <c r="B1678" s="152" t="s">
        <v>8497</v>
      </c>
      <c r="C1678" s="152">
        <v>2.0</v>
      </c>
      <c r="D1678" s="152">
        <v>7.0</v>
      </c>
      <c r="E1678" s="152">
        <v>1.0</v>
      </c>
      <c r="F1678" s="152">
        <v>7.0</v>
      </c>
      <c r="G1678" s="152" t="s">
        <v>8393</v>
      </c>
      <c r="H1678" s="152" t="s">
        <v>8401</v>
      </c>
      <c r="I1678" s="152" t="s">
        <v>6796</v>
      </c>
      <c r="J1678" s="154"/>
      <c r="K1678" s="154"/>
      <c r="L1678" s="154"/>
      <c r="M1678" s="154"/>
      <c r="N1678" s="152" t="s">
        <v>8395</v>
      </c>
    </row>
    <row r="1679">
      <c r="A1679" s="152" t="s">
        <v>8496</v>
      </c>
      <c r="B1679" s="152" t="s">
        <v>8497</v>
      </c>
      <c r="C1679" s="152">
        <v>2.0</v>
      </c>
      <c r="D1679" s="152">
        <v>8.0</v>
      </c>
      <c r="E1679" s="152">
        <v>1.0</v>
      </c>
      <c r="F1679" s="152">
        <v>8.0</v>
      </c>
      <c r="G1679" s="152" t="s">
        <v>8393</v>
      </c>
      <c r="H1679" s="152" t="s">
        <v>8402</v>
      </c>
      <c r="I1679" s="152" t="s">
        <v>6831</v>
      </c>
      <c r="J1679" s="154"/>
      <c r="K1679" s="154"/>
      <c r="L1679" s="154"/>
      <c r="M1679" s="154"/>
      <c r="N1679" s="152" t="s">
        <v>8395</v>
      </c>
    </row>
    <row r="1680">
      <c r="A1680" s="152" t="s">
        <v>8496</v>
      </c>
      <c r="B1680" s="152" t="s">
        <v>8497</v>
      </c>
      <c r="C1680" s="152">
        <v>2.0</v>
      </c>
      <c r="D1680" s="152">
        <v>9.0</v>
      </c>
      <c r="E1680" s="152">
        <v>1.0</v>
      </c>
      <c r="F1680" s="152">
        <v>9.0</v>
      </c>
      <c r="G1680" s="152" t="s">
        <v>8393</v>
      </c>
      <c r="H1680" s="152" t="s">
        <v>8403</v>
      </c>
      <c r="I1680" s="152" t="s">
        <v>6836</v>
      </c>
      <c r="J1680" s="154"/>
      <c r="K1680" s="154"/>
      <c r="L1680" s="154"/>
      <c r="M1680" s="154"/>
      <c r="N1680" s="152" t="s">
        <v>8395</v>
      </c>
    </row>
    <row r="1681">
      <c r="A1681" s="152" t="s">
        <v>8496</v>
      </c>
      <c r="B1681" s="152" t="s">
        <v>8497</v>
      </c>
      <c r="C1681" s="152">
        <v>2.0</v>
      </c>
      <c r="D1681" s="152">
        <v>10.0</v>
      </c>
      <c r="E1681" s="152">
        <v>1.0</v>
      </c>
      <c r="F1681" s="152">
        <v>10.0</v>
      </c>
      <c r="G1681" s="152" t="s">
        <v>8393</v>
      </c>
      <c r="H1681" s="152" t="s">
        <v>8404</v>
      </c>
      <c r="I1681" s="152" t="s">
        <v>8405</v>
      </c>
      <c r="J1681" s="154"/>
      <c r="K1681" s="154"/>
      <c r="L1681" s="154"/>
      <c r="M1681" s="154"/>
      <c r="N1681" s="152" t="s">
        <v>8395</v>
      </c>
    </row>
    <row r="1682">
      <c r="A1682" s="152" t="s">
        <v>8496</v>
      </c>
      <c r="B1682" s="152" t="s">
        <v>8497</v>
      </c>
      <c r="C1682" s="152">
        <v>3.0</v>
      </c>
      <c r="D1682" s="152">
        <v>1.0</v>
      </c>
      <c r="E1682" s="152">
        <v>1.0</v>
      </c>
      <c r="F1682" s="152">
        <v>1.0</v>
      </c>
      <c r="G1682" s="152" t="s">
        <v>8479</v>
      </c>
      <c r="H1682" s="152" t="s">
        <v>8480</v>
      </c>
      <c r="I1682" s="154"/>
      <c r="J1682" s="152" t="s">
        <v>23</v>
      </c>
      <c r="K1682" s="152">
        <v>2929.0</v>
      </c>
      <c r="L1682" s="154"/>
      <c r="M1682" s="154"/>
      <c r="N1682" s="152" t="s">
        <v>8384</v>
      </c>
    </row>
    <row r="1683">
      <c r="A1683" s="152" t="s">
        <v>8496</v>
      </c>
      <c r="B1683" s="152" t="s">
        <v>8497</v>
      </c>
      <c r="C1683" s="152">
        <v>3.0</v>
      </c>
      <c r="D1683" s="152">
        <v>2.0</v>
      </c>
      <c r="E1683" s="152">
        <v>1.0</v>
      </c>
      <c r="F1683" s="152">
        <v>1.0</v>
      </c>
      <c r="G1683" s="152" t="s">
        <v>8479</v>
      </c>
      <c r="H1683" s="152" t="s">
        <v>8481</v>
      </c>
      <c r="I1683" s="154"/>
      <c r="J1683" s="152" t="s">
        <v>23</v>
      </c>
      <c r="K1683" s="152">
        <v>1429.0</v>
      </c>
      <c r="L1683" s="154"/>
      <c r="M1683" s="154"/>
      <c r="N1683" s="152" t="s">
        <v>8384</v>
      </c>
    </row>
    <row r="1684">
      <c r="A1684" s="152" t="s">
        <v>8496</v>
      </c>
      <c r="B1684" s="152" t="s">
        <v>8497</v>
      </c>
      <c r="C1684" s="152">
        <v>3.0</v>
      </c>
      <c r="D1684" s="152">
        <v>3.0</v>
      </c>
      <c r="E1684" s="152">
        <v>1.0</v>
      </c>
      <c r="F1684" s="152">
        <v>1.0</v>
      </c>
      <c r="G1684" s="152" t="s">
        <v>8479</v>
      </c>
      <c r="H1684" s="152" t="s">
        <v>8482</v>
      </c>
      <c r="I1684" s="154"/>
      <c r="J1684" s="152" t="s">
        <v>23</v>
      </c>
      <c r="K1684" s="152">
        <v>3309.0</v>
      </c>
      <c r="L1684" s="154"/>
      <c r="M1684" s="154"/>
      <c r="N1684" s="152" t="s">
        <v>8384</v>
      </c>
    </row>
    <row r="1685">
      <c r="A1685" s="152" t="s">
        <v>8496</v>
      </c>
      <c r="B1685" s="152" t="s">
        <v>8497</v>
      </c>
      <c r="C1685" s="152">
        <v>3.0</v>
      </c>
      <c r="D1685" s="152">
        <v>4.0</v>
      </c>
      <c r="E1685" s="152">
        <v>1.0</v>
      </c>
      <c r="F1685" s="152">
        <v>1.0</v>
      </c>
      <c r="G1685" s="152" t="s">
        <v>8479</v>
      </c>
      <c r="H1685" s="152" t="s">
        <v>8483</v>
      </c>
      <c r="I1685" s="154"/>
      <c r="J1685" s="152" t="s">
        <v>23</v>
      </c>
      <c r="K1685" s="152">
        <v>3309.0</v>
      </c>
      <c r="L1685" s="154"/>
      <c r="M1685" s="154"/>
      <c r="N1685" s="152" t="s">
        <v>8384</v>
      </c>
    </row>
    <row r="1686">
      <c r="A1686" s="152" t="s">
        <v>8496</v>
      </c>
      <c r="B1686" s="152" t="s">
        <v>8497</v>
      </c>
      <c r="C1686" s="152">
        <v>3.0</v>
      </c>
      <c r="D1686" s="152">
        <v>5.0</v>
      </c>
      <c r="E1686" s="152">
        <v>1.0</v>
      </c>
      <c r="F1686" s="152">
        <v>1.0</v>
      </c>
      <c r="G1686" s="152" t="s">
        <v>8479</v>
      </c>
      <c r="H1686" s="152" t="s">
        <v>8484</v>
      </c>
      <c r="I1686" s="154"/>
      <c r="J1686" s="152" t="s">
        <v>23</v>
      </c>
      <c r="K1686" s="152">
        <v>1599.0</v>
      </c>
      <c r="L1686" s="154"/>
      <c r="M1686" s="154"/>
      <c r="N1686" s="152" t="s">
        <v>8384</v>
      </c>
    </row>
    <row r="1687">
      <c r="A1687" s="152" t="s">
        <v>8496</v>
      </c>
      <c r="B1687" s="152" t="s">
        <v>8497</v>
      </c>
      <c r="C1687" s="152">
        <v>3.0</v>
      </c>
      <c r="D1687" s="152">
        <v>6.0</v>
      </c>
      <c r="E1687" s="152">
        <v>1.0</v>
      </c>
      <c r="F1687" s="152">
        <v>1.0</v>
      </c>
      <c r="G1687" s="152" t="s">
        <v>8479</v>
      </c>
      <c r="H1687" s="152" t="s">
        <v>8485</v>
      </c>
      <c r="I1687" s="154"/>
      <c r="J1687" s="152" t="s">
        <v>23</v>
      </c>
      <c r="K1687" s="152">
        <v>1599.0</v>
      </c>
      <c r="L1687" s="154"/>
      <c r="M1687" s="154"/>
      <c r="N1687" s="152" t="s">
        <v>8384</v>
      </c>
    </row>
    <row r="1688">
      <c r="A1688" s="152" t="s">
        <v>8496</v>
      </c>
      <c r="B1688" s="152" t="s">
        <v>8497</v>
      </c>
      <c r="C1688" s="152">
        <v>3.0</v>
      </c>
      <c r="D1688" s="152">
        <v>7.0</v>
      </c>
      <c r="E1688" s="152">
        <v>1.0</v>
      </c>
      <c r="F1688" s="152">
        <v>1.0</v>
      </c>
      <c r="G1688" s="152" t="s">
        <v>8479</v>
      </c>
      <c r="H1688" s="152" t="s">
        <v>8486</v>
      </c>
      <c r="I1688" s="154"/>
      <c r="J1688" s="152" t="s">
        <v>23</v>
      </c>
      <c r="K1688" s="152">
        <v>3749.0</v>
      </c>
      <c r="L1688" s="154"/>
      <c r="M1688" s="154"/>
      <c r="N1688" s="152" t="s">
        <v>8384</v>
      </c>
    </row>
    <row r="1689">
      <c r="A1689" s="152" t="s">
        <v>8496</v>
      </c>
      <c r="B1689" s="152" t="s">
        <v>8497</v>
      </c>
      <c r="C1689" s="152">
        <v>3.0</v>
      </c>
      <c r="D1689" s="152">
        <v>8.0</v>
      </c>
      <c r="E1689" s="152">
        <v>1.0</v>
      </c>
      <c r="F1689" s="152">
        <v>1.0</v>
      </c>
      <c r="G1689" s="152" t="s">
        <v>8479</v>
      </c>
      <c r="H1689" s="152" t="s">
        <v>8487</v>
      </c>
      <c r="I1689" s="154"/>
      <c r="J1689" s="152" t="s">
        <v>23</v>
      </c>
      <c r="K1689" s="152">
        <v>3749.0</v>
      </c>
      <c r="L1689" s="154"/>
      <c r="M1689" s="154"/>
      <c r="N1689" s="152" t="s">
        <v>8384</v>
      </c>
    </row>
    <row r="1690">
      <c r="A1690" s="152" t="s">
        <v>8496</v>
      </c>
      <c r="B1690" s="152" t="s">
        <v>8497</v>
      </c>
      <c r="C1690" s="152">
        <v>3.0</v>
      </c>
      <c r="D1690" s="152">
        <v>9.0</v>
      </c>
      <c r="E1690" s="152">
        <v>1.0</v>
      </c>
      <c r="F1690" s="152">
        <v>1.0</v>
      </c>
      <c r="G1690" s="152" t="s">
        <v>8479</v>
      </c>
      <c r="H1690" s="152" t="s">
        <v>8488</v>
      </c>
      <c r="I1690" s="154"/>
      <c r="J1690" s="152" t="s">
        <v>23</v>
      </c>
      <c r="K1690" s="152">
        <v>1799.0</v>
      </c>
      <c r="L1690" s="154"/>
      <c r="M1690" s="154"/>
      <c r="N1690" s="152" t="s">
        <v>8384</v>
      </c>
    </row>
    <row r="1691">
      <c r="A1691" s="152" t="s">
        <v>8496</v>
      </c>
      <c r="B1691" s="152" t="s">
        <v>8497</v>
      </c>
      <c r="C1691" s="152">
        <v>3.0</v>
      </c>
      <c r="D1691" s="152">
        <v>10.0</v>
      </c>
      <c r="E1691" s="152">
        <v>1.0</v>
      </c>
      <c r="F1691" s="152">
        <v>1.0</v>
      </c>
      <c r="G1691" s="152" t="s">
        <v>8479</v>
      </c>
      <c r="H1691" s="152" t="s">
        <v>8489</v>
      </c>
      <c r="I1691" s="154"/>
      <c r="J1691" s="152" t="s">
        <v>23</v>
      </c>
      <c r="K1691" s="152">
        <v>1799.0</v>
      </c>
      <c r="L1691" s="154"/>
      <c r="M1691" s="154"/>
      <c r="N1691" s="152" t="s">
        <v>8384</v>
      </c>
    </row>
    <row r="1692">
      <c r="A1692" s="152" t="s">
        <v>8496</v>
      </c>
      <c r="B1692" s="152" t="s">
        <v>8497</v>
      </c>
      <c r="C1692" s="152">
        <v>3.0</v>
      </c>
      <c r="D1692" s="152">
        <v>1.0</v>
      </c>
      <c r="E1692" s="152">
        <v>1.0</v>
      </c>
      <c r="F1692" s="152">
        <v>2.0</v>
      </c>
      <c r="G1692" s="152" t="s">
        <v>8479</v>
      </c>
      <c r="H1692" s="152" t="s">
        <v>8480</v>
      </c>
      <c r="I1692" s="154"/>
      <c r="J1692" s="152" t="s">
        <v>23</v>
      </c>
      <c r="K1692" s="152">
        <v>3239.0</v>
      </c>
      <c r="L1692" s="154"/>
      <c r="M1692" s="154"/>
      <c r="N1692" s="152" t="s">
        <v>8384</v>
      </c>
    </row>
    <row r="1693">
      <c r="A1693" s="152" t="s">
        <v>8496</v>
      </c>
      <c r="B1693" s="152" t="s">
        <v>8497</v>
      </c>
      <c r="C1693" s="152">
        <v>3.0</v>
      </c>
      <c r="D1693" s="152">
        <v>2.0</v>
      </c>
      <c r="E1693" s="152">
        <v>1.0</v>
      </c>
      <c r="F1693" s="152">
        <v>2.0</v>
      </c>
      <c r="G1693" s="152" t="s">
        <v>8479</v>
      </c>
      <c r="H1693" s="152" t="s">
        <v>8481</v>
      </c>
      <c r="I1693" s="154"/>
      <c r="J1693" s="152" t="s">
        <v>23</v>
      </c>
      <c r="K1693" s="152">
        <v>1609.0</v>
      </c>
      <c r="L1693" s="154"/>
      <c r="M1693" s="154"/>
      <c r="N1693" s="152" t="s">
        <v>8384</v>
      </c>
    </row>
    <row r="1694">
      <c r="A1694" s="152" t="s">
        <v>8496</v>
      </c>
      <c r="B1694" s="152" t="s">
        <v>8497</v>
      </c>
      <c r="C1694" s="152">
        <v>3.0</v>
      </c>
      <c r="D1694" s="152">
        <v>3.0</v>
      </c>
      <c r="E1694" s="152">
        <v>1.0</v>
      </c>
      <c r="F1694" s="152">
        <v>2.0</v>
      </c>
      <c r="G1694" s="152" t="s">
        <v>8479</v>
      </c>
      <c r="H1694" s="152" t="s">
        <v>8482</v>
      </c>
      <c r="I1694" s="154"/>
      <c r="J1694" s="152" t="s">
        <v>23</v>
      </c>
      <c r="K1694" s="152">
        <v>3619.0</v>
      </c>
      <c r="L1694" s="154"/>
      <c r="M1694" s="154"/>
      <c r="N1694" s="152" t="s">
        <v>8384</v>
      </c>
    </row>
    <row r="1695">
      <c r="A1695" s="152" t="s">
        <v>8496</v>
      </c>
      <c r="B1695" s="152" t="s">
        <v>8497</v>
      </c>
      <c r="C1695" s="152">
        <v>3.0</v>
      </c>
      <c r="D1695" s="152">
        <v>4.0</v>
      </c>
      <c r="E1695" s="152">
        <v>1.0</v>
      </c>
      <c r="F1695" s="152">
        <v>2.0</v>
      </c>
      <c r="G1695" s="152" t="s">
        <v>8479</v>
      </c>
      <c r="H1695" s="152" t="s">
        <v>8483</v>
      </c>
      <c r="I1695" s="154"/>
      <c r="J1695" s="152" t="s">
        <v>23</v>
      </c>
      <c r="K1695" s="152">
        <v>3619.0</v>
      </c>
      <c r="L1695" s="154"/>
      <c r="M1695" s="154"/>
      <c r="N1695" s="152" t="s">
        <v>8384</v>
      </c>
    </row>
    <row r="1696">
      <c r="A1696" s="152" t="s">
        <v>8496</v>
      </c>
      <c r="B1696" s="152" t="s">
        <v>8497</v>
      </c>
      <c r="C1696" s="152">
        <v>3.0</v>
      </c>
      <c r="D1696" s="152">
        <v>5.0</v>
      </c>
      <c r="E1696" s="152">
        <v>1.0</v>
      </c>
      <c r="F1696" s="152">
        <v>2.0</v>
      </c>
      <c r="G1696" s="152" t="s">
        <v>8479</v>
      </c>
      <c r="H1696" s="152" t="s">
        <v>8484</v>
      </c>
      <c r="I1696" s="154"/>
      <c r="J1696" s="152" t="s">
        <v>23</v>
      </c>
      <c r="K1696" s="152">
        <v>1829.0</v>
      </c>
      <c r="L1696" s="154"/>
      <c r="M1696" s="154"/>
      <c r="N1696" s="152" t="s">
        <v>8384</v>
      </c>
    </row>
    <row r="1697">
      <c r="A1697" s="152" t="s">
        <v>8496</v>
      </c>
      <c r="B1697" s="152" t="s">
        <v>8497</v>
      </c>
      <c r="C1697" s="152">
        <v>3.0</v>
      </c>
      <c r="D1697" s="152">
        <v>6.0</v>
      </c>
      <c r="E1697" s="152">
        <v>1.0</v>
      </c>
      <c r="F1697" s="152">
        <v>2.0</v>
      </c>
      <c r="G1697" s="152" t="s">
        <v>8479</v>
      </c>
      <c r="H1697" s="152" t="s">
        <v>8485</v>
      </c>
      <c r="I1697" s="154"/>
      <c r="J1697" s="152" t="s">
        <v>23</v>
      </c>
      <c r="K1697" s="152">
        <v>1829.0</v>
      </c>
      <c r="L1697" s="154"/>
      <c r="M1697" s="154"/>
      <c r="N1697" s="152" t="s">
        <v>8384</v>
      </c>
    </row>
    <row r="1698">
      <c r="A1698" s="152" t="s">
        <v>8496</v>
      </c>
      <c r="B1698" s="152" t="s">
        <v>8497</v>
      </c>
      <c r="C1698" s="152">
        <v>3.0</v>
      </c>
      <c r="D1698" s="152">
        <v>7.0</v>
      </c>
      <c r="E1698" s="152">
        <v>1.0</v>
      </c>
      <c r="F1698" s="152">
        <v>2.0</v>
      </c>
      <c r="G1698" s="152" t="s">
        <v>8479</v>
      </c>
      <c r="H1698" s="152" t="s">
        <v>8486</v>
      </c>
      <c r="I1698" s="154"/>
      <c r="J1698" s="152" t="s">
        <v>23</v>
      </c>
      <c r="K1698" s="152">
        <v>4029.0</v>
      </c>
      <c r="L1698" s="154"/>
      <c r="M1698" s="154"/>
      <c r="N1698" s="152" t="s">
        <v>8384</v>
      </c>
    </row>
    <row r="1699">
      <c r="A1699" s="152" t="s">
        <v>8496</v>
      </c>
      <c r="B1699" s="152" t="s">
        <v>8497</v>
      </c>
      <c r="C1699" s="152">
        <v>3.0</v>
      </c>
      <c r="D1699" s="152">
        <v>8.0</v>
      </c>
      <c r="E1699" s="152">
        <v>1.0</v>
      </c>
      <c r="F1699" s="152">
        <v>2.0</v>
      </c>
      <c r="G1699" s="152" t="s">
        <v>8479</v>
      </c>
      <c r="H1699" s="152" t="s">
        <v>8487</v>
      </c>
      <c r="I1699" s="154"/>
      <c r="J1699" s="152" t="s">
        <v>23</v>
      </c>
      <c r="K1699" s="152">
        <v>4029.0</v>
      </c>
      <c r="L1699" s="154"/>
      <c r="M1699" s="154"/>
      <c r="N1699" s="152" t="s">
        <v>8384</v>
      </c>
    </row>
    <row r="1700">
      <c r="A1700" s="152" t="s">
        <v>8496</v>
      </c>
      <c r="B1700" s="152" t="s">
        <v>8497</v>
      </c>
      <c r="C1700" s="152">
        <v>3.0</v>
      </c>
      <c r="D1700" s="152">
        <v>9.0</v>
      </c>
      <c r="E1700" s="152">
        <v>1.0</v>
      </c>
      <c r="F1700" s="152">
        <v>2.0</v>
      </c>
      <c r="G1700" s="152" t="s">
        <v>8479</v>
      </c>
      <c r="H1700" s="152" t="s">
        <v>8488</v>
      </c>
      <c r="I1700" s="154"/>
      <c r="J1700" s="152" t="s">
        <v>23</v>
      </c>
      <c r="K1700" s="152">
        <v>1979.0</v>
      </c>
      <c r="L1700" s="154"/>
      <c r="M1700" s="154"/>
      <c r="N1700" s="152" t="s">
        <v>8384</v>
      </c>
    </row>
    <row r="1701">
      <c r="A1701" s="152" t="s">
        <v>8496</v>
      </c>
      <c r="B1701" s="152" t="s">
        <v>8497</v>
      </c>
      <c r="C1701" s="152">
        <v>3.0</v>
      </c>
      <c r="D1701" s="152">
        <v>10.0</v>
      </c>
      <c r="E1701" s="152">
        <v>1.0</v>
      </c>
      <c r="F1701" s="152">
        <v>2.0</v>
      </c>
      <c r="G1701" s="152" t="s">
        <v>8479</v>
      </c>
      <c r="H1701" s="152" t="s">
        <v>8489</v>
      </c>
      <c r="I1701" s="154"/>
      <c r="J1701" s="152" t="s">
        <v>23</v>
      </c>
      <c r="K1701" s="152">
        <v>1979.0</v>
      </c>
      <c r="L1701" s="154"/>
      <c r="M1701" s="154"/>
      <c r="N1701" s="152" t="s">
        <v>8384</v>
      </c>
    </row>
    <row r="1702">
      <c r="A1702" s="152" t="s">
        <v>8496</v>
      </c>
      <c r="B1702" s="152" t="s">
        <v>8497</v>
      </c>
      <c r="C1702" s="152">
        <v>3.0</v>
      </c>
      <c r="D1702" s="152">
        <v>1.0</v>
      </c>
      <c r="E1702" s="152">
        <v>1.0</v>
      </c>
      <c r="F1702" s="152">
        <v>3.0</v>
      </c>
      <c r="G1702" s="152" t="s">
        <v>8479</v>
      </c>
      <c r="H1702" s="152" t="s">
        <v>8480</v>
      </c>
      <c r="I1702" s="154"/>
      <c r="J1702" s="152" t="s">
        <v>23</v>
      </c>
      <c r="K1702" s="152">
        <v>3239.0</v>
      </c>
      <c r="L1702" s="154"/>
      <c r="M1702" s="154"/>
      <c r="N1702" s="152" t="s">
        <v>8384</v>
      </c>
    </row>
    <row r="1703">
      <c r="A1703" s="152" t="s">
        <v>8496</v>
      </c>
      <c r="B1703" s="152" t="s">
        <v>8497</v>
      </c>
      <c r="C1703" s="152">
        <v>3.0</v>
      </c>
      <c r="D1703" s="152">
        <v>2.0</v>
      </c>
      <c r="E1703" s="152">
        <v>1.0</v>
      </c>
      <c r="F1703" s="152">
        <v>3.0</v>
      </c>
      <c r="G1703" s="152" t="s">
        <v>8479</v>
      </c>
      <c r="H1703" s="152" t="s">
        <v>8481</v>
      </c>
      <c r="I1703" s="154"/>
      <c r="J1703" s="152" t="s">
        <v>23</v>
      </c>
      <c r="K1703" s="152">
        <v>1609.0</v>
      </c>
      <c r="L1703" s="154"/>
      <c r="M1703" s="154"/>
      <c r="N1703" s="152" t="s">
        <v>8384</v>
      </c>
    </row>
    <row r="1704">
      <c r="A1704" s="152" t="s">
        <v>8496</v>
      </c>
      <c r="B1704" s="152" t="s">
        <v>8497</v>
      </c>
      <c r="C1704" s="152">
        <v>3.0</v>
      </c>
      <c r="D1704" s="152">
        <v>3.0</v>
      </c>
      <c r="E1704" s="152">
        <v>1.0</v>
      </c>
      <c r="F1704" s="152">
        <v>3.0</v>
      </c>
      <c r="G1704" s="152" t="s">
        <v>8479</v>
      </c>
      <c r="H1704" s="152" t="s">
        <v>8482</v>
      </c>
      <c r="I1704" s="154"/>
      <c r="J1704" s="152" t="s">
        <v>23</v>
      </c>
      <c r="K1704" s="152">
        <v>3619.0</v>
      </c>
      <c r="L1704" s="154"/>
      <c r="M1704" s="154"/>
      <c r="N1704" s="152" t="s">
        <v>8384</v>
      </c>
    </row>
    <row r="1705">
      <c r="A1705" s="152" t="s">
        <v>8496</v>
      </c>
      <c r="B1705" s="152" t="s">
        <v>8497</v>
      </c>
      <c r="C1705" s="152">
        <v>3.0</v>
      </c>
      <c r="D1705" s="152">
        <v>4.0</v>
      </c>
      <c r="E1705" s="152">
        <v>1.0</v>
      </c>
      <c r="F1705" s="152">
        <v>3.0</v>
      </c>
      <c r="G1705" s="152" t="s">
        <v>8479</v>
      </c>
      <c r="H1705" s="152" t="s">
        <v>8483</v>
      </c>
      <c r="I1705" s="154"/>
      <c r="J1705" s="152" t="s">
        <v>23</v>
      </c>
      <c r="K1705" s="152">
        <v>3619.0</v>
      </c>
      <c r="L1705" s="154"/>
      <c r="M1705" s="154"/>
      <c r="N1705" s="152" t="s">
        <v>8384</v>
      </c>
    </row>
    <row r="1706">
      <c r="A1706" s="152" t="s">
        <v>8496</v>
      </c>
      <c r="B1706" s="152" t="s">
        <v>8497</v>
      </c>
      <c r="C1706" s="152">
        <v>3.0</v>
      </c>
      <c r="D1706" s="152">
        <v>5.0</v>
      </c>
      <c r="E1706" s="152">
        <v>1.0</v>
      </c>
      <c r="F1706" s="152">
        <v>3.0</v>
      </c>
      <c r="G1706" s="152" t="s">
        <v>8479</v>
      </c>
      <c r="H1706" s="152" t="s">
        <v>8484</v>
      </c>
      <c r="I1706" s="154"/>
      <c r="J1706" s="152" t="s">
        <v>23</v>
      </c>
      <c r="K1706" s="152">
        <v>1829.0</v>
      </c>
      <c r="L1706" s="154"/>
      <c r="M1706" s="154"/>
      <c r="N1706" s="152" t="s">
        <v>8384</v>
      </c>
    </row>
    <row r="1707">
      <c r="A1707" s="152" t="s">
        <v>8496</v>
      </c>
      <c r="B1707" s="152" t="s">
        <v>8497</v>
      </c>
      <c r="C1707" s="152">
        <v>3.0</v>
      </c>
      <c r="D1707" s="152">
        <v>6.0</v>
      </c>
      <c r="E1707" s="152">
        <v>1.0</v>
      </c>
      <c r="F1707" s="152">
        <v>3.0</v>
      </c>
      <c r="G1707" s="152" t="s">
        <v>8479</v>
      </c>
      <c r="H1707" s="152" t="s">
        <v>8485</v>
      </c>
      <c r="I1707" s="154"/>
      <c r="J1707" s="152" t="s">
        <v>23</v>
      </c>
      <c r="K1707" s="152">
        <v>1829.0</v>
      </c>
      <c r="L1707" s="154"/>
      <c r="M1707" s="154"/>
      <c r="N1707" s="152" t="s">
        <v>8384</v>
      </c>
    </row>
    <row r="1708">
      <c r="A1708" s="152" t="s">
        <v>8496</v>
      </c>
      <c r="B1708" s="152" t="s">
        <v>8497</v>
      </c>
      <c r="C1708" s="152">
        <v>3.0</v>
      </c>
      <c r="D1708" s="152">
        <v>7.0</v>
      </c>
      <c r="E1708" s="152">
        <v>1.0</v>
      </c>
      <c r="F1708" s="152">
        <v>3.0</v>
      </c>
      <c r="G1708" s="152" t="s">
        <v>8479</v>
      </c>
      <c r="H1708" s="152" t="s">
        <v>8486</v>
      </c>
      <c r="I1708" s="154"/>
      <c r="J1708" s="152" t="s">
        <v>23</v>
      </c>
      <c r="K1708" s="152">
        <v>4029.0</v>
      </c>
      <c r="L1708" s="154"/>
      <c r="M1708" s="154"/>
      <c r="N1708" s="152" t="s">
        <v>8384</v>
      </c>
    </row>
    <row r="1709">
      <c r="A1709" s="152" t="s">
        <v>8496</v>
      </c>
      <c r="B1709" s="152" t="s">
        <v>8497</v>
      </c>
      <c r="C1709" s="152">
        <v>3.0</v>
      </c>
      <c r="D1709" s="152">
        <v>8.0</v>
      </c>
      <c r="E1709" s="152">
        <v>1.0</v>
      </c>
      <c r="F1709" s="152">
        <v>3.0</v>
      </c>
      <c r="G1709" s="152" t="s">
        <v>8479</v>
      </c>
      <c r="H1709" s="152" t="s">
        <v>8487</v>
      </c>
      <c r="I1709" s="154"/>
      <c r="J1709" s="152" t="s">
        <v>23</v>
      </c>
      <c r="K1709" s="152">
        <v>4029.0</v>
      </c>
      <c r="L1709" s="154"/>
      <c r="M1709" s="154"/>
      <c r="N1709" s="152" t="s">
        <v>8384</v>
      </c>
    </row>
    <row r="1710">
      <c r="A1710" s="152" t="s">
        <v>8496</v>
      </c>
      <c r="B1710" s="152" t="s">
        <v>8497</v>
      </c>
      <c r="C1710" s="152">
        <v>3.0</v>
      </c>
      <c r="D1710" s="152">
        <v>9.0</v>
      </c>
      <c r="E1710" s="152">
        <v>1.0</v>
      </c>
      <c r="F1710" s="152">
        <v>3.0</v>
      </c>
      <c r="G1710" s="152" t="s">
        <v>8479</v>
      </c>
      <c r="H1710" s="152" t="s">
        <v>8488</v>
      </c>
      <c r="I1710" s="154"/>
      <c r="J1710" s="152" t="s">
        <v>23</v>
      </c>
      <c r="K1710" s="152">
        <v>1979.0</v>
      </c>
      <c r="L1710" s="154"/>
      <c r="M1710" s="154"/>
      <c r="N1710" s="152" t="s">
        <v>8384</v>
      </c>
    </row>
    <row r="1711">
      <c r="A1711" s="152" t="s">
        <v>8496</v>
      </c>
      <c r="B1711" s="152" t="s">
        <v>8497</v>
      </c>
      <c r="C1711" s="152">
        <v>3.0</v>
      </c>
      <c r="D1711" s="152">
        <v>10.0</v>
      </c>
      <c r="E1711" s="152">
        <v>1.0</v>
      </c>
      <c r="F1711" s="152">
        <v>3.0</v>
      </c>
      <c r="G1711" s="152" t="s">
        <v>8479</v>
      </c>
      <c r="H1711" s="152" t="s">
        <v>8489</v>
      </c>
      <c r="I1711" s="154"/>
      <c r="J1711" s="152" t="s">
        <v>23</v>
      </c>
      <c r="K1711" s="152">
        <v>1979.0</v>
      </c>
      <c r="L1711" s="154"/>
      <c r="M1711" s="154"/>
      <c r="N1711" s="152" t="s">
        <v>8384</v>
      </c>
    </row>
    <row r="1712">
      <c r="A1712" s="152" t="s">
        <v>8496</v>
      </c>
      <c r="B1712" s="152" t="s">
        <v>8497</v>
      </c>
      <c r="C1712" s="152">
        <v>3.0</v>
      </c>
      <c r="D1712" s="152">
        <v>1.0</v>
      </c>
      <c r="E1712" s="152">
        <v>1.0</v>
      </c>
      <c r="F1712" s="152">
        <v>4.0</v>
      </c>
      <c r="G1712" s="152" t="s">
        <v>8479</v>
      </c>
      <c r="H1712" s="152" t="s">
        <v>8480</v>
      </c>
      <c r="I1712" s="154"/>
      <c r="J1712" s="152" t="s">
        <v>23</v>
      </c>
      <c r="K1712" s="152">
        <v>3239.0</v>
      </c>
      <c r="L1712" s="154"/>
      <c r="M1712" s="154"/>
      <c r="N1712" s="152" t="s">
        <v>8384</v>
      </c>
    </row>
    <row r="1713">
      <c r="A1713" s="152" t="s">
        <v>8496</v>
      </c>
      <c r="B1713" s="152" t="s">
        <v>8497</v>
      </c>
      <c r="C1713" s="152">
        <v>3.0</v>
      </c>
      <c r="D1713" s="152">
        <v>2.0</v>
      </c>
      <c r="E1713" s="152">
        <v>1.0</v>
      </c>
      <c r="F1713" s="152">
        <v>4.0</v>
      </c>
      <c r="G1713" s="152" t="s">
        <v>8479</v>
      </c>
      <c r="H1713" s="152" t="s">
        <v>8481</v>
      </c>
      <c r="I1713" s="154"/>
      <c r="J1713" s="152" t="s">
        <v>23</v>
      </c>
      <c r="K1713" s="152">
        <v>1609.0</v>
      </c>
      <c r="L1713" s="154"/>
      <c r="M1713" s="154"/>
      <c r="N1713" s="152" t="s">
        <v>8384</v>
      </c>
    </row>
    <row r="1714">
      <c r="A1714" s="152" t="s">
        <v>8496</v>
      </c>
      <c r="B1714" s="152" t="s">
        <v>8497</v>
      </c>
      <c r="C1714" s="152">
        <v>3.0</v>
      </c>
      <c r="D1714" s="152">
        <v>3.0</v>
      </c>
      <c r="E1714" s="152">
        <v>1.0</v>
      </c>
      <c r="F1714" s="152">
        <v>4.0</v>
      </c>
      <c r="G1714" s="152" t="s">
        <v>8479</v>
      </c>
      <c r="H1714" s="152" t="s">
        <v>8482</v>
      </c>
      <c r="I1714" s="154"/>
      <c r="J1714" s="152" t="s">
        <v>23</v>
      </c>
      <c r="K1714" s="152">
        <v>3619.0</v>
      </c>
      <c r="L1714" s="154"/>
      <c r="M1714" s="154"/>
      <c r="N1714" s="152" t="s">
        <v>8384</v>
      </c>
    </row>
    <row r="1715">
      <c r="A1715" s="152" t="s">
        <v>8496</v>
      </c>
      <c r="B1715" s="152" t="s">
        <v>8497</v>
      </c>
      <c r="C1715" s="152">
        <v>3.0</v>
      </c>
      <c r="D1715" s="152">
        <v>4.0</v>
      </c>
      <c r="E1715" s="152">
        <v>1.0</v>
      </c>
      <c r="F1715" s="152">
        <v>4.0</v>
      </c>
      <c r="G1715" s="152" t="s">
        <v>8479</v>
      </c>
      <c r="H1715" s="152" t="s">
        <v>8483</v>
      </c>
      <c r="I1715" s="154"/>
      <c r="J1715" s="152" t="s">
        <v>23</v>
      </c>
      <c r="K1715" s="152">
        <v>3619.0</v>
      </c>
      <c r="L1715" s="154"/>
      <c r="M1715" s="154"/>
      <c r="N1715" s="152" t="s">
        <v>8384</v>
      </c>
    </row>
    <row r="1716">
      <c r="A1716" s="152" t="s">
        <v>8496</v>
      </c>
      <c r="B1716" s="152" t="s">
        <v>8497</v>
      </c>
      <c r="C1716" s="152">
        <v>3.0</v>
      </c>
      <c r="D1716" s="152">
        <v>5.0</v>
      </c>
      <c r="E1716" s="152">
        <v>1.0</v>
      </c>
      <c r="F1716" s="152">
        <v>4.0</v>
      </c>
      <c r="G1716" s="152" t="s">
        <v>8479</v>
      </c>
      <c r="H1716" s="152" t="s">
        <v>8484</v>
      </c>
      <c r="I1716" s="154"/>
      <c r="J1716" s="152" t="s">
        <v>23</v>
      </c>
      <c r="K1716" s="152">
        <v>1829.0</v>
      </c>
      <c r="L1716" s="154"/>
      <c r="M1716" s="154"/>
      <c r="N1716" s="152" t="s">
        <v>8384</v>
      </c>
    </row>
    <row r="1717">
      <c r="A1717" s="152" t="s">
        <v>8496</v>
      </c>
      <c r="B1717" s="152" t="s">
        <v>8497</v>
      </c>
      <c r="C1717" s="152">
        <v>3.0</v>
      </c>
      <c r="D1717" s="152">
        <v>6.0</v>
      </c>
      <c r="E1717" s="152">
        <v>1.0</v>
      </c>
      <c r="F1717" s="152">
        <v>4.0</v>
      </c>
      <c r="G1717" s="152" t="s">
        <v>8479</v>
      </c>
      <c r="H1717" s="152" t="s">
        <v>8485</v>
      </c>
      <c r="I1717" s="154"/>
      <c r="J1717" s="152" t="s">
        <v>23</v>
      </c>
      <c r="K1717" s="152">
        <v>1829.0</v>
      </c>
      <c r="L1717" s="154"/>
      <c r="M1717" s="154"/>
      <c r="N1717" s="152" t="s">
        <v>8384</v>
      </c>
    </row>
    <row r="1718">
      <c r="A1718" s="152" t="s">
        <v>8496</v>
      </c>
      <c r="B1718" s="152" t="s">
        <v>8497</v>
      </c>
      <c r="C1718" s="152">
        <v>3.0</v>
      </c>
      <c r="D1718" s="152">
        <v>7.0</v>
      </c>
      <c r="E1718" s="152">
        <v>1.0</v>
      </c>
      <c r="F1718" s="152">
        <v>4.0</v>
      </c>
      <c r="G1718" s="152" t="s">
        <v>8479</v>
      </c>
      <c r="H1718" s="152" t="s">
        <v>8486</v>
      </c>
      <c r="I1718" s="154"/>
      <c r="J1718" s="152" t="s">
        <v>23</v>
      </c>
      <c r="K1718" s="152">
        <v>4029.0</v>
      </c>
      <c r="L1718" s="154"/>
      <c r="M1718" s="154"/>
      <c r="N1718" s="152" t="s">
        <v>8384</v>
      </c>
    </row>
    <row r="1719">
      <c r="A1719" s="152" t="s">
        <v>8496</v>
      </c>
      <c r="B1719" s="152" t="s">
        <v>8497</v>
      </c>
      <c r="C1719" s="152">
        <v>3.0</v>
      </c>
      <c r="D1719" s="152">
        <v>8.0</v>
      </c>
      <c r="E1719" s="152">
        <v>1.0</v>
      </c>
      <c r="F1719" s="152">
        <v>4.0</v>
      </c>
      <c r="G1719" s="152" t="s">
        <v>8479</v>
      </c>
      <c r="H1719" s="152" t="s">
        <v>8487</v>
      </c>
      <c r="I1719" s="154"/>
      <c r="J1719" s="152" t="s">
        <v>23</v>
      </c>
      <c r="K1719" s="152">
        <v>4029.0</v>
      </c>
      <c r="L1719" s="154"/>
      <c r="M1719" s="154"/>
      <c r="N1719" s="152" t="s">
        <v>8384</v>
      </c>
    </row>
    <row r="1720">
      <c r="A1720" s="152" t="s">
        <v>8496</v>
      </c>
      <c r="B1720" s="152" t="s">
        <v>8497</v>
      </c>
      <c r="C1720" s="152">
        <v>3.0</v>
      </c>
      <c r="D1720" s="152">
        <v>9.0</v>
      </c>
      <c r="E1720" s="152">
        <v>1.0</v>
      </c>
      <c r="F1720" s="152">
        <v>4.0</v>
      </c>
      <c r="G1720" s="152" t="s">
        <v>8479</v>
      </c>
      <c r="H1720" s="152" t="s">
        <v>8488</v>
      </c>
      <c r="I1720" s="154"/>
      <c r="J1720" s="152" t="s">
        <v>23</v>
      </c>
      <c r="K1720" s="152">
        <v>1979.0</v>
      </c>
      <c r="L1720" s="154"/>
      <c r="M1720" s="154"/>
      <c r="N1720" s="152" t="s">
        <v>8384</v>
      </c>
    </row>
    <row r="1721">
      <c r="A1721" s="152" t="s">
        <v>8496</v>
      </c>
      <c r="B1721" s="152" t="s">
        <v>8497</v>
      </c>
      <c r="C1721" s="152">
        <v>3.0</v>
      </c>
      <c r="D1721" s="152">
        <v>10.0</v>
      </c>
      <c r="E1721" s="152">
        <v>1.0</v>
      </c>
      <c r="F1721" s="152">
        <v>4.0</v>
      </c>
      <c r="G1721" s="152" t="s">
        <v>8479</v>
      </c>
      <c r="H1721" s="152" t="s">
        <v>8489</v>
      </c>
      <c r="I1721" s="154"/>
      <c r="J1721" s="152" t="s">
        <v>23</v>
      </c>
      <c r="K1721" s="152">
        <v>1979.0</v>
      </c>
      <c r="L1721" s="154"/>
      <c r="M1721" s="154"/>
      <c r="N1721" s="152" t="s">
        <v>8384</v>
      </c>
    </row>
    <row r="1722">
      <c r="A1722" s="152" t="s">
        <v>8496</v>
      </c>
      <c r="B1722" s="152" t="s">
        <v>8497</v>
      </c>
      <c r="C1722" s="152">
        <v>3.0</v>
      </c>
      <c r="D1722" s="152">
        <v>1.0</v>
      </c>
      <c r="E1722" s="152">
        <v>1.0</v>
      </c>
      <c r="F1722" s="152">
        <v>5.0</v>
      </c>
      <c r="G1722" s="152" t="s">
        <v>8479</v>
      </c>
      <c r="H1722" s="152" t="s">
        <v>8480</v>
      </c>
      <c r="I1722" s="154"/>
      <c r="J1722" s="152" t="s">
        <v>23</v>
      </c>
      <c r="K1722" s="152">
        <v>3239.0</v>
      </c>
      <c r="L1722" s="154"/>
      <c r="M1722" s="154"/>
      <c r="N1722" s="152" t="s">
        <v>8384</v>
      </c>
    </row>
    <row r="1723">
      <c r="A1723" s="152" t="s">
        <v>8496</v>
      </c>
      <c r="B1723" s="152" t="s">
        <v>8497</v>
      </c>
      <c r="C1723" s="152">
        <v>3.0</v>
      </c>
      <c r="D1723" s="152">
        <v>2.0</v>
      </c>
      <c r="E1723" s="152">
        <v>1.0</v>
      </c>
      <c r="F1723" s="152">
        <v>5.0</v>
      </c>
      <c r="G1723" s="152" t="s">
        <v>8479</v>
      </c>
      <c r="H1723" s="152" t="s">
        <v>8481</v>
      </c>
      <c r="I1723" s="154"/>
      <c r="J1723" s="152" t="s">
        <v>23</v>
      </c>
      <c r="K1723" s="152">
        <v>1609.0</v>
      </c>
      <c r="L1723" s="154"/>
      <c r="M1723" s="154"/>
      <c r="N1723" s="152" t="s">
        <v>8384</v>
      </c>
    </row>
    <row r="1724">
      <c r="A1724" s="152" t="s">
        <v>8496</v>
      </c>
      <c r="B1724" s="152" t="s">
        <v>8497</v>
      </c>
      <c r="C1724" s="152">
        <v>3.0</v>
      </c>
      <c r="D1724" s="152">
        <v>3.0</v>
      </c>
      <c r="E1724" s="152">
        <v>1.0</v>
      </c>
      <c r="F1724" s="152">
        <v>5.0</v>
      </c>
      <c r="G1724" s="152" t="s">
        <v>8479</v>
      </c>
      <c r="H1724" s="152" t="s">
        <v>8482</v>
      </c>
      <c r="I1724" s="154"/>
      <c r="J1724" s="152" t="s">
        <v>23</v>
      </c>
      <c r="K1724" s="152">
        <v>3619.0</v>
      </c>
      <c r="L1724" s="154"/>
      <c r="M1724" s="154"/>
      <c r="N1724" s="152" t="s">
        <v>8384</v>
      </c>
    </row>
    <row r="1725">
      <c r="A1725" s="152" t="s">
        <v>8496</v>
      </c>
      <c r="B1725" s="152" t="s">
        <v>8497</v>
      </c>
      <c r="C1725" s="152">
        <v>3.0</v>
      </c>
      <c r="D1725" s="152">
        <v>4.0</v>
      </c>
      <c r="E1725" s="152">
        <v>1.0</v>
      </c>
      <c r="F1725" s="152">
        <v>5.0</v>
      </c>
      <c r="G1725" s="152" t="s">
        <v>8479</v>
      </c>
      <c r="H1725" s="152" t="s">
        <v>8483</v>
      </c>
      <c r="I1725" s="154"/>
      <c r="J1725" s="152" t="s">
        <v>23</v>
      </c>
      <c r="K1725" s="152">
        <v>3619.0</v>
      </c>
      <c r="L1725" s="154"/>
      <c r="M1725" s="154"/>
      <c r="N1725" s="152" t="s">
        <v>8384</v>
      </c>
    </row>
    <row r="1726">
      <c r="A1726" s="152" t="s">
        <v>8496</v>
      </c>
      <c r="B1726" s="152" t="s">
        <v>8497</v>
      </c>
      <c r="C1726" s="152">
        <v>3.0</v>
      </c>
      <c r="D1726" s="152">
        <v>5.0</v>
      </c>
      <c r="E1726" s="152">
        <v>1.0</v>
      </c>
      <c r="F1726" s="152">
        <v>5.0</v>
      </c>
      <c r="G1726" s="152" t="s">
        <v>8479</v>
      </c>
      <c r="H1726" s="152" t="s">
        <v>8484</v>
      </c>
      <c r="I1726" s="154"/>
      <c r="J1726" s="152" t="s">
        <v>23</v>
      </c>
      <c r="K1726" s="152">
        <v>1829.0</v>
      </c>
      <c r="L1726" s="154"/>
      <c r="M1726" s="154"/>
      <c r="N1726" s="152" t="s">
        <v>8384</v>
      </c>
    </row>
    <row r="1727">
      <c r="A1727" s="152" t="s">
        <v>8496</v>
      </c>
      <c r="B1727" s="152" t="s">
        <v>8497</v>
      </c>
      <c r="C1727" s="152">
        <v>3.0</v>
      </c>
      <c r="D1727" s="152">
        <v>6.0</v>
      </c>
      <c r="E1727" s="152">
        <v>1.0</v>
      </c>
      <c r="F1727" s="152">
        <v>5.0</v>
      </c>
      <c r="G1727" s="152" t="s">
        <v>8479</v>
      </c>
      <c r="H1727" s="152" t="s">
        <v>8485</v>
      </c>
      <c r="I1727" s="154"/>
      <c r="J1727" s="152" t="s">
        <v>23</v>
      </c>
      <c r="K1727" s="152">
        <v>1829.0</v>
      </c>
      <c r="L1727" s="154"/>
      <c r="M1727" s="154"/>
      <c r="N1727" s="152" t="s">
        <v>8384</v>
      </c>
    </row>
    <row r="1728">
      <c r="A1728" s="152" t="s">
        <v>8496</v>
      </c>
      <c r="B1728" s="152" t="s">
        <v>8497</v>
      </c>
      <c r="C1728" s="152">
        <v>3.0</v>
      </c>
      <c r="D1728" s="152">
        <v>7.0</v>
      </c>
      <c r="E1728" s="152">
        <v>1.0</v>
      </c>
      <c r="F1728" s="152">
        <v>5.0</v>
      </c>
      <c r="G1728" s="152" t="s">
        <v>8479</v>
      </c>
      <c r="H1728" s="152" t="s">
        <v>8486</v>
      </c>
      <c r="I1728" s="154"/>
      <c r="J1728" s="152" t="s">
        <v>23</v>
      </c>
      <c r="K1728" s="152">
        <v>4029.0</v>
      </c>
      <c r="L1728" s="154"/>
      <c r="M1728" s="154"/>
      <c r="N1728" s="152" t="s">
        <v>8384</v>
      </c>
    </row>
    <row r="1729">
      <c r="A1729" s="152" t="s">
        <v>8496</v>
      </c>
      <c r="B1729" s="152" t="s">
        <v>8497</v>
      </c>
      <c r="C1729" s="152">
        <v>3.0</v>
      </c>
      <c r="D1729" s="152">
        <v>8.0</v>
      </c>
      <c r="E1729" s="152">
        <v>1.0</v>
      </c>
      <c r="F1729" s="152">
        <v>5.0</v>
      </c>
      <c r="G1729" s="152" t="s">
        <v>8479</v>
      </c>
      <c r="H1729" s="152" t="s">
        <v>8487</v>
      </c>
      <c r="I1729" s="154"/>
      <c r="J1729" s="152" t="s">
        <v>23</v>
      </c>
      <c r="K1729" s="152">
        <v>4029.0</v>
      </c>
      <c r="L1729" s="154"/>
      <c r="M1729" s="154"/>
      <c r="N1729" s="152" t="s">
        <v>8384</v>
      </c>
    </row>
    <row r="1730">
      <c r="A1730" s="152" t="s">
        <v>8496</v>
      </c>
      <c r="B1730" s="152" t="s">
        <v>8497</v>
      </c>
      <c r="C1730" s="152">
        <v>3.0</v>
      </c>
      <c r="D1730" s="152">
        <v>9.0</v>
      </c>
      <c r="E1730" s="152">
        <v>1.0</v>
      </c>
      <c r="F1730" s="152">
        <v>5.0</v>
      </c>
      <c r="G1730" s="152" t="s">
        <v>8479</v>
      </c>
      <c r="H1730" s="152" t="s">
        <v>8488</v>
      </c>
      <c r="I1730" s="154"/>
      <c r="J1730" s="152" t="s">
        <v>23</v>
      </c>
      <c r="K1730" s="152">
        <v>1979.0</v>
      </c>
      <c r="L1730" s="154"/>
      <c r="M1730" s="154"/>
      <c r="N1730" s="152" t="s">
        <v>8384</v>
      </c>
    </row>
    <row r="1731">
      <c r="A1731" s="152" t="s">
        <v>8496</v>
      </c>
      <c r="B1731" s="152" t="s">
        <v>8497</v>
      </c>
      <c r="C1731" s="152">
        <v>3.0</v>
      </c>
      <c r="D1731" s="152">
        <v>10.0</v>
      </c>
      <c r="E1731" s="152">
        <v>1.0</v>
      </c>
      <c r="F1731" s="152">
        <v>5.0</v>
      </c>
      <c r="G1731" s="152" t="s">
        <v>8479</v>
      </c>
      <c r="H1731" s="152" t="s">
        <v>8489</v>
      </c>
      <c r="I1731" s="154"/>
      <c r="J1731" s="152" t="s">
        <v>23</v>
      </c>
      <c r="K1731" s="152">
        <v>1979.0</v>
      </c>
      <c r="L1731" s="154"/>
      <c r="M1731" s="154"/>
      <c r="N1731" s="152" t="s">
        <v>8384</v>
      </c>
    </row>
    <row r="1732">
      <c r="A1732" s="152" t="s">
        <v>8496</v>
      </c>
      <c r="B1732" s="152" t="s">
        <v>8497</v>
      </c>
      <c r="C1732" s="152">
        <v>3.0</v>
      </c>
      <c r="D1732" s="152">
        <v>1.0</v>
      </c>
      <c r="E1732" s="152">
        <v>1.0</v>
      </c>
      <c r="F1732" s="152">
        <v>6.0</v>
      </c>
      <c r="G1732" s="152" t="s">
        <v>8479</v>
      </c>
      <c r="H1732" s="152" t="s">
        <v>8480</v>
      </c>
      <c r="I1732" s="154"/>
      <c r="J1732" s="152" t="s">
        <v>23</v>
      </c>
      <c r="K1732" s="152">
        <v>3369.0</v>
      </c>
      <c r="L1732" s="154"/>
      <c r="M1732" s="154"/>
      <c r="N1732" s="152" t="s">
        <v>8384</v>
      </c>
    </row>
    <row r="1733">
      <c r="A1733" s="152" t="s">
        <v>8496</v>
      </c>
      <c r="B1733" s="152" t="s">
        <v>8497</v>
      </c>
      <c r="C1733" s="152">
        <v>3.0</v>
      </c>
      <c r="D1733" s="152">
        <v>2.0</v>
      </c>
      <c r="E1733" s="152">
        <v>1.0</v>
      </c>
      <c r="F1733" s="152">
        <v>6.0</v>
      </c>
      <c r="G1733" s="152" t="s">
        <v>8479</v>
      </c>
      <c r="H1733" s="152" t="s">
        <v>8481</v>
      </c>
      <c r="I1733" s="154"/>
      <c r="J1733" s="152" t="s">
        <v>23</v>
      </c>
      <c r="K1733" s="152">
        <v>1669.0</v>
      </c>
      <c r="L1733" s="154"/>
      <c r="M1733" s="154"/>
      <c r="N1733" s="152" t="s">
        <v>8384</v>
      </c>
    </row>
    <row r="1734">
      <c r="A1734" s="152" t="s">
        <v>8496</v>
      </c>
      <c r="B1734" s="152" t="s">
        <v>8497</v>
      </c>
      <c r="C1734" s="152">
        <v>3.0</v>
      </c>
      <c r="D1734" s="152">
        <v>3.0</v>
      </c>
      <c r="E1734" s="152">
        <v>1.0</v>
      </c>
      <c r="F1734" s="152">
        <v>6.0</v>
      </c>
      <c r="G1734" s="152" t="s">
        <v>8479</v>
      </c>
      <c r="H1734" s="152" t="s">
        <v>8482</v>
      </c>
      <c r="I1734" s="154"/>
      <c r="J1734" s="152" t="s">
        <v>23</v>
      </c>
      <c r="K1734" s="152">
        <v>3739.0</v>
      </c>
      <c r="L1734" s="154"/>
      <c r="M1734" s="154"/>
      <c r="N1734" s="152" t="s">
        <v>8384</v>
      </c>
    </row>
    <row r="1735">
      <c r="A1735" s="152" t="s">
        <v>8496</v>
      </c>
      <c r="B1735" s="152" t="s">
        <v>8497</v>
      </c>
      <c r="C1735" s="152">
        <v>3.0</v>
      </c>
      <c r="D1735" s="152">
        <v>4.0</v>
      </c>
      <c r="E1735" s="152">
        <v>1.0</v>
      </c>
      <c r="F1735" s="152">
        <v>6.0</v>
      </c>
      <c r="G1735" s="152" t="s">
        <v>8479</v>
      </c>
      <c r="H1735" s="152" t="s">
        <v>8483</v>
      </c>
      <c r="I1735" s="154"/>
      <c r="J1735" s="152" t="s">
        <v>23</v>
      </c>
      <c r="K1735" s="152">
        <v>3739.0</v>
      </c>
      <c r="L1735" s="154"/>
      <c r="M1735" s="154"/>
      <c r="N1735" s="152" t="s">
        <v>8384</v>
      </c>
    </row>
    <row r="1736">
      <c r="A1736" s="152" t="s">
        <v>8496</v>
      </c>
      <c r="B1736" s="152" t="s">
        <v>8497</v>
      </c>
      <c r="C1736" s="152">
        <v>3.0</v>
      </c>
      <c r="D1736" s="152">
        <v>5.0</v>
      </c>
      <c r="E1736" s="152">
        <v>1.0</v>
      </c>
      <c r="F1736" s="152">
        <v>6.0</v>
      </c>
      <c r="G1736" s="152" t="s">
        <v>8479</v>
      </c>
      <c r="H1736" s="152" t="s">
        <v>8484</v>
      </c>
      <c r="I1736" s="154"/>
      <c r="J1736" s="152" t="s">
        <v>23</v>
      </c>
      <c r="K1736" s="152">
        <v>1979.0</v>
      </c>
      <c r="L1736" s="154"/>
      <c r="M1736" s="154"/>
      <c r="N1736" s="152" t="s">
        <v>8384</v>
      </c>
    </row>
    <row r="1737">
      <c r="A1737" s="152" t="s">
        <v>8496</v>
      </c>
      <c r="B1737" s="152" t="s">
        <v>8497</v>
      </c>
      <c r="C1737" s="152">
        <v>3.0</v>
      </c>
      <c r="D1737" s="152">
        <v>6.0</v>
      </c>
      <c r="E1737" s="152">
        <v>1.0</v>
      </c>
      <c r="F1737" s="152">
        <v>6.0</v>
      </c>
      <c r="G1737" s="152" t="s">
        <v>8479</v>
      </c>
      <c r="H1737" s="152" t="s">
        <v>8485</v>
      </c>
      <c r="I1737" s="154"/>
      <c r="J1737" s="152" t="s">
        <v>23</v>
      </c>
      <c r="K1737" s="152">
        <v>1979.0</v>
      </c>
      <c r="L1737" s="154"/>
      <c r="M1737" s="154"/>
      <c r="N1737" s="152" t="s">
        <v>8384</v>
      </c>
    </row>
    <row r="1738">
      <c r="A1738" s="152" t="s">
        <v>8496</v>
      </c>
      <c r="B1738" s="152" t="s">
        <v>8497</v>
      </c>
      <c r="C1738" s="152">
        <v>3.0</v>
      </c>
      <c r="D1738" s="152">
        <v>7.0</v>
      </c>
      <c r="E1738" s="152">
        <v>1.0</v>
      </c>
      <c r="F1738" s="152">
        <v>6.0</v>
      </c>
      <c r="G1738" s="152" t="s">
        <v>8479</v>
      </c>
      <c r="H1738" s="152" t="s">
        <v>8486</v>
      </c>
      <c r="I1738" s="154"/>
      <c r="J1738" s="152" t="s">
        <v>23</v>
      </c>
      <c r="K1738" s="152">
        <v>4159.0</v>
      </c>
      <c r="L1738" s="154"/>
      <c r="M1738" s="154"/>
      <c r="N1738" s="152" t="s">
        <v>8384</v>
      </c>
    </row>
    <row r="1739">
      <c r="A1739" s="152" t="s">
        <v>8496</v>
      </c>
      <c r="B1739" s="152" t="s">
        <v>8497</v>
      </c>
      <c r="C1739" s="152">
        <v>3.0</v>
      </c>
      <c r="D1739" s="152">
        <v>8.0</v>
      </c>
      <c r="E1739" s="152">
        <v>1.0</v>
      </c>
      <c r="F1739" s="152">
        <v>6.0</v>
      </c>
      <c r="G1739" s="152" t="s">
        <v>8479</v>
      </c>
      <c r="H1739" s="152" t="s">
        <v>8487</v>
      </c>
      <c r="I1739" s="154"/>
      <c r="J1739" s="152" t="s">
        <v>23</v>
      </c>
      <c r="K1739" s="152">
        <v>4159.0</v>
      </c>
      <c r="L1739" s="154"/>
      <c r="M1739" s="154"/>
      <c r="N1739" s="152" t="s">
        <v>8384</v>
      </c>
    </row>
    <row r="1740">
      <c r="A1740" s="152" t="s">
        <v>8496</v>
      </c>
      <c r="B1740" s="152" t="s">
        <v>8497</v>
      </c>
      <c r="C1740" s="152">
        <v>3.0</v>
      </c>
      <c r="D1740" s="152">
        <v>9.0</v>
      </c>
      <c r="E1740" s="152">
        <v>1.0</v>
      </c>
      <c r="F1740" s="152">
        <v>6.0</v>
      </c>
      <c r="G1740" s="152" t="s">
        <v>8479</v>
      </c>
      <c r="H1740" s="152" t="s">
        <v>8488</v>
      </c>
      <c r="I1740" s="154"/>
      <c r="J1740" s="152" t="s">
        <v>23</v>
      </c>
      <c r="K1740" s="152">
        <v>2029.0</v>
      </c>
      <c r="L1740" s="154"/>
      <c r="M1740" s="154"/>
      <c r="N1740" s="152" t="s">
        <v>8384</v>
      </c>
    </row>
    <row r="1741">
      <c r="A1741" s="152" t="s">
        <v>8496</v>
      </c>
      <c r="B1741" s="152" t="s">
        <v>8497</v>
      </c>
      <c r="C1741" s="152">
        <v>3.0</v>
      </c>
      <c r="D1741" s="152">
        <v>10.0</v>
      </c>
      <c r="E1741" s="152">
        <v>1.0</v>
      </c>
      <c r="F1741" s="152">
        <v>6.0</v>
      </c>
      <c r="G1741" s="152" t="s">
        <v>8479</v>
      </c>
      <c r="H1741" s="152" t="s">
        <v>8489</v>
      </c>
      <c r="I1741" s="154"/>
      <c r="J1741" s="152" t="s">
        <v>23</v>
      </c>
      <c r="K1741" s="152">
        <v>2029.0</v>
      </c>
      <c r="L1741" s="154"/>
      <c r="M1741" s="154"/>
      <c r="N1741" s="152" t="s">
        <v>8384</v>
      </c>
    </row>
    <row r="1742">
      <c r="A1742" s="152" t="s">
        <v>8496</v>
      </c>
      <c r="B1742" s="152" t="s">
        <v>8497</v>
      </c>
      <c r="C1742" s="152">
        <v>3.0</v>
      </c>
      <c r="D1742" s="152">
        <v>1.0</v>
      </c>
      <c r="E1742" s="152">
        <v>1.0</v>
      </c>
      <c r="F1742" s="152">
        <v>7.0</v>
      </c>
      <c r="G1742" s="152" t="s">
        <v>8479</v>
      </c>
      <c r="H1742" s="152" t="s">
        <v>8480</v>
      </c>
      <c r="I1742" s="154"/>
      <c r="J1742" s="152" t="s">
        <v>23</v>
      </c>
      <c r="K1742" s="152">
        <v>3369.0</v>
      </c>
      <c r="L1742" s="154"/>
      <c r="M1742" s="154"/>
      <c r="N1742" s="152" t="s">
        <v>8384</v>
      </c>
    </row>
    <row r="1743">
      <c r="A1743" s="152" t="s">
        <v>8496</v>
      </c>
      <c r="B1743" s="152" t="s">
        <v>8497</v>
      </c>
      <c r="C1743" s="152">
        <v>3.0</v>
      </c>
      <c r="D1743" s="152">
        <v>2.0</v>
      </c>
      <c r="E1743" s="152">
        <v>1.0</v>
      </c>
      <c r="F1743" s="152">
        <v>7.0</v>
      </c>
      <c r="G1743" s="152" t="s">
        <v>8479</v>
      </c>
      <c r="H1743" s="152" t="s">
        <v>8481</v>
      </c>
      <c r="I1743" s="154"/>
      <c r="J1743" s="152" t="s">
        <v>23</v>
      </c>
      <c r="K1743" s="152">
        <v>1669.0</v>
      </c>
      <c r="L1743" s="154"/>
      <c r="M1743" s="154"/>
      <c r="N1743" s="152" t="s">
        <v>8384</v>
      </c>
    </row>
    <row r="1744">
      <c r="A1744" s="152" t="s">
        <v>8496</v>
      </c>
      <c r="B1744" s="152" t="s">
        <v>8497</v>
      </c>
      <c r="C1744" s="152">
        <v>3.0</v>
      </c>
      <c r="D1744" s="152">
        <v>3.0</v>
      </c>
      <c r="E1744" s="152">
        <v>1.0</v>
      </c>
      <c r="F1744" s="152">
        <v>7.0</v>
      </c>
      <c r="G1744" s="152" t="s">
        <v>8479</v>
      </c>
      <c r="H1744" s="152" t="s">
        <v>8482</v>
      </c>
      <c r="I1744" s="154"/>
      <c r="J1744" s="152" t="s">
        <v>23</v>
      </c>
      <c r="K1744" s="152">
        <v>3739.0</v>
      </c>
      <c r="L1744" s="154"/>
      <c r="M1744" s="154"/>
      <c r="N1744" s="152" t="s">
        <v>8384</v>
      </c>
    </row>
    <row r="1745">
      <c r="A1745" s="152" t="s">
        <v>8496</v>
      </c>
      <c r="B1745" s="152" t="s">
        <v>8497</v>
      </c>
      <c r="C1745" s="152">
        <v>3.0</v>
      </c>
      <c r="D1745" s="152">
        <v>4.0</v>
      </c>
      <c r="E1745" s="152">
        <v>1.0</v>
      </c>
      <c r="F1745" s="152">
        <v>7.0</v>
      </c>
      <c r="G1745" s="152" t="s">
        <v>8479</v>
      </c>
      <c r="H1745" s="152" t="s">
        <v>8483</v>
      </c>
      <c r="I1745" s="154"/>
      <c r="J1745" s="152" t="s">
        <v>23</v>
      </c>
      <c r="K1745" s="152">
        <v>3739.0</v>
      </c>
      <c r="L1745" s="154"/>
      <c r="M1745" s="154"/>
      <c r="N1745" s="152" t="s">
        <v>8384</v>
      </c>
    </row>
    <row r="1746">
      <c r="A1746" s="152" t="s">
        <v>8496</v>
      </c>
      <c r="B1746" s="152" t="s">
        <v>8497</v>
      </c>
      <c r="C1746" s="152">
        <v>3.0</v>
      </c>
      <c r="D1746" s="152">
        <v>5.0</v>
      </c>
      <c r="E1746" s="152">
        <v>1.0</v>
      </c>
      <c r="F1746" s="152">
        <v>7.0</v>
      </c>
      <c r="G1746" s="152" t="s">
        <v>8479</v>
      </c>
      <c r="H1746" s="152" t="s">
        <v>8484</v>
      </c>
      <c r="I1746" s="154"/>
      <c r="J1746" s="152" t="s">
        <v>23</v>
      </c>
      <c r="K1746" s="152">
        <v>1979.0</v>
      </c>
      <c r="L1746" s="154"/>
      <c r="M1746" s="154"/>
      <c r="N1746" s="152" t="s">
        <v>8384</v>
      </c>
    </row>
    <row r="1747">
      <c r="A1747" s="152" t="s">
        <v>8496</v>
      </c>
      <c r="B1747" s="152" t="s">
        <v>8497</v>
      </c>
      <c r="C1747" s="152">
        <v>3.0</v>
      </c>
      <c r="D1747" s="152">
        <v>6.0</v>
      </c>
      <c r="E1747" s="152">
        <v>1.0</v>
      </c>
      <c r="F1747" s="152">
        <v>7.0</v>
      </c>
      <c r="G1747" s="152" t="s">
        <v>8479</v>
      </c>
      <c r="H1747" s="152" t="s">
        <v>8485</v>
      </c>
      <c r="I1747" s="154"/>
      <c r="J1747" s="152" t="s">
        <v>23</v>
      </c>
      <c r="K1747" s="152">
        <v>1979.0</v>
      </c>
      <c r="L1747" s="154"/>
      <c r="M1747" s="154"/>
      <c r="N1747" s="152" t="s">
        <v>8384</v>
      </c>
    </row>
    <row r="1748">
      <c r="A1748" s="152" t="s">
        <v>8496</v>
      </c>
      <c r="B1748" s="152" t="s">
        <v>8497</v>
      </c>
      <c r="C1748" s="152">
        <v>3.0</v>
      </c>
      <c r="D1748" s="152">
        <v>7.0</v>
      </c>
      <c r="E1748" s="152">
        <v>1.0</v>
      </c>
      <c r="F1748" s="152">
        <v>7.0</v>
      </c>
      <c r="G1748" s="152" t="s">
        <v>8479</v>
      </c>
      <c r="H1748" s="152" t="s">
        <v>8486</v>
      </c>
      <c r="I1748" s="154"/>
      <c r="J1748" s="152" t="s">
        <v>23</v>
      </c>
      <c r="K1748" s="152">
        <v>4159.0</v>
      </c>
      <c r="L1748" s="154"/>
      <c r="M1748" s="154"/>
      <c r="N1748" s="152" t="s">
        <v>8384</v>
      </c>
    </row>
    <row r="1749">
      <c r="A1749" s="152" t="s">
        <v>8496</v>
      </c>
      <c r="B1749" s="152" t="s">
        <v>8497</v>
      </c>
      <c r="C1749" s="152">
        <v>3.0</v>
      </c>
      <c r="D1749" s="152">
        <v>8.0</v>
      </c>
      <c r="E1749" s="152">
        <v>1.0</v>
      </c>
      <c r="F1749" s="152">
        <v>7.0</v>
      </c>
      <c r="G1749" s="152" t="s">
        <v>8479</v>
      </c>
      <c r="H1749" s="152" t="s">
        <v>8487</v>
      </c>
      <c r="I1749" s="154"/>
      <c r="J1749" s="152" t="s">
        <v>23</v>
      </c>
      <c r="K1749" s="152">
        <v>4159.0</v>
      </c>
      <c r="L1749" s="154"/>
      <c r="M1749" s="154"/>
      <c r="N1749" s="152" t="s">
        <v>8384</v>
      </c>
    </row>
    <row r="1750">
      <c r="A1750" s="152" t="s">
        <v>8496</v>
      </c>
      <c r="B1750" s="152" t="s">
        <v>8497</v>
      </c>
      <c r="C1750" s="152">
        <v>3.0</v>
      </c>
      <c r="D1750" s="152">
        <v>9.0</v>
      </c>
      <c r="E1750" s="152">
        <v>1.0</v>
      </c>
      <c r="F1750" s="152">
        <v>7.0</v>
      </c>
      <c r="G1750" s="152" t="s">
        <v>8479</v>
      </c>
      <c r="H1750" s="152" t="s">
        <v>8488</v>
      </c>
      <c r="I1750" s="154"/>
      <c r="J1750" s="152" t="s">
        <v>23</v>
      </c>
      <c r="K1750" s="152">
        <v>2029.0</v>
      </c>
      <c r="L1750" s="154"/>
      <c r="M1750" s="154"/>
      <c r="N1750" s="152" t="s">
        <v>8384</v>
      </c>
    </row>
    <row r="1751">
      <c r="A1751" s="152" t="s">
        <v>8496</v>
      </c>
      <c r="B1751" s="152" t="s">
        <v>8497</v>
      </c>
      <c r="C1751" s="152">
        <v>3.0</v>
      </c>
      <c r="D1751" s="152">
        <v>10.0</v>
      </c>
      <c r="E1751" s="152">
        <v>1.0</v>
      </c>
      <c r="F1751" s="152">
        <v>7.0</v>
      </c>
      <c r="G1751" s="152" t="s">
        <v>8479</v>
      </c>
      <c r="H1751" s="152" t="s">
        <v>8489</v>
      </c>
      <c r="I1751" s="154"/>
      <c r="J1751" s="152" t="s">
        <v>23</v>
      </c>
      <c r="K1751" s="152">
        <v>2029.0</v>
      </c>
      <c r="L1751" s="154"/>
      <c r="M1751" s="154"/>
      <c r="N1751" s="152" t="s">
        <v>8384</v>
      </c>
    </row>
    <row r="1752">
      <c r="A1752" s="152" t="s">
        <v>8496</v>
      </c>
      <c r="B1752" s="152" t="s">
        <v>8497</v>
      </c>
      <c r="C1752" s="152">
        <v>3.0</v>
      </c>
      <c r="D1752" s="152">
        <v>1.0</v>
      </c>
      <c r="E1752" s="152">
        <v>1.0</v>
      </c>
      <c r="F1752" s="152">
        <v>8.0</v>
      </c>
      <c r="G1752" s="152" t="s">
        <v>8479</v>
      </c>
      <c r="H1752" s="152" t="s">
        <v>8480</v>
      </c>
      <c r="I1752" s="154"/>
      <c r="J1752" s="152" t="s">
        <v>23</v>
      </c>
      <c r="K1752" s="152">
        <v>3369.0</v>
      </c>
      <c r="L1752" s="154"/>
      <c r="M1752" s="154"/>
      <c r="N1752" s="152" t="s">
        <v>8384</v>
      </c>
    </row>
    <row r="1753">
      <c r="A1753" s="152" t="s">
        <v>8496</v>
      </c>
      <c r="B1753" s="152" t="s">
        <v>8497</v>
      </c>
      <c r="C1753" s="152">
        <v>3.0</v>
      </c>
      <c r="D1753" s="152">
        <v>2.0</v>
      </c>
      <c r="E1753" s="152">
        <v>1.0</v>
      </c>
      <c r="F1753" s="152">
        <v>8.0</v>
      </c>
      <c r="G1753" s="152" t="s">
        <v>8479</v>
      </c>
      <c r="H1753" s="152" t="s">
        <v>8481</v>
      </c>
      <c r="I1753" s="154"/>
      <c r="J1753" s="152" t="s">
        <v>23</v>
      </c>
      <c r="K1753" s="152">
        <v>1669.0</v>
      </c>
      <c r="L1753" s="154"/>
      <c r="M1753" s="154"/>
      <c r="N1753" s="152" t="s">
        <v>8384</v>
      </c>
    </row>
    <row r="1754">
      <c r="A1754" s="152" t="s">
        <v>8496</v>
      </c>
      <c r="B1754" s="152" t="s">
        <v>8497</v>
      </c>
      <c r="C1754" s="152">
        <v>3.0</v>
      </c>
      <c r="D1754" s="152">
        <v>3.0</v>
      </c>
      <c r="E1754" s="152">
        <v>1.0</v>
      </c>
      <c r="F1754" s="152">
        <v>8.0</v>
      </c>
      <c r="G1754" s="152" t="s">
        <v>8479</v>
      </c>
      <c r="H1754" s="152" t="s">
        <v>8482</v>
      </c>
      <c r="I1754" s="154"/>
      <c r="J1754" s="152" t="s">
        <v>23</v>
      </c>
      <c r="K1754" s="152">
        <v>3739.0</v>
      </c>
      <c r="L1754" s="154"/>
      <c r="M1754" s="154"/>
      <c r="N1754" s="152" t="s">
        <v>8384</v>
      </c>
    </row>
    <row r="1755">
      <c r="A1755" s="152" t="s">
        <v>8496</v>
      </c>
      <c r="B1755" s="152" t="s">
        <v>8497</v>
      </c>
      <c r="C1755" s="152">
        <v>3.0</v>
      </c>
      <c r="D1755" s="152">
        <v>4.0</v>
      </c>
      <c r="E1755" s="152">
        <v>1.0</v>
      </c>
      <c r="F1755" s="152">
        <v>8.0</v>
      </c>
      <c r="G1755" s="152" t="s">
        <v>8479</v>
      </c>
      <c r="H1755" s="152" t="s">
        <v>8483</v>
      </c>
      <c r="I1755" s="154"/>
      <c r="J1755" s="152" t="s">
        <v>23</v>
      </c>
      <c r="K1755" s="152">
        <v>3739.0</v>
      </c>
      <c r="L1755" s="154"/>
      <c r="M1755" s="154"/>
      <c r="N1755" s="152" t="s">
        <v>8384</v>
      </c>
    </row>
    <row r="1756">
      <c r="A1756" s="152" t="s">
        <v>8496</v>
      </c>
      <c r="B1756" s="152" t="s">
        <v>8497</v>
      </c>
      <c r="C1756" s="152">
        <v>3.0</v>
      </c>
      <c r="D1756" s="152">
        <v>5.0</v>
      </c>
      <c r="E1756" s="152">
        <v>1.0</v>
      </c>
      <c r="F1756" s="152">
        <v>8.0</v>
      </c>
      <c r="G1756" s="152" t="s">
        <v>8479</v>
      </c>
      <c r="H1756" s="152" t="s">
        <v>8484</v>
      </c>
      <c r="I1756" s="154"/>
      <c r="J1756" s="152" t="s">
        <v>23</v>
      </c>
      <c r="K1756" s="152">
        <v>1979.0</v>
      </c>
      <c r="L1756" s="154"/>
      <c r="M1756" s="154"/>
      <c r="N1756" s="152" t="s">
        <v>8384</v>
      </c>
    </row>
    <row r="1757">
      <c r="A1757" s="152" t="s">
        <v>8496</v>
      </c>
      <c r="B1757" s="152" t="s">
        <v>8497</v>
      </c>
      <c r="C1757" s="152">
        <v>3.0</v>
      </c>
      <c r="D1757" s="152">
        <v>6.0</v>
      </c>
      <c r="E1757" s="152">
        <v>1.0</v>
      </c>
      <c r="F1757" s="152">
        <v>8.0</v>
      </c>
      <c r="G1757" s="152" t="s">
        <v>8479</v>
      </c>
      <c r="H1757" s="152" t="s">
        <v>8485</v>
      </c>
      <c r="I1757" s="154"/>
      <c r="J1757" s="152" t="s">
        <v>23</v>
      </c>
      <c r="K1757" s="152">
        <v>1979.0</v>
      </c>
      <c r="L1757" s="154"/>
      <c r="M1757" s="154"/>
      <c r="N1757" s="152" t="s">
        <v>8384</v>
      </c>
    </row>
    <row r="1758">
      <c r="A1758" s="152" t="s">
        <v>8496</v>
      </c>
      <c r="B1758" s="152" t="s">
        <v>8497</v>
      </c>
      <c r="C1758" s="152">
        <v>3.0</v>
      </c>
      <c r="D1758" s="152">
        <v>7.0</v>
      </c>
      <c r="E1758" s="152">
        <v>1.0</v>
      </c>
      <c r="F1758" s="152">
        <v>8.0</v>
      </c>
      <c r="G1758" s="152" t="s">
        <v>8479</v>
      </c>
      <c r="H1758" s="152" t="s">
        <v>8486</v>
      </c>
      <c r="I1758" s="154"/>
      <c r="J1758" s="152" t="s">
        <v>23</v>
      </c>
      <c r="K1758" s="152">
        <v>4159.0</v>
      </c>
      <c r="L1758" s="154"/>
      <c r="M1758" s="154"/>
      <c r="N1758" s="152" t="s">
        <v>8384</v>
      </c>
    </row>
    <row r="1759">
      <c r="A1759" s="152" t="s">
        <v>8496</v>
      </c>
      <c r="B1759" s="152" t="s">
        <v>8497</v>
      </c>
      <c r="C1759" s="152">
        <v>3.0</v>
      </c>
      <c r="D1759" s="152">
        <v>8.0</v>
      </c>
      <c r="E1759" s="152">
        <v>1.0</v>
      </c>
      <c r="F1759" s="152">
        <v>8.0</v>
      </c>
      <c r="G1759" s="152" t="s">
        <v>8479</v>
      </c>
      <c r="H1759" s="152" t="s">
        <v>8487</v>
      </c>
      <c r="I1759" s="154"/>
      <c r="J1759" s="152" t="s">
        <v>23</v>
      </c>
      <c r="K1759" s="152">
        <v>4159.0</v>
      </c>
      <c r="L1759" s="154"/>
      <c r="M1759" s="154"/>
      <c r="N1759" s="152" t="s">
        <v>8384</v>
      </c>
    </row>
    <row r="1760">
      <c r="A1760" s="152" t="s">
        <v>8496</v>
      </c>
      <c r="B1760" s="152" t="s">
        <v>8497</v>
      </c>
      <c r="C1760" s="152">
        <v>3.0</v>
      </c>
      <c r="D1760" s="152">
        <v>9.0</v>
      </c>
      <c r="E1760" s="152">
        <v>1.0</v>
      </c>
      <c r="F1760" s="152">
        <v>8.0</v>
      </c>
      <c r="G1760" s="152" t="s">
        <v>8479</v>
      </c>
      <c r="H1760" s="152" t="s">
        <v>8488</v>
      </c>
      <c r="I1760" s="154"/>
      <c r="J1760" s="152" t="s">
        <v>23</v>
      </c>
      <c r="K1760" s="152">
        <v>2029.0</v>
      </c>
      <c r="L1760" s="154"/>
      <c r="M1760" s="154"/>
      <c r="N1760" s="152" t="s">
        <v>8384</v>
      </c>
    </row>
    <row r="1761">
      <c r="A1761" s="152" t="s">
        <v>8496</v>
      </c>
      <c r="B1761" s="152" t="s">
        <v>8497</v>
      </c>
      <c r="C1761" s="152">
        <v>3.0</v>
      </c>
      <c r="D1761" s="152">
        <v>10.0</v>
      </c>
      <c r="E1761" s="152">
        <v>1.0</v>
      </c>
      <c r="F1761" s="152">
        <v>8.0</v>
      </c>
      <c r="G1761" s="152" t="s">
        <v>8479</v>
      </c>
      <c r="H1761" s="152" t="s">
        <v>8489</v>
      </c>
      <c r="I1761" s="154"/>
      <c r="J1761" s="152" t="s">
        <v>23</v>
      </c>
      <c r="K1761" s="152">
        <v>2029.0</v>
      </c>
      <c r="L1761" s="154"/>
      <c r="M1761" s="154"/>
      <c r="N1761" s="152" t="s">
        <v>8384</v>
      </c>
    </row>
    <row r="1762">
      <c r="A1762" s="152" t="s">
        <v>8496</v>
      </c>
      <c r="B1762" s="152" t="s">
        <v>8497</v>
      </c>
      <c r="C1762" s="152">
        <v>3.0</v>
      </c>
      <c r="D1762" s="152">
        <v>1.0</v>
      </c>
      <c r="E1762" s="152">
        <v>1.0</v>
      </c>
      <c r="F1762" s="152">
        <v>9.0</v>
      </c>
      <c r="G1762" s="152" t="s">
        <v>8479</v>
      </c>
      <c r="H1762" s="152" t="s">
        <v>8480</v>
      </c>
      <c r="I1762" s="154"/>
      <c r="J1762" s="152" t="s">
        <v>23</v>
      </c>
      <c r="K1762" s="152">
        <v>3369.0</v>
      </c>
      <c r="L1762" s="154"/>
      <c r="M1762" s="154"/>
      <c r="N1762" s="152" t="s">
        <v>8384</v>
      </c>
    </row>
    <row r="1763">
      <c r="A1763" s="152" t="s">
        <v>8496</v>
      </c>
      <c r="B1763" s="152" t="s">
        <v>8497</v>
      </c>
      <c r="C1763" s="152">
        <v>3.0</v>
      </c>
      <c r="D1763" s="152">
        <v>2.0</v>
      </c>
      <c r="E1763" s="152">
        <v>1.0</v>
      </c>
      <c r="F1763" s="152">
        <v>9.0</v>
      </c>
      <c r="G1763" s="152" t="s">
        <v>8479</v>
      </c>
      <c r="H1763" s="152" t="s">
        <v>8481</v>
      </c>
      <c r="I1763" s="154"/>
      <c r="J1763" s="152" t="s">
        <v>23</v>
      </c>
      <c r="K1763" s="152">
        <v>1669.0</v>
      </c>
      <c r="L1763" s="154"/>
      <c r="M1763" s="154"/>
      <c r="N1763" s="152" t="s">
        <v>8384</v>
      </c>
    </row>
    <row r="1764">
      <c r="A1764" s="152" t="s">
        <v>8496</v>
      </c>
      <c r="B1764" s="152" t="s">
        <v>8497</v>
      </c>
      <c r="C1764" s="152">
        <v>3.0</v>
      </c>
      <c r="D1764" s="152">
        <v>3.0</v>
      </c>
      <c r="E1764" s="152">
        <v>1.0</v>
      </c>
      <c r="F1764" s="152">
        <v>9.0</v>
      </c>
      <c r="G1764" s="152" t="s">
        <v>8479</v>
      </c>
      <c r="H1764" s="152" t="s">
        <v>8482</v>
      </c>
      <c r="I1764" s="154"/>
      <c r="J1764" s="152" t="s">
        <v>23</v>
      </c>
      <c r="K1764" s="152">
        <v>3739.0</v>
      </c>
      <c r="L1764" s="154"/>
      <c r="M1764" s="154"/>
      <c r="N1764" s="152" t="s">
        <v>8384</v>
      </c>
    </row>
    <row r="1765">
      <c r="A1765" s="152" t="s">
        <v>8496</v>
      </c>
      <c r="B1765" s="152" t="s">
        <v>8497</v>
      </c>
      <c r="C1765" s="152">
        <v>3.0</v>
      </c>
      <c r="D1765" s="152">
        <v>4.0</v>
      </c>
      <c r="E1765" s="152">
        <v>1.0</v>
      </c>
      <c r="F1765" s="152">
        <v>9.0</v>
      </c>
      <c r="G1765" s="152" t="s">
        <v>8479</v>
      </c>
      <c r="H1765" s="152" t="s">
        <v>8483</v>
      </c>
      <c r="I1765" s="154"/>
      <c r="J1765" s="152" t="s">
        <v>23</v>
      </c>
      <c r="K1765" s="152">
        <v>3739.0</v>
      </c>
      <c r="L1765" s="154"/>
      <c r="M1765" s="154"/>
      <c r="N1765" s="152" t="s">
        <v>8384</v>
      </c>
    </row>
    <row r="1766">
      <c r="A1766" s="152" t="s">
        <v>8496</v>
      </c>
      <c r="B1766" s="152" t="s">
        <v>8497</v>
      </c>
      <c r="C1766" s="152">
        <v>3.0</v>
      </c>
      <c r="D1766" s="152">
        <v>5.0</v>
      </c>
      <c r="E1766" s="152">
        <v>1.0</v>
      </c>
      <c r="F1766" s="152">
        <v>9.0</v>
      </c>
      <c r="G1766" s="152" t="s">
        <v>8479</v>
      </c>
      <c r="H1766" s="152" t="s">
        <v>8484</v>
      </c>
      <c r="I1766" s="154"/>
      <c r="J1766" s="152" t="s">
        <v>23</v>
      </c>
      <c r="K1766" s="152">
        <v>1979.0</v>
      </c>
      <c r="L1766" s="154"/>
      <c r="M1766" s="154"/>
      <c r="N1766" s="152" t="s">
        <v>8384</v>
      </c>
    </row>
    <row r="1767">
      <c r="A1767" s="152" t="s">
        <v>8496</v>
      </c>
      <c r="B1767" s="152" t="s">
        <v>8497</v>
      </c>
      <c r="C1767" s="152">
        <v>3.0</v>
      </c>
      <c r="D1767" s="152">
        <v>6.0</v>
      </c>
      <c r="E1767" s="152">
        <v>1.0</v>
      </c>
      <c r="F1767" s="152">
        <v>9.0</v>
      </c>
      <c r="G1767" s="152" t="s">
        <v>8479</v>
      </c>
      <c r="H1767" s="152" t="s">
        <v>8485</v>
      </c>
      <c r="I1767" s="154"/>
      <c r="J1767" s="152" t="s">
        <v>23</v>
      </c>
      <c r="K1767" s="152">
        <v>1979.0</v>
      </c>
      <c r="L1767" s="154"/>
      <c r="M1767" s="154"/>
      <c r="N1767" s="152" t="s">
        <v>8384</v>
      </c>
    </row>
    <row r="1768">
      <c r="A1768" s="152" t="s">
        <v>8496</v>
      </c>
      <c r="B1768" s="152" t="s">
        <v>8497</v>
      </c>
      <c r="C1768" s="152">
        <v>3.0</v>
      </c>
      <c r="D1768" s="152">
        <v>7.0</v>
      </c>
      <c r="E1768" s="152">
        <v>1.0</v>
      </c>
      <c r="F1768" s="152">
        <v>9.0</v>
      </c>
      <c r="G1768" s="152" t="s">
        <v>8479</v>
      </c>
      <c r="H1768" s="152" t="s">
        <v>8486</v>
      </c>
      <c r="I1768" s="154"/>
      <c r="J1768" s="152" t="s">
        <v>23</v>
      </c>
      <c r="K1768" s="152">
        <v>4159.0</v>
      </c>
      <c r="L1768" s="154"/>
      <c r="M1768" s="154"/>
      <c r="N1768" s="152" t="s">
        <v>8384</v>
      </c>
    </row>
    <row r="1769">
      <c r="A1769" s="152" t="s">
        <v>8496</v>
      </c>
      <c r="B1769" s="152" t="s">
        <v>8497</v>
      </c>
      <c r="C1769" s="152">
        <v>3.0</v>
      </c>
      <c r="D1769" s="152">
        <v>8.0</v>
      </c>
      <c r="E1769" s="152">
        <v>1.0</v>
      </c>
      <c r="F1769" s="152">
        <v>9.0</v>
      </c>
      <c r="G1769" s="152" t="s">
        <v>8479</v>
      </c>
      <c r="H1769" s="152" t="s">
        <v>8487</v>
      </c>
      <c r="I1769" s="154"/>
      <c r="J1769" s="152" t="s">
        <v>23</v>
      </c>
      <c r="K1769" s="152">
        <v>4159.0</v>
      </c>
      <c r="L1769" s="154"/>
      <c r="M1769" s="154"/>
      <c r="N1769" s="152" t="s">
        <v>8384</v>
      </c>
    </row>
    <row r="1770">
      <c r="A1770" s="152" t="s">
        <v>8496</v>
      </c>
      <c r="B1770" s="152" t="s">
        <v>8497</v>
      </c>
      <c r="C1770" s="152">
        <v>3.0</v>
      </c>
      <c r="D1770" s="152">
        <v>9.0</v>
      </c>
      <c r="E1770" s="152">
        <v>1.0</v>
      </c>
      <c r="F1770" s="152">
        <v>9.0</v>
      </c>
      <c r="G1770" s="152" t="s">
        <v>8479</v>
      </c>
      <c r="H1770" s="152" t="s">
        <v>8488</v>
      </c>
      <c r="I1770" s="154"/>
      <c r="J1770" s="152" t="s">
        <v>23</v>
      </c>
      <c r="K1770" s="152">
        <v>2029.0</v>
      </c>
      <c r="L1770" s="154"/>
      <c r="M1770" s="154"/>
      <c r="N1770" s="152" t="s">
        <v>8384</v>
      </c>
    </row>
    <row r="1771">
      <c r="A1771" s="152" t="s">
        <v>8496</v>
      </c>
      <c r="B1771" s="152" t="s">
        <v>8497</v>
      </c>
      <c r="C1771" s="152">
        <v>3.0</v>
      </c>
      <c r="D1771" s="152">
        <v>10.0</v>
      </c>
      <c r="E1771" s="152">
        <v>1.0</v>
      </c>
      <c r="F1771" s="152">
        <v>9.0</v>
      </c>
      <c r="G1771" s="152" t="s">
        <v>8479</v>
      </c>
      <c r="H1771" s="152" t="s">
        <v>8489</v>
      </c>
      <c r="I1771" s="154"/>
      <c r="J1771" s="152" t="s">
        <v>23</v>
      </c>
      <c r="K1771" s="152">
        <v>2029.0</v>
      </c>
      <c r="L1771" s="154"/>
      <c r="M1771" s="154"/>
      <c r="N1771" s="152" t="s">
        <v>8384</v>
      </c>
    </row>
    <row r="1772">
      <c r="A1772" s="152" t="s">
        <v>8496</v>
      </c>
      <c r="B1772" s="152" t="s">
        <v>8497</v>
      </c>
      <c r="C1772" s="152">
        <v>3.0</v>
      </c>
      <c r="D1772" s="152">
        <v>1.0</v>
      </c>
      <c r="E1772" s="152">
        <v>1.0</v>
      </c>
      <c r="F1772" s="152">
        <v>10.0</v>
      </c>
      <c r="G1772" s="152" t="s">
        <v>8479</v>
      </c>
      <c r="H1772" s="152" t="s">
        <v>8480</v>
      </c>
      <c r="I1772" s="154"/>
      <c r="J1772" s="152" t="s">
        <v>23</v>
      </c>
      <c r="K1772" s="152">
        <v>3369.0</v>
      </c>
      <c r="L1772" s="154"/>
      <c r="M1772" s="154"/>
      <c r="N1772" s="152" t="s">
        <v>8384</v>
      </c>
    </row>
    <row r="1773">
      <c r="A1773" s="152" t="s">
        <v>8496</v>
      </c>
      <c r="B1773" s="152" t="s">
        <v>8497</v>
      </c>
      <c r="C1773" s="152">
        <v>3.0</v>
      </c>
      <c r="D1773" s="152">
        <v>2.0</v>
      </c>
      <c r="E1773" s="152">
        <v>1.0</v>
      </c>
      <c r="F1773" s="152">
        <v>10.0</v>
      </c>
      <c r="G1773" s="152" t="s">
        <v>8479</v>
      </c>
      <c r="H1773" s="152" t="s">
        <v>8481</v>
      </c>
      <c r="I1773" s="154"/>
      <c r="J1773" s="152" t="s">
        <v>23</v>
      </c>
      <c r="K1773" s="152">
        <v>1669.0</v>
      </c>
      <c r="L1773" s="154"/>
      <c r="M1773" s="154"/>
      <c r="N1773" s="152" t="s">
        <v>8384</v>
      </c>
    </row>
    <row r="1774">
      <c r="A1774" s="152" t="s">
        <v>8496</v>
      </c>
      <c r="B1774" s="152" t="s">
        <v>8497</v>
      </c>
      <c r="C1774" s="152">
        <v>3.0</v>
      </c>
      <c r="D1774" s="152">
        <v>3.0</v>
      </c>
      <c r="E1774" s="152">
        <v>1.0</v>
      </c>
      <c r="F1774" s="152">
        <v>10.0</v>
      </c>
      <c r="G1774" s="152" t="s">
        <v>8479</v>
      </c>
      <c r="H1774" s="152" t="s">
        <v>8482</v>
      </c>
      <c r="I1774" s="154"/>
      <c r="J1774" s="152" t="s">
        <v>23</v>
      </c>
      <c r="K1774" s="152">
        <v>3739.0</v>
      </c>
      <c r="L1774" s="154"/>
      <c r="M1774" s="154"/>
      <c r="N1774" s="152" t="s">
        <v>8384</v>
      </c>
    </row>
    <row r="1775">
      <c r="A1775" s="152" t="s">
        <v>8496</v>
      </c>
      <c r="B1775" s="152" t="s">
        <v>8497</v>
      </c>
      <c r="C1775" s="152">
        <v>3.0</v>
      </c>
      <c r="D1775" s="152">
        <v>4.0</v>
      </c>
      <c r="E1775" s="152">
        <v>1.0</v>
      </c>
      <c r="F1775" s="152">
        <v>10.0</v>
      </c>
      <c r="G1775" s="152" t="s">
        <v>8479</v>
      </c>
      <c r="H1775" s="152" t="s">
        <v>8483</v>
      </c>
      <c r="I1775" s="154"/>
      <c r="J1775" s="152" t="s">
        <v>23</v>
      </c>
      <c r="K1775" s="152">
        <v>3739.0</v>
      </c>
      <c r="L1775" s="154"/>
      <c r="M1775" s="154"/>
      <c r="N1775" s="152" t="s">
        <v>8384</v>
      </c>
    </row>
    <row r="1776">
      <c r="A1776" s="152" t="s">
        <v>8496</v>
      </c>
      <c r="B1776" s="152" t="s">
        <v>8497</v>
      </c>
      <c r="C1776" s="152">
        <v>3.0</v>
      </c>
      <c r="D1776" s="152">
        <v>5.0</v>
      </c>
      <c r="E1776" s="152">
        <v>1.0</v>
      </c>
      <c r="F1776" s="152">
        <v>10.0</v>
      </c>
      <c r="G1776" s="152" t="s">
        <v>8479</v>
      </c>
      <c r="H1776" s="152" t="s">
        <v>8484</v>
      </c>
      <c r="I1776" s="154"/>
      <c r="J1776" s="152" t="s">
        <v>23</v>
      </c>
      <c r="K1776" s="152">
        <v>1979.0</v>
      </c>
      <c r="L1776" s="154"/>
      <c r="M1776" s="154"/>
      <c r="N1776" s="152" t="s">
        <v>8384</v>
      </c>
    </row>
    <row r="1777">
      <c r="A1777" s="152" t="s">
        <v>8496</v>
      </c>
      <c r="B1777" s="152" t="s">
        <v>8497</v>
      </c>
      <c r="C1777" s="152">
        <v>3.0</v>
      </c>
      <c r="D1777" s="152">
        <v>6.0</v>
      </c>
      <c r="E1777" s="152">
        <v>1.0</v>
      </c>
      <c r="F1777" s="152">
        <v>10.0</v>
      </c>
      <c r="G1777" s="152" t="s">
        <v>8479</v>
      </c>
      <c r="H1777" s="152" t="s">
        <v>8485</v>
      </c>
      <c r="I1777" s="154"/>
      <c r="J1777" s="152" t="s">
        <v>23</v>
      </c>
      <c r="K1777" s="152">
        <v>1979.0</v>
      </c>
      <c r="L1777" s="154"/>
      <c r="M1777" s="154"/>
      <c r="N1777" s="152" t="s">
        <v>8384</v>
      </c>
    </row>
    <row r="1778">
      <c r="A1778" s="152" t="s">
        <v>8496</v>
      </c>
      <c r="B1778" s="152" t="s">
        <v>8497</v>
      </c>
      <c r="C1778" s="152">
        <v>3.0</v>
      </c>
      <c r="D1778" s="152">
        <v>7.0</v>
      </c>
      <c r="E1778" s="152">
        <v>1.0</v>
      </c>
      <c r="F1778" s="152">
        <v>10.0</v>
      </c>
      <c r="G1778" s="152" t="s">
        <v>8479</v>
      </c>
      <c r="H1778" s="152" t="s">
        <v>8486</v>
      </c>
      <c r="I1778" s="154"/>
      <c r="J1778" s="152" t="s">
        <v>23</v>
      </c>
      <c r="K1778" s="152">
        <v>4159.0</v>
      </c>
      <c r="L1778" s="154"/>
      <c r="M1778" s="154"/>
      <c r="N1778" s="152" t="s">
        <v>8384</v>
      </c>
    </row>
    <row r="1779">
      <c r="A1779" s="152" t="s">
        <v>8496</v>
      </c>
      <c r="B1779" s="152" t="s">
        <v>8497</v>
      </c>
      <c r="C1779" s="152">
        <v>3.0</v>
      </c>
      <c r="D1779" s="152">
        <v>8.0</v>
      </c>
      <c r="E1779" s="152">
        <v>1.0</v>
      </c>
      <c r="F1779" s="152">
        <v>10.0</v>
      </c>
      <c r="G1779" s="152" t="s">
        <v>8479</v>
      </c>
      <c r="H1779" s="152" t="s">
        <v>8487</v>
      </c>
      <c r="I1779" s="154"/>
      <c r="J1779" s="152" t="s">
        <v>23</v>
      </c>
      <c r="K1779" s="152">
        <v>4159.0</v>
      </c>
      <c r="L1779" s="154"/>
      <c r="M1779" s="154"/>
      <c r="N1779" s="152" t="s">
        <v>8384</v>
      </c>
    </row>
    <row r="1780">
      <c r="A1780" s="152" t="s">
        <v>8496</v>
      </c>
      <c r="B1780" s="152" t="s">
        <v>8497</v>
      </c>
      <c r="C1780" s="152">
        <v>3.0</v>
      </c>
      <c r="D1780" s="152">
        <v>9.0</v>
      </c>
      <c r="E1780" s="152">
        <v>1.0</v>
      </c>
      <c r="F1780" s="152">
        <v>10.0</v>
      </c>
      <c r="G1780" s="152" t="s">
        <v>8479</v>
      </c>
      <c r="H1780" s="152" t="s">
        <v>8488</v>
      </c>
      <c r="I1780" s="154"/>
      <c r="J1780" s="152" t="s">
        <v>23</v>
      </c>
      <c r="K1780" s="152">
        <v>2029.0</v>
      </c>
      <c r="L1780" s="154"/>
      <c r="M1780" s="154"/>
      <c r="N1780" s="152" t="s">
        <v>8384</v>
      </c>
    </row>
    <row r="1781">
      <c r="A1781" s="152" t="s">
        <v>8496</v>
      </c>
      <c r="B1781" s="152" t="s">
        <v>8497</v>
      </c>
      <c r="C1781" s="152">
        <v>3.0</v>
      </c>
      <c r="D1781" s="152">
        <v>10.0</v>
      </c>
      <c r="E1781" s="152">
        <v>1.0</v>
      </c>
      <c r="F1781" s="152">
        <v>10.0</v>
      </c>
      <c r="G1781" s="152" t="s">
        <v>8479</v>
      </c>
      <c r="H1781" s="152" t="s">
        <v>8489</v>
      </c>
      <c r="I1781" s="154"/>
      <c r="J1781" s="152" t="s">
        <v>23</v>
      </c>
      <c r="K1781" s="152">
        <v>2029.0</v>
      </c>
      <c r="L1781" s="154"/>
      <c r="M1781" s="154"/>
      <c r="N1781" s="152" t="s">
        <v>8384</v>
      </c>
    </row>
  </sheetData>
  <drawing r:id="rId4"/>
  <legacyDrawing r:id="rId5"/>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2" width="14.38"/>
    <col customWidth="1" min="4" max="4" width="15.75"/>
    <col customWidth="1" min="5" max="5" width="14.5"/>
    <col customWidth="1" min="6" max="6" width="21.13"/>
    <col customWidth="1" min="7" max="7" width="27.0"/>
    <col customWidth="1" min="8" max="8" width="22.13"/>
    <col customWidth="1" min="9" max="12" width="20.75"/>
    <col customWidth="1" min="14" max="14" width="11.25"/>
    <col customWidth="1" min="15" max="15" width="24.13"/>
  </cols>
  <sheetData>
    <row r="1">
      <c r="A1" s="148" t="s">
        <v>8343</v>
      </c>
      <c r="B1" s="149" t="s">
        <v>8368</v>
      </c>
      <c r="C1" s="1" t="s">
        <v>8369</v>
      </c>
      <c r="D1" s="1" t="s">
        <v>8370</v>
      </c>
      <c r="E1" s="1" t="s">
        <v>8371</v>
      </c>
      <c r="F1" s="1" t="s">
        <v>8372</v>
      </c>
      <c r="G1" s="7" t="s">
        <v>8373</v>
      </c>
      <c r="H1" s="7" t="s">
        <v>5663</v>
      </c>
      <c r="I1" s="150" t="s">
        <v>8374</v>
      </c>
      <c r="J1" s="150" t="s">
        <v>8375</v>
      </c>
      <c r="K1" s="150" t="s">
        <v>8256</v>
      </c>
      <c r="L1" s="150" t="s">
        <v>8376</v>
      </c>
      <c r="M1" s="66" t="s">
        <v>8377</v>
      </c>
      <c r="N1" s="150" t="s">
        <v>8378</v>
      </c>
      <c r="O1" s="150" t="s">
        <v>8379</v>
      </c>
      <c r="P1" s="151"/>
      <c r="Q1" s="151"/>
      <c r="R1" s="151"/>
      <c r="S1" s="151"/>
      <c r="T1" s="151"/>
      <c r="U1" s="151"/>
      <c r="V1" s="151"/>
      <c r="W1" s="151"/>
      <c r="X1" s="151"/>
      <c r="Y1" s="151"/>
      <c r="Z1" s="151"/>
      <c r="AA1" s="151"/>
    </row>
    <row r="2">
      <c r="A2" s="158" t="s">
        <v>8428</v>
      </c>
      <c r="B2" s="158" t="s">
        <v>8348</v>
      </c>
      <c r="C2" s="158">
        <v>1.0</v>
      </c>
      <c r="D2" s="159">
        <v>1.0</v>
      </c>
      <c r="E2" s="158"/>
      <c r="F2" s="158"/>
      <c r="G2" s="159" t="s">
        <v>8382</v>
      </c>
      <c r="H2" s="158" t="s">
        <v>8383</v>
      </c>
      <c r="I2" s="158"/>
      <c r="J2" s="159" t="s">
        <v>23</v>
      </c>
      <c r="K2" s="158">
        <v>2339.0</v>
      </c>
      <c r="L2" s="158"/>
      <c r="N2" s="158" t="s">
        <v>8384</v>
      </c>
    </row>
    <row r="3">
      <c r="A3" s="159" t="s">
        <v>8428</v>
      </c>
      <c r="B3" s="158" t="s">
        <v>8348</v>
      </c>
      <c r="C3" s="159">
        <v>1.0</v>
      </c>
      <c r="D3" s="159">
        <v>2.0</v>
      </c>
      <c r="E3" s="160"/>
      <c r="F3" s="160"/>
      <c r="G3" s="159" t="s">
        <v>8382</v>
      </c>
      <c r="H3" s="159" t="s">
        <v>8385</v>
      </c>
      <c r="I3" s="158"/>
      <c r="J3" s="159" t="s">
        <v>23</v>
      </c>
      <c r="K3" s="159">
        <v>2499.0</v>
      </c>
      <c r="L3" s="159"/>
      <c r="M3" s="13" t="s">
        <v>8498</v>
      </c>
      <c r="N3" s="158" t="s">
        <v>8384</v>
      </c>
    </row>
    <row r="4">
      <c r="A4" s="159" t="s">
        <v>8428</v>
      </c>
      <c r="B4" s="158" t="s">
        <v>8348</v>
      </c>
      <c r="C4" s="159">
        <v>1.0</v>
      </c>
      <c r="D4" s="159">
        <v>3.0</v>
      </c>
      <c r="E4" s="160"/>
      <c r="F4" s="160"/>
      <c r="G4" s="159" t="s">
        <v>8382</v>
      </c>
      <c r="H4" s="159" t="s">
        <v>8386</v>
      </c>
      <c r="I4" s="158"/>
      <c r="J4" s="159" t="s">
        <v>23</v>
      </c>
      <c r="K4" s="159">
        <v>2499.0</v>
      </c>
      <c r="L4" s="159"/>
      <c r="N4" s="158" t="s">
        <v>8384</v>
      </c>
    </row>
    <row r="5">
      <c r="A5" s="159" t="s">
        <v>8428</v>
      </c>
      <c r="B5" s="158" t="s">
        <v>8348</v>
      </c>
      <c r="C5" s="159">
        <v>1.0</v>
      </c>
      <c r="D5" s="159">
        <v>4.0</v>
      </c>
      <c r="E5" s="160"/>
      <c r="F5" s="160"/>
      <c r="G5" s="159" t="s">
        <v>8382</v>
      </c>
      <c r="H5" s="159" t="s">
        <v>8387</v>
      </c>
      <c r="I5" s="158"/>
      <c r="J5" s="159" t="s">
        <v>23</v>
      </c>
      <c r="K5" s="159">
        <v>2499.0</v>
      </c>
      <c r="L5" s="159"/>
      <c r="N5" s="158" t="s">
        <v>8384</v>
      </c>
    </row>
    <row r="6">
      <c r="A6" s="159" t="s">
        <v>8428</v>
      </c>
      <c r="B6" s="158" t="s">
        <v>8348</v>
      </c>
      <c r="C6" s="159">
        <v>1.0</v>
      </c>
      <c r="D6" s="159">
        <v>5.0</v>
      </c>
      <c r="E6" s="160"/>
      <c r="F6" s="160"/>
      <c r="G6" s="159" t="s">
        <v>8382</v>
      </c>
      <c r="H6" s="158" t="s">
        <v>8388</v>
      </c>
      <c r="I6" s="158"/>
      <c r="J6" s="159" t="s">
        <v>23</v>
      </c>
      <c r="K6" s="159">
        <v>2499.0</v>
      </c>
      <c r="L6" s="159"/>
      <c r="N6" s="158" t="s">
        <v>8384</v>
      </c>
    </row>
    <row r="7">
      <c r="A7" s="159" t="s">
        <v>8428</v>
      </c>
      <c r="B7" s="158" t="s">
        <v>8348</v>
      </c>
      <c r="C7" s="159">
        <v>1.0</v>
      </c>
      <c r="D7" s="159">
        <v>6.0</v>
      </c>
      <c r="E7" s="160"/>
      <c r="F7" s="160"/>
      <c r="G7" s="159" t="s">
        <v>8382</v>
      </c>
      <c r="H7" s="159" t="s">
        <v>8389</v>
      </c>
      <c r="I7" s="158"/>
      <c r="J7" s="159" t="s">
        <v>23</v>
      </c>
      <c r="K7" s="159">
        <v>2929.0</v>
      </c>
      <c r="L7" s="159"/>
      <c r="N7" s="158" t="s">
        <v>8384</v>
      </c>
    </row>
    <row r="8">
      <c r="A8" s="159" t="s">
        <v>8428</v>
      </c>
      <c r="B8" s="158" t="s">
        <v>8348</v>
      </c>
      <c r="C8" s="159">
        <v>1.0</v>
      </c>
      <c r="D8" s="159">
        <v>7.0</v>
      </c>
      <c r="E8" s="160"/>
      <c r="F8" s="160"/>
      <c r="G8" s="159" t="s">
        <v>8382</v>
      </c>
      <c r="H8" s="158" t="s">
        <v>5767</v>
      </c>
      <c r="I8" s="158"/>
      <c r="J8" s="159" t="s">
        <v>23</v>
      </c>
      <c r="K8" s="159">
        <v>2929.0</v>
      </c>
      <c r="L8" s="159"/>
      <c r="N8" s="158" t="s">
        <v>8384</v>
      </c>
    </row>
    <row r="9">
      <c r="A9" s="159" t="s">
        <v>8428</v>
      </c>
      <c r="B9" s="158" t="s">
        <v>8348</v>
      </c>
      <c r="C9" s="159">
        <v>1.0</v>
      </c>
      <c r="D9" s="159">
        <v>8.0</v>
      </c>
      <c r="E9" s="160"/>
      <c r="F9" s="160"/>
      <c r="G9" s="159" t="s">
        <v>8382</v>
      </c>
      <c r="H9" s="159" t="s">
        <v>8390</v>
      </c>
      <c r="I9" s="158"/>
      <c r="J9" s="159" t="s">
        <v>23</v>
      </c>
      <c r="K9" s="159">
        <v>2929.0</v>
      </c>
      <c r="L9" s="159"/>
      <c r="N9" s="158" t="s">
        <v>8384</v>
      </c>
    </row>
    <row r="10">
      <c r="A10" s="159" t="s">
        <v>8428</v>
      </c>
      <c r="B10" s="158" t="s">
        <v>8348</v>
      </c>
      <c r="C10" s="159">
        <v>1.0</v>
      </c>
      <c r="D10" s="159">
        <v>9.0</v>
      </c>
      <c r="E10" s="160"/>
      <c r="F10" s="160"/>
      <c r="G10" s="159" t="s">
        <v>8382</v>
      </c>
      <c r="H10" s="159" t="s">
        <v>8391</v>
      </c>
      <c r="I10" s="158"/>
      <c r="J10" s="159" t="s">
        <v>23</v>
      </c>
      <c r="K10" s="159">
        <v>2929.0</v>
      </c>
      <c r="L10" s="159"/>
      <c r="N10" s="158" t="s">
        <v>8384</v>
      </c>
    </row>
    <row r="11">
      <c r="A11" s="159" t="s">
        <v>8428</v>
      </c>
      <c r="B11" s="158" t="s">
        <v>8348</v>
      </c>
      <c r="C11" s="159">
        <v>1.0</v>
      </c>
      <c r="D11" s="159">
        <v>10.0</v>
      </c>
      <c r="E11" s="160"/>
      <c r="F11" s="160"/>
      <c r="G11" s="159" t="s">
        <v>8382</v>
      </c>
      <c r="H11" s="159" t="s">
        <v>8392</v>
      </c>
      <c r="I11" s="158"/>
      <c r="J11" s="159" t="s">
        <v>23</v>
      </c>
      <c r="K11" s="159">
        <v>2929.0</v>
      </c>
      <c r="L11" s="159"/>
      <c r="N11" s="158" t="s">
        <v>8384</v>
      </c>
    </row>
    <row r="12">
      <c r="A12" s="159" t="s">
        <v>8428</v>
      </c>
      <c r="B12" s="158" t="s">
        <v>8348</v>
      </c>
      <c r="C12" s="159">
        <v>2.0</v>
      </c>
      <c r="D12" s="159">
        <v>1.0</v>
      </c>
      <c r="E12" s="159">
        <v>1.0</v>
      </c>
      <c r="F12" s="159">
        <v>1.0</v>
      </c>
      <c r="G12" s="159" t="s">
        <v>8393</v>
      </c>
      <c r="H12" s="161" t="s">
        <v>8394</v>
      </c>
      <c r="I12" s="158" t="s">
        <v>6862</v>
      </c>
      <c r="J12" s="158"/>
      <c r="K12" s="162"/>
      <c r="L12" s="158"/>
      <c r="N12" s="158" t="s">
        <v>8395</v>
      </c>
    </row>
    <row r="13">
      <c r="A13" s="159" t="s">
        <v>8428</v>
      </c>
      <c r="B13" s="158" t="s">
        <v>8348</v>
      </c>
      <c r="C13" s="159">
        <v>2.0</v>
      </c>
      <c r="D13" s="159">
        <v>1.0</v>
      </c>
      <c r="E13" s="159">
        <v>1.0</v>
      </c>
      <c r="F13" s="159">
        <v>1.0</v>
      </c>
      <c r="G13" s="159" t="s">
        <v>8393</v>
      </c>
      <c r="H13" s="163" t="s">
        <v>8499</v>
      </c>
      <c r="I13" s="158"/>
      <c r="J13" s="158"/>
      <c r="K13" s="162"/>
      <c r="L13" s="158"/>
      <c r="N13" s="158" t="s">
        <v>8395</v>
      </c>
    </row>
    <row r="14">
      <c r="A14" s="159" t="s">
        <v>8428</v>
      </c>
      <c r="B14" s="158" t="s">
        <v>8348</v>
      </c>
      <c r="C14" s="159">
        <v>2.0</v>
      </c>
      <c r="D14" s="159">
        <v>2.0</v>
      </c>
      <c r="E14" s="159">
        <v>1.0</v>
      </c>
      <c r="F14" s="159">
        <v>2.0</v>
      </c>
      <c r="G14" s="159" t="s">
        <v>8393</v>
      </c>
      <c r="H14" s="161" t="s">
        <v>8396</v>
      </c>
      <c r="I14" s="158" t="s">
        <v>6893</v>
      </c>
      <c r="J14" s="158"/>
      <c r="K14" s="162"/>
      <c r="L14" s="162"/>
      <c r="M14" s="13" t="s">
        <v>8498</v>
      </c>
      <c r="N14" s="158" t="s">
        <v>8395</v>
      </c>
    </row>
    <row r="15">
      <c r="A15" s="159" t="s">
        <v>8428</v>
      </c>
      <c r="B15" s="158" t="s">
        <v>8348</v>
      </c>
      <c r="C15" s="159">
        <v>2.0</v>
      </c>
      <c r="D15" s="159">
        <v>3.0</v>
      </c>
      <c r="E15" s="159">
        <v>1.0</v>
      </c>
      <c r="F15" s="159">
        <v>3.0</v>
      </c>
      <c r="G15" s="159" t="s">
        <v>8393</v>
      </c>
      <c r="H15" s="161" t="s">
        <v>8397</v>
      </c>
      <c r="I15" s="158" t="s">
        <v>6796</v>
      </c>
      <c r="J15" s="159"/>
      <c r="K15" s="162"/>
      <c r="L15" s="162"/>
      <c r="N15" s="158" t="s">
        <v>8395</v>
      </c>
    </row>
    <row r="16">
      <c r="A16" s="159" t="s">
        <v>8428</v>
      </c>
      <c r="B16" s="158" t="s">
        <v>8348</v>
      </c>
      <c r="C16" s="159">
        <v>2.0</v>
      </c>
      <c r="D16" s="159">
        <v>4.0</v>
      </c>
      <c r="E16" s="159">
        <v>1.0</v>
      </c>
      <c r="F16" s="159">
        <v>4.0</v>
      </c>
      <c r="G16" s="159" t="s">
        <v>8393</v>
      </c>
      <c r="H16" s="164" t="s">
        <v>8398</v>
      </c>
      <c r="I16" s="158" t="s">
        <v>6726</v>
      </c>
      <c r="J16" s="159"/>
      <c r="K16" s="162"/>
      <c r="L16" s="162"/>
      <c r="N16" s="158" t="s">
        <v>8395</v>
      </c>
    </row>
    <row r="17">
      <c r="A17" s="159" t="s">
        <v>8428</v>
      </c>
      <c r="B17" s="158" t="s">
        <v>8348</v>
      </c>
      <c r="C17" s="159">
        <v>2.0</v>
      </c>
      <c r="D17" s="159">
        <v>5.0</v>
      </c>
      <c r="E17" s="159">
        <v>1.0</v>
      </c>
      <c r="F17" s="159">
        <v>5.0</v>
      </c>
      <c r="G17" s="159" t="s">
        <v>8393</v>
      </c>
      <c r="H17" s="161" t="s">
        <v>8399</v>
      </c>
      <c r="I17" s="158" t="s">
        <v>6924</v>
      </c>
      <c r="J17" s="159"/>
      <c r="K17" s="162"/>
      <c r="L17" s="162"/>
      <c r="N17" s="158" t="s">
        <v>8395</v>
      </c>
    </row>
    <row r="18">
      <c r="A18" s="159" t="s">
        <v>8428</v>
      </c>
      <c r="B18" s="158" t="s">
        <v>8348</v>
      </c>
      <c r="C18" s="159">
        <v>2.0</v>
      </c>
      <c r="D18" s="159">
        <v>6.0</v>
      </c>
      <c r="E18" s="159">
        <v>1.0</v>
      </c>
      <c r="F18" s="159">
        <v>6.0</v>
      </c>
      <c r="G18" s="159" t="s">
        <v>8393</v>
      </c>
      <c r="H18" s="161" t="s">
        <v>8400</v>
      </c>
      <c r="I18" s="158" t="s">
        <v>6893</v>
      </c>
      <c r="J18" s="159"/>
      <c r="K18" s="162"/>
      <c r="L18" s="162"/>
      <c r="N18" s="158" t="s">
        <v>8395</v>
      </c>
    </row>
    <row r="19">
      <c r="A19" s="159" t="s">
        <v>8428</v>
      </c>
      <c r="B19" s="158" t="s">
        <v>8348</v>
      </c>
      <c r="C19" s="159">
        <v>2.0</v>
      </c>
      <c r="D19" s="159">
        <v>7.0</v>
      </c>
      <c r="E19" s="159">
        <v>1.0</v>
      </c>
      <c r="F19" s="159">
        <v>7.0</v>
      </c>
      <c r="G19" s="159" t="s">
        <v>8393</v>
      </c>
      <c r="H19" s="164" t="s">
        <v>8401</v>
      </c>
      <c r="I19" s="158" t="s">
        <v>6796</v>
      </c>
      <c r="J19" s="159"/>
      <c r="K19" s="160"/>
      <c r="L19" s="160"/>
      <c r="N19" s="158" t="s">
        <v>8395</v>
      </c>
    </row>
    <row r="20">
      <c r="A20" s="159" t="s">
        <v>8428</v>
      </c>
      <c r="B20" s="158" t="s">
        <v>8348</v>
      </c>
      <c r="C20" s="159">
        <v>2.0</v>
      </c>
      <c r="D20" s="159">
        <v>8.0</v>
      </c>
      <c r="E20" s="159">
        <v>1.0</v>
      </c>
      <c r="F20" s="159">
        <v>8.0</v>
      </c>
      <c r="G20" s="159" t="s">
        <v>8393</v>
      </c>
      <c r="H20" s="161" t="s">
        <v>8402</v>
      </c>
      <c r="I20" s="158" t="s">
        <v>6831</v>
      </c>
      <c r="J20" s="159"/>
      <c r="K20" s="160"/>
      <c r="L20" s="160"/>
      <c r="N20" s="158" t="s">
        <v>8395</v>
      </c>
    </row>
    <row r="21">
      <c r="A21" s="159" t="s">
        <v>8428</v>
      </c>
      <c r="B21" s="158" t="s">
        <v>8348</v>
      </c>
      <c r="C21" s="159">
        <v>2.0</v>
      </c>
      <c r="D21" s="159">
        <v>9.0</v>
      </c>
      <c r="E21" s="159">
        <v>1.0</v>
      </c>
      <c r="F21" s="159">
        <v>9.0</v>
      </c>
      <c r="G21" s="159" t="s">
        <v>8393</v>
      </c>
      <c r="H21" s="164" t="s">
        <v>8403</v>
      </c>
      <c r="I21" s="158" t="s">
        <v>6836</v>
      </c>
      <c r="J21" s="159"/>
      <c r="K21" s="160"/>
      <c r="L21" s="160"/>
      <c r="N21" s="158" t="s">
        <v>8395</v>
      </c>
    </row>
    <row r="22">
      <c r="A22" s="159" t="s">
        <v>8428</v>
      </c>
      <c r="B22" s="158" t="s">
        <v>8348</v>
      </c>
      <c r="C22" s="159">
        <v>2.0</v>
      </c>
      <c r="D22" s="159">
        <v>10.0</v>
      </c>
      <c r="E22" s="159">
        <v>1.0</v>
      </c>
      <c r="F22" s="159">
        <v>10.0</v>
      </c>
      <c r="G22" s="159" t="s">
        <v>8393</v>
      </c>
      <c r="H22" s="161" t="s">
        <v>8404</v>
      </c>
      <c r="I22" s="158" t="s">
        <v>8405</v>
      </c>
      <c r="J22" s="159"/>
      <c r="K22" s="160"/>
      <c r="L22" s="160"/>
      <c r="N22" s="158" t="s">
        <v>8395</v>
      </c>
    </row>
    <row r="23">
      <c r="A23" s="159" t="s">
        <v>8428</v>
      </c>
      <c r="B23" s="158" t="s">
        <v>8348</v>
      </c>
      <c r="C23" s="158">
        <v>3.0</v>
      </c>
      <c r="D23" s="159">
        <v>1.0</v>
      </c>
      <c r="E23" s="158"/>
      <c r="F23" s="159"/>
      <c r="G23" s="158" t="s">
        <v>8500</v>
      </c>
      <c r="H23" s="158" t="s">
        <v>8407</v>
      </c>
      <c r="I23" s="158"/>
      <c r="N23" s="158" t="s">
        <v>8384</v>
      </c>
    </row>
    <row r="24">
      <c r="A24" s="159" t="s">
        <v>8428</v>
      </c>
      <c r="B24" s="158" t="s">
        <v>8348</v>
      </c>
      <c r="C24" s="158">
        <v>3.0</v>
      </c>
      <c r="D24" s="158">
        <v>2.0</v>
      </c>
      <c r="E24" s="158"/>
      <c r="F24" s="159"/>
      <c r="G24" s="158" t="s">
        <v>8500</v>
      </c>
      <c r="H24" s="158" t="s">
        <v>8408</v>
      </c>
      <c r="I24" s="158"/>
      <c r="N24" s="158" t="s">
        <v>8384</v>
      </c>
    </row>
    <row r="25">
      <c r="A25" s="159" t="s">
        <v>8428</v>
      </c>
      <c r="B25" s="158" t="s">
        <v>8348</v>
      </c>
      <c r="C25" s="158">
        <v>3.0</v>
      </c>
      <c r="D25" s="158">
        <v>3.0</v>
      </c>
      <c r="E25" s="158"/>
      <c r="F25" s="158"/>
      <c r="G25" s="158" t="s">
        <v>8500</v>
      </c>
      <c r="H25" s="158" t="s">
        <v>8409</v>
      </c>
      <c r="I25" s="158"/>
      <c r="N25" s="158" t="s">
        <v>8384</v>
      </c>
    </row>
    <row r="26">
      <c r="A26" s="159" t="s">
        <v>8428</v>
      </c>
      <c r="B26" s="158" t="s">
        <v>8348</v>
      </c>
      <c r="C26" s="158">
        <v>3.0</v>
      </c>
      <c r="D26" s="158">
        <v>4.0</v>
      </c>
      <c r="E26" s="158"/>
      <c r="F26" s="158"/>
      <c r="G26" s="158" t="s">
        <v>8500</v>
      </c>
      <c r="H26" s="158" t="s">
        <v>8410</v>
      </c>
      <c r="I26" s="158"/>
      <c r="N26" s="158" t="s">
        <v>8384</v>
      </c>
    </row>
    <row r="27">
      <c r="A27" s="159" t="s">
        <v>8428</v>
      </c>
      <c r="B27" s="158" t="s">
        <v>8348</v>
      </c>
      <c r="C27" s="158">
        <v>3.0</v>
      </c>
      <c r="D27" s="158">
        <v>5.0</v>
      </c>
      <c r="E27" s="158"/>
      <c r="F27" s="159"/>
      <c r="G27" s="158" t="s">
        <v>8500</v>
      </c>
      <c r="H27" s="158" t="s">
        <v>8411</v>
      </c>
      <c r="I27" s="158"/>
      <c r="N27" s="158" t="s">
        <v>8384</v>
      </c>
    </row>
    <row r="28">
      <c r="A28" s="159" t="s">
        <v>8428</v>
      </c>
      <c r="B28" s="158" t="s">
        <v>8348</v>
      </c>
      <c r="C28" s="158">
        <v>3.0</v>
      </c>
      <c r="D28" s="158">
        <v>6.0</v>
      </c>
      <c r="E28" s="158"/>
      <c r="F28" s="159"/>
      <c r="G28" s="158" t="s">
        <v>8500</v>
      </c>
      <c r="H28" s="158" t="s">
        <v>8412</v>
      </c>
      <c r="I28" s="158"/>
      <c r="N28" s="158" t="s">
        <v>8384</v>
      </c>
    </row>
    <row r="29">
      <c r="A29" s="159" t="s">
        <v>8428</v>
      </c>
      <c r="B29" s="158" t="s">
        <v>8348</v>
      </c>
      <c r="C29" s="158">
        <v>3.0</v>
      </c>
      <c r="D29" s="158">
        <v>7.0</v>
      </c>
      <c r="E29" s="158"/>
      <c r="F29" s="159"/>
      <c r="G29" s="158" t="s">
        <v>8500</v>
      </c>
      <c r="H29" s="158" t="s">
        <v>8413</v>
      </c>
      <c r="I29" s="158"/>
      <c r="N29" s="158" t="s">
        <v>8384</v>
      </c>
    </row>
    <row r="30">
      <c r="A30" s="159" t="s">
        <v>8428</v>
      </c>
      <c r="B30" s="158" t="s">
        <v>8348</v>
      </c>
      <c r="C30" s="158">
        <v>3.0</v>
      </c>
      <c r="D30" s="158">
        <v>8.0</v>
      </c>
      <c r="E30" s="158"/>
      <c r="F30" s="159"/>
      <c r="G30" s="158" t="s">
        <v>8500</v>
      </c>
      <c r="H30" s="158" t="s">
        <v>8414</v>
      </c>
      <c r="I30" s="158"/>
      <c r="N30" s="158" t="s">
        <v>8384</v>
      </c>
    </row>
    <row r="31">
      <c r="A31" s="159" t="s">
        <v>8428</v>
      </c>
      <c r="B31" s="158" t="s">
        <v>8348</v>
      </c>
      <c r="C31" s="158">
        <v>3.0</v>
      </c>
      <c r="D31" s="158">
        <v>9.0</v>
      </c>
      <c r="E31" s="158"/>
      <c r="F31" s="159"/>
      <c r="G31" s="158" t="s">
        <v>8500</v>
      </c>
      <c r="H31" s="158" t="s">
        <v>8415</v>
      </c>
      <c r="I31" s="158"/>
      <c r="N31" s="158" t="s">
        <v>8384</v>
      </c>
    </row>
    <row r="32">
      <c r="A32" s="159" t="s">
        <v>8428</v>
      </c>
      <c r="B32" s="158" t="s">
        <v>8348</v>
      </c>
      <c r="C32" s="158">
        <v>3.0</v>
      </c>
      <c r="D32" s="158">
        <v>10.0</v>
      </c>
      <c r="E32" s="158"/>
      <c r="F32" s="159"/>
      <c r="G32" s="158" t="s">
        <v>8500</v>
      </c>
      <c r="H32" s="158" t="s">
        <v>8416</v>
      </c>
      <c r="I32" s="158"/>
      <c r="N32" s="158" t="s">
        <v>8384</v>
      </c>
    </row>
    <row r="33">
      <c r="A33" s="159"/>
      <c r="B33" s="158"/>
      <c r="C33" s="158"/>
      <c r="D33" s="159"/>
      <c r="E33" s="158"/>
      <c r="F33" s="159"/>
      <c r="G33" s="158"/>
      <c r="H33" s="161" t="s">
        <v>8501</v>
      </c>
      <c r="I33" s="158"/>
      <c r="J33" s="158"/>
      <c r="K33" s="158"/>
      <c r="L33" s="158"/>
      <c r="N33" s="158"/>
    </row>
    <row r="34">
      <c r="A34" s="159" t="s">
        <v>8428</v>
      </c>
      <c r="B34" s="158" t="s">
        <v>8348</v>
      </c>
      <c r="C34" s="158">
        <v>4.0</v>
      </c>
      <c r="D34" s="159">
        <v>1.0</v>
      </c>
      <c r="E34" s="158">
        <v>3.0</v>
      </c>
      <c r="F34" s="159">
        <v>1.0</v>
      </c>
      <c r="G34" s="158" t="s">
        <v>8502</v>
      </c>
      <c r="H34" s="161" t="s">
        <v>8417</v>
      </c>
      <c r="I34" s="158" t="s">
        <v>6507</v>
      </c>
      <c r="J34" s="158"/>
      <c r="K34" s="158"/>
      <c r="L34" s="158"/>
      <c r="N34" s="158" t="s">
        <v>8395</v>
      </c>
    </row>
    <row r="35">
      <c r="A35" s="159" t="s">
        <v>8428</v>
      </c>
      <c r="B35" s="158" t="s">
        <v>8348</v>
      </c>
      <c r="C35" s="158">
        <v>4.0</v>
      </c>
      <c r="D35" s="158">
        <v>2.0</v>
      </c>
      <c r="E35" s="158">
        <v>3.0</v>
      </c>
      <c r="F35" s="158">
        <v>2.0</v>
      </c>
      <c r="G35" s="158" t="s">
        <v>8502</v>
      </c>
      <c r="H35" s="161" t="s">
        <v>8418</v>
      </c>
      <c r="I35" s="158" t="s">
        <v>6492</v>
      </c>
      <c r="J35" s="158"/>
      <c r="K35" s="158"/>
      <c r="L35" s="158"/>
      <c r="N35" s="158" t="s">
        <v>8395</v>
      </c>
    </row>
    <row r="36">
      <c r="A36" s="159" t="s">
        <v>8428</v>
      </c>
      <c r="B36" s="158" t="s">
        <v>8348</v>
      </c>
      <c r="C36" s="158">
        <v>4.0</v>
      </c>
      <c r="D36" s="158">
        <v>3.0</v>
      </c>
      <c r="E36" s="158">
        <v>3.0</v>
      </c>
      <c r="F36" s="158">
        <v>3.0</v>
      </c>
      <c r="G36" s="158" t="s">
        <v>8502</v>
      </c>
      <c r="H36" s="161" t="s">
        <v>8419</v>
      </c>
      <c r="I36" s="158" t="s">
        <v>6978</v>
      </c>
      <c r="J36" s="158"/>
      <c r="K36" s="158"/>
      <c r="L36" s="158"/>
      <c r="N36" s="158" t="s">
        <v>8395</v>
      </c>
    </row>
    <row r="37">
      <c r="A37" s="159" t="s">
        <v>8428</v>
      </c>
      <c r="B37" s="158" t="s">
        <v>8348</v>
      </c>
      <c r="C37" s="158">
        <v>4.0</v>
      </c>
      <c r="D37" s="158">
        <v>4.0</v>
      </c>
      <c r="E37" s="158">
        <v>3.0</v>
      </c>
      <c r="F37" s="158">
        <v>4.0</v>
      </c>
      <c r="G37" s="158" t="s">
        <v>8502</v>
      </c>
      <c r="H37" s="161" t="s">
        <v>8420</v>
      </c>
      <c r="I37" s="158" t="s">
        <v>6936</v>
      </c>
      <c r="J37" s="158"/>
      <c r="K37" s="158"/>
      <c r="L37" s="158"/>
      <c r="N37" s="158" t="s">
        <v>8395</v>
      </c>
    </row>
    <row r="38">
      <c r="A38" s="159" t="s">
        <v>8428</v>
      </c>
      <c r="B38" s="158" t="s">
        <v>8348</v>
      </c>
      <c r="C38" s="158">
        <v>4.0</v>
      </c>
      <c r="D38" s="158">
        <v>5.0</v>
      </c>
      <c r="E38" s="158">
        <v>3.0</v>
      </c>
      <c r="F38" s="158">
        <v>5.0</v>
      </c>
      <c r="G38" s="158" t="s">
        <v>8502</v>
      </c>
      <c r="H38" s="161" t="s">
        <v>8421</v>
      </c>
      <c r="I38" s="158" t="s">
        <v>6620</v>
      </c>
      <c r="J38" s="158"/>
      <c r="K38" s="158"/>
      <c r="L38" s="158"/>
      <c r="N38" s="158" t="s">
        <v>8395</v>
      </c>
    </row>
    <row r="39">
      <c r="A39" s="159" t="s">
        <v>8428</v>
      </c>
      <c r="B39" s="158" t="s">
        <v>8348</v>
      </c>
      <c r="C39" s="158">
        <v>4.0</v>
      </c>
      <c r="D39" s="158">
        <v>6.0</v>
      </c>
      <c r="E39" s="158">
        <v>3.0</v>
      </c>
      <c r="F39" s="158">
        <v>6.0</v>
      </c>
      <c r="G39" s="158" t="s">
        <v>8502</v>
      </c>
      <c r="H39" s="161" t="s">
        <v>8422</v>
      </c>
      <c r="I39" s="158" t="s">
        <v>6563</v>
      </c>
      <c r="J39" s="158"/>
      <c r="K39" s="158"/>
      <c r="L39" s="158"/>
      <c r="N39" s="158" t="s">
        <v>8395</v>
      </c>
    </row>
    <row r="40">
      <c r="A40" s="158" t="s">
        <v>8428</v>
      </c>
      <c r="B40" s="158" t="s">
        <v>8348</v>
      </c>
      <c r="C40" s="158">
        <v>4.0</v>
      </c>
      <c r="D40" s="158">
        <v>7.0</v>
      </c>
      <c r="E40" s="158">
        <v>3.0</v>
      </c>
      <c r="F40" s="158">
        <v>7.0</v>
      </c>
      <c r="G40" s="158" t="s">
        <v>8502</v>
      </c>
      <c r="H40" s="161" t="s">
        <v>8423</v>
      </c>
      <c r="I40" s="158" t="s">
        <v>6701</v>
      </c>
      <c r="J40" s="158"/>
      <c r="K40" s="158"/>
      <c r="L40" s="158"/>
      <c r="N40" s="158" t="s">
        <v>8395</v>
      </c>
    </row>
    <row r="41">
      <c r="A41" s="159" t="s">
        <v>8428</v>
      </c>
      <c r="B41" s="158" t="s">
        <v>8348</v>
      </c>
      <c r="C41" s="158">
        <v>4.0</v>
      </c>
      <c r="D41" s="158">
        <v>8.0</v>
      </c>
      <c r="E41" s="158">
        <v>3.0</v>
      </c>
      <c r="F41" s="158">
        <v>8.0</v>
      </c>
      <c r="G41" s="158" t="s">
        <v>8502</v>
      </c>
      <c r="H41" s="161" t="s">
        <v>8424</v>
      </c>
      <c r="I41" s="158" t="s">
        <v>6684</v>
      </c>
      <c r="J41" s="158"/>
      <c r="K41" s="158"/>
      <c r="L41" s="158"/>
      <c r="N41" s="158" t="s">
        <v>8395</v>
      </c>
    </row>
    <row r="42">
      <c r="A42" s="159" t="s">
        <v>8428</v>
      </c>
      <c r="B42" s="158" t="s">
        <v>8348</v>
      </c>
      <c r="C42" s="158">
        <v>4.0</v>
      </c>
      <c r="D42" s="158">
        <v>9.0</v>
      </c>
      <c r="E42" s="158">
        <v>3.0</v>
      </c>
      <c r="F42" s="158">
        <v>9.0</v>
      </c>
      <c r="G42" s="158" t="s">
        <v>8502</v>
      </c>
      <c r="H42" s="161" t="s">
        <v>8425</v>
      </c>
      <c r="I42" s="158" t="s">
        <v>7039</v>
      </c>
      <c r="J42" s="158"/>
      <c r="K42" s="158"/>
      <c r="L42" s="158"/>
      <c r="N42" s="158" t="s">
        <v>8395</v>
      </c>
    </row>
    <row r="43">
      <c r="A43" s="159" t="s">
        <v>8428</v>
      </c>
      <c r="B43" s="158" t="s">
        <v>8348</v>
      </c>
      <c r="C43" s="158">
        <v>4.0</v>
      </c>
      <c r="D43" s="158">
        <v>10.0</v>
      </c>
      <c r="E43" s="158">
        <v>3.0</v>
      </c>
      <c r="F43" s="158">
        <v>10.0</v>
      </c>
      <c r="G43" s="158" t="s">
        <v>8502</v>
      </c>
      <c r="H43" s="161" t="s">
        <v>8426</v>
      </c>
      <c r="I43" s="158" t="s">
        <v>7023</v>
      </c>
      <c r="J43" s="158"/>
      <c r="K43" s="158"/>
      <c r="L43" s="158"/>
      <c r="N43" s="158" t="s">
        <v>8395</v>
      </c>
    </row>
    <row r="44">
      <c r="A44" s="159"/>
      <c r="B44" s="158"/>
      <c r="C44" s="158"/>
      <c r="D44" s="159"/>
      <c r="E44" s="158"/>
      <c r="F44" s="159"/>
      <c r="G44" s="158" t="s">
        <v>2423</v>
      </c>
      <c r="H44" s="158" t="s">
        <v>8501</v>
      </c>
      <c r="I44" s="158"/>
      <c r="N44" s="158"/>
    </row>
    <row r="45">
      <c r="A45" s="159" t="s">
        <v>8428</v>
      </c>
      <c r="B45" s="158" t="s">
        <v>8348</v>
      </c>
      <c r="C45" s="158">
        <v>5.0</v>
      </c>
      <c r="D45" s="159">
        <v>1.0</v>
      </c>
      <c r="E45" s="158"/>
      <c r="F45" s="159"/>
      <c r="G45" s="158" t="s">
        <v>2423</v>
      </c>
      <c r="H45" s="158" t="s">
        <v>8407</v>
      </c>
      <c r="I45" s="158"/>
      <c r="N45" s="158" t="s">
        <v>8384</v>
      </c>
    </row>
    <row r="46">
      <c r="A46" s="159" t="s">
        <v>8428</v>
      </c>
      <c r="B46" s="158" t="s">
        <v>8348</v>
      </c>
      <c r="C46" s="158">
        <v>5.0</v>
      </c>
      <c r="D46" s="158">
        <v>2.0</v>
      </c>
      <c r="E46" s="158"/>
      <c r="F46" s="159"/>
      <c r="G46" s="158" t="s">
        <v>2423</v>
      </c>
      <c r="H46" s="158" t="s">
        <v>8408</v>
      </c>
      <c r="I46" s="158"/>
      <c r="N46" s="158" t="s">
        <v>8384</v>
      </c>
    </row>
    <row r="47">
      <c r="A47" s="159" t="s">
        <v>8428</v>
      </c>
      <c r="B47" s="158" t="s">
        <v>8348</v>
      </c>
      <c r="C47" s="158">
        <v>5.0</v>
      </c>
      <c r="D47" s="158">
        <v>3.0</v>
      </c>
      <c r="E47" s="158"/>
      <c r="F47" s="158"/>
      <c r="G47" s="158" t="s">
        <v>2423</v>
      </c>
      <c r="H47" s="158" t="s">
        <v>8409</v>
      </c>
      <c r="I47" s="158"/>
      <c r="N47" s="158" t="s">
        <v>8384</v>
      </c>
    </row>
    <row r="48">
      <c r="A48" s="159" t="s">
        <v>8428</v>
      </c>
      <c r="B48" s="158" t="s">
        <v>8348</v>
      </c>
      <c r="C48" s="158">
        <v>5.0</v>
      </c>
      <c r="D48" s="158">
        <v>4.0</v>
      </c>
      <c r="E48" s="158"/>
      <c r="F48" s="158"/>
      <c r="G48" s="158" t="s">
        <v>2423</v>
      </c>
      <c r="H48" s="158" t="s">
        <v>8410</v>
      </c>
      <c r="I48" s="158"/>
      <c r="N48" s="158" t="s">
        <v>8384</v>
      </c>
    </row>
    <row r="49">
      <c r="A49" s="159" t="s">
        <v>8428</v>
      </c>
      <c r="B49" s="158" t="s">
        <v>8348</v>
      </c>
      <c r="C49" s="158">
        <v>5.0</v>
      </c>
      <c r="D49" s="158">
        <v>5.0</v>
      </c>
      <c r="E49" s="158"/>
      <c r="F49" s="159"/>
      <c r="G49" s="158" t="s">
        <v>2423</v>
      </c>
      <c r="H49" s="158" t="s">
        <v>8411</v>
      </c>
      <c r="I49" s="158"/>
      <c r="N49" s="158" t="s">
        <v>8384</v>
      </c>
    </row>
    <row r="50">
      <c r="A50" s="159" t="s">
        <v>8428</v>
      </c>
      <c r="B50" s="158" t="s">
        <v>8348</v>
      </c>
      <c r="C50" s="158">
        <v>5.0</v>
      </c>
      <c r="D50" s="158">
        <v>6.0</v>
      </c>
      <c r="E50" s="158"/>
      <c r="F50" s="159"/>
      <c r="G50" s="158" t="s">
        <v>2423</v>
      </c>
      <c r="H50" s="158" t="s">
        <v>8412</v>
      </c>
      <c r="I50" s="158"/>
      <c r="N50" s="158" t="s">
        <v>8384</v>
      </c>
    </row>
    <row r="51">
      <c r="A51" s="159" t="s">
        <v>8428</v>
      </c>
      <c r="B51" s="158" t="s">
        <v>8348</v>
      </c>
      <c r="C51" s="158">
        <v>5.0</v>
      </c>
      <c r="D51" s="158">
        <v>7.0</v>
      </c>
      <c r="E51" s="158"/>
      <c r="F51" s="159"/>
      <c r="G51" s="158" t="s">
        <v>2423</v>
      </c>
      <c r="H51" s="158" t="s">
        <v>8413</v>
      </c>
      <c r="I51" s="158"/>
      <c r="N51" s="158" t="s">
        <v>8384</v>
      </c>
    </row>
    <row r="52">
      <c r="A52" s="159" t="s">
        <v>8428</v>
      </c>
      <c r="B52" s="158" t="s">
        <v>8348</v>
      </c>
      <c r="C52" s="158">
        <v>5.0</v>
      </c>
      <c r="D52" s="158">
        <v>8.0</v>
      </c>
      <c r="E52" s="158"/>
      <c r="F52" s="159"/>
      <c r="G52" s="158" t="s">
        <v>2423</v>
      </c>
      <c r="H52" s="158" t="s">
        <v>8414</v>
      </c>
      <c r="I52" s="158"/>
      <c r="N52" s="158" t="s">
        <v>8384</v>
      </c>
    </row>
    <row r="53">
      <c r="A53" s="159" t="s">
        <v>8428</v>
      </c>
      <c r="B53" s="158" t="s">
        <v>8348</v>
      </c>
      <c r="C53" s="158">
        <v>5.0</v>
      </c>
      <c r="D53" s="158">
        <v>9.0</v>
      </c>
      <c r="E53" s="158"/>
      <c r="F53" s="159"/>
      <c r="G53" s="158" t="s">
        <v>2423</v>
      </c>
      <c r="H53" s="158" t="s">
        <v>8415</v>
      </c>
      <c r="I53" s="158"/>
      <c r="N53" s="158" t="s">
        <v>8384</v>
      </c>
    </row>
    <row r="54">
      <c r="A54" s="159" t="s">
        <v>8428</v>
      </c>
      <c r="B54" s="158" t="s">
        <v>8348</v>
      </c>
      <c r="C54" s="158">
        <v>5.0</v>
      </c>
      <c r="D54" s="158">
        <v>10.0</v>
      </c>
      <c r="E54" s="158"/>
      <c r="F54" s="159"/>
      <c r="G54" s="158" t="s">
        <v>2423</v>
      </c>
      <c r="H54" s="158" t="s">
        <v>8416</v>
      </c>
      <c r="I54" s="158"/>
      <c r="N54" s="158" t="s">
        <v>8384</v>
      </c>
    </row>
    <row r="55">
      <c r="A55" s="159" t="s">
        <v>8428</v>
      </c>
      <c r="B55" s="158" t="s">
        <v>8348</v>
      </c>
      <c r="C55" s="158">
        <v>6.0</v>
      </c>
      <c r="D55" s="159">
        <v>1.0</v>
      </c>
      <c r="E55" s="158">
        <v>5.0</v>
      </c>
      <c r="F55" s="159">
        <v>1.0</v>
      </c>
      <c r="G55" s="158" t="s">
        <v>8503</v>
      </c>
      <c r="H55" s="161" t="s">
        <v>8417</v>
      </c>
      <c r="I55" s="158" t="s">
        <v>6507</v>
      </c>
      <c r="J55" s="158"/>
      <c r="K55" s="158"/>
      <c r="L55" s="158"/>
      <c r="N55" s="158" t="s">
        <v>8395</v>
      </c>
    </row>
    <row r="56">
      <c r="A56" s="159" t="s">
        <v>8428</v>
      </c>
      <c r="B56" s="158" t="s">
        <v>8348</v>
      </c>
      <c r="C56" s="158">
        <v>6.0</v>
      </c>
      <c r="D56" s="158">
        <v>2.0</v>
      </c>
      <c r="E56" s="158">
        <v>5.0</v>
      </c>
      <c r="F56" s="158">
        <v>2.0</v>
      </c>
      <c r="G56" s="158" t="s">
        <v>8503</v>
      </c>
      <c r="H56" s="161" t="s">
        <v>8418</v>
      </c>
      <c r="I56" s="158" t="s">
        <v>6492</v>
      </c>
      <c r="J56" s="158"/>
      <c r="K56" s="158"/>
      <c r="L56" s="158"/>
      <c r="N56" s="158" t="s">
        <v>8395</v>
      </c>
    </row>
    <row r="57">
      <c r="A57" s="159" t="s">
        <v>8428</v>
      </c>
      <c r="B57" s="158" t="s">
        <v>8348</v>
      </c>
      <c r="C57" s="158">
        <v>6.0</v>
      </c>
      <c r="D57" s="158">
        <v>3.0</v>
      </c>
      <c r="E57" s="158">
        <v>5.0</v>
      </c>
      <c r="F57" s="158">
        <v>3.0</v>
      </c>
      <c r="G57" s="158" t="s">
        <v>8503</v>
      </c>
      <c r="H57" s="161" t="s">
        <v>8419</v>
      </c>
      <c r="I57" s="158" t="s">
        <v>6978</v>
      </c>
      <c r="J57" s="158"/>
      <c r="K57" s="158"/>
      <c r="L57" s="158"/>
      <c r="N57" s="158" t="s">
        <v>8395</v>
      </c>
    </row>
    <row r="58">
      <c r="A58" s="159" t="s">
        <v>8428</v>
      </c>
      <c r="B58" s="158" t="s">
        <v>8348</v>
      </c>
      <c r="C58" s="158">
        <v>6.0</v>
      </c>
      <c r="D58" s="158">
        <v>4.0</v>
      </c>
      <c r="E58" s="158">
        <v>5.0</v>
      </c>
      <c r="F58" s="158">
        <v>4.0</v>
      </c>
      <c r="G58" s="158" t="s">
        <v>8503</v>
      </c>
      <c r="H58" s="161" t="s">
        <v>8420</v>
      </c>
      <c r="I58" s="158" t="s">
        <v>6936</v>
      </c>
      <c r="J58" s="158"/>
      <c r="K58" s="158"/>
      <c r="L58" s="158"/>
      <c r="N58" s="158" t="s">
        <v>8395</v>
      </c>
    </row>
    <row r="59">
      <c r="A59" s="159" t="s">
        <v>8428</v>
      </c>
      <c r="B59" s="158" t="s">
        <v>8348</v>
      </c>
      <c r="C59" s="158">
        <v>6.0</v>
      </c>
      <c r="D59" s="158">
        <v>5.0</v>
      </c>
      <c r="E59" s="158">
        <v>5.0</v>
      </c>
      <c r="F59" s="158">
        <v>5.0</v>
      </c>
      <c r="G59" s="158" t="s">
        <v>8503</v>
      </c>
      <c r="H59" s="161" t="s">
        <v>8421</v>
      </c>
      <c r="I59" s="158" t="s">
        <v>6620</v>
      </c>
      <c r="J59" s="158"/>
      <c r="K59" s="158"/>
      <c r="L59" s="158"/>
      <c r="N59" s="158" t="s">
        <v>8395</v>
      </c>
    </row>
    <row r="60">
      <c r="A60" s="159" t="s">
        <v>8428</v>
      </c>
      <c r="B60" s="158" t="s">
        <v>8348</v>
      </c>
      <c r="C60" s="158">
        <v>6.0</v>
      </c>
      <c r="D60" s="158">
        <v>6.0</v>
      </c>
      <c r="E60" s="158">
        <v>5.0</v>
      </c>
      <c r="F60" s="158">
        <v>6.0</v>
      </c>
      <c r="G60" s="158" t="s">
        <v>8503</v>
      </c>
      <c r="H60" s="161" t="s">
        <v>8422</v>
      </c>
      <c r="I60" s="158" t="s">
        <v>6563</v>
      </c>
      <c r="J60" s="158"/>
      <c r="K60" s="158"/>
      <c r="L60" s="158"/>
      <c r="N60" s="158" t="s">
        <v>8395</v>
      </c>
    </row>
    <row r="61">
      <c r="A61" s="159" t="s">
        <v>8428</v>
      </c>
      <c r="B61" s="158" t="s">
        <v>8348</v>
      </c>
      <c r="C61" s="158">
        <v>6.0</v>
      </c>
      <c r="D61" s="158">
        <v>7.0</v>
      </c>
      <c r="E61" s="158">
        <v>5.0</v>
      </c>
      <c r="F61" s="158">
        <v>7.0</v>
      </c>
      <c r="G61" s="158" t="s">
        <v>8503</v>
      </c>
      <c r="H61" s="161" t="s">
        <v>8423</v>
      </c>
      <c r="I61" s="158" t="s">
        <v>6701</v>
      </c>
      <c r="J61" s="158"/>
      <c r="K61" s="158"/>
      <c r="L61" s="158"/>
      <c r="N61" s="158" t="s">
        <v>8395</v>
      </c>
    </row>
    <row r="62">
      <c r="A62" s="159" t="s">
        <v>8428</v>
      </c>
      <c r="B62" s="158" t="s">
        <v>8348</v>
      </c>
      <c r="C62" s="158">
        <v>6.0</v>
      </c>
      <c r="D62" s="158">
        <v>8.0</v>
      </c>
      <c r="E62" s="158">
        <v>5.0</v>
      </c>
      <c r="F62" s="158">
        <v>8.0</v>
      </c>
      <c r="G62" s="158" t="s">
        <v>8503</v>
      </c>
      <c r="H62" s="161" t="s">
        <v>8424</v>
      </c>
      <c r="I62" s="158" t="s">
        <v>6684</v>
      </c>
      <c r="J62" s="158"/>
      <c r="K62" s="158"/>
      <c r="L62" s="158"/>
      <c r="N62" s="158" t="s">
        <v>8395</v>
      </c>
    </row>
    <row r="63">
      <c r="A63" s="159" t="s">
        <v>8428</v>
      </c>
      <c r="B63" s="158" t="s">
        <v>8348</v>
      </c>
      <c r="C63" s="158">
        <v>6.0</v>
      </c>
      <c r="D63" s="158">
        <v>9.0</v>
      </c>
      <c r="E63" s="158">
        <v>5.0</v>
      </c>
      <c r="F63" s="158">
        <v>9.0</v>
      </c>
      <c r="G63" s="158" t="s">
        <v>8503</v>
      </c>
      <c r="H63" s="161" t="s">
        <v>8425</v>
      </c>
      <c r="I63" s="158" t="s">
        <v>7039</v>
      </c>
      <c r="J63" s="158"/>
      <c r="K63" s="158"/>
      <c r="L63" s="158"/>
      <c r="N63" s="158" t="s">
        <v>8395</v>
      </c>
    </row>
    <row r="64">
      <c r="A64" s="158" t="s">
        <v>8428</v>
      </c>
      <c r="B64" s="158" t="s">
        <v>8348</v>
      </c>
      <c r="C64" s="158">
        <v>6.0</v>
      </c>
      <c r="D64" s="158">
        <v>10.0</v>
      </c>
      <c r="E64" s="158">
        <v>5.0</v>
      </c>
      <c r="F64" s="158">
        <v>10.0</v>
      </c>
      <c r="G64" s="158" t="s">
        <v>8503</v>
      </c>
      <c r="H64" s="161" t="s">
        <v>8426</v>
      </c>
      <c r="I64" s="158" t="s">
        <v>7023</v>
      </c>
      <c r="J64" s="158"/>
      <c r="K64" s="158"/>
      <c r="L64" s="158"/>
      <c r="N64" s="158" t="s">
        <v>8395</v>
      </c>
    </row>
    <row r="65">
      <c r="A65" s="158" t="s">
        <v>8476</v>
      </c>
      <c r="B65" s="158" t="s">
        <v>8352</v>
      </c>
      <c r="C65" s="159">
        <v>1.0</v>
      </c>
      <c r="D65" s="159">
        <v>1.0</v>
      </c>
      <c r="E65" s="158"/>
      <c r="F65" s="158"/>
      <c r="G65" s="159" t="s">
        <v>8382</v>
      </c>
      <c r="H65" s="159" t="s">
        <v>8383</v>
      </c>
      <c r="I65" s="158"/>
      <c r="J65" s="159"/>
      <c r="K65" s="28"/>
      <c r="L65" s="28"/>
      <c r="N65" s="158" t="s">
        <v>8384</v>
      </c>
    </row>
    <row r="66">
      <c r="A66" s="158" t="s">
        <v>8476</v>
      </c>
      <c r="B66" s="158" t="s">
        <v>8352</v>
      </c>
      <c r="C66" s="159">
        <v>1.0</v>
      </c>
      <c r="D66" s="159">
        <v>2.0</v>
      </c>
      <c r="E66" s="160"/>
      <c r="F66" s="160"/>
      <c r="G66" s="159" t="s">
        <v>8382</v>
      </c>
      <c r="H66" s="159" t="s">
        <v>8385</v>
      </c>
      <c r="I66" s="158"/>
      <c r="J66" s="159"/>
      <c r="K66" s="28"/>
      <c r="L66" s="28"/>
      <c r="M66" s="13" t="s">
        <v>8498</v>
      </c>
      <c r="N66" s="158" t="s">
        <v>8384</v>
      </c>
    </row>
    <row r="67">
      <c r="A67" s="158" t="s">
        <v>8476</v>
      </c>
      <c r="B67" s="158" t="s">
        <v>8352</v>
      </c>
      <c r="C67" s="159">
        <v>1.0</v>
      </c>
      <c r="D67" s="159">
        <v>3.0</v>
      </c>
      <c r="E67" s="160"/>
      <c r="F67" s="160"/>
      <c r="G67" s="159" t="s">
        <v>8382</v>
      </c>
      <c r="H67" s="159" t="s">
        <v>8386</v>
      </c>
      <c r="I67" s="158"/>
      <c r="J67" s="159"/>
      <c r="K67" s="28"/>
      <c r="L67" s="28"/>
      <c r="N67" s="158" t="s">
        <v>8384</v>
      </c>
    </row>
    <row r="68">
      <c r="A68" s="158" t="s">
        <v>8476</v>
      </c>
      <c r="B68" s="158" t="s">
        <v>8352</v>
      </c>
      <c r="C68" s="159">
        <v>1.0</v>
      </c>
      <c r="D68" s="159">
        <v>4.0</v>
      </c>
      <c r="E68" s="160"/>
      <c r="F68" s="160"/>
      <c r="G68" s="159" t="s">
        <v>8382</v>
      </c>
      <c r="H68" s="159" t="s">
        <v>8387</v>
      </c>
      <c r="I68" s="158"/>
      <c r="J68" s="159"/>
      <c r="K68" s="28"/>
      <c r="L68" s="28"/>
      <c r="N68" s="158" t="s">
        <v>8384</v>
      </c>
    </row>
    <row r="69">
      <c r="A69" s="158" t="s">
        <v>8476</v>
      </c>
      <c r="B69" s="158" t="s">
        <v>8352</v>
      </c>
      <c r="C69" s="159">
        <v>1.0</v>
      </c>
      <c r="D69" s="159">
        <v>5.0</v>
      </c>
      <c r="E69" s="160"/>
      <c r="F69" s="160"/>
      <c r="G69" s="159" t="s">
        <v>8382</v>
      </c>
      <c r="H69" s="159" t="s">
        <v>8388</v>
      </c>
      <c r="I69" s="158"/>
      <c r="J69" s="159"/>
      <c r="K69" s="28"/>
      <c r="L69" s="28"/>
      <c r="N69" s="158" t="s">
        <v>8384</v>
      </c>
    </row>
    <row r="70">
      <c r="A70" s="158" t="s">
        <v>8476</v>
      </c>
      <c r="B70" s="158" t="s">
        <v>8352</v>
      </c>
      <c r="C70" s="159">
        <v>1.0</v>
      </c>
      <c r="D70" s="159">
        <v>6.0</v>
      </c>
      <c r="E70" s="160"/>
      <c r="F70" s="160"/>
      <c r="G70" s="159" t="s">
        <v>8382</v>
      </c>
      <c r="H70" s="159" t="s">
        <v>8389</v>
      </c>
      <c r="I70" s="158"/>
      <c r="J70" s="159"/>
      <c r="K70" s="28"/>
      <c r="L70" s="28"/>
      <c r="M70" s="13" t="s">
        <v>8498</v>
      </c>
      <c r="N70" s="158" t="s">
        <v>8384</v>
      </c>
    </row>
    <row r="71">
      <c r="A71" s="158" t="s">
        <v>8476</v>
      </c>
      <c r="B71" s="158" t="s">
        <v>8352</v>
      </c>
      <c r="C71" s="159">
        <v>1.0</v>
      </c>
      <c r="D71" s="159">
        <v>7.0</v>
      </c>
      <c r="E71" s="160"/>
      <c r="F71" s="160"/>
      <c r="G71" s="159" t="s">
        <v>8382</v>
      </c>
      <c r="H71" s="159" t="s">
        <v>5767</v>
      </c>
      <c r="I71" s="158"/>
      <c r="J71" s="159"/>
      <c r="K71" s="28"/>
      <c r="L71" s="28"/>
      <c r="N71" s="158" t="s">
        <v>8384</v>
      </c>
    </row>
    <row r="72">
      <c r="A72" s="158" t="s">
        <v>8476</v>
      </c>
      <c r="B72" s="158" t="s">
        <v>8352</v>
      </c>
      <c r="C72" s="159">
        <v>1.0</v>
      </c>
      <c r="D72" s="159">
        <v>8.0</v>
      </c>
      <c r="E72" s="160"/>
      <c r="F72" s="160"/>
      <c r="G72" s="159" t="s">
        <v>8382</v>
      </c>
      <c r="H72" s="159" t="s">
        <v>8390</v>
      </c>
      <c r="I72" s="158"/>
      <c r="J72" s="159"/>
      <c r="K72" s="28"/>
      <c r="L72" s="28"/>
      <c r="N72" s="158" t="s">
        <v>8384</v>
      </c>
    </row>
    <row r="73">
      <c r="A73" s="158" t="s">
        <v>8476</v>
      </c>
      <c r="B73" s="158" t="s">
        <v>8352</v>
      </c>
      <c r="C73" s="159">
        <v>1.0</v>
      </c>
      <c r="D73" s="159">
        <v>9.0</v>
      </c>
      <c r="E73" s="160"/>
      <c r="F73" s="160"/>
      <c r="G73" s="159" t="s">
        <v>8382</v>
      </c>
      <c r="H73" s="159" t="s">
        <v>8391</v>
      </c>
      <c r="I73" s="158"/>
      <c r="J73" s="159"/>
      <c r="K73" s="28"/>
      <c r="L73" s="28"/>
      <c r="N73" s="158" t="s">
        <v>8384</v>
      </c>
    </row>
    <row r="74">
      <c r="A74" s="158" t="s">
        <v>8476</v>
      </c>
      <c r="B74" s="158" t="s">
        <v>8352</v>
      </c>
      <c r="C74" s="159">
        <v>1.0</v>
      </c>
      <c r="D74" s="159">
        <v>10.0</v>
      </c>
      <c r="E74" s="160"/>
      <c r="F74" s="160"/>
      <c r="G74" s="159" t="s">
        <v>8382</v>
      </c>
      <c r="H74" s="159" t="s">
        <v>8392</v>
      </c>
      <c r="I74" s="158"/>
      <c r="J74" s="159"/>
      <c r="K74" s="28"/>
      <c r="L74" s="28"/>
      <c r="N74" s="158" t="s">
        <v>8384</v>
      </c>
    </row>
    <row r="75">
      <c r="A75" s="158" t="s">
        <v>8476</v>
      </c>
      <c r="B75" s="158" t="s">
        <v>8352</v>
      </c>
      <c r="C75" s="159">
        <v>2.0</v>
      </c>
      <c r="D75" s="159">
        <v>1.0</v>
      </c>
      <c r="E75" s="159">
        <v>1.0</v>
      </c>
      <c r="F75" s="159">
        <v>1.0</v>
      </c>
      <c r="G75" s="159" t="s">
        <v>8393</v>
      </c>
      <c r="H75" s="165" t="s">
        <v>8394</v>
      </c>
      <c r="I75" s="158" t="s">
        <v>6862</v>
      </c>
      <c r="J75" s="28"/>
      <c r="K75" s="28"/>
      <c r="L75" s="28"/>
      <c r="N75" s="158" t="s">
        <v>8395</v>
      </c>
    </row>
    <row r="76">
      <c r="A76" s="158" t="s">
        <v>8476</v>
      </c>
      <c r="B76" s="158" t="s">
        <v>8352</v>
      </c>
      <c r="C76" s="159">
        <v>2.0</v>
      </c>
      <c r="D76" s="159">
        <v>2.0</v>
      </c>
      <c r="E76" s="159">
        <v>1.0</v>
      </c>
      <c r="F76" s="159">
        <v>2.0</v>
      </c>
      <c r="G76" s="159" t="s">
        <v>8393</v>
      </c>
      <c r="H76" s="166" t="s">
        <v>8396</v>
      </c>
      <c r="I76" s="167" t="s">
        <v>8504</v>
      </c>
      <c r="J76" s="28"/>
      <c r="K76" s="28"/>
      <c r="L76" s="28"/>
      <c r="N76" s="158" t="s">
        <v>8395</v>
      </c>
    </row>
    <row r="77">
      <c r="A77" s="158" t="s">
        <v>8476</v>
      </c>
      <c r="B77" s="158" t="s">
        <v>8352</v>
      </c>
      <c r="C77" s="159">
        <v>2.0</v>
      </c>
      <c r="D77" s="159">
        <v>3.0</v>
      </c>
      <c r="E77" s="159">
        <v>1.0</v>
      </c>
      <c r="F77" s="159">
        <v>3.0</v>
      </c>
      <c r="G77" s="159" t="s">
        <v>8393</v>
      </c>
      <c r="H77" s="166" t="s">
        <v>8397</v>
      </c>
      <c r="I77" s="158" t="s">
        <v>8505</v>
      </c>
      <c r="J77" s="28"/>
      <c r="K77" s="28"/>
      <c r="L77" s="28"/>
      <c r="N77" s="158" t="s">
        <v>8395</v>
      </c>
    </row>
    <row r="78">
      <c r="A78" s="158" t="s">
        <v>8476</v>
      </c>
      <c r="B78" s="158" t="s">
        <v>8352</v>
      </c>
      <c r="C78" s="159">
        <v>2.0</v>
      </c>
      <c r="D78" s="159">
        <v>4.0</v>
      </c>
      <c r="E78" s="159">
        <v>1.0</v>
      </c>
      <c r="F78" s="159">
        <v>4.0</v>
      </c>
      <c r="G78" s="159" t="s">
        <v>8393</v>
      </c>
      <c r="H78" s="166" t="s">
        <v>8398</v>
      </c>
      <c r="I78" s="158" t="s">
        <v>6726</v>
      </c>
      <c r="J78" s="28"/>
      <c r="K78" s="28"/>
      <c r="L78" s="28"/>
      <c r="N78" s="158" t="s">
        <v>8395</v>
      </c>
    </row>
    <row r="79">
      <c r="A79" s="158" t="s">
        <v>8476</v>
      </c>
      <c r="B79" s="158" t="s">
        <v>8352</v>
      </c>
      <c r="C79" s="159">
        <v>2.0</v>
      </c>
      <c r="D79" s="159">
        <v>5.0</v>
      </c>
      <c r="E79" s="159">
        <v>1.0</v>
      </c>
      <c r="F79" s="159">
        <v>5.0</v>
      </c>
      <c r="G79" s="159" t="s">
        <v>8393</v>
      </c>
      <c r="H79" s="165" t="s">
        <v>8399</v>
      </c>
      <c r="I79" s="158" t="s">
        <v>6924</v>
      </c>
      <c r="J79" s="28"/>
      <c r="K79" s="28"/>
      <c r="L79" s="28"/>
      <c r="N79" s="158" t="s">
        <v>8395</v>
      </c>
    </row>
    <row r="80">
      <c r="A80" s="158" t="s">
        <v>8476</v>
      </c>
      <c r="B80" s="158" t="s">
        <v>8352</v>
      </c>
      <c r="C80" s="159">
        <v>2.0</v>
      </c>
      <c r="D80" s="159">
        <v>6.0</v>
      </c>
      <c r="E80" s="159">
        <v>1.0</v>
      </c>
      <c r="F80" s="159">
        <v>6.0</v>
      </c>
      <c r="G80" s="159" t="s">
        <v>8393</v>
      </c>
      <c r="H80" s="166" t="s">
        <v>8400</v>
      </c>
      <c r="I80" s="158" t="s">
        <v>6893</v>
      </c>
      <c r="J80" s="28"/>
      <c r="K80" s="28"/>
      <c r="L80" s="28"/>
      <c r="N80" s="158" t="s">
        <v>8395</v>
      </c>
    </row>
    <row r="81">
      <c r="A81" s="158" t="s">
        <v>8476</v>
      </c>
      <c r="B81" s="158" t="s">
        <v>8352</v>
      </c>
      <c r="C81" s="159">
        <v>2.0</v>
      </c>
      <c r="D81" s="159">
        <v>7.0</v>
      </c>
      <c r="E81" s="159">
        <v>1.0</v>
      </c>
      <c r="F81" s="159">
        <v>7.0</v>
      </c>
      <c r="G81" s="159" t="s">
        <v>8393</v>
      </c>
      <c r="H81" s="166" t="s">
        <v>8401</v>
      </c>
      <c r="I81" s="158" t="s">
        <v>6796</v>
      </c>
      <c r="J81" s="28"/>
      <c r="K81" s="28"/>
      <c r="L81" s="28"/>
      <c r="N81" s="158" t="s">
        <v>8395</v>
      </c>
    </row>
    <row r="82">
      <c r="A82" s="158" t="s">
        <v>8476</v>
      </c>
      <c r="B82" s="158" t="s">
        <v>8352</v>
      </c>
      <c r="C82" s="159">
        <v>2.0</v>
      </c>
      <c r="D82" s="159">
        <v>8.0</v>
      </c>
      <c r="E82" s="159">
        <v>1.0</v>
      </c>
      <c r="F82" s="159">
        <v>8.0</v>
      </c>
      <c r="G82" s="159" t="s">
        <v>8393</v>
      </c>
      <c r="H82" s="165" t="s">
        <v>8402</v>
      </c>
      <c r="I82" s="158" t="s">
        <v>6831</v>
      </c>
      <c r="J82" s="28"/>
      <c r="K82" s="28"/>
      <c r="L82" s="28"/>
      <c r="N82" s="158" t="s">
        <v>8395</v>
      </c>
    </row>
    <row r="83">
      <c r="A83" s="158" t="s">
        <v>8476</v>
      </c>
      <c r="B83" s="158" t="s">
        <v>8352</v>
      </c>
      <c r="C83" s="159">
        <v>2.0</v>
      </c>
      <c r="D83" s="159">
        <v>9.0</v>
      </c>
      <c r="E83" s="159">
        <v>1.0</v>
      </c>
      <c r="F83" s="159">
        <v>9.0</v>
      </c>
      <c r="G83" s="159" t="s">
        <v>8393</v>
      </c>
      <c r="H83" s="166" t="s">
        <v>8403</v>
      </c>
      <c r="I83" s="158" t="s">
        <v>6836</v>
      </c>
      <c r="J83" s="28"/>
      <c r="K83" s="28"/>
      <c r="L83" s="28"/>
      <c r="N83" s="158" t="s">
        <v>8395</v>
      </c>
    </row>
    <row r="84">
      <c r="A84" s="158" t="s">
        <v>8476</v>
      </c>
      <c r="B84" s="158" t="s">
        <v>8352</v>
      </c>
      <c r="C84" s="159">
        <v>2.0</v>
      </c>
      <c r="D84" s="159">
        <v>10.0</v>
      </c>
      <c r="E84" s="159">
        <v>1.0</v>
      </c>
      <c r="F84" s="159">
        <v>10.0</v>
      </c>
      <c r="G84" s="159" t="s">
        <v>8393</v>
      </c>
      <c r="H84" s="165" t="s">
        <v>8404</v>
      </c>
      <c r="I84" s="158" t="s">
        <v>8405</v>
      </c>
      <c r="J84" s="28"/>
      <c r="K84" s="28"/>
      <c r="L84" s="28"/>
      <c r="N84" s="158" t="s">
        <v>8395</v>
      </c>
    </row>
    <row r="85">
      <c r="A85" s="158" t="s">
        <v>8476</v>
      </c>
      <c r="B85" s="158" t="s">
        <v>8352</v>
      </c>
      <c r="C85" s="158">
        <v>3.0</v>
      </c>
      <c r="D85" s="158">
        <v>1.0</v>
      </c>
      <c r="E85" s="158">
        <v>1.0</v>
      </c>
      <c r="F85" s="158">
        <v>1.0</v>
      </c>
      <c r="G85" s="158" t="s">
        <v>8506</v>
      </c>
      <c r="H85" s="168" t="s">
        <v>8480</v>
      </c>
      <c r="I85" s="158"/>
      <c r="J85" s="159" t="s">
        <v>23</v>
      </c>
      <c r="K85" s="12">
        <v>2669.0</v>
      </c>
      <c r="L85" s="12"/>
      <c r="N85" s="158" t="s">
        <v>8384</v>
      </c>
    </row>
    <row r="86">
      <c r="A86" s="158" t="s">
        <v>8476</v>
      </c>
      <c r="B86" s="158" t="s">
        <v>8352</v>
      </c>
      <c r="C86" s="158">
        <v>3.0</v>
      </c>
      <c r="D86" s="158">
        <v>2.0</v>
      </c>
      <c r="E86" s="158">
        <v>1.0</v>
      </c>
      <c r="F86" s="158">
        <v>1.0</v>
      </c>
      <c r="G86" s="158" t="s">
        <v>8506</v>
      </c>
      <c r="H86" s="168" t="s">
        <v>8482</v>
      </c>
      <c r="I86" s="158"/>
      <c r="J86" s="159" t="s">
        <v>23</v>
      </c>
      <c r="K86" s="12">
        <v>2749.0</v>
      </c>
      <c r="L86" s="12"/>
      <c r="N86" s="158" t="s">
        <v>8384</v>
      </c>
    </row>
    <row r="87">
      <c r="A87" s="158" t="s">
        <v>8476</v>
      </c>
      <c r="B87" s="158" t="s">
        <v>8352</v>
      </c>
      <c r="C87" s="158">
        <v>3.0</v>
      </c>
      <c r="D87" s="158">
        <v>3.0</v>
      </c>
      <c r="E87" s="158">
        <v>1.0</v>
      </c>
      <c r="F87" s="158">
        <v>1.0</v>
      </c>
      <c r="G87" s="158" t="s">
        <v>8506</v>
      </c>
      <c r="H87" s="168" t="s">
        <v>8483</v>
      </c>
      <c r="I87" s="158"/>
      <c r="J87" s="159" t="s">
        <v>23</v>
      </c>
      <c r="K87" s="12">
        <v>2749.0</v>
      </c>
      <c r="L87" s="12"/>
      <c r="N87" s="158" t="s">
        <v>8384</v>
      </c>
    </row>
    <row r="88">
      <c r="A88" s="158" t="s">
        <v>8476</v>
      </c>
      <c r="B88" s="158" t="s">
        <v>8352</v>
      </c>
      <c r="C88" s="158">
        <v>3.0</v>
      </c>
      <c r="D88" s="158">
        <v>4.0</v>
      </c>
      <c r="E88" s="158">
        <v>1.0</v>
      </c>
      <c r="F88" s="158">
        <v>1.0</v>
      </c>
      <c r="G88" s="158" t="s">
        <v>8506</v>
      </c>
      <c r="H88" s="168" t="s">
        <v>8486</v>
      </c>
      <c r="I88" s="158"/>
      <c r="J88" s="159" t="s">
        <v>23</v>
      </c>
      <c r="K88" s="12">
        <v>2979.0</v>
      </c>
      <c r="L88" s="12"/>
      <c r="N88" s="158" t="s">
        <v>8384</v>
      </c>
    </row>
    <row r="89">
      <c r="A89" s="158" t="s">
        <v>8476</v>
      </c>
      <c r="B89" s="158" t="s">
        <v>8352</v>
      </c>
      <c r="C89" s="158">
        <v>3.0</v>
      </c>
      <c r="D89" s="158">
        <v>5.0</v>
      </c>
      <c r="E89" s="158">
        <v>1.0</v>
      </c>
      <c r="F89" s="158">
        <v>1.0</v>
      </c>
      <c r="G89" s="158" t="s">
        <v>8506</v>
      </c>
      <c r="H89" s="168" t="s">
        <v>8487</v>
      </c>
      <c r="I89" s="158"/>
      <c r="J89" s="159" t="s">
        <v>23</v>
      </c>
      <c r="K89" s="12">
        <v>2979.0</v>
      </c>
      <c r="L89" s="12"/>
      <c r="N89" s="158" t="s">
        <v>8384</v>
      </c>
    </row>
    <row r="90">
      <c r="A90" s="158" t="s">
        <v>8476</v>
      </c>
      <c r="B90" s="158" t="s">
        <v>8352</v>
      </c>
      <c r="C90" s="158">
        <v>3.0</v>
      </c>
      <c r="D90" s="158">
        <v>6.0</v>
      </c>
      <c r="E90" s="158">
        <v>1.0</v>
      </c>
      <c r="F90" s="158">
        <v>1.0</v>
      </c>
      <c r="G90" s="158" t="s">
        <v>8506</v>
      </c>
      <c r="H90" s="168" t="s">
        <v>8507</v>
      </c>
      <c r="I90" s="158"/>
      <c r="J90" s="159" t="s">
        <v>23</v>
      </c>
      <c r="K90" s="12">
        <v>1339.0</v>
      </c>
      <c r="L90" s="12"/>
      <c r="N90" s="158" t="s">
        <v>8384</v>
      </c>
    </row>
    <row r="91">
      <c r="A91" s="158" t="s">
        <v>8476</v>
      </c>
      <c r="B91" s="158" t="s">
        <v>8352</v>
      </c>
      <c r="C91" s="158">
        <v>3.0</v>
      </c>
      <c r="D91" s="158">
        <v>7.0</v>
      </c>
      <c r="E91" s="158">
        <v>1.0</v>
      </c>
      <c r="F91" s="158">
        <v>1.0</v>
      </c>
      <c r="G91" s="158" t="s">
        <v>8506</v>
      </c>
      <c r="H91" s="168" t="s">
        <v>8508</v>
      </c>
      <c r="I91" s="158"/>
      <c r="J91" s="159" t="s">
        <v>23</v>
      </c>
      <c r="K91" s="12">
        <v>1379.0</v>
      </c>
      <c r="L91" s="12"/>
      <c r="N91" s="158" t="s">
        <v>8384</v>
      </c>
    </row>
    <row r="92">
      <c r="A92" s="158" t="s">
        <v>8476</v>
      </c>
      <c r="B92" s="158" t="s">
        <v>8352</v>
      </c>
      <c r="C92" s="158">
        <v>3.0</v>
      </c>
      <c r="D92" s="158">
        <v>8.0</v>
      </c>
      <c r="E92" s="158">
        <v>1.0</v>
      </c>
      <c r="F92" s="158">
        <v>1.0</v>
      </c>
      <c r="G92" s="158" t="s">
        <v>8506</v>
      </c>
      <c r="H92" s="168" t="s">
        <v>8509</v>
      </c>
      <c r="I92" s="158"/>
      <c r="J92" s="159" t="s">
        <v>23</v>
      </c>
      <c r="K92" s="12">
        <v>1379.0</v>
      </c>
      <c r="L92" s="12"/>
      <c r="N92" s="158" t="s">
        <v>8384</v>
      </c>
    </row>
    <row r="93">
      <c r="A93" s="158" t="s">
        <v>8476</v>
      </c>
      <c r="B93" s="158" t="s">
        <v>8352</v>
      </c>
      <c r="C93" s="158">
        <v>3.0</v>
      </c>
      <c r="D93" s="158">
        <v>9.0</v>
      </c>
      <c r="E93" s="158">
        <v>1.0</v>
      </c>
      <c r="F93" s="158">
        <v>1.0</v>
      </c>
      <c r="G93" s="158" t="s">
        <v>8506</v>
      </c>
      <c r="H93" s="168" t="s">
        <v>8510</v>
      </c>
      <c r="I93" s="158"/>
      <c r="J93" s="159" t="s">
        <v>23</v>
      </c>
      <c r="K93" s="12">
        <v>1489.0</v>
      </c>
      <c r="L93" s="12"/>
      <c r="N93" s="158" t="s">
        <v>8384</v>
      </c>
    </row>
    <row r="94">
      <c r="A94" s="158" t="s">
        <v>8476</v>
      </c>
      <c r="B94" s="158" t="s">
        <v>8352</v>
      </c>
      <c r="C94" s="158">
        <v>3.0</v>
      </c>
      <c r="D94" s="158">
        <v>10.0</v>
      </c>
      <c r="E94" s="158">
        <v>1.0</v>
      </c>
      <c r="F94" s="158">
        <v>1.0</v>
      </c>
      <c r="G94" s="158" t="s">
        <v>8506</v>
      </c>
      <c r="H94" s="168" t="s">
        <v>8511</v>
      </c>
      <c r="I94" s="158"/>
      <c r="J94" s="159" t="s">
        <v>23</v>
      </c>
      <c r="K94" s="12">
        <v>1489.0</v>
      </c>
      <c r="L94" s="12"/>
      <c r="N94" s="158" t="s">
        <v>8384</v>
      </c>
    </row>
    <row r="95">
      <c r="A95" s="158" t="s">
        <v>8476</v>
      </c>
      <c r="B95" s="158" t="s">
        <v>8352</v>
      </c>
      <c r="C95" s="158">
        <v>3.0</v>
      </c>
      <c r="D95" s="158">
        <v>11.0</v>
      </c>
      <c r="E95" s="158">
        <v>1.0</v>
      </c>
      <c r="F95" s="158">
        <v>1.0</v>
      </c>
      <c r="G95" s="158" t="s">
        <v>8506</v>
      </c>
      <c r="H95" s="168" t="s">
        <v>8512</v>
      </c>
      <c r="I95" s="158"/>
      <c r="J95" s="159" t="s">
        <v>23</v>
      </c>
      <c r="K95" s="12">
        <v>2729.0</v>
      </c>
      <c r="L95" s="12"/>
      <c r="N95" s="158" t="s">
        <v>8384</v>
      </c>
    </row>
    <row r="96">
      <c r="A96" s="158" t="s">
        <v>8476</v>
      </c>
      <c r="B96" s="158" t="s">
        <v>8352</v>
      </c>
      <c r="C96" s="158">
        <v>3.0</v>
      </c>
      <c r="D96" s="158">
        <v>12.0</v>
      </c>
      <c r="E96" s="158">
        <v>1.0</v>
      </c>
      <c r="F96" s="158">
        <v>1.0</v>
      </c>
      <c r="G96" s="158" t="s">
        <v>8506</v>
      </c>
      <c r="H96" s="168" t="s">
        <v>8513</v>
      </c>
      <c r="I96" s="158"/>
      <c r="J96" s="159" t="s">
        <v>23</v>
      </c>
      <c r="K96" s="12">
        <v>3479.0</v>
      </c>
      <c r="L96" s="12"/>
      <c r="N96" s="158" t="s">
        <v>8384</v>
      </c>
    </row>
    <row r="97">
      <c r="A97" s="158" t="s">
        <v>8476</v>
      </c>
      <c r="B97" s="158" t="s">
        <v>8352</v>
      </c>
      <c r="C97" s="158">
        <v>3.0</v>
      </c>
      <c r="D97" s="158">
        <v>13.0</v>
      </c>
      <c r="E97" s="158">
        <v>1.0</v>
      </c>
      <c r="F97" s="158">
        <v>1.0</v>
      </c>
      <c r="G97" s="158" t="s">
        <v>8506</v>
      </c>
      <c r="H97" s="168" t="s">
        <v>8514</v>
      </c>
      <c r="I97" s="158"/>
      <c r="J97" s="159" t="s">
        <v>23</v>
      </c>
      <c r="K97" s="12">
        <v>3629.0</v>
      </c>
      <c r="L97" s="12"/>
      <c r="N97" s="158" t="s">
        <v>8384</v>
      </c>
    </row>
    <row r="98">
      <c r="A98" s="158" t="s">
        <v>8476</v>
      </c>
      <c r="B98" s="158" t="s">
        <v>8352</v>
      </c>
      <c r="C98" s="158">
        <v>3.0</v>
      </c>
      <c r="D98" s="158">
        <v>14.0</v>
      </c>
      <c r="E98" s="158">
        <v>1.0</v>
      </c>
      <c r="F98" s="158">
        <v>1.0</v>
      </c>
      <c r="G98" s="158" t="s">
        <v>8506</v>
      </c>
      <c r="H98" s="168" t="s">
        <v>8515</v>
      </c>
      <c r="I98" s="158"/>
      <c r="J98" s="159" t="s">
        <v>23</v>
      </c>
      <c r="K98" s="12">
        <v>3739.0</v>
      </c>
      <c r="L98" s="12"/>
      <c r="N98" s="158" t="s">
        <v>8384</v>
      </c>
    </row>
    <row r="99">
      <c r="A99" s="158" t="s">
        <v>8476</v>
      </c>
      <c r="B99" s="158" t="s">
        <v>8352</v>
      </c>
      <c r="C99" s="158">
        <v>3.0</v>
      </c>
      <c r="D99" s="158">
        <v>15.0</v>
      </c>
      <c r="E99" s="158">
        <v>1.0</v>
      </c>
      <c r="F99" s="158">
        <v>1.0</v>
      </c>
      <c r="G99" s="158" t="s">
        <v>8506</v>
      </c>
      <c r="H99" s="168" t="s">
        <v>8516</v>
      </c>
      <c r="I99" s="158"/>
      <c r="J99" s="159" t="s">
        <v>23</v>
      </c>
      <c r="K99" s="12">
        <v>4059.0</v>
      </c>
      <c r="L99" s="12"/>
      <c r="N99" s="158" t="s">
        <v>8384</v>
      </c>
    </row>
    <row r="100">
      <c r="A100" s="158" t="s">
        <v>8476</v>
      </c>
      <c r="B100" s="158" t="s">
        <v>8352</v>
      </c>
      <c r="C100" s="158">
        <v>3.0</v>
      </c>
      <c r="D100" s="158">
        <v>16.0</v>
      </c>
      <c r="E100" s="158">
        <v>1.0</v>
      </c>
      <c r="F100" s="158">
        <v>1.0</v>
      </c>
      <c r="G100" s="158" t="s">
        <v>8506</v>
      </c>
      <c r="H100" s="168" t="s">
        <v>8517</v>
      </c>
      <c r="I100" s="158"/>
      <c r="J100" s="159" t="s">
        <v>23</v>
      </c>
      <c r="K100" s="12">
        <v>4059.0</v>
      </c>
      <c r="L100" s="12"/>
      <c r="N100" s="158" t="s">
        <v>8384</v>
      </c>
    </row>
    <row r="101">
      <c r="A101" s="158" t="s">
        <v>8476</v>
      </c>
      <c r="B101" s="158" t="s">
        <v>8352</v>
      </c>
      <c r="C101" s="158">
        <v>3.0</v>
      </c>
      <c r="D101" s="158">
        <v>17.0</v>
      </c>
      <c r="E101" s="158">
        <v>1.0</v>
      </c>
      <c r="F101" s="158">
        <v>1.0</v>
      </c>
      <c r="G101" s="158" t="s">
        <v>8506</v>
      </c>
      <c r="H101" s="168" t="s">
        <v>8518</v>
      </c>
      <c r="I101" s="158"/>
      <c r="J101" s="159" t="s">
        <v>23</v>
      </c>
      <c r="K101" s="12">
        <v>4169.0</v>
      </c>
      <c r="L101" s="12"/>
      <c r="N101" s="158" t="s">
        <v>8384</v>
      </c>
    </row>
    <row r="102">
      <c r="A102" s="158" t="s">
        <v>8476</v>
      </c>
      <c r="B102" s="158" t="s">
        <v>8352</v>
      </c>
      <c r="C102" s="158">
        <v>3.0</v>
      </c>
      <c r="D102" s="158">
        <v>1.0</v>
      </c>
      <c r="E102" s="158">
        <v>1.0</v>
      </c>
      <c r="F102" s="158">
        <v>2.0</v>
      </c>
      <c r="G102" s="158" t="s">
        <v>8519</v>
      </c>
      <c r="H102" s="168" t="s">
        <v>8480</v>
      </c>
      <c r="I102" s="158"/>
      <c r="J102" s="159" t="s">
        <v>23</v>
      </c>
      <c r="K102" s="12">
        <v>2849.0</v>
      </c>
      <c r="L102" s="12"/>
      <c r="N102" s="158" t="s">
        <v>8384</v>
      </c>
    </row>
    <row r="103">
      <c r="A103" s="158" t="s">
        <v>8476</v>
      </c>
      <c r="B103" s="158" t="s">
        <v>8352</v>
      </c>
      <c r="C103" s="158">
        <v>3.0</v>
      </c>
      <c r="D103" s="158">
        <v>2.0</v>
      </c>
      <c r="E103" s="158">
        <v>1.0</v>
      </c>
      <c r="F103" s="158">
        <v>2.0</v>
      </c>
      <c r="G103" s="158" t="s">
        <v>8519</v>
      </c>
      <c r="H103" s="168" t="s">
        <v>8482</v>
      </c>
      <c r="I103" s="158"/>
      <c r="J103" s="159" t="s">
        <v>23</v>
      </c>
      <c r="K103" s="12">
        <v>2939.0</v>
      </c>
      <c r="L103" s="12"/>
      <c r="N103" s="158" t="s">
        <v>8384</v>
      </c>
    </row>
    <row r="104">
      <c r="A104" s="158" t="s">
        <v>8476</v>
      </c>
      <c r="B104" s="158" t="s">
        <v>8352</v>
      </c>
      <c r="C104" s="158">
        <v>3.0</v>
      </c>
      <c r="D104" s="158">
        <v>3.0</v>
      </c>
      <c r="E104" s="158">
        <v>1.0</v>
      </c>
      <c r="F104" s="158">
        <v>2.0</v>
      </c>
      <c r="G104" s="158" t="s">
        <v>8519</v>
      </c>
      <c r="H104" s="168" t="s">
        <v>8483</v>
      </c>
      <c r="I104" s="158"/>
      <c r="J104" s="159" t="s">
        <v>23</v>
      </c>
      <c r="K104" s="12">
        <v>2939.0</v>
      </c>
      <c r="L104" s="12"/>
      <c r="M104" s="13" t="s">
        <v>8498</v>
      </c>
      <c r="N104" s="158" t="s">
        <v>8384</v>
      </c>
    </row>
    <row r="105">
      <c r="A105" s="158" t="s">
        <v>8476</v>
      </c>
      <c r="B105" s="158" t="s">
        <v>8352</v>
      </c>
      <c r="C105" s="158">
        <v>3.0</v>
      </c>
      <c r="D105" s="158">
        <v>4.0</v>
      </c>
      <c r="E105" s="158">
        <v>1.0</v>
      </c>
      <c r="F105" s="158">
        <v>2.0</v>
      </c>
      <c r="G105" s="158" t="s">
        <v>8519</v>
      </c>
      <c r="H105" s="168" t="s">
        <v>8486</v>
      </c>
      <c r="I105" s="158"/>
      <c r="J105" s="159" t="s">
        <v>23</v>
      </c>
      <c r="K105" s="12">
        <v>3179.0</v>
      </c>
      <c r="L105" s="12"/>
      <c r="N105" s="158" t="s">
        <v>8384</v>
      </c>
    </row>
    <row r="106">
      <c r="A106" s="158" t="s">
        <v>8476</v>
      </c>
      <c r="B106" s="158" t="s">
        <v>8352</v>
      </c>
      <c r="C106" s="158">
        <v>3.0</v>
      </c>
      <c r="D106" s="158">
        <v>5.0</v>
      </c>
      <c r="E106" s="158">
        <v>1.0</v>
      </c>
      <c r="F106" s="158">
        <v>2.0</v>
      </c>
      <c r="G106" s="158" t="s">
        <v>8519</v>
      </c>
      <c r="H106" s="168" t="s">
        <v>8487</v>
      </c>
      <c r="I106" s="158"/>
      <c r="J106" s="159" t="s">
        <v>23</v>
      </c>
      <c r="K106" s="12">
        <v>3179.0</v>
      </c>
      <c r="L106" s="12"/>
      <c r="N106" s="158" t="s">
        <v>8384</v>
      </c>
    </row>
    <row r="107">
      <c r="A107" s="158" t="s">
        <v>8476</v>
      </c>
      <c r="B107" s="158" t="s">
        <v>8352</v>
      </c>
      <c r="C107" s="158">
        <v>3.0</v>
      </c>
      <c r="D107" s="158">
        <v>6.0</v>
      </c>
      <c r="E107" s="158">
        <v>1.0</v>
      </c>
      <c r="F107" s="158">
        <v>2.0</v>
      </c>
      <c r="G107" s="158" t="s">
        <v>8519</v>
      </c>
      <c r="H107" s="168" t="s">
        <v>8507</v>
      </c>
      <c r="I107" s="158"/>
      <c r="J107" s="159" t="s">
        <v>23</v>
      </c>
      <c r="K107" s="12">
        <v>1429.0</v>
      </c>
      <c r="L107" s="12"/>
      <c r="N107" s="158" t="s">
        <v>8384</v>
      </c>
    </row>
    <row r="108">
      <c r="A108" s="158" t="s">
        <v>8476</v>
      </c>
      <c r="B108" s="158" t="s">
        <v>8352</v>
      </c>
      <c r="C108" s="158">
        <v>3.0</v>
      </c>
      <c r="D108" s="158">
        <v>7.0</v>
      </c>
      <c r="E108" s="158">
        <v>1.0</v>
      </c>
      <c r="F108" s="158">
        <v>2.0</v>
      </c>
      <c r="G108" s="158" t="s">
        <v>8519</v>
      </c>
      <c r="H108" s="168" t="s">
        <v>8508</v>
      </c>
      <c r="I108" s="158"/>
      <c r="J108" s="159" t="s">
        <v>23</v>
      </c>
      <c r="K108" s="12">
        <v>1469.0</v>
      </c>
      <c r="L108" s="12"/>
      <c r="N108" s="158" t="s">
        <v>8384</v>
      </c>
    </row>
    <row r="109">
      <c r="A109" s="158" t="s">
        <v>8476</v>
      </c>
      <c r="B109" s="158" t="s">
        <v>8352</v>
      </c>
      <c r="C109" s="158">
        <v>3.0</v>
      </c>
      <c r="D109" s="158">
        <v>8.0</v>
      </c>
      <c r="E109" s="158">
        <v>1.0</v>
      </c>
      <c r="F109" s="158">
        <v>2.0</v>
      </c>
      <c r="G109" s="158" t="s">
        <v>8519</v>
      </c>
      <c r="H109" s="168" t="s">
        <v>8509</v>
      </c>
      <c r="I109" s="158"/>
      <c r="J109" s="159" t="s">
        <v>23</v>
      </c>
      <c r="K109" s="12">
        <v>1469.0</v>
      </c>
      <c r="L109" s="12"/>
      <c r="N109" s="158" t="s">
        <v>8384</v>
      </c>
    </row>
    <row r="110">
      <c r="A110" s="158" t="s">
        <v>8476</v>
      </c>
      <c r="B110" s="158" t="s">
        <v>8352</v>
      </c>
      <c r="C110" s="158">
        <v>3.0</v>
      </c>
      <c r="D110" s="158">
        <v>9.0</v>
      </c>
      <c r="E110" s="158">
        <v>1.0</v>
      </c>
      <c r="F110" s="158">
        <v>2.0</v>
      </c>
      <c r="G110" s="158" t="s">
        <v>8519</v>
      </c>
      <c r="H110" s="168" t="s">
        <v>8510</v>
      </c>
      <c r="I110" s="158"/>
      <c r="J110" s="159" t="s">
        <v>23</v>
      </c>
      <c r="K110" s="12">
        <v>1599.0</v>
      </c>
      <c r="L110" s="12"/>
      <c r="N110" s="158" t="s">
        <v>8384</v>
      </c>
    </row>
    <row r="111">
      <c r="A111" s="158" t="s">
        <v>8476</v>
      </c>
      <c r="B111" s="158" t="s">
        <v>8352</v>
      </c>
      <c r="C111" s="158">
        <v>3.0</v>
      </c>
      <c r="D111" s="158">
        <v>10.0</v>
      </c>
      <c r="E111" s="158">
        <v>1.0</v>
      </c>
      <c r="F111" s="158">
        <v>2.0</v>
      </c>
      <c r="G111" s="158" t="s">
        <v>8519</v>
      </c>
      <c r="H111" s="168" t="s">
        <v>8511</v>
      </c>
      <c r="I111" s="158"/>
      <c r="J111" s="159" t="s">
        <v>23</v>
      </c>
      <c r="K111" s="12">
        <v>1599.0</v>
      </c>
      <c r="L111" s="12"/>
      <c r="N111" s="158" t="s">
        <v>8384</v>
      </c>
    </row>
    <row r="112">
      <c r="A112" s="158" t="s">
        <v>8476</v>
      </c>
      <c r="B112" s="158" t="s">
        <v>8352</v>
      </c>
      <c r="C112" s="158">
        <v>3.0</v>
      </c>
      <c r="D112" s="158">
        <v>11.0</v>
      </c>
      <c r="E112" s="158">
        <v>1.0</v>
      </c>
      <c r="F112" s="158">
        <v>2.0</v>
      </c>
      <c r="G112" s="158" t="s">
        <v>8519</v>
      </c>
      <c r="H112" s="168" t="s">
        <v>8512</v>
      </c>
      <c r="I112" s="158"/>
      <c r="J112" s="159" t="s">
        <v>23</v>
      </c>
      <c r="K112" s="12">
        <v>2949.0</v>
      </c>
      <c r="L112" s="12"/>
      <c r="N112" s="158" t="s">
        <v>8384</v>
      </c>
    </row>
    <row r="113">
      <c r="A113" s="158" t="s">
        <v>8476</v>
      </c>
      <c r="B113" s="158" t="s">
        <v>8352</v>
      </c>
      <c r="C113" s="158">
        <v>3.0</v>
      </c>
      <c r="D113" s="158">
        <v>12.0</v>
      </c>
      <c r="E113" s="158">
        <v>1.0</v>
      </c>
      <c r="F113" s="158">
        <v>2.0</v>
      </c>
      <c r="G113" s="158" t="s">
        <v>8519</v>
      </c>
      <c r="H113" s="168" t="s">
        <v>8513</v>
      </c>
      <c r="I113" s="158"/>
      <c r="J113" s="159" t="s">
        <v>23</v>
      </c>
      <c r="K113" s="12">
        <v>3759.0</v>
      </c>
      <c r="L113" s="12"/>
      <c r="N113" s="158" t="s">
        <v>8384</v>
      </c>
    </row>
    <row r="114">
      <c r="A114" s="158" t="s">
        <v>8476</v>
      </c>
      <c r="B114" s="158" t="s">
        <v>8352</v>
      </c>
      <c r="C114" s="158">
        <v>3.0</v>
      </c>
      <c r="D114" s="158">
        <v>13.0</v>
      </c>
      <c r="E114" s="158">
        <v>1.0</v>
      </c>
      <c r="F114" s="158">
        <v>2.0</v>
      </c>
      <c r="G114" s="158" t="s">
        <v>8519</v>
      </c>
      <c r="H114" s="168" t="s">
        <v>8514</v>
      </c>
      <c r="I114" s="158"/>
      <c r="J114" s="159" t="s">
        <v>23</v>
      </c>
      <c r="K114" s="12">
        <v>3919.0</v>
      </c>
      <c r="L114" s="12"/>
      <c r="N114" s="158" t="s">
        <v>8384</v>
      </c>
    </row>
    <row r="115">
      <c r="A115" s="158" t="s">
        <v>8476</v>
      </c>
      <c r="B115" s="158" t="s">
        <v>8352</v>
      </c>
      <c r="C115" s="158">
        <v>3.0</v>
      </c>
      <c r="D115" s="158">
        <v>14.0</v>
      </c>
      <c r="E115" s="158">
        <v>1.0</v>
      </c>
      <c r="F115" s="158">
        <v>2.0</v>
      </c>
      <c r="G115" s="158" t="s">
        <v>8519</v>
      </c>
      <c r="H115" s="168" t="s">
        <v>8515</v>
      </c>
      <c r="I115" s="158"/>
      <c r="J115" s="159" t="s">
        <v>23</v>
      </c>
      <c r="K115" s="12">
        <v>4039.0</v>
      </c>
      <c r="L115" s="12"/>
      <c r="N115" s="158" t="s">
        <v>8384</v>
      </c>
    </row>
    <row r="116">
      <c r="A116" s="158" t="s">
        <v>8476</v>
      </c>
      <c r="B116" s="158" t="s">
        <v>8352</v>
      </c>
      <c r="C116" s="158">
        <v>3.0</v>
      </c>
      <c r="D116" s="158">
        <v>15.0</v>
      </c>
      <c r="E116" s="158">
        <v>1.0</v>
      </c>
      <c r="F116" s="158">
        <v>2.0</v>
      </c>
      <c r="G116" s="158" t="s">
        <v>8519</v>
      </c>
      <c r="H116" s="168" t="s">
        <v>8516</v>
      </c>
      <c r="I116" s="158"/>
      <c r="J116" s="159" t="s">
        <v>23</v>
      </c>
      <c r="K116" s="12">
        <v>4379.0</v>
      </c>
      <c r="L116" s="12"/>
      <c r="N116" s="158" t="s">
        <v>8384</v>
      </c>
    </row>
    <row r="117">
      <c r="A117" s="158" t="s">
        <v>8476</v>
      </c>
      <c r="B117" s="158" t="s">
        <v>8352</v>
      </c>
      <c r="C117" s="158">
        <v>3.0</v>
      </c>
      <c r="D117" s="158">
        <v>16.0</v>
      </c>
      <c r="E117" s="158">
        <v>1.0</v>
      </c>
      <c r="F117" s="158">
        <v>2.0</v>
      </c>
      <c r="G117" s="158" t="s">
        <v>8519</v>
      </c>
      <c r="H117" s="168" t="s">
        <v>8517</v>
      </c>
      <c r="I117" s="158"/>
      <c r="J117" s="159" t="s">
        <v>23</v>
      </c>
      <c r="K117" s="12">
        <v>4379.0</v>
      </c>
      <c r="L117" s="12"/>
      <c r="N117" s="158" t="s">
        <v>8384</v>
      </c>
    </row>
    <row r="118">
      <c r="A118" s="158" t="s">
        <v>8476</v>
      </c>
      <c r="B118" s="158" t="s">
        <v>8352</v>
      </c>
      <c r="C118" s="158">
        <v>3.0</v>
      </c>
      <c r="D118" s="158">
        <v>17.0</v>
      </c>
      <c r="E118" s="158">
        <v>1.0</v>
      </c>
      <c r="F118" s="158">
        <v>2.0</v>
      </c>
      <c r="G118" s="158" t="s">
        <v>8519</v>
      </c>
      <c r="H118" s="168" t="s">
        <v>8518</v>
      </c>
      <c r="I118" s="158"/>
      <c r="J118" s="159" t="s">
        <v>23</v>
      </c>
      <c r="K118" s="12">
        <v>4499.0</v>
      </c>
      <c r="L118" s="12"/>
      <c r="N118" s="158" t="s">
        <v>8384</v>
      </c>
    </row>
    <row r="119">
      <c r="A119" s="158" t="s">
        <v>8476</v>
      </c>
      <c r="B119" s="158" t="s">
        <v>8352</v>
      </c>
      <c r="C119" s="158">
        <v>3.0</v>
      </c>
      <c r="D119" s="158">
        <v>1.0</v>
      </c>
      <c r="E119" s="158">
        <v>1.0</v>
      </c>
      <c r="F119" s="158">
        <v>3.0</v>
      </c>
      <c r="G119" s="158" t="s">
        <v>8520</v>
      </c>
      <c r="H119" s="168" t="s">
        <v>8480</v>
      </c>
      <c r="I119" s="158"/>
      <c r="J119" s="159" t="s">
        <v>23</v>
      </c>
      <c r="K119" s="12">
        <v>2849.0</v>
      </c>
      <c r="L119" s="12"/>
      <c r="N119" s="158" t="s">
        <v>8384</v>
      </c>
    </row>
    <row r="120">
      <c r="A120" s="158" t="s">
        <v>8476</v>
      </c>
      <c r="B120" s="158" t="s">
        <v>8352</v>
      </c>
      <c r="C120" s="158">
        <v>3.0</v>
      </c>
      <c r="D120" s="158">
        <v>2.0</v>
      </c>
      <c r="E120" s="158">
        <v>1.0</v>
      </c>
      <c r="F120" s="158">
        <v>3.0</v>
      </c>
      <c r="G120" s="158" t="s">
        <v>8520</v>
      </c>
      <c r="H120" s="168" t="s">
        <v>8482</v>
      </c>
      <c r="I120" s="158"/>
      <c r="J120" s="159" t="s">
        <v>23</v>
      </c>
      <c r="K120" s="12">
        <v>2939.0</v>
      </c>
      <c r="L120" s="12"/>
      <c r="N120" s="158" t="s">
        <v>8384</v>
      </c>
    </row>
    <row r="121">
      <c r="A121" s="158" t="s">
        <v>8476</v>
      </c>
      <c r="B121" s="158" t="s">
        <v>8352</v>
      </c>
      <c r="C121" s="158">
        <v>3.0</v>
      </c>
      <c r="D121" s="158">
        <v>3.0</v>
      </c>
      <c r="E121" s="158">
        <v>1.0</v>
      </c>
      <c r="F121" s="158">
        <v>3.0</v>
      </c>
      <c r="G121" s="158" t="s">
        <v>8520</v>
      </c>
      <c r="H121" s="168" t="s">
        <v>8483</v>
      </c>
      <c r="I121" s="158"/>
      <c r="J121" s="159" t="s">
        <v>23</v>
      </c>
      <c r="K121" s="12">
        <v>2939.0</v>
      </c>
      <c r="L121" s="12"/>
      <c r="N121" s="158" t="s">
        <v>8384</v>
      </c>
    </row>
    <row r="122">
      <c r="A122" s="158" t="s">
        <v>8476</v>
      </c>
      <c r="B122" s="158" t="s">
        <v>8352</v>
      </c>
      <c r="C122" s="158">
        <v>3.0</v>
      </c>
      <c r="D122" s="158">
        <v>4.0</v>
      </c>
      <c r="E122" s="158">
        <v>1.0</v>
      </c>
      <c r="F122" s="158">
        <v>3.0</v>
      </c>
      <c r="G122" s="158" t="s">
        <v>8520</v>
      </c>
      <c r="H122" s="168" t="s">
        <v>8486</v>
      </c>
      <c r="I122" s="158"/>
      <c r="J122" s="159" t="s">
        <v>23</v>
      </c>
      <c r="K122" s="12">
        <v>3179.0</v>
      </c>
      <c r="L122" s="12"/>
      <c r="N122" s="158" t="s">
        <v>8384</v>
      </c>
    </row>
    <row r="123">
      <c r="A123" s="158" t="s">
        <v>8476</v>
      </c>
      <c r="B123" s="158" t="s">
        <v>8352</v>
      </c>
      <c r="C123" s="158">
        <v>3.0</v>
      </c>
      <c r="D123" s="158">
        <v>5.0</v>
      </c>
      <c r="E123" s="158">
        <v>1.0</v>
      </c>
      <c r="F123" s="158">
        <v>3.0</v>
      </c>
      <c r="G123" s="158" t="s">
        <v>8520</v>
      </c>
      <c r="H123" s="168" t="s">
        <v>8487</v>
      </c>
      <c r="I123" s="158"/>
      <c r="J123" s="159" t="s">
        <v>23</v>
      </c>
      <c r="K123" s="12">
        <v>3179.0</v>
      </c>
      <c r="L123" s="12"/>
      <c r="N123" s="158" t="s">
        <v>8384</v>
      </c>
    </row>
    <row r="124">
      <c r="A124" s="158" t="s">
        <v>8476</v>
      </c>
      <c r="B124" s="158" t="s">
        <v>8352</v>
      </c>
      <c r="C124" s="158">
        <v>3.0</v>
      </c>
      <c r="D124" s="158">
        <v>6.0</v>
      </c>
      <c r="E124" s="158">
        <v>1.0</v>
      </c>
      <c r="F124" s="158">
        <v>3.0</v>
      </c>
      <c r="G124" s="158" t="s">
        <v>8520</v>
      </c>
      <c r="H124" s="168" t="s">
        <v>8507</v>
      </c>
      <c r="I124" s="158"/>
      <c r="J124" s="159" t="s">
        <v>23</v>
      </c>
      <c r="K124" s="12">
        <v>1429.0</v>
      </c>
      <c r="L124" s="12"/>
      <c r="N124" s="158" t="s">
        <v>8384</v>
      </c>
    </row>
    <row r="125">
      <c r="A125" s="158" t="s">
        <v>8476</v>
      </c>
      <c r="B125" s="158" t="s">
        <v>8352</v>
      </c>
      <c r="C125" s="158">
        <v>3.0</v>
      </c>
      <c r="D125" s="158">
        <v>7.0</v>
      </c>
      <c r="E125" s="158">
        <v>1.0</v>
      </c>
      <c r="F125" s="158">
        <v>3.0</v>
      </c>
      <c r="G125" s="158" t="s">
        <v>8520</v>
      </c>
      <c r="H125" s="168" t="s">
        <v>8508</v>
      </c>
      <c r="I125" s="158"/>
      <c r="J125" s="159" t="s">
        <v>23</v>
      </c>
      <c r="K125" s="12">
        <v>1469.0</v>
      </c>
      <c r="L125" s="12"/>
      <c r="N125" s="158" t="s">
        <v>8384</v>
      </c>
    </row>
    <row r="126">
      <c r="A126" s="158" t="s">
        <v>8476</v>
      </c>
      <c r="B126" s="158" t="s">
        <v>8352</v>
      </c>
      <c r="C126" s="158">
        <v>3.0</v>
      </c>
      <c r="D126" s="158">
        <v>8.0</v>
      </c>
      <c r="E126" s="158">
        <v>1.0</v>
      </c>
      <c r="F126" s="158">
        <v>3.0</v>
      </c>
      <c r="G126" s="158" t="s">
        <v>8520</v>
      </c>
      <c r="H126" s="168" t="s">
        <v>8509</v>
      </c>
      <c r="I126" s="158"/>
      <c r="J126" s="159" t="s">
        <v>23</v>
      </c>
      <c r="K126" s="12">
        <v>1469.0</v>
      </c>
      <c r="L126" s="12"/>
      <c r="N126" s="158" t="s">
        <v>8384</v>
      </c>
    </row>
    <row r="127">
      <c r="A127" s="158" t="s">
        <v>8476</v>
      </c>
      <c r="B127" s="158" t="s">
        <v>8352</v>
      </c>
      <c r="C127" s="158">
        <v>3.0</v>
      </c>
      <c r="D127" s="158">
        <v>9.0</v>
      </c>
      <c r="E127" s="158">
        <v>1.0</v>
      </c>
      <c r="F127" s="158">
        <v>3.0</v>
      </c>
      <c r="G127" s="158" t="s">
        <v>8520</v>
      </c>
      <c r="H127" s="168" t="s">
        <v>8510</v>
      </c>
      <c r="I127" s="158"/>
      <c r="J127" s="159" t="s">
        <v>23</v>
      </c>
      <c r="K127" s="12">
        <v>1599.0</v>
      </c>
      <c r="L127" s="12"/>
      <c r="N127" s="158" t="s">
        <v>8384</v>
      </c>
    </row>
    <row r="128">
      <c r="A128" s="158" t="s">
        <v>8476</v>
      </c>
      <c r="B128" s="158" t="s">
        <v>8352</v>
      </c>
      <c r="C128" s="158">
        <v>3.0</v>
      </c>
      <c r="D128" s="158">
        <v>10.0</v>
      </c>
      <c r="E128" s="158">
        <v>1.0</v>
      </c>
      <c r="F128" s="158">
        <v>3.0</v>
      </c>
      <c r="G128" s="158" t="s">
        <v>8520</v>
      </c>
      <c r="H128" s="168" t="s">
        <v>8511</v>
      </c>
      <c r="I128" s="158"/>
      <c r="J128" s="159" t="s">
        <v>23</v>
      </c>
      <c r="K128" s="12">
        <v>1599.0</v>
      </c>
      <c r="L128" s="12"/>
      <c r="N128" s="158" t="s">
        <v>8384</v>
      </c>
    </row>
    <row r="129">
      <c r="A129" s="158" t="s">
        <v>8476</v>
      </c>
      <c r="B129" s="158" t="s">
        <v>8352</v>
      </c>
      <c r="C129" s="158">
        <v>3.0</v>
      </c>
      <c r="D129" s="158">
        <v>11.0</v>
      </c>
      <c r="E129" s="158">
        <v>1.0</v>
      </c>
      <c r="F129" s="158">
        <v>3.0</v>
      </c>
      <c r="G129" s="158" t="s">
        <v>8520</v>
      </c>
      <c r="H129" s="168" t="s">
        <v>8512</v>
      </c>
      <c r="I129" s="158"/>
      <c r="J129" s="159" t="s">
        <v>23</v>
      </c>
      <c r="K129" s="12">
        <v>2949.0</v>
      </c>
      <c r="L129" s="12"/>
      <c r="N129" s="158" t="s">
        <v>8384</v>
      </c>
    </row>
    <row r="130">
      <c r="A130" s="158" t="s">
        <v>8476</v>
      </c>
      <c r="B130" s="158" t="s">
        <v>8352</v>
      </c>
      <c r="C130" s="158">
        <v>3.0</v>
      </c>
      <c r="D130" s="158">
        <v>12.0</v>
      </c>
      <c r="E130" s="158">
        <v>1.0</v>
      </c>
      <c r="F130" s="158">
        <v>3.0</v>
      </c>
      <c r="G130" s="158" t="s">
        <v>8520</v>
      </c>
      <c r="H130" s="168" t="s">
        <v>8513</v>
      </c>
      <c r="I130" s="158"/>
      <c r="J130" s="159" t="s">
        <v>23</v>
      </c>
      <c r="K130" s="12">
        <v>3759.0</v>
      </c>
      <c r="L130" s="12"/>
      <c r="N130" s="158" t="s">
        <v>8384</v>
      </c>
    </row>
    <row r="131">
      <c r="A131" s="158" t="s">
        <v>8476</v>
      </c>
      <c r="B131" s="158" t="s">
        <v>8352</v>
      </c>
      <c r="C131" s="158">
        <v>3.0</v>
      </c>
      <c r="D131" s="158">
        <v>13.0</v>
      </c>
      <c r="E131" s="158">
        <v>1.0</v>
      </c>
      <c r="F131" s="158">
        <v>3.0</v>
      </c>
      <c r="G131" s="158" t="s">
        <v>8520</v>
      </c>
      <c r="H131" s="168" t="s">
        <v>8514</v>
      </c>
      <c r="I131" s="158"/>
      <c r="J131" s="159" t="s">
        <v>23</v>
      </c>
      <c r="K131" s="12">
        <v>3919.0</v>
      </c>
      <c r="L131" s="12"/>
      <c r="N131" s="158" t="s">
        <v>8384</v>
      </c>
    </row>
    <row r="132">
      <c r="A132" s="158" t="s">
        <v>8476</v>
      </c>
      <c r="B132" s="158" t="s">
        <v>8352</v>
      </c>
      <c r="C132" s="158">
        <v>3.0</v>
      </c>
      <c r="D132" s="158">
        <v>14.0</v>
      </c>
      <c r="E132" s="158">
        <v>1.0</v>
      </c>
      <c r="F132" s="158">
        <v>3.0</v>
      </c>
      <c r="G132" s="158" t="s">
        <v>8520</v>
      </c>
      <c r="H132" s="168" t="s">
        <v>8515</v>
      </c>
      <c r="I132" s="158"/>
      <c r="J132" s="159" t="s">
        <v>23</v>
      </c>
      <c r="K132" s="12">
        <v>4039.0</v>
      </c>
      <c r="L132" s="12"/>
      <c r="N132" s="158" t="s">
        <v>8384</v>
      </c>
    </row>
    <row r="133">
      <c r="A133" s="158" t="s">
        <v>8476</v>
      </c>
      <c r="B133" s="158" t="s">
        <v>8352</v>
      </c>
      <c r="C133" s="158">
        <v>3.0</v>
      </c>
      <c r="D133" s="158">
        <v>15.0</v>
      </c>
      <c r="E133" s="158">
        <v>1.0</v>
      </c>
      <c r="F133" s="158">
        <v>3.0</v>
      </c>
      <c r="G133" s="158" t="s">
        <v>8520</v>
      </c>
      <c r="H133" s="168" t="s">
        <v>8516</v>
      </c>
      <c r="I133" s="158"/>
      <c r="J133" s="159" t="s">
        <v>23</v>
      </c>
      <c r="K133" s="12">
        <v>4379.0</v>
      </c>
      <c r="L133" s="12"/>
      <c r="N133" s="158" t="s">
        <v>8384</v>
      </c>
    </row>
    <row r="134">
      <c r="A134" s="158" t="s">
        <v>8476</v>
      </c>
      <c r="B134" s="158" t="s">
        <v>8352</v>
      </c>
      <c r="C134" s="158">
        <v>3.0</v>
      </c>
      <c r="D134" s="158">
        <v>16.0</v>
      </c>
      <c r="E134" s="158">
        <v>1.0</v>
      </c>
      <c r="F134" s="158">
        <v>3.0</v>
      </c>
      <c r="G134" s="158" t="s">
        <v>8520</v>
      </c>
      <c r="H134" s="168" t="s">
        <v>8517</v>
      </c>
      <c r="I134" s="158"/>
      <c r="J134" s="159" t="s">
        <v>23</v>
      </c>
      <c r="K134" s="12">
        <v>4379.0</v>
      </c>
      <c r="L134" s="12"/>
      <c r="N134" s="158" t="s">
        <v>8384</v>
      </c>
    </row>
    <row r="135">
      <c r="A135" s="158" t="s">
        <v>8476</v>
      </c>
      <c r="B135" s="158" t="s">
        <v>8352</v>
      </c>
      <c r="C135" s="158">
        <v>3.0</v>
      </c>
      <c r="D135" s="158">
        <v>17.0</v>
      </c>
      <c r="E135" s="158">
        <v>1.0</v>
      </c>
      <c r="F135" s="158">
        <v>3.0</v>
      </c>
      <c r="G135" s="158" t="s">
        <v>8520</v>
      </c>
      <c r="H135" s="168" t="s">
        <v>8518</v>
      </c>
      <c r="I135" s="158"/>
      <c r="J135" s="159" t="s">
        <v>23</v>
      </c>
      <c r="K135" s="12">
        <v>4499.0</v>
      </c>
      <c r="L135" s="12"/>
      <c r="N135" s="158" t="s">
        <v>8384</v>
      </c>
    </row>
    <row r="136">
      <c r="A136" s="158" t="s">
        <v>8476</v>
      </c>
      <c r="B136" s="158" t="s">
        <v>8352</v>
      </c>
      <c r="C136" s="158">
        <v>3.0</v>
      </c>
      <c r="D136" s="158">
        <v>1.0</v>
      </c>
      <c r="E136" s="158">
        <v>1.0</v>
      </c>
      <c r="F136" s="158">
        <v>4.0</v>
      </c>
      <c r="G136" s="158" t="s">
        <v>8521</v>
      </c>
      <c r="H136" s="168" t="s">
        <v>8480</v>
      </c>
      <c r="I136" s="158"/>
      <c r="J136" s="159" t="s">
        <v>23</v>
      </c>
      <c r="K136" s="12">
        <v>2849.0</v>
      </c>
      <c r="L136" s="12"/>
      <c r="N136" s="158" t="s">
        <v>8384</v>
      </c>
    </row>
    <row r="137">
      <c r="A137" s="158" t="s">
        <v>8476</v>
      </c>
      <c r="B137" s="158" t="s">
        <v>8352</v>
      </c>
      <c r="C137" s="158">
        <v>3.0</v>
      </c>
      <c r="D137" s="158">
        <v>2.0</v>
      </c>
      <c r="E137" s="158">
        <v>1.0</v>
      </c>
      <c r="F137" s="158">
        <v>4.0</v>
      </c>
      <c r="G137" s="158" t="s">
        <v>8521</v>
      </c>
      <c r="H137" s="168" t="s">
        <v>8482</v>
      </c>
      <c r="I137" s="158"/>
      <c r="J137" s="159" t="s">
        <v>23</v>
      </c>
      <c r="K137" s="12">
        <v>2939.0</v>
      </c>
      <c r="L137" s="12"/>
      <c r="N137" s="158" t="s">
        <v>8384</v>
      </c>
    </row>
    <row r="138">
      <c r="A138" s="158" t="s">
        <v>8476</v>
      </c>
      <c r="B138" s="158" t="s">
        <v>8352</v>
      </c>
      <c r="C138" s="158">
        <v>3.0</v>
      </c>
      <c r="D138" s="158">
        <v>3.0</v>
      </c>
      <c r="E138" s="158">
        <v>1.0</v>
      </c>
      <c r="F138" s="158">
        <v>4.0</v>
      </c>
      <c r="G138" s="158" t="s">
        <v>8521</v>
      </c>
      <c r="H138" s="168" t="s">
        <v>8483</v>
      </c>
      <c r="I138" s="158"/>
      <c r="J138" s="159" t="s">
        <v>23</v>
      </c>
      <c r="K138" s="12">
        <v>2939.0</v>
      </c>
      <c r="L138" s="12"/>
      <c r="N138" s="158" t="s">
        <v>8384</v>
      </c>
    </row>
    <row r="139">
      <c r="A139" s="158" t="s">
        <v>8476</v>
      </c>
      <c r="B139" s="158" t="s">
        <v>8352</v>
      </c>
      <c r="C139" s="158">
        <v>3.0</v>
      </c>
      <c r="D139" s="158">
        <v>4.0</v>
      </c>
      <c r="E139" s="158">
        <v>1.0</v>
      </c>
      <c r="F139" s="158">
        <v>4.0</v>
      </c>
      <c r="G139" s="158" t="s">
        <v>8521</v>
      </c>
      <c r="H139" s="168" t="s">
        <v>8486</v>
      </c>
      <c r="I139" s="158"/>
      <c r="J139" s="159" t="s">
        <v>23</v>
      </c>
      <c r="K139" s="12">
        <v>3179.0</v>
      </c>
      <c r="L139" s="12"/>
      <c r="N139" s="158" t="s">
        <v>8384</v>
      </c>
    </row>
    <row r="140">
      <c r="A140" s="158" t="s">
        <v>8476</v>
      </c>
      <c r="B140" s="158" t="s">
        <v>8352</v>
      </c>
      <c r="C140" s="158">
        <v>3.0</v>
      </c>
      <c r="D140" s="158">
        <v>5.0</v>
      </c>
      <c r="E140" s="158">
        <v>1.0</v>
      </c>
      <c r="F140" s="158">
        <v>4.0</v>
      </c>
      <c r="G140" s="158" t="s">
        <v>8521</v>
      </c>
      <c r="H140" s="168" t="s">
        <v>8487</v>
      </c>
      <c r="I140" s="158"/>
      <c r="J140" s="159" t="s">
        <v>23</v>
      </c>
      <c r="K140" s="12">
        <v>3179.0</v>
      </c>
      <c r="L140" s="12"/>
      <c r="N140" s="158" t="s">
        <v>8384</v>
      </c>
    </row>
    <row r="141">
      <c r="A141" s="158" t="s">
        <v>8476</v>
      </c>
      <c r="B141" s="158" t="s">
        <v>8352</v>
      </c>
      <c r="C141" s="158">
        <v>3.0</v>
      </c>
      <c r="D141" s="158">
        <v>6.0</v>
      </c>
      <c r="E141" s="158">
        <v>1.0</v>
      </c>
      <c r="F141" s="158">
        <v>4.0</v>
      </c>
      <c r="G141" s="158" t="s">
        <v>8521</v>
      </c>
      <c r="H141" s="168" t="s">
        <v>8507</v>
      </c>
      <c r="I141" s="158"/>
      <c r="J141" s="159" t="s">
        <v>23</v>
      </c>
      <c r="K141" s="12">
        <v>1429.0</v>
      </c>
      <c r="L141" s="12"/>
      <c r="N141" s="158" t="s">
        <v>8384</v>
      </c>
    </row>
    <row r="142">
      <c r="A142" s="158" t="s">
        <v>8476</v>
      </c>
      <c r="B142" s="158" t="s">
        <v>8352</v>
      </c>
      <c r="C142" s="158">
        <v>3.0</v>
      </c>
      <c r="D142" s="158">
        <v>7.0</v>
      </c>
      <c r="E142" s="158">
        <v>1.0</v>
      </c>
      <c r="F142" s="158">
        <v>4.0</v>
      </c>
      <c r="G142" s="158" t="s">
        <v>8521</v>
      </c>
      <c r="H142" s="168" t="s">
        <v>8508</v>
      </c>
      <c r="I142" s="158"/>
      <c r="J142" s="159" t="s">
        <v>23</v>
      </c>
      <c r="K142" s="12">
        <v>1469.0</v>
      </c>
      <c r="L142" s="12"/>
      <c r="N142" s="158" t="s">
        <v>8384</v>
      </c>
    </row>
    <row r="143">
      <c r="A143" s="158" t="s">
        <v>8476</v>
      </c>
      <c r="B143" s="158" t="s">
        <v>8352</v>
      </c>
      <c r="C143" s="158">
        <v>3.0</v>
      </c>
      <c r="D143" s="158">
        <v>8.0</v>
      </c>
      <c r="E143" s="158">
        <v>1.0</v>
      </c>
      <c r="F143" s="158">
        <v>4.0</v>
      </c>
      <c r="G143" s="158" t="s">
        <v>8521</v>
      </c>
      <c r="H143" s="168" t="s">
        <v>8509</v>
      </c>
      <c r="I143" s="158"/>
      <c r="J143" s="159" t="s">
        <v>23</v>
      </c>
      <c r="K143" s="12">
        <v>1469.0</v>
      </c>
      <c r="L143" s="12"/>
      <c r="N143" s="158" t="s">
        <v>8384</v>
      </c>
    </row>
    <row r="144">
      <c r="A144" s="158" t="s">
        <v>8476</v>
      </c>
      <c r="B144" s="158" t="s">
        <v>8352</v>
      </c>
      <c r="C144" s="158">
        <v>3.0</v>
      </c>
      <c r="D144" s="158">
        <v>9.0</v>
      </c>
      <c r="E144" s="158">
        <v>1.0</v>
      </c>
      <c r="F144" s="158">
        <v>4.0</v>
      </c>
      <c r="G144" s="158" t="s">
        <v>8521</v>
      </c>
      <c r="H144" s="168" t="s">
        <v>8510</v>
      </c>
      <c r="I144" s="158"/>
      <c r="J144" s="159" t="s">
        <v>23</v>
      </c>
      <c r="K144" s="12">
        <v>1599.0</v>
      </c>
      <c r="L144" s="12"/>
      <c r="N144" s="158" t="s">
        <v>8384</v>
      </c>
    </row>
    <row r="145">
      <c r="A145" s="158" t="s">
        <v>8476</v>
      </c>
      <c r="B145" s="158" t="s">
        <v>8352</v>
      </c>
      <c r="C145" s="158">
        <v>3.0</v>
      </c>
      <c r="D145" s="158">
        <v>10.0</v>
      </c>
      <c r="E145" s="158">
        <v>1.0</v>
      </c>
      <c r="F145" s="158">
        <v>4.0</v>
      </c>
      <c r="G145" s="158" t="s">
        <v>8521</v>
      </c>
      <c r="H145" s="168" t="s">
        <v>8511</v>
      </c>
      <c r="I145" s="158"/>
      <c r="J145" s="159" t="s">
        <v>23</v>
      </c>
      <c r="K145" s="12">
        <v>1599.0</v>
      </c>
      <c r="L145" s="12"/>
      <c r="N145" s="158" t="s">
        <v>8384</v>
      </c>
    </row>
    <row r="146">
      <c r="A146" s="158" t="s">
        <v>8476</v>
      </c>
      <c r="B146" s="158" t="s">
        <v>8352</v>
      </c>
      <c r="C146" s="158">
        <v>3.0</v>
      </c>
      <c r="D146" s="158">
        <v>11.0</v>
      </c>
      <c r="E146" s="158">
        <v>1.0</v>
      </c>
      <c r="F146" s="158">
        <v>4.0</v>
      </c>
      <c r="G146" s="158" t="s">
        <v>8521</v>
      </c>
      <c r="H146" s="168" t="s">
        <v>8512</v>
      </c>
      <c r="I146" s="158"/>
      <c r="J146" s="159" t="s">
        <v>23</v>
      </c>
      <c r="K146" s="12">
        <v>2949.0</v>
      </c>
      <c r="L146" s="12"/>
      <c r="N146" s="158" t="s">
        <v>8384</v>
      </c>
    </row>
    <row r="147">
      <c r="A147" s="158" t="s">
        <v>8476</v>
      </c>
      <c r="B147" s="158" t="s">
        <v>8352</v>
      </c>
      <c r="C147" s="158">
        <v>3.0</v>
      </c>
      <c r="D147" s="158">
        <v>12.0</v>
      </c>
      <c r="E147" s="158">
        <v>1.0</v>
      </c>
      <c r="F147" s="158">
        <v>4.0</v>
      </c>
      <c r="G147" s="158" t="s">
        <v>8521</v>
      </c>
      <c r="H147" s="168" t="s">
        <v>8513</v>
      </c>
      <c r="I147" s="158"/>
      <c r="J147" s="159" t="s">
        <v>23</v>
      </c>
      <c r="K147" s="12">
        <v>3759.0</v>
      </c>
      <c r="L147" s="12"/>
      <c r="N147" s="158" t="s">
        <v>8384</v>
      </c>
    </row>
    <row r="148">
      <c r="A148" s="158" t="s">
        <v>8476</v>
      </c>
      <c r="B148" s="158" t="s">
        <v>8352</v>
      </c>
      <c r="C148" s="158">
        <v>3.0</v>
      </c>
      <c r="D148" s="158">
        <v>13.0</v>
      </c>
      <c r="E148" s="158">
        <v>1.0</v>
      </c>
      <c r="F148" s="158">
        <v>4.0</v>
      </c>
      <c r="G148" s="158" t="s">
        <v>8521</v>
      </c>
      <c r="H148" s="168" t="s">
        <v>8514</v>
      </c>
      <c r="I148" s="158"/>
      <c r="J148" s="159" t="s">
        <v>23</v>
      </c>
      <c r="K148" s="12">
        <v>3919.0</v>
      </c>
      <c r="L148" s="12"/>
      <c r="N148" s="158" t="s">
        <v>8384</v>
      </c>
    </row>
    <row r="149">
      <c r="A149" s="158" t="s">
        <v>8476</v>
      </c>
      <c r="B149" s="158" t="s">
        <v>8352</v>
      </c>
      <c r="C149" s="158">
        <v>3.0</v>
      </c>
      <c r="D149" s="158">
        <v>14.0</v>
      </c>
      <c r="E149" s="158">
        <v>1.0</v>
      </c>
      <c r="F149" s="158">
        <v>4.0</v>
      </c>
      <c r="G149" s="158" t="s">
        <v>8521</v>
      </c>
      <c r="H149" s="168" t="s">
        <v>8515</v>
      </c>
      <c r="I149" s="158"/>
      <c r="J149" s="159" t="s">
        <v>23</v>
      </c>
      <c r="K149" s="12">
        <v>4039.0</v>
      </c>
      <c r="L149" s="12"/>
      <c r="N149" s="158" t="s">
        <v>8384</v>
      </c>
    </row>
    <row r="150">
      <c r="A150" s="158" t="s">
        <v>8476</v>
      </c>
      <c r="B150" s="158" t="s">
        <v>8352</v>
      </c>
      <c r="C150" s="158">
        <v>3.0</v>
      </c>
      <c r="D150" s="158">
        <v>15.0</v>
      </c>
      <c r="E150" s="158">
        <v>1.0</v>
      </c>
      <c r="F150" s="158">
        <v>4.0</v>
      </c>
      <c r="G150" s="158" t="s">
        <v>8521</v>
      </c>
      <c r="H150" s="168" t="s">
        <v>8516</v>
      </c>
      <c r="I150" s="158"/>
      <c r="J150" s="159" t="s">
        <v>23</v>
      </c>
      <c r="K150" s="12">
        <v>4379.0</v>
      </c>
      <c r="L150" s="12"/>
      <c r="N150" s="158" t="s">
        <v>8384</v>
      </c>
    </row>
    <row r="151">
      <c r="A151" s="158" t="s">
        <v>8476</v>
      </c>
      <c r="B151" s="158" t="s">
        <v>8352</v>
      </c>
      <c r="C151" s="158">
        <v>3.0</v>
      </c>
      <c r="D151" s="158">
        <v>16.0</v>
      </c>
      <c r="E151" s="158">
        <v>1.0</v>
      </c>
      <c r="F151" s="158">
        <v>4.0</v>
      </c>
      <c r="G151" s="158" t="s">
        <v>8521</v>
      </c>
      <c r="H151" s="168" t="s">
        <v>8517</v>
      </c>
      <c r="I151" s="158"/>
      <c r="J151" s="159" t="s">
        <v>23</v>
      </c>
      <c r="K151" s="12">
        <v>4379.0</v>
      </c>
      <c r="L151" s="12"/>
      <c r="N151" s="158" t="s">
        <v>8384</v>
      </c>
    </row>
    <row r="152">
      <c r="A152" s="158" t="s">
        <v>8476</v>
      </c>
      <c r="B152" s="158" t="s">
        <v>8352</v>
      </c>
      <c r="C152" s="158">
        <v>3.0</v>
      </c>
      <c r="D152" s="158">
        <v>17.0</v>
      </c>
      <c r="E152" s="158">
        <v>1.0</v>
      </c>
      <c r="F152" s="158">
        <v>4.0</v>
      </c>
      <c r="G152" s="158" t="s">
        <v>8521</v>
      </c>
      <c r="H152" s="168" t="s">
        <v>8518</v>
      </c>
      <c r="I152" s="158"/>
      <c r="J152" s="159" t="s">
        <v>23</v>
      </c>
      <c r="K152" s="12">
        <v>4499.0</v>
      </c>
      <c r="L152" s="12"/>
      <c r="N152" s="158" t="s">
        <v>8384</v>
      </c>
    </row>
    <row r="153">
      <c r="A153" s="158" t="s">
        <v>8476</v>
      </c>
      <c r="B153" s="158" t="s">
        <v>8352</v>
      </c>
      <c r="C153" s="158">
        <v>3.0</v>
      </c>
      <c r="D153" s="158">
        <v>1.0</v>
      </c>
      <c r="E153" s="158">
        <v>1.0</v>
      </c>
      <c r="F153" s="158">
        <v>5.0</v>
      </c>
      <c r="G153" s="158" t="s">
        <v>8522</v>
      </c>
      <c r="H153" s="168" t="s">
        <v>8480</v>
      </c>
      <c r="I153" s="158"/>
      <c r="J153" s="159" t="s">
        <v>23</v>
      </c>
      <c r="K153" s="12">
        <v>2849.0</v>
      </c>
      <c r="L153" s="12"/>
      <c r="N153" s="158" t="s">
        <v>8384</v>
      </c>
    </row>
    <row r="154">
      <c r="A154" s="158" t="s">
        <v>8476</v>
      </c>
      <c r="B154" s="158" t="s">
        <v>8352</v>
      </c>
      <c r="C154" s="158">
        <v>3.0</v>
      </c>
      <c r="D154" s="158">
        <v>2.0</v>
      </c>
      <c r="E154" s="158">
        <v>1.0</v>
      </c>
      <c r="F154" s="158">
        <v>5.0</v>
      </c>
      <c r="G154" s="158" t="s">
        <v>8522</v>
      </c>
      <c r="H154" s="168" t="s">
        <v>8482</v>
      </c>
      <c r="I154" s="158"/>
      <c r="J154" s="159" t="s">
        <v>23</v>
      </c>
      <c r="K154" s="12">
        <v>2939.0</v>
      </c>
      <c r="L154" s="12"/>
      <c r="N154" s="158" t="s">
        <v>8384</v>
      </c>
    </row>
    <row r="155">
      <c r="A155" s="158" t="s">
        <v>8476</v>
      </c>
      <c r="B155" s="158" t="s">
        <v>8352</v>
      </c>
      <c r="C155" s="158">
        <v>3.0</v>
      </c>
      <c r="D155" s="158">
        <v>3.0</v>
      </c>
      <c r="E155" s="158">
        <v>1.0</v>
      </c>
      <c r="F155" s="158">
        <v>5.0</v>
      </c>
      <c r="G155" s="158" t="s">
        <v>8522</v>
      </c>
      <c r="H155" s="168" t="s">
        <v>8483</v>
      </c>
      <c r="I155" s="158"/>
      <c r="J155" s="159" t="s">
        <v>23</v>
      </c>
      <c r="K155" s="12">
        <v>2939.0</v>
      </c>
      <c r="L155" s="12"/>
      <c r="N155" s="158" t="s">
        <v>8384</v>
      </c>
    </row>
    <row r="156">
      <c r="A156" s="158" t="s">
        <v>8476</v>
      </c>
      <c r="B156" s="158" t="s">
        <v>8352</v>
      </c>
      <c r="C156" s="158">
        <v>3.0</v>
      </c>
      <c r="D156" s="158">
        <v>4.0</v>
      </c>
      <c r="E156" s="158">
        <v>1.0</v>
      </c>
      <c r="F156" s="158">
        <v>5.0</v>
      </c>
      <c r="G156" s="158" t="s">
        <v>8522</v>
      </c>
      <c r="H156" s="168" t="s">
        <v>8486</v>
      </c>
      <c r="I156" s="158"/>
      <c r="J156" s="159" t="s">
        <v>23</v>
      </c>
      <c r="K156" s="12">
        <v>3179.0</v>
      </c>
      <c r="L156" s="12"/>
      <c r="N156" s="158" t="s">
        <v>8384</v>
      </c>
    </row>
    <row r="157">
      <c r="A157" s="158" t="s">
        <v>8476</v>
      </c>
      <c r="B157" s="158" t="s">
        <v>8352</v>
      </c>
      <c r="C157" s="158">
        <v>3.0</v>
      </c>
      <c r="D157" s="158">
        <v>5.0</v>
      </c>
      <c r="E157" s="158">
        <v>1.0</v>
      </c>
      <c r="F157" s="158">
        <v>5.0</v>
      </c>
      <c r="G157" s="158" t="s">
        <v>8522</v>
      </c>
      <c r="H157" s="168" t="s">
        <v>8487</v>
      </c>
      <c r="I157" s="158"/>
      <c r="J157" s="159" t="s">
        <v>23</v>
      </c>
      <c r="K157" s="12">
        <v>3179.0</v>
      </c>
      <c r="L157" s="12"/>
      <c r="N157" s="158" t="s">
        <v>8384</v>
      </c>
    </row>
    <row r="158">
      <c r="A158" s="158" t="s">
        <v>8476</v>
      </c>
      <c r="B158" s="158" t="s">
        <v>8352</v>
      </c>
      <c r="C158" s="158">
        <v>3.0</v>
      </c>
      <c r="D158" s="158">
        <v>6.0</v>
      </c>
      <c r="E158" s="158">
        <v>1.0</v>
      </c>
      <c r="F158" s="158">
        <v>5.0</v>
      </c>
      <c r="G158" s="158" t="s">
        <v>8522</v>
      </c>
      <c r="H158" s="168" t="s">
        <v>8507</v>
      </c>
      <c r="I158" s="158"/>
      <c r="J158" s="159" t="s">
        <v>23</v>
      </c>
      <c r="K158" s="12">
        <v>1429.0</v>
      </c>
      <c r="L158" s="12"/>
      <c r="N158" s="158" t="s">
        <v>8384</v>
      </c>
    </row>
    <row r="159">
      <c r="A159" s="158" t="s">
        <v>8476</v>
      </c>
      <c r="B159" s="158" t="s">
        <v>8352</v>
      </c>
      <c r="C159" s="158">
        <v>3.0</v>
      </c>
      <c r="D159" s="158">
        <v>7.0</v>
      </c>
      <c r="E159" s="158">
        <v>1.0</v>
      </c>
      <c r="F159" s="158">
        <v>5.0</v>
      </c>
      <c r="G159" s="158" t="s">
        <v>8522</v>
      </c>
      <c r="H159" s="168" t="s">
        <v>8508</v>
      </c>
      <c r="I159" s="158"/>
      <c r="J159" s="159" t="s">
        <v>23</v>
      </c>
      <c r="K159" s="12">
        <v>1469.0</v>
      </c>
      <c r="L159" s="12"/>
      <c r="N159" s="158" t="s">
        <v>8384</v>
      </c>
    </row>
    <row r="160">
      <c r="A160" s="158" t="s">
        <v>8476</v>
      </c>
      <c r="B160" s="158" t="s">
        <v>8352</v>
      </c>
      <c r="C160" s="158">
        <v>3.0</v>
      </c>
      <c r="D160" s="158">
        <v>8.0</v>
      </c>
      <c r="E160" s="158">
        <v>1.0</v>
      </c>
      <c r="F160" s="158">
        <v>5.0</v>
      </c>
      <c r="G160" s="158" t="s">
        <v>8522</v>
      </c>
      <c r="H160" s="168" t="s">
        <v>8509</v>
      </c>
      <c r="I160" s="158"/>
      <c r="J160" s="159" t="s">
        <v>23</v>
      </c>
      <c r="K160" s="12">
        <v>1469.0</v>
      </c>
      <c r="L160" s="12"/>
      <c r="N160" s="158" t="s">
        <v>8384</v>
      </c>
    </row>
    <row r="161">
      <c r="A161" s="158" t="s">
        <v>8476</v>
      </c>
      <c r="B161" s="158" t="s">
        <v>8352</v>
      </c>
      <c r="C161" s="158">
        <v>3.0</v>
      </c>
      <c r="D161" s="158">
        <v>9.0</v>
      </c>
      <c r="E161" s="158">
        <v>1.0</v>
      </c>
      <c r="F161" s="158">
        <v>5.0</v>
      </c>
      <c r="G161" s="158" t="s">
        <v>8522</v>
      </c>
      <c r="H161" s="168" t="s">
        <v>8510</v>
      </c>
      <c r="I161" s="158"/>
      <c r="J161" s="159" t="s">
        <v>23</v>
      </c>
      <c r="K161" s="12">
        <v>1599.0</v>
      </c>
      <c r="L161" s="12"/>
      <c r="N161" s="158" t="s">
        <v>8384</v>
      </c>
    </row>
    <row r="162">
      <c r="A162" s="158" t="s">
        <v>8476</v>
      </c>
      <c r="B162" s="158" t="s">
        <v>8352</v>
      </c>
      <c r="C162" s="158">
        <v>3.0</v>
      </c>
      <c r="D162" s="158">
        <v>10.0</v>
      </c>
      <c r="E162" s="158">
        <v>1.0</v>
      </c>
      <c r="F162" s="158">
        <v>5.0</v>
      </c>
      <c r="G162" s="158" t="s">
        <v>8522</v>
      </c>
      <c r="H162" s="168" t="s">
        <v>8511</v>
      </c>
      <c r="I162" s="158"/>
      <c r="J162" s="159" t="s">
        <v>23</v>
      </c>
      <c r="K162" s="12">
        <v>1599.0</v>
      </c>
      <c r="L162" s="12"/>
      <c r="N162" s="158" t="s">
        <v>8384</v>
      </c>
    </row>
    <row r="163">
      <c r="A163" s="158" t="s">
        <v>8476</v>
      </c>
      <c r="B163" s="158" t="s">
        <v>8352</v>
      </c>
      <c r="C163" s="158">
        <v>3.0</v>
      </c>
      <c r="D163" s="158">
        <v>11.0</v>
      </c>
      <c r="E163" s="158">
        <v>1.0</v>
      </c>
      <c r="F163" s="158">
        <v>5.0</v>
      </c>
      <c r="G163" s="158" t="s">
        <v>8522</v>
      </c>
      <c r="H163" s="168" t="s">
        <v>8512</v>
      </c>
      <c r="I163" s="158"/>
      <c r="J163" s="159" t="s">
        <v>23</v>
      </c>
      <c r="K163" s="12">
        <v>2949.0</v>
      </c>
      <c r="L163" s="12"/>
      <c r="N163" s="158" t="s">
        <v>8384</v>
      </c>
    </row>
    <row r="164">
      <c r="A164" s="158" t="s">
        <v>8476</v>
      </c>
      <c r="B164" s="158" t="s">
        <v>8352</v>
      </c>
      <c r="C164" s="158">
        <v>3.0</v>
      </c>
      <c r="D164" s="158">
        <v>12.0</v>
      </c>
      <c r="E164" s="158">
        <v>1.0</v>
      </c>
      <c r="F164" s="158">
        <v>5.0</v>
      </c>
      <c r="G164" s="158" t="s">
        <v>8522</v>
      </c>
      <c r="H164" s="168" t="s">
        <v>8513</v>
      </c>
      <c r="I164" s="158"/>
      <c r="J164" s="159" t="s">
        <v>23</v>
      </c>
      <c r="K164" s="12">
        <v>3759.0</v>
      </c>
      <c r="L164" s="12"/>
      <c r="N164" s="158" t="s">
        <v>8384</v>
      </c>
    </row>
    <row r="165">
      <c r="A165" s="158" t="s">
        <v>8476</v>
      </c>
      <c r="B165" s="158" t="s">
        <v>8352</v>
      </c>
      <c r="C165" s="158">
        <v>3.0</v>
      </c>
      <c r="D165" s="158">
        <v>13.0</v>
      </c>
      <c r="E165" s="158">
        <v>1.0</v>
      </c>
      <c r="F165" s="158">
        <v>5.0</v>
      </c>
      <c r="G165" s="158" t="s">
        <v>8522</v>
      </c>
      <c r="H165" s="168" t="s">
        <v>8514</v>
      </c>
      <c r="I165" s="158"/>
      <c r="J165" s="159" t="s">
        <v>23</v>
      </c>
      <c r="K165" s="12">
        <v>3919.0</v>
      </c>
      <c r="L165" s="12"/>
      <c r="N165" s="158" t="s">
        <v>8384</v>
      </c>
    </row>
    <row r="166">
      <c r="A166" s="158" t="s">
        <v>8476</v>
      </c>
      <c r="B166" s="158" t="s">
        <v>8352</v>
      </c>
      <c r="C166" s="158">
        <v>3.0</v>
      </c>
      <c r="D166" s="158">
        <v>14.0</v>
      </c>
      <c r="E166" s="158">
        <v>1.0</v>
      </c>
      <c r="F166" s="158">
        <v>5.0</v>
      </c>
      <c r="G166" s="158" t="s">
        <v>8522</v>
      </c>
      <c r="H166" s="168" t="s">
        <v>8515</v>
      </c>
      <c r="I166" s="158"/>
      <c r="J166" s="159" t="s">
        <v>23</v>
      </c>
      <c r="K166" s="12">
        <v>4039.0</v>
      </c>
      <c r="L166" s="12"/>
      <c r="N166" s="158" t="s">
        <v>8384</v>
      </c>
    </row>
    <row r="167">
      <c r="A167" s="158" t="s">
        <v>8476</v>
      </c>
      <c r="B167" s="158" t="s">
        <v>8352</v>
      </c>
      <c r="C167" s="158">
        <v>3.0</v>
      </c>
      <c r="D167" s="158">
        <v>15.0</v>
      </c>
      <c r="E167" s="158">
        <v>1.0</v>
      </c>
      <c r="F167" s="158">
        <v>5.0</v>
      </c>
      <c r="G167" s="158" t="s">
        <v>8522</v>
      </c>
      <c r="H167" s="168" t="s">
        <v>8516</v>
      </c>
      <c r="I167" s="158"/>
      <c r="J167" s="159" t="s">
        <v>23</v>
      </c>
      <c r="K167" s="12">
        <v>4379.0</v>
      </c>
      <c r="L167" s="12"/>
      <c r="N167" s="158" t="s">
        <v>8384</v>
      </c>
    </row>
    <row r="168">
      <c r="A168" s="158" t="s">
        <v>8476</v>
      </c>
      <c r="B168" s="158" t="s">
        <v>8352</v>
      </c>
      <c r="C168" s="158">
        <v>3.0</v>
      </c>
      <c r="D168" s="158">
        <v>16.0</v>
      </c>
      <c r="E168" s="158">
        <v>1.0</v>
      </c>
      <c r="F168" s="158">
        <v>5.0</v>
      </c>
      <c r="G168" s="158" t="s">
        <v>8522</v>
      </c>
      <c r="H168" s="168" t="s">
        <v>8517</v>
      </c>
      <c r="I168" s="158"/>
      <c r="J168" s="159" t="s">
        <v>23</v>
      </c>
      <c r="K168" s="12">
        <v>4379.0</v>
      </c>
      <c r="L168" s="12"/>
      <c r="N168" s="158" t="s">
        <v>8384</v>
      </c>
    </row>
    <row r="169">
      <c r="A169" s="158" t="s">
        <v>8476</v>
      </c>
      <c r="B169" s="158" t="s">
        <v>8352</v>
      </c>
      <c r="C169" s="158">
        <v>3.0</v>
      </c>
      <c r="D169" s="158">
        <v>17.0</v>
      </c>
      <c r="E169" s="158">
        <v>1.0</v>
      </c>
      <c r="F169" s="158">
        <v>5.0</v>
      </c>
      <c r="G169" s="158" t="s">
        <v>8522</v>
      </c>
      <c r="H169" s="168" t="s">
        <v>8518</v>
      </c>
      <c r="I169" s="158"/>
      <c r="J169" s="159" t="s">
        <v>23</v>
      </c>
      <c r="K169" s="12">
        <v>4499.0</v>
      </c>
      <c r="L169" s="12"/>
      <c r="N169" s="158" t="s">
        <v>8384</v>
      </c>
    </row>
    <row r="170">
      <c r="A170" s="158" t="s">
        <v>8476</v>
      </c>
      <c r="B170" s="158" t="s">
        <v>8352</v>
      </c>
      <c r="C170" s="158">
        <v>3.0</v>
      </c>
      <c r="D170" s="158">
        <v>1.0</v>
      </c>
      <c r="E170" s="158">
        <v>1.0</v>
      </c>
      <c r="F170" s="158">
        <v>6.0</v>
      </c>
      <c r="G170" s="158" t="s">
        <v>8523</v>
      </c>
      <c r="H170" s="168" t="s">
        <v>8480</v>
      </c>
      <c r="I170" s="158"/>
      <c r="J170" s="159" t="s">
        <v>23</v>
      </c>
      <c r="K170" s="12">
        <v>3339.0</v>
      </c>
      <c r="L170" s="12"/>
      <c r="N170" s="158" t="s">
        <v>8384</v>
      </c>
    </row>
    <row r="171">
      <c r="A171" s="158" t="s">
        <v>8476</v>
      </c>
      <c r="B171" s="158" t="s">
        <v>8352</v>
      </c>
      <c r="C171" s="158">
        <v>3.0</v>
      </c>
      <c r="D171" s="158">
        <v>2.0</v>
      </c>
      <c r="E171" s="158">
        <v>1.0</v>
      </c>
      <c r="F171" s="158">
        <v>6.0</v>
      </c>
      <c r="G171" s="158" t="s">
        <v>8523</v>
      </c>
      <c r="H171" s="168" t="s">
        <v>8482</v>
      </c>
      <c r="I171" s="158"/>
      <c r="J171" s="159" t="s">
        <v>23</v>
      </c>
      <c r="K171" s="12">
        <v>3429.0</v>
      </c>
      <c r="L171" s="12"/>
      <c r="N171" s="158" t="s">
        <v>8384</v>
      </c>
    </row>
    <row r="172">
      <c r="A172" s="158" t="s">
        <v>8476</v>
      </c>
      <c r="B172" s="158" t="s">
        <v>8352</v>
      </c>
      <c r="C172" s="158">
        <v>3.0</v>
      </c>
      <c r="D172" s="158">
        <v>3.0</v>
      </c>
      <c r="E172" s="158">
        <v>1.0</v>
      </c>
      <c r="F172" s="158">
        <v>6.0</v>
      </c>
      <c r="G172" s="158" t="s">
        <v>8523</v>
      </c>
      <c r="H172" s="168" t="s">
        <v>8483</v>
      </c>
      <c r="I172" s="158"/>
      <c r="J172" s="159" t="s">
        <v>23</v>
      </c>
      <c r="K172" s="12">
        <v>3429.0</v>
      </c>
      <c r="L172" s="12"/>
      <c r="N172" s="158" t="s">
        <v>8384</v>
      </c>
    </row>
    <row r="173">
      <c r="A173" s="158" t="s">
        <v>8476</v>
      </c>
      <c r="B173" s="158" t="s">
        <v>8352</v>
      </c>
      <c r="C173" s="158">
        <v>3.0</v>
      </c>
      <c r="D173" s="158">
        <v>4.0</v>
      </c>
      <c r="E173" s="158">
        <v>1.0</v>
      </c>
      <c r="F173" s="158">
        <v>6.0</v>
      </c>
      <c r="G173" s="158" t="s">
        <v>8523</v>
      </c>
      <c r="H173" s="168" t="s">
        <v>8486</v>
      </c>
      <c r="I173" s="158"/>
      <c r="J173" s="159" t="s">
        <v>23</v>
      </c>
      <c r="K173" s="12">
        <v>3719.0</v>
      </c>
      <c r="L173" s="12"/>
      <c r="N173" s="158" t="s">
        <v>8384</v>
      </c>
    </row>
    <row r="174">
      <c r="A174" s="158" t="s">
        <v>8476</v>
      </c>
      <c r="B174" s="158" t="s">
        <v>8352</v>
      </c>
      <c r="C174" s="158">
        <v>3.0</v>
      </c>
      <c r="D174" s="158">
        <v>5.0</v>
      </c>
      <c r="E174" s="158">
        <v>1.0</v>
      </c>
      <c r="F174" s="158">
        <v>6.0</v>
      </c>
      <c r="G174" s="158" t="s">
        <v>8523</v>
      </c>
      <c r="H174" s="168" t="s">
        <v>8487</v>
      </c>
      <c r="I174" s="158"/>
      <c r="J174" s="159" t="s">
        <v>23</v>
      </c>
      <c r="K174" s="12">
        <v>3719.0</v>
      </c>
      <c r="L174" s="12"/>
      <c r="N174" s="158" t="s">
        <v>8384</v>
      </c>
    </row>
    <row r="175">
      <c r="A175" s="158" t="s">
        <v>8476</v>
      </c>
      <c r="B175" s="158" t="s">
        <v>8352</v>
      </c>
      <c r="C175" s="158">
        <v>3.0</v>
      </c>
      <c r="D175" s="158">
        <v>6.0</v>
      </c>
      <c r="E175" s="158">
        <v>1.0</v>
      </c>
      <c r="F175" s="158">
        <v>6.0</v>
      </c>
      <c r="G175" s="158" t="s">
        <v>8523</v>
      </c>
      <c r="H175" s="168" t="s">
        <v>8507</v>
      </c>
      <c r="I175" s="158"/>
      <c r="J175" s="159" t="s">
        <v>23</v>
      </c>
      <c r="K175" s="12">
        <v>1669.0</v>
      </c>
      <c r="L175" s="12"/>
      <c r="N175" s="158" t="s">
        <v>8384</v>
      </c>
    </row>
    <row r="176">
      <c r="A176" s="158" t="s">
        <v>8476</v>
      </c>
      <c r="B176" s="158" t="s">
        <v>8352</v>
      </c>
      <c r="C176" s="158">
        <v>3.0</v>
      </c>
      <c r="D176" s="158">
        <v>7.0</v>
      </c>
      <c r="E176" s="158">
        <v>1.0</v>
      </c>
      <c r="F176" s="158">
        <v>6.0</v>
      </c>
      <c r="G176" s="158" t="s">
        <v>8523</v>
      </c>
      <c r="H176" s="168" t="s">
        <v>8508</v>
      </c>
      <c r="I176" s="158"/>
      <c r="J176" s="159" t="s">
        <v>23</v>
      </c>
      <c r="K176" s="12">
        <v>1719.0</v>
      </c>
      <c r="L176" s="12"/>
      <c r="N176" s="158" t="s">
        <v>8384</v>
      </c>
    </row>
    <row r="177">
      <c r="A177" s="158" t="s">
        <v>8476</v>
      </c>
      <c r="B177" s="158" t="s">
        <v>8352</v>
      </c>
      <c r="C177" s="158">
        <v>3.0</v>
      </c>
      <c r="D177" s="158">
        <v>8.0</v>
      </c>
      <c r="E177" s="158">
        <v>1.0</v>
      </c>
      <c r="F177" s="158">
        <v>6.0</v>
      </c>
      <c r="G177" s="158" t="s">
        <v>8523</v>
      </c>
      <c r="H177" s="168" t="s">
        <v>8509</v>
      </c>
      <c r="I177" s="158"/>
      <c r="J177" s="159" t="s">
        <v>23</v>
      </c>
      <c r="K177" s="12">
        <v>1719.0</v>
      </c>
      <c r="L177" s="12"/>
      <c r="N177" s="158" t="s">
        <v>8384</v>
      </c>
    </row>
    <row r="178">
      <c r="A178" s="158" t="s">
        <v>8476</v>
      </c>
      <c r="B178" s="158" t="s">
        <v>8352</v>
      </c>
      <c r="C178" s="158">
        <v>3.0</v>
      </c>
      <c r="D178" s="158">
        <v>9.0</v>
      </c>
      <c r="E178" s="158">
        <v>1.0</v>
      </c>
      <c r="F178" s="158">
        <v>6.0</v>
      </c>
      <c r="G178" s="158" t="s">
        <v>8523</v>
      </c>
      <c r="H178" s="168" t="s">
        <v>8510</v>
      </c>
      <c r="I178" s="158"/>
      <c r="J178" s="159" t="s">
        <v>23</v>
      </c>
      <c r="K178" s="12">
        <v>1859.0</v>
      </c>
      <c r="L178" s="12"/>
      <c r="N178" s="158" t="s">
        <v>8384</v>
      </c>
    </row>
    <row r="179">
      <c r="A179" s="158" t="s">
        <v>8476</v>
      </c>
      <c r="B179" s="158" t="s">
        <v>8352</v>
      </c>
      <c r="C179" s="158">
        <v>3.0</v>
      </c>
      <c r="D179" s="158">
        <v>10.0</v>
      </c>
      <c r="E179" s="158">
        <v>1.0</v>
      </c>
      <c r="F179" s="158">
        <v>6.0</v>
      </c>
      <c r="G179" s="158" t="s">
        <v>8523</v>
      </c>
      <c r="H179" s="168" t="s">
        <v>8511</v>
      </c>
      <c r="I179" s="158"/>
      <c r="J179" s="159" t="s">
        <v>23</v>
      </c>
      <c r="K179" s="12">
        <v>1859.0</v>
      </c>
      <c r="L179" s="12"/>
      <c r="N179" s="158" t="s">
        <v>8384</v>
      </c>
    </row>
    <row r="180">
      <c r="A180" s="158" t="s">
        <v>8476</v>
      </c>
      <c r="B180" s="158" t="s">
        <v>8352</v>
      </c>
      <c r="C180" s="158">
        <v>3.0</v>
      </c>
      <c r="D180" s="158">
        <v>11.0</v>
      </c>
      <c r="E180" s="158">
        <v>1.0</v>
      </c>
      <c r="F180" s="158">
        <v>6.0</v>
      </c>
      <c r="G180" s="158" t="s">
        <v>8523</v>
      </c>
      <c r="H180" s="168" t="s">
        <v>8512</v>
      </c>
      <c r="I180" s="158"/>
      <c r="J180" s="159" t="s">
        <v>23</v>
      </c>
      <c r="K180" s="12">
        <v>3409.0</v>
      </c>
      <c r="L180" s="12"/>
      <c r="N180" s="158" t="s">
        <v>8384</v>
      </c>
    </row>
    <row r="181">
      <c r="A181" s="158" t="s">
        <v>8476</v>
      </c>
      <c r="B181" s="158" t="s">
        <v>8352</v>
      </c>
      <c r="C181" s="158">
        <v>3.0</v>
      </c>
      <c r="D181" s="158">
        <v>12.0</v>
      </c>
      <c r="E181" s="158">
        <v>1.0</v>
      </c>
      <c r="F181" s="158">
        <v>6.0</v>
      </c>
      <c r="G181" s="158" t="s">
        <v>8523</v>
      </c>
      <c r="H181" s="168" t="s">
        <v>8513</v>
      </c>
      <c r="I181" s="158"/>
      <c r="J181" s="159" t="s">
        <v>23</v>
      </c>
      <c r="K181" s="12">
        <v>4349.0</v>
      </c>
      <c r="L181" s="12"/>
      <c r="N181" s="158" t="s">
        <v>8384</v>
      </c>
    </row>
    <row r="182">
      <c r="A182" s="158" t="s">
        <v>8476</v>
      </c>
      <c r="B182" s="158" t="s">
        <v>8352</v>
      </c>
      <c r="C182" s="158">
        <v>3.0</v>
      </c>
      <c r="D182" s="158">
        <v>13.0</v>
      </c>
      <c r="E182" s="158">
        <v>1.0</v>
      </c>
      <c r="F182" s="158">
        <v>6.0</v>
      </c>
      <c r="G182" s="158" t="s">
        <v>8523</v>
      </c>
      <c r="H182" s="168" t="s">
        <v>8514</v>
      </c>
      <c r="I182" s="158"/>
      <c r="J182" s="159" t="s">
        <v>23</v>
      </c>
      <c r="K182" s="12">
        <v>4539.0</v>
      </c>
      <c r="L182" s="12"/>
      <c r="N182" s="158" t="s">
        <v>8384</v>
      </c>
    </row>
    <row r="183">
      <c r="A183" s="158" t="s">
        <v>8476</v>
      </c>
      <c r="B183" s="158" t="s">
        <v>8352</v>
      </c>
      <c r="C183" s="158">
        <v>3.0</v>
      </c>
      <c r="D183" s="158">
        <v>14.0</v>
      </c>
      <c r="E183" s="158">
        <v>1.0</v>
      </c>
      <c r="F183" s="158">
        <v>6.0</v>
      </c>
      <c r="G183" s="158" t="s">
        <v>8523</v>
      </c>
      <c r="H183" s="168" t="s">
        <v>8515</v>
      </c>
      <c r="I183" s="158"/>
      <c r="J183" s="159" t="s">
        <v>23</v>
      </c>
      <c r="K183" s="12">
        <v>4669.0</v>
      </c>
      <c r="L183" s="12"/>
      <c r="N183" s="158" t="s">
        <v>8384</v>
      </c>
    </row>
    <row r="184">
      <c r="A184" s="158" t="s">
        <v>8476</v>
      </c>
      <c r="B184" s="158" t="s">
        <v>8352</v>
      </c>
      <c r="C184" s="158">
        <v>3.0</v>
      </c>
      <c r="D184" s="158">
        <v>15.0</v>
      </c>
      <c r="E184" s="158">
        <v>1.0</v>
      </c>
      <c r="F184" s="158">
        <v>6.0</v>
      </c>
      <c r="G184" s="158" t="s">
        <v>8523</v>
      </c>
      <c r="H184" s="168" t="s">
        <v>8516</v>
      </c>
      <c r="I184" s="158"/>
      <c r="J184" s="159" t="s">
        <v>23</v>
      </c>
      <c r="K184" s="12">
        <v>5079.0</v>
      </c>
      <c r="L184" s="12"/>
      <c r="N184" s="158" t="s">
        <v>8384</v>
      </c>
    </row>
    <row r="185">
      <c r="A185" s="158" t="s">
        <v>8476</v>
      </c>
      <c r="B185" s="158" t="s">
        <v>8352</v>
      </c>
      <c r="C185" s="158">
        <v>3.0</v>
      </c>
      <c r="D185" s="158">
        <v>16.0</v>
      </c>
      <c r="E185" s="158">
        <v>1.0</v>
      </c>
      <c r="F185" s="158">
        <v>6.0</v>
      </c>
      <c r="G185" s="158" t="s">
        <v>8523</v>
      </c>
      <c r="H185" s="168" t="s">
        <v>8517</v>
      </c>
      <c r="I185" s="158"/>
      <c r="J185" s="159" t="s">
        <v>23</v>
      </c>
      <c r="K185" s="12">
        <v>5079.0</v>
      </c>
      <c r="L185" s="12"/>
      <c r="N185" s="158" t="s">
        <v>8384</v>
      </c>
    </row>
    <row r="186">
      <c r="A186" s="158" t="s">
        <v>8476</v>
      </c>
      <c r="B186" s="158" t="s">
        <v>8352</v>
      </c>
      <c r="C186" s="158">
        <v>3.0</v>
      </c>
      <c r="D186" s="158">
        <v>17.0</v>
      </c>
      <c r="E186" s="158">
        <v>1.0</v>
      </c>
      <c r="F186" s="158">
        <v>6.0</v>
      </c>
      <c r="G186" s="158" t="s">
        <v>8523</v>
      </c>
      <c r="H186" s="168" t="s">
        <v>8518</v>
      </c>
      <c r="I186" s="158"/>
      <c r="J186" s="159" t="s">
        <v>23</v>
      </c>
      <c r="K186" s="12">
        <v>5209.0</v>
      </c>
      <c r="L186" s="12"/>
      <c r="N186" s="158" t="s">
        <v>8384</v>
      </c>
    </row>
    <row r="187">
      <c r="A187" s="158" t="s">
        <v>8476</v>
      </c>
      <c r="B187" s="158" t="s">
        <v>8352</v>
      </c>
      <c r="C187" s="158">
        <v>3.0</v>
      </c>
      <c r="D187" s="158">
        <v>1.0</v>
      </c>
      <c r="E187" s="158">
        <v>1.0</v>
      </c>
      <c r="F187" s="158">
        <v>7.0</v>
      </c>
      <c r="G187" s="158" t="s">
        <v>8524</v>
      </c>
      <c r="H187" s="168" t="s">
        <v>8480</v>
      </c>
      <c r="I187" s="158"/>
      <c r="J187" s="159" t="s">
        <v>23</v>
      </c>
      <c r="K187" s="12">
        <v>3339.0</v>
      </c>
      <c r="L187" s="12"/>
      <c r="N187" s="158" t="s">
        <v>8384</v>
      </c>
    </row>
    <row r="188">
      <c r="A188" s="158" t="s">
        <v>8476</v>
      </c>
      <c r="B188" s="158" t="s">
        <v>8352</v>
      </c>
      <c r="C188" s="158">
        <v>3.0</v>
      </c>
      <c r="D188" s="158">
        <v>2.0</v>
      </c>
      <c r="E188" s="158">
        <v>1.0</v>
      </c>
      <c r="F188" s="158">
        <v>7.0</v>
      </c>
      <c r="G188" s="158" t="s">
        <v>8524</v>
      </c>
      <c r="H188" s="168" t="s">
        <v>8482</v>
      </c>
      <c r="I188" s="158"/>
      <c r="J188" s="159" t="s">
        <v>23</v>
      </c>
      <c r="K188" s="12">
        <v>3429.0</v>
      </c>
      <c r="L188" s="12"/>
      <c r="N188" s="158" t="s">
        <v>8384</v>
      </c>
    </row>
    <row r="189">
      <c r="A189" s="158" t="s">
        <v>8476</v>
      </c>
      <c r="B189" s="158" t="s">
        <v>8352</v>
      </c>
      <c r="C189" s="158">
        <v>3.0</v>
      </c>
      <c r="D189" s="158">
        <v>3.0</v>
      </c>
      <c r="E189" s="158">
        <v>1.0</v>
      </c>
      <c r="F189" s="158">
        <v>7.0</v>
      </c>
      <c r="G189" s="158" t="s">
        <v>8524</v>
      </c>
      <c r="H189" s="168" t="s">
        <v>8483</v>
      </c>
      <c r="I189" s="158"/>
      <c r="J189" s="159" t="s">
        <v>23</v>
      </c>
      <c r="K189" s="12">
        <v>3429.0</v>
      </c>
      <c r="L189" s="12"/>
      <c r="N189" s="158" t="s">
        <v>8384</v>
      </c>
    </row>
    <row r="190">
      <c r="A190" s="158" t="s">
        <v>8476</v>
      </c>
      <c r="B190" s="158" t="s">
        <v>8352</v>
      </c>
      <c r="C190" s="158">
        <v>3.0</v>
      </c>
      <c r="D190" s="158">
        <v>4.0</v>
      </c>
      <c r="E190" s="158">
        <v>1.0</v>
      </c>
      <c r="F190" s="158">
        <v>7.0</v>
      </c>
      <c r="G190" s="158" t="s">
        <v>8524</v>
      </c>
      <c r="H190" s="168" t="s">
        <v>8486</v>
      </c>
      <c r="I190" s="158"/>
      <c r="J190" s="159" t="s">
        <v>23</v>
      </c>
      <c r="K190" s="12">
        <v>3719.0</v>
      </c>
      <c r="L190" s="12"/>
      <c r="N190" s="158" t="s">
        <v>8384</v>
      </c>
    </row>
    <row r="191">
      <c r="A191" s="158" t="s">
        <v>8476</v>
      </c>
      <c r="B191" s="158" t="s">
        <v>8352</v>
      </c>
      <c r="C191" s="158">
        <v>3.0</v>
      </c>
      <c r="D191" s="158">
        <v>5.0</v>
      </c>
      <c r="E191" s="158">
        <v>1.0</v>
      </c>
      <c r="F191" s="158">
        <v>7.0</v>
      </c>
      <c r="G191" s="158" t="s">
        <v>8524</v>
      </c>
      <c r="H191" s="168" t="s">
        <v>8487</v>
      </c>
      <c r="I191" s="158"/>
      <c r="J191" s="159" t="s">
        <v>23</v>
      </c>
      <c r="K191" s="12">
        <v>3719.0</v>
      </c>
      <c r="L191" s="12"/>
      <c r="N191" s="158" t="s">
        <v>8384</v>
      </c>
    </row>
    <row r="192">
      <c r="A192" s="158" t="s">
        <v>8476</v>
      </c>
      <c r="B192" s="158" t="s">
        <v>8352</v>
      </c>
      <c r="C192" s="158">
        <v>3.0</v>
      </c>
      <c r="D192" s="158">
        <v>6.0</v>
      </c>
      <c r="E192" s="158">
        <v>1.0</v>
      </c>
      <c r="F192" s="158">
        <v>7.0</v>
      </c>
      <c r="G192" s="158" t="s">
        <v>8524</v>
      </c>
      <c r="H192" s="168" t="s">
        <v>8507</v>
      </c>
      <c r="I192" s="158"/>
      <c r="J192" s="159" t="s">
        <v>23</v>
      </c>
      <c r="K192" s="12">
        <v>1669.0</v>
      </c>
      <c r="L192" s="12"/>
      <c r="N192" s="158" t="s">
        <v>8384</v>
      </c>
    </row>
    <row r="193">
      <c r="A193" s="158" t="s">
        <v>8476</v>
      </c>
      <c r="B193" s="158" t="s">
        <v>8352</v>
      </c>
      <c r="C193" s="158">
        <v>3.0</v>
      </c>
      <c r="D193" s="158">
        <v>7.0</v>
      </c>
      <c r="E193" s="158">
        <v>1.0</v>
      </c>
      <c r="F193" s="158">
        <v>7.0</v>
      </c>
      <c r="G193" s="158" t="s">
        <v>8524</v>
      </c>
      <c r="H193" s="168" t="s">
        <v>8508</v>
      </c>
      <c r="I193" s="158"/>
      <c r="J193" s="159" t="s">
        <v>23</v>
      </c>
      <c r="K193" s="12">
        <v>1719.0</v>
      </c>
      <c r="L193" s="12"/>
      <c r="N193" s="158" t="s">
        <v>8384</v>
      </c>
    </row>
    <row r="194">
      <c r="A194" s="158" t="s">
        <v>8476</v>
      </c>
      <c r="B194" s="158" t="s">
        <v>8352</v>
      </c>
      <c r="C194" s="158">
        <v>3.0</v>
      </c>
      <c r="D194" s="158">
        <v>8.0</v>
      </c>
      <c r="E194" s="158">
        <v>1.0</v>
      </c>
      <c r="F194" s="158">
        <v>7.0</v>
      </c>
      <c r="G194" s="158" t="s">
        <v>8524</v>
      </c>
      <c r="H194" s="168" t="s">
        <v>8509</v>
      </c>
      <c r="I194" s="158"/>
      <c r="J194" s="159" t="s">
        <v>23</v>
      </c>
      <c r="K194" s="12">
        <v>1719.0</v>
      </c>
      <c r="L194" s="12"/>
      <c r="N194" s="158" t="s">
        <v>8384</v>
      </c>
    </row>
    <row r="195">
      <c r="A195" s="158" t="s">
        <v>8476</v>
      </c>
      <c r="B195" s="158" t="s">
        <v>8352</v>
      </c>
      <c r="C195" s="158">
        <v>3.0</v>
      </c>
      <c r="D195" s="158">
        <v>9.0</v>
      </c>
      <c r="E195" s="158">
        <v>1.0</v>
      </c>
      <c r="F195" s="158">
        <v>7.0</v>
      </c>
      <c r="G195" s="158" t="s">
        <v>8524</v>
      </c>
      <c r="H195" s="168" t="s">
        <v>8510</v>
      </c>
      <c r="I195" s="158"/>
      <c r="J195" s="159" t="s">
        <v>23</v>
      </c>
      <c r="K195" s="12">
        <v>1859.0</v>
      </c>
      <c r="L195" s="12"/>
      <c r="N195" s="158" t="s">
        <v>8384</v>
      </c>
    </row>
    <row r="196">
      <c r="A196" s="158" t="s">
        <v>8476</v>
      </c>
      <c r="B196" s="158" t="s">
        <v>8352</v>
      </c>
      <c r="C196" s="158">
        <v>3.0</v>
      </c>
      <c r="D196" s="158">
        <v>10.0</v>
      </c>
      <c r="E196" s="158">
        <v>1.0</v>
      </c>
      <c r="F196" s="158">
        <v>7.0</v>
      </c>
      <c r="G196" s="158" t="s">
        <v>8524</v>
      </c>
      <c r="H196" s="168" t="s">
        <v>8511</v>
      </c>
      <c r="I196" s="158"/>
      <c r="J196" s="159" t="s">
        <v>23</v>
      </c>
      <c r="K196" s="12">
        <v>1859.0</v>
      </c>
      <c r="L196" s="12"/>
      <c r="N196" s="158" t="s">
        <v>8384</v>
      </c>
    </row>
    <row r="197">
      <c r="A197" s="158" t="s">
        <v>8476</v>
      </c>
      <c r="B197" s="158" t="s">
        <v>8352</v>
      </c>
      <c r="C197" s="158">
        <v>3.0</v>
      </c>
      <c r="D197" s="158">
        <v>11.0</v>
      </c>
      <c r="E197" s="158">
        <v>1.0</v>
      </c>
      <c r="F197" s="158">
        <v>7.0</v>
      </c>
      <c r="G197" s="158" t="s">
        <v>8524</v>
      </c>
      <c r="H197" s="168" t="s">
        <v>8512</v>
      </c>
      <c r="I197" s="158"/>
      <c r="J197" s="159" t="s">
        <v>23</v>
      </c>
      <c r="K197" s="12">
        <v>3409.0</v>
      </c>
      <c r="L197" s="12"/>
      <c r="N197" s="158" t="s">
        <v>8384</v>
      </c>
    </row>
    <row r="198">
      <c r="A198" s="158" t="s">
        <v>8476</v>
      </c>
      <c r="B198" s="158" t="s">
        <v>8352</v>
      </c>
      <c r="C198" s="158">
        <v>3.0</v>
      </c>
      <c r="D198" s="158">
        <v>12.0</v>
      </c>
      <c r="E198" s="158">
        <v>1.0</v>
      </c>
      <c r="F198" s="158">
        <v>7.0</v>
      </c>
      <c r="G198" s="158" t="s">
        <v>8524</v>
      </c>
      <c r="H198" s="168" t="s">
        <v>8513</v>
      </c>
      <c r="I198" s="158"/>
      <c r="J198" s="159" t="s">
        <v>23</v>
      </c>
      <c r="K198" s="12">
        <v>4349.0</v>
      </c>
      <c r="L198" s="12"/>
      <c r="N198" s="158" t="s">
        <v>8384</v>
      </c>
    </row>
    <row r="199">
      <c r="A199" s="158" t="s">
        <v>8476</v>
      </c>
      <c r="B199" s="158" t="s">
        <v>8352</v>
      </c>
      <c r="C199" s="158">
        <v>3.0</v>
      </c>
      <c r="D199" s="158">
        <v>13.0</v>
      </c>
      <c r="E199" s="158">
        <v>1.0</v>
      </c>
      <c r="F199" s="158">
        <v>7.0</v>
      </c>
      <c r="G199" s="158" t="s">
        <v>8524</v>
      </c>
      <c r="H199" s="168" t="s">
        <v>8514</v>
      </c>
      <c r="I199" s="158"/>
      <c r="J199" s="159" t="s">
        <v>23</v>
      </c>
      <c r="K199" s="12">
        <v>4539.0</v>
      </c>
      <c r="L199" s="12"/>
      <c r="N199" s="158" t="s">
        <v>8384</v>
      </c>
    </row>
    <row r="200">
      <c r="A200" s="158" t="s">
        <v>8476</v>
      </c>
      <c r="B200" s="158" t="s">
        <v>8352</v>
      </c>
      <c r="C200" s="158">
        <v>3.0</v>
      </c>
      <c r="D200" s="158">
        <v>14.0</v>
      </c>
      <c r="E200" s="158">
        <v>1.0</v>
      </c>
      <c r="F200" s="158">
        <v>7.0</v>
      </c>
      <c r="G200" s="158" t="s">
        <v>8524</v>
      </c>
      <c r="H200" s="168" t="s">
        <v>8515</v>
      </c>
      <c r="I200" s="158"/>
      <c r="J200" s="159" t="s">
        <v>23</v>
      </c>
      <c r="K200" s="12">
        <v>4669.0</v>
      </c>
      <c r="L200" s="12"/>
      <c r="N200" s="158" t="s">
        <v>8384</v>
      </c>
    </row>
    <row r="201">
      <c r="A201" s="158" t="s">
        <v>8476</v>
      </c>
      <c r="B201" s="158" t="s">
        <v>8352</v>
      </c>
      <c r="C201" s="158">
        <v>3.0</v>
      </c>
      <c r="D201" s="158">
        <v>15.0</v>
      </c>
      <c r="E201" s="158">
        <v>1.0</v>
      </c>
      <c r="F201" s="158">
        <v>7.0</v>
      </c>
      <c r="G201" s="158" t="s">
        <v>8524</v>
      </c>
      <c r="H201" s="168" t="s">
        <v>8516</v>
      </c>
      <c r="I201" s="158"/>
      <c r="J201" s="159" t="s">
        <v>23</v>
      </c>
      <c r="K201" s="12">
        <v>5079.0</v>
      </c>
      <c r="L201" s="12"/>
      <c r="N201" s="158" t="s">
        <v>8384</v>
      </c>
    </row>
    <row r="202">
      <c r="A202" s="158" t="s">
        <v>8476</v>
      </c>
      <c r="B202" s="158" t="s">
        <v>8352</v>
      </c>
      <c r="C202" s="158">
        <v>3.0</v>
      </c>
      <c r="D202" s="158">
        <v>16.0</v>
      </c>
      <c r="E202" s="158">
        <v>1.0</v>
      </c>
      <c r="F202" s="158">
        <v>7.0</v>
      </c>
      <c r="G202" s="158" t="s">
        <v>8524</v>
      </c>
      <c r="H202" s="168" t="s">
        <v>8517</v>
      </c>
      <c r="I202" s="158"/>
      <c r="J202" s="159" t="s">
        <v>23</v>
      </c>
      <c r="K202" s="12">
        <v>5079.0</v>
      </c>
      <c r="L202" s="12"/>
      <c r="N202" s="158" t="s">
        <v>8384</v>
      </c>
    </row>
    <row r="203">
      <c r="A203" s="158" t="s">
        <v>8476</v>
      </c>
      <c r="B203" s="158" t="s">
        <v>8352</v>
      </c>
      <c r="C203" s="158">
        <v>3.0</v>
      </c>
      <c r="D203" s="158">
        <v>17.0</v>
      </c>
      <c r="E203" s="158">
        <v>1.0</v>
      </c>
      <c r="F203" s="158">
        <v>7.0</v>
      </c>
      <c r="G203" s="158" t="s">
        <v>8524</v>
      </c>
      <c r="H203" s="168" t="s">
        <v>8518</v>
      </c>
      <c r="I203" s="158"/>
      <c r="J203" s="159" t="s">
        <v>23</v>
      </c>
      <c r="K203" s="12">
        <v>5209.0</v>
      </c>
      <c r="L203" s="12"/>
      <c r="N203" s="158" t="s">
        <v>8384</v>
      </c>
    </row>
    <row r="204">
      <c r="A204" s="158" t="s">
        <v>8476</v>
      </c>
      <c r="B204" s="158" t="s">
        <v>8352</v>
      </c>
      <c r="C204" s="158">
        <v>3.0</v>
      </c>
      <c r="D204" s="158">
        <v>1.0</v>
      </c>
      <c r="E204" s="158">
        <v>1.0</v>
      </c>
      <c r="F204" s="158">
        <v>8.0</v>
      </c>
      <c r="G204" s="158" t="s">
        <v>8525</v>
      </c>
      <c r="H204" s="168" t="s">
        <v>8480</v>
      </c>
      <c r="I204" s="158"/>
      <c r="J204" s="159" t="s">
        <v>23</v>
      </c>
      <c r="K204" s="12">
        <v>3339.0</v>
      </c>
      <c r="L204" s="12"/>
      <c r="N204" s="158" t="s">
        <v>8384</v>
      </c>
    </row>
    <row r="205">
      <c r="A205" s="158" t="s">
        <v>8476</v>
      </c>
      <c r="B205" s="158" t="s">
        <v>8352</v>
      </c>
      <c r="C205" s="158">
        <v>3.0</v>
      </c>
      <c r="D205" s="158">
        <v>2.0</v>
      </c>
      <c r="E205" s="158">
        <v>1.0</v>
      </c>
      <c r="F205" s="158">
        <v>8.0</v>
      </c>
      <c r="G205" s="158" t="s">
        <v>8525</v>
      </c>
      <c r="H205" s="168" t="s">
        <v>8482</v>
      </c>
      <c r="I205" s="158"/>
      <c r="J205" s="159" t="s">
        <v>23</v>
      </c>
      <c r="K205" s="12">
        <v>3429.0</v>
      </c>
      <c r="L205" s="12"/>
      <c r="N205" s="158" t="s">
        <v>8384</v>
      </c>
    </row>
    <row r="206">
      <c r="A206" s="158" t="s">
        <v>8476</v>
      </c>
      <c r="B206" s="158" t="s">
        <v>8352</v>
      </c>
      <c r="C206" s="158">
        <v>3.0</v>
      </c>
      <c r="D206" s="158">
        <v>3.0</v>
      </c>
      <c r="E206" s="158">
        <v>1.0</v>
      </c>
      <c r="F206" s="158">
        <v>8.0</v>
      </c>
      <c r="G206" s="158" t="s">
        <v>8525</v>
      </c>
      <c r="H206" s="168" t="s">
        <v>8483</v>
      </c>
      <c r="I206" s="158"/>
      <c r="J206" s="159" t="s">
        <v>23</v>
      </c>
      <c r="K206" s="12">
        <v>3429.0</v>
      </c>
      <c r="L206" s="12"/>
      <c r="N206" s="158" t="s">
        <v>8384</v>
      </c>
    </row>
    <row r="207">
      <c r="A207" s="158" t="s">
        <v>8476</v>
      </c>
      <c r="B207" s="158" t="s">
        <v>8352</v>
      </c>
      <c r="C207" s="158">
        <v>3.0</v>
      </c>
      <c r="D207" s="158">
        <v>4.0</v>
      </c>
      <c r="E207" s="158">
        <v>1.0</v>
      </c>
      <c r="F207" s="158">
        <v>8.0</v>
      </c>
      <c r="G207" s="158" t="s">
        <v>8525</v>
      </c>
      <c r="H207" s="168" t="s">
        <v>8486</v>
      </c>
      <c r="I207" s="158"/>
      <c r="J207" s="159" t="s">
        <v>23</v>
      </c>
      <c r="K207" s="12">
        <v>3719.0</v>
      </c>
      <c r="L207" s="12"/>
      <c r="N207" s="158" t="s">
        <v>8384</v>
      </c>
    </row>
    <row r="208">
      <c r="A208" s="158" t="s">
        <v>8476</v>
      </c>
      <c r="B208" s="158" t="s">
        <v>8352</v>
      </c>
      <c r="C208" s="158">
        <v>3.0</v>
      </c>
      <c r="D208" s="158">
        <v>5.0</v>
      </c>
      <c r="E208" s="158">
        <v>1.0</v>
      </c>
      <c r="F208" s="158">
        <v>8.0</v>
      </c>
      <c r="G208" s="158" t="s">
        <v>8525</v>
      </c>
      <c r="H208" s="168" t="s">
        <v>8487</v>
      </c>
      <c r="I208" s="158"/>
      <c r="J208" s="159" t="s">
        <v>23</v>
      </c>
      <c r="K208" s="12">
        <v>3719.0</v>
      </c>
      <c r="L208" s="12"/>
      <c r="N208" s="158" t="s">
        <v>8384</v>
      </c>
    </row>
    <row r="209">
      <c r="A209" s="158" t="s">
        <v>8476</v>
      </c>
      <c r="B209" s="158" t="s">
        <v>8352</v>
      </c>
      <c r="C209" s="158">
        <v>3.0</v>
      </c>
      <c r="D209" s="158">
        <v>6.0</v>
      </c>
      <c r="E209" s="158">
        <v>1.0</v>
      </c>
      <c r="F209" s="158">
        <v>8.0</v>
      </c>
      <c r="G209" s="158" t="s">
        <v>8525</v>
      </c>
      <c r="H209" s="168" t="s">
        <v>8507</v>
      </c>
      <c r="I209" s="158"/>
      <c r="J209" s="159" t="s">
        <v>23</v>
      </c>
      <c r="K209" s="12">
        <v>1669.0</v>
      </c>
      <c r="L209" s="12"/>
      <c r="N209" s="158" t="s">
        <v>8384</v>
      </c>
    </row>
    <row r="210">
      <c r="A210" s="158" t="s">
        <v>8476</v>
      </c>
      <c r="B210" s="158" t="s">
        <v>8352</v>
      </c>
      <c r="C210" s="158">
        <v>3.0</v>
      </c>
      <c r="D210" s="158">
        <v>7.0</v>
      </c>
      <c r="E210" s="158">
        <v>1.0</v>
      </c>
      <c r="F210" s="158">
        <v>8.0</v>
      </c>
      <c r="G210" s="158" t="s">
        <v>8525</v>
      </c>
      <c r="H210" s="168" t="s">
        <v>8508</v>
      </c>
      <c r="I210" s="158"/>
      <c r="J210" s="159" t="s">
        <v>23</v>
      </c>
      <c r="K210" s="12">
        <v>1719.0</v>
      </c>
      <c r="L210" s="12"/>
      <c r="N210" s="158" t="s">
        <v>8384</v>
      </c>
    </row>
    <row r="211">
      <c r="A211" s="158" t="s">
        <v>8476</v>
      </c>
      <c r="B211" s="158" t="s">
        <v>8352</v>
      </c>
      <c r="C211" s="158">
        <v>3.0</v>
      </c>
      <c r="D211" s="158">
        <v>8.0</v>
      </c>
      <c r="E211" s="158">
        <v>1.0</v>
      </c>
      <c r="F211" s="158">
        <v>8.0</v>
      </c>
      <c r="G211" s="158" t="s">
        <v>8525</v>
      </c>
      <c r="H211" s="168" t="s">
        <v>8509</v>
      </c>
      <c r="I211" s="158"/>
      <c r="J211" s="159" t="s">
        <v>23</v>
      </c>
      <c r="K211" s="12">
        <v>1719.0</v>
      </c>
      <c r="L211" s="12"/>
      <c r="N211" s="158" t="s">
        <v>8384</v>
      </c>
    </row>
    <row r="212">
      <c r="A212" s="158" t="s">
        <v>8476</v>
      </c>
      <c r="B212" s="158" t="s">
        <v>8352</v>
      </c>
      <c r="C212" s="158">
        <v>3.0</v>
      </c>
      <c r="D212" s="158">
        <v>9.0</v>
      </c>
      <c r="E212" s="158">
        <v>1.0</v>
      </c>
      <c r="F212" s="158">
        <v>8.0</v>
      </c>
      <c r="G212" s="158" t="s">
        <v>8525</v>
      </c>
      <c r="H212" s="168" t="s">
        <v>8510</v>
      </c>
      <c r="I212" s="158"/>
      <c r="J212" s="159" t="s">
        <v>23</v>
      </c>
      <c r="K212" s="12">
        <v>1859.0</v>
      </c>
      <c r="L212" s="12"/>
      <c r="N212" s="158" t="s">
        <v>8384</v>
      </c>
    </row>
    <row r="213">
      <c r="A213" s="158" t="s">
        <v>8476</v>
      </c>
      <c r="B213" s="158" t="s">
        <v>8352</v>
      </c>
      <c r="C213" s="158">
        <v>3.0</v>
      </c>
      <c r="D213" s="158">
        <v>10.0</v>
      </c>
      <c r="E213" s="158">
        <v>1.0</v>
      </c>
      <c r="F213" s="158">
        <v>8.0</v>
      </c>
      <c r="G213" s="158" t="s">
        <v>8525</v>
      </c>
      <c r="H213" s="168" t="s">
        <v>8511</v>
      </c>
      <c r="I213" s="158"/>
      <c r="J213" s="159" t="s">
        <v>23</v>
      </c>
      <c r="K213" s="12">
        <v>1859.0</v>
      </c>
      <c r="L213" s="12"/>
      <c r="N213" s="158" t="s">
        <v>8384</v>
      </c>
    </row>
    <row r="214">
      <c r="A214" s="158" t="s">
        <v>8476</v>
      </c>
      <c r="B214" s="158" t="s">
        <v>8352</v>
      </c>
      <c r="C214" s="158">
        <v>3.0</v>
      </c>
      <c r="D214" s="158">
        <v>11.0</v>
      </c>
      <c r="E214" s="158">
        <v>1.0</v>
      </c>
      <c r="F214" s="158">
        <v>8.0</v>
      </c>
      <c r="G214" s="158" t="s">
        <v>8525</v>
      </c>
      <c r="H214" s="168" t="s">
        <v>8512</v>
      </c>
      <c r="I214" s="158"/>
      <c r="J214" s="159" t="s">
        <v>23</v>
      </c>
      <c r="K214" s="12">
        <v>3409.0</v>
      </c>
      <c r="L214" s="12"/>
      <c r="N214" s="158" t="s">
        <v>8384</v>
      </c>
    </row>
    <row r="215">
      <c r="A215" s="158" t="s">
        <v>8476</v>
      </c>
      <c r="B215" s="158" t="s">
        <v>8352</v>
      </c>
      <c r="C215" s="158">
        <v>3.0</v>
      </c>
      <c r="D215" s="158">
        <v>12.0</v>
      </c>
      <c r="E215" s="158">
        <v>1.0</v>
      </c>
      <c r="F215" s="158">
        <v>8.0</v>
      </c>
      <c r="G215" s="158" t="s">
        <v>8525</v>
      </c>
      <c r="H215" s="168" t="s">
        <v>8513</v>
      </c>
      <c r="I215" s="158"/>
      <c r="J215" s="159" t="s">
        <v>23</v>
      </c>
      <c r="K215" s="12">
        <v>4349.0</v>
      </c>
      <c r="L215" s="12"/>
      <c r="N215" s="158" t="s">
        <v>8384</v>
      </c>
    </row>
    <row r="216">
      <c r="A216" s="158" t="s">
        <v>8476</v>
      </c>
      <c r="B216" s="158" t="s">
        <v>8352</v>
      </c>
      <c r="C216" s="158">
        <v>3.0</v>
      </c>
      <c r="D216" s="158">
        <v>13.0</v>
      </c>
      <c r="E216" s="158">
        <v>1.0</v>
      </c>
      <c r="F216" s="158">
        <v>8.0</v>
      </c>
      <c r="G216" s="158" t="s">
        <v>8525</v>
      </c>
      <c r="H216" s="168" t="s">
        <v>8514</v>
      </c>
      <c r="I216" s="158"/>
      <c r="J216" s="159" t="s">
        <v>23</v>
      </c>
      <c r="K216" s="12">
        <v>4539.0</v>
      </c>
      <c r="L216" s="12"/>
      <c r="N216" s="158" t="s">
        <v>8384</v>
      </c>
    </row>
    <row r="217">
      <c r="A217" s="158" t="s">
        <v>8476</v>
      </c>
      <c r="B217" s="158" t="s">
        <v>8352</v>
      </c>
      <c r="C217" s="158">
        <v>3.0</v>
      </c>
      <c r="D217" s="158">
        <v>14.0</v>
      </c>
      <c r="E217" s="158">
        <v>1.0</v>
      </c>
      <c r="F217" s="158">
        <v>8.0</v>
      </c>
      <c r="G217" s="158" t="s">
        <v>8525</v>
      </c>
      <c r="H217" s="168" t="s">
        <v>8515</v>
      </c>
      <c r="I217" s="158"/>
      <c r="J217" s="159" t="s">
        <v>23</v>
      </c>
      <c r="K217" s="12">
        <v>4669.0</v>
      </c>
      <c r="L217" s="12"/>
      <c r="N217" s="158" t="s">
        <v>8384</v>
      </c>
    </row>
    <row r="218">
      <c r="A218" s="158" t="s">
        <v>8476</v>
      </c>
      <c r="B218" s="158" t="s">
        <v>8352</v>
      </c>
      <c r="C218" s="158">
        <v>3.0</v>
      </c>
      <c r="D218" s="158">
        <v>15.0</v>
      </c>
      <c r="E218" s="158">
        <v>1.0</v>
      </c>
      <c r="F218" s="158">
        <v>8.0</v>
      </c>
      <c r="G218" s="158" t="s">
        <v>8525</v>
      </c>
      <c r="H218" s="168" t="s">
        <v>8516</v>
      </c>
      <c r="I218" s="158"/>
      <c r="J218" s="159" t="s">
        <v>23</v>
      </c>
      <c r="K218" s="12">
        <v>5079.0</v>
      </c>
      <c r="L218" s="12"/>
      <c r="N218" s="158" t="s">
        <v>8384</v>
      </c>
    </row>
    <row r="219">
      <c r="A219" s="158" t="s">
        <v>8476</v>
      </c>
      <c r="B219" s="158" t="s">
        <v>8352</v>
      </c>
      <c r="C219" s="158">
        <v>3.0</v>
      </c>
      <c r="D219" s="158">
        <v>16.0</v>
      </c>
      <c r="E219" s="158">
        <v>1.0</v>
      </c>
      <c r="F219" s="158">
        <v>8.0</v>
      </c>
      <c r="G219" s="158" t="s">
        <v>8525</v>
      </c>
      <c r="H219" s="168" t="s">
        <v>8517</v>
      </c>
      <c r="I219" s="158"/>
      <c r="J219" s="159" t="s">
        <v>23</v>
      </c>
      <c r="K219" s="12">
        <v>5079.0</v>
      </c>
      <c r="L219" s="12"/>
      <c r="N219" s="158" t="s">
        <v>8384</v>
      </c>
    </row>
    <row r="220">
      <c r="A220" s="158" t="s">
        <v>8476</v>
      </c>
      <c r="B220" s="158" t="s">
        <v>8352</v>
      </c>
      <c r="C220" s="158">
        <v>3.0</v>
      </c>
      <c r="D220" s="158">
        <v>17.0</v>
      </c>
      <c r="E220" s="158">
        <v>1.0</v>
      </c>
      <c r="F220" s="158">
        <v>8.0</v>
      </c>
      <c r="G220" s="158" t="s">
        <v>8525</v>
      </c>
      <c r="H220" s="168" t="s">
        <v>8518</v>
      </c>
      <c r="I220" s="158"/>
      <c r="J220" s="159" t="s">
        <v>23</v>
      </c>
      <c r="K220" s="12">
        <v>5209.0</v>
      </c>
      <c r="L220" s="12"/>
      <c r="N220" s="158" t="s">
        <v>8384</v>
      </c>
    </row>
    <row r="221">
      <c r="A221" s="158" t="s">
        <v>8476</v>
      </c>
      <c r="B221" s="158" t="s">
        <v>8352</v>
      </c>
      <c r="C221" s="158">
        <v>3.0</v>
      </c>
      <c r="D221" s="158">
        <v>1.0</v>
      </c>
      <c r="E221" s="158">
        <v>1.0</v>
      </c>
      <c r="F221" s="158">
        <v>9.0</v>
      </c>
      <c r="G221" s="158" t="s">
        <v>8526</v>
      </c>
      <c r="H221" s="168" t="s">
        <v>8480</v>
      </c>
      <c r="I221" s="158"/>
      <c r="J221" s="159" t="s">
        <v>23</v>
      </c>
      <c r="K221" s="12">
        <v>3339.0</v>
      </c>
      <c r="L221" s="12"/>
      <c r="N221" s="158" t="s">
        <v>8384</v>
      </c>
    </row>
    <row r="222">
      <c r="A222" s="158" t="s">
        <v>8476</v>
      </c>
      <c r="B222" s="158" t="s">
        <v>8352</v>
      </c>
      <c r="C222" s="158">
        <v>3.0</v>
      </c>
      <c r="D222" s="158">
        <v>2.0</v>
      </c>
      <c r="E222" s="158">
        <v>1.0</v>
      </c>
      <c r="F222" s="158">
        <v>9.0</v>
      </c>
      <c r="G222" s="158" t="s">
        <v>8526</v>
      </c>
      <c r="H222" s="168" t="s">
        <v>8482</v>
      </c>
      <c r="I222" s="158"/>
      <c r="J222" s="159" t="s">
        <v>23</v>
      </c>
      <c r="K222" s="12">
        <v>3429.0</v>
      </c>
      <c r="L222" s="12"/>
      <c r="N222" s="158" t="s">
        <v>8384</v>
      </c>
    </row>
    <row r="223">
      <c r="A223" s="158" t="s">
        <v>8476</v>
      </c>
      <c r="B223" s="158" t="s">
        <v>8352</v>
      </c>
      <c r="C223" s="158">
        <v>3.0</v>
      </c>
      <c r="D223" s="158">
        <v>3.0</v>
      </c>
      <c r="E223" s="158">
        <v>1.0</v>
      </c>
      <c r="F223" s="158">
        <v>9.0</v>
      </c>
      <c r="G223" s="158" t="s">
        <v>8526</v>
      </c>
      <c r="H223" s="168" t="s">
        <v>8483</v>
      </c>
      <c r="I223" s="158"/>
      <c r="J223" s="159" t="s">
        <v>23</v>
      </c>
      <c r="K223" s="12">
        <v>3429.0</v>
      </c>
      <c r="L223" s="12"/>
      <c r="N223" s="158" t="s">
        <v>8384</v>
      </c>
    </row>
    <row r="224">
      <c r="A224" s="158" t="s">
        <v>8476</v>
      </c>
      <c r="B224" s="158" t="s">
        <v>8352</v>
      </c>
      <c r="C224" s="158">
        <v>3.0</v>
      </c>
      <c r="D224" s="158">
        <v>4.0</v>
      </c>
      <c r="E224" s="158">
        <v>1.0</v>
      </c>
      <c r="F224" s="158">
        <v>9.0</v>
      </c>
      <c r="G224" s="158" t="s">
        <v>8526</v>
      </c>
      <c r="H224" s="168" t="s">
        <v>8486</v>
      </c>
      <c r="I224" s="158"/>
      <c r="J224" s="159" t="s">
        <v>23</v>
      </c>
      <c r="K224" s="12">
        <v>3719.0</v>
      </c>
      <c r="L224" s="12"/>
      <c r="N224" s="158" t="s">
        <v>8384</v>
      </c>
    </row>
    <row r="225">
      <c r="A225" s="158" t="s">
        <v>8476</v>
      </c>
      <c r="B225" s="158" t="s">
        <v>8352</v>
      </c>
      <c r="C225" s="158">
        <v>3.0</v>
      </c>
      <c r="D225" s="158">
        <v>5.0</v>
      </c>
      <c r="E225" s="158">
        <v>1.0</v>
      </c>
      <c r="F225" s="158">
        <v>9.0</v>
      </c>
      <c r="G225" s="158" t="s">
        <v>8526</v>
      </c>
      <c r="H225" s="168" t="s">
        <v>8487</v>
      </c>
      <c r="I225" s="158"/>
      <c r="J225" s="159" t="s">
        <v>23</v>
      </c>
      <c r="K225" s="12">
        <v>3719.0</v>
      </c>
      <c r="L225" s="12"/>
      <c r="N225" s="158" t="s">
        <v>8384</v>
      </c>
    </row>
    <row r="226">
      <c r="A226" s="158" t="s">
        <v>8476</v>
      </c>
      <c r="B226" s="158" t="s">
        <v>8352</v>
      </c>
      <c r="C226" s="158">
        <v>3.0</v>
      </c>
      <c r="D226" s="158">
        <v>6.0</v>
      </c>
      <c r="E226" s="158">
        <v>1.0</v>
      </c>
      <c r="F226" s="158">
        <v>9.0</v>
      </c>
      <c r="G226" s="158" t="s">
        <v>8526</v>
      </c>
      <c r="H226" s="168" t="s">
        <v>8507</v>
      </c>
      <c r="I226" s="158"/>
      <c r="J226" s="159" t="s">
        <v>23</v>
      </c>
      <c r="K226" s="12">
        <v>1669.0</v>
      </c>
      <c r="L226" s="12"/>
      <c r="N226" s="158" t="s">
        <v>8384</v>
      </c>
    </row>
    <row r="227">
      <c r="A227" s="158" t="s">
        <v>8476</v>
      </c>
      <c r="B227" s="158" t="s">
        <v>8352</v>
      </c>
      <c r="C227" s="158">
        <v>3.0</v>
      </c>
      <c r="D227" s="158">
        <v>7.0</v>
      </c>
      <c r="E227" s="158">
        <v>1.0</v>
      </c>
      <c r="F227" s="158">
        <v>9.0</v>
      </c>
      <c r="G227" s="158" t="s">
        <v>8526</v>
      </c>
      <c r="H227" s="168" t="s">
        <v>8508</v>
      </c>
      <c r="I227" s="158"/>
      <c r="J227" s="159" t="s">
        <v>23</v>
      </c>
      <c r="K227" s="12">
        <v>1719.0</v>
      </c>
      <c r="L227" s="12"/>
      <c r="N227" s="158" t="s">
        <v>8384</v>
      </c>
    </row>
    <row r="228">
      <c r="A228" s="158" t="s">
        <v>8476</v>
      </c>
      <c r="B228" s="158" t="s">
        <v>8352</v>
      </c>
      <c r="C228" s="158">
        <v>3.0</v>
      </c>
      <c r="D228" s="158">
        <v>8.0</v>
      </c>
      <c r="E228" s="158">
        <v>1.0</v>
      </c>
      <c r="F228" s="158">
        <v>9.0</v>
      </c>
      <c r="G228" s="158" t="s">
        <v>8526</v>
      </c>
      <c r="H228" s="168" t="s">
        <v>8509</v>
      </c>
      <c r="I228" s="158"/>
      <c r="J228" s="159" t="s">
        <v>23</v>
      </c>
      <c r="K228" s="12">
        <v>1719.0</v>
      </c>
      <c r="L228" s="12"/>
      <c r="N228" s="158" t="s">
        <v>8384</v>
      </c>
    </row>
    <row r="229">
      <c r="A229" s="158" t="s">
        <v>8476</v>
      </c>
      <c r="B229" s="158" t="s">
        <v>8352</v>
      </c>
      <c r="C229" s="158">
        <v>3.0</v>
      </c>
      <c r="D229" s="158">
        <v>9.0</v>
      </c>
      <c r="E229" s="158">
        <v>1.0</v>
      </c>
      <c r="F229" s="158">
        <v>9.0</v>
      </c>
      <c r="G229" s="158" t="s">
        <v>8526</v>
      </c>
      <c r="H229" s="168" t="s">
        <v>8510</v>
      </c>
      <c r="I229" s="158"/>
      <c r="J229" s="159" t="s">
        <v>23</v>
      </c>
      <c r="K229" s="12">
        <v>1859.0</v>
      </c>
      <c r="L229" s="12"/>
      <c r="N229" s="158" t="s">
        <v>8384</v>
      </c>
    </row>
    <row r="230">
      <c r="A230" s="158" t="s">
        <v>8476</v>
      </c>
      <c r="B230" s="158" t="s">
        <v>8352</v>
      </c>
      <c r="C230" s="158">
        <v>3.0</v>
      </c>
      <c r="D230" s="158">
        <v>10.0</v>
      </c>
      <c r="E230" s="158">
        <v>1.0</v>
      </c>
      <c r="F230" s="158">
        <v>9.0</v>
      </c>
      <c r="G230" s="158" t="s">
        <v>8526</v>
      </c>
      <c r="H230" s="168" t="s">
        <v>8511</v>
      </c>
      <c r="I230" s="158"/>
      <c r="J230" s="159" t="s">
        <v>23</v>
      </c>
      <c r="K230" s="12">
        <v>1859.0</v>
      </c>
      <c r="L230" s="12"/>
      <c r="N230" s="158" t="s">
        <v>8384</v>
      </c>
    </row>
    <row r="231">
      <c r="A231" s="158" t="s">
        <v>8476</v>
      </c>
      <c r="B231" s="158" t="s">
        <v>8352</v>
      </c>
      <c r="C231" s="158">
        <v>3.0</v>
      </c>
      <c r="D231" s="158">
        <v>11.0</v>
      </c>
      <c r="E231" s="158">
        <v>1.0</v>
      </c>
      <c r="F231" s="158">
        <v>9.0</v>
      </c>
      <c r="G231" s="158" t="s">
        <v>8526</v>
      </c>
      <c r="H231" s="168" t="s">
        <v>8512</v>
      </c>
      <c r="I231" s="158"/>
      <c r="J231" s="159" t="s">
        <v>23</v>
      </c>
      <c r="K231" s="12">
        <v>3409.0</v>
      </c>
      <c r="L231" s="12"/>
      <c r="N231" s="158" t="s">
        <v>8384</v>
      </c>
    </row>
    <row r="232">
      <c r="A232" s="158" t="s">
        <v>8476</v>
      </c>
      <c r="B232" s="158" t="s">
        <v>8352</v>
      </c>
      <c r="C232" s="158">
        <v>3.0</v>
      </c>
      <c r="D232" s="158">
        <v>12.0</v>
      </c>
      <c r="E232" s="158">
        <v>1.0</v>
      </c>
      <c r="F232" s="158">
        <v>9.0</v>
      </c>
      <c r="G232" s="158" t="s">
        <v>8526</v>
      </c>
      <c r="H232" s="168" t="s">
        <v>8513</v>
      </c>
      <c r="I232" s="158"/>
      <c r="J232" s="159" t="s">
        <v>23</v>
      </c>
      <c r="K232" s="12">
        <v>4349.0</v>
      </c>
      <c r="L232" s="12"/>
      <c r="N232" s="158" t="s">
        <v>8384</v>
      </c>
    </row>
    <row r="233">
      <c r="A233" s="158" t="s">
        <v>8476</v>
      </c>
      <c r="B233" s="158" t="s">
        <v>8352</v>
      </c>
      <c r="C233" s="158">
        <v>3.0</v>
      </c>
      <c r="D233" s="158">
        <v>13.0</v>
      </c>
      <c r="E233" s="158">
        <v>1.0</v>
      </c>
      <c r="F233" s="158">
        <v>9.0</v>
      </c>
      <c r="G233" s="158" t="s">
        <v>8526</v>
      </c>
      <c r="H233" s="168" t="s">
        <v>8514</v>
      </c>
      <c r="I233" s="158"/>
      <c r="J233" s="159" t="s">
        <v>23</v>
      </c>
      <c r="K233" s="12">
        <v>4539.0</v>
      </c>
      <c r="L233" s="12"/>
      <c r="N233" s="158" t="s">
        <v>8384</v>
      </c>
    </row>
    <row r="234">
      <c r="A234" s="158" t="s">
        <v>8476</v>
      </c>
      <c r="B234" s="158" t="s">
        <v>8352</v>
      </c>
      <c r="C234" s="158">
        <v>3.0</v>
      </c>
      <c r="D234" s="158">
        <v>14.0</v>
      </c>
      <c r="E234" s="158">
        <v>1.0</v>
      </c>
      <c r="F234" s="158">
        <v>9.0</v>
      </c>
      <c r="G234" s="158" t="s">
        <v>8526</v>
      </c>
      <c r="H234" s="168" t="s">
        <v>8515</v>
      </c>
      <c r="I234" s="158"/>
      <c r="J234" s="159" t="s">
        <v>23</v>
      </c>
      <c r="K234" s="12">
        <v>4669.0</v>
      </c>
      <c r="L234" s="12"/>
      <c r="N234" s="158" t="s">
        <v>8384</v>
      </c>
    </row>
    <row r="235">
      <c r="A235" s="158" t="s">
        <v>8476</v>
      </c>
      <c r="B235" s="158" t="s">
        <v>8352</v>
      </c>
      <c r="C235" s="158">
        <v>3.0</v>
      </c>
      <c r="D235" s="158">
        <v>15.0</v>
      </c>
      <c r="E235" s="158">
        <v>1.0</v>
      </c>
      <c r="F235" s="158">
        <v>9.0</v>
      </c>
      <c r="G235" s="158" t="s">
        <v>8526</v>
      </c>
      <c r="H235" s="168" t="s">
        <v>8516</v>
      </c>
      <c r="I235" s="158"/>
      <c r="J235" s="159" t="s">
        <v>23</v>
      </c>
      <c r="K235" s="12">
        <v>5079.0</v>
      </c>
      <c r="L235" s="12"/>
      <c r="N235" s="158" t="s">
        <v>8384</v>
      </c>
    </row>
    <row r="236">
      <c r="A236" s="158" t="s">
        <v>8476</v>
      </c>
      <c r="B236" s="158" t="s">
        <v>8352</v>
      </c>
      <c r="C236" s="158">
        <v>3.0</v>
      </c>
      <c r="D236" s="158">
        <v>16.0</v>
      </c>
      <c r="E236" s="158">
        <v>1.0</v>
      </c>
      <c r="F236" s="158">
        <v>9.0</v>
      </c>
      <c r="G236" s="158" t="s">
        <v>8526</v>
      </c>
      <c r="H236" s="168" t="s">
        <v>8517</v>
      </c>
      <c r="I236" s="158"/>
      <c r="J236" s="159" t="s">
        <v>23</v>
      </c>
      <c r="K236" s="12">
        <v>5079.0</v>
      </c>
      <c r="L236" s="12"/>
      <c r="N236" s="158" t="s">
        <v>8384</v>
      </c>
    </row>
    <row r="237">
      <c r="A237" s="158" t="s">
        <v>8476</v>
      </c>
      <c r="B237" s="158" t="s">
        <v>8352</v>
      </c>
      <c r="C237" s="158">
        <v>3.0</v>
      </c>
      <c r="D237" s="158">
        <v>17.0</v>
      </c>
      <c r="E237" s="158">
        <v>1.0</v>
      </c>
      <c r="F237" s="158">
        <v>9.0</v>
      </c>
      <c r="G237" s="158" t="s">
        <v>8526</v>
      </c>
      <c r="H237" s="168" t="s">
        <v>8518</v>
      </c>
      <c r="I237" s="158"/>
      <c r="J237" s="159" t="s">
        <v>23</v>
      </c>
      <c r="K237" s="12">
        <v>5209.0</v>
      </c>
      <c r="L237" s="12"/>
      <c r="N237" s="158" t="s">
        <v>8384</v>
      </c>
    </row>
    <row r="238">
      <c r="A238" s="158" t="s">
        <v>8476</v>
      </c>
      <c r="B238" s="158" t="s">
        <v>8352</v>
      </c>
      <c r="C238" s="158">
        <v>3.0</v>
      </c>
      <c r="D238" s="158">
        <v>1.0</v>
      </c>
      <c r="E238" s="158">
        <v>1.0</v>
      </c>
      <c r="F238" s="158">
        <v>10.0</v>
      </c>
      <c r="G238" s="158" t="s">
        <v>8527</v>
      </c>
      <c r="H238" s="168" t="s">
        <v>8480</v>
      </c>
      <c r="I238" s="158"/>
      <c r="J238" s="159" t="s">
        <v>23</v>
      </c>
      <c r="K238" s="12">
        <v>3339.0</v>
      </c>
      <c r="L238" s="12"/>
      <c r="N238" s="158" t="s">
        <v>8384</v>
      </c>
    </row>
    <row r="239">
      <c r="A239" s="158" t="s">
        <v>8476</v>
      </c>
      <c r="B239" s="158" t="s">
        <v>8352</v>
      </c>
      <c r="C239" s="158">
        <v>3.0</v>
      </c>
      <c r="D239" s="158">
        <v>2.0</v>
      </c>
      <c r="E239" s="158">
        <v>1.0</v>
      </c>
      <c r="F239" s="158">
        <v>10.0</v>
      </c>
      <c r="G239" s="158" t="s">
        <v>8527</v>
      </c>
      <c r="H239" s="168" t="s">
        <v>8482</v>
      </c>
      <c r="I239" s="158"/>
      <c r="J239" s="159" t="s">
        <v>23</v>
      </c>
      <c r="K239" s="12">
        <v>3429.0</v>
      </c>
      <c r="L239" s="12"/>
      <c r="N239" s="158" t="s">
        <v>8384</v>
      </c>
    </row>
    <row r="240">
      <c r="A240" s="158" t="s">
        <v>8476</v>
      </c>
      <c r="B240" s="158" t="s">
        <v>8352</v>
      </c>
      <c r="C240" s="158">
        <v>3.0</v>
      </c>
      <c r="D240" s="158">
        <v>3.0</v>
      </c>
      <c r="E240" s="158">
        <v>1.0</v>
      </c>
      <c r="F240" s="158">
        <v>10.0</v>
      </c>
      <c r="G240" s="158" t="s">
        <v>8527</v>
      </c>
      <c r="H240" s="168" t="s">
        <v>8483</v>
      </c>
      <c r="I240" s="158"/>
      <c r="J240" s="159" t="s">
        <v>23</v>
      </c>
      <c r="K240" s="12">
        <v>3429.0</v>
      </c>
      <c r="L240" s="12"/>
      <c r="N240" s="158" t="s">
        <v>8384</v>
      </c>
    </row>
    <row r="241">
      <c r="A241" s="158" t="s">
        <v>8476</v>
      </c>
      <c r="B241" s="158" t="s">
        <v>8352</v>
      </c>
      <c r="C241" s="158">
        <v>3.0</v>
      </c>
      <c r="D241" s="158">
        <v>4.0</v>
      </c>
      <c r="E241" s="158">
        <v>1.0</v>
      </c>
      <c r="F241" s="158">
        <v>10.0</v>
      </c>
      <c r="G241" s="158" t="s">
        <v>8527</v>
      </c>
      <c r="H241" s="168" t="s">
        <v>8486</v>
      </c>
      <c r="I241" s="158"/>
      <c r="J241" s="159" t="s">
        <v>23</v>
      </c>
      <c r="K241" s="12">
        <v>3719.0</v>
      </c>
      <c r="L241" s="12"/>
      <c r="N241" s="158" t="s">
        <v>8384</v>
      </c>
    </row>
    <row r="242">
      <c r="A242" s="158" t="s">
        <v>8476</v>
      </c>
      <c r="B242" s="158" t="s">
        <v>8352</v>
      </c>
      <c r="C242" s="158">
        <v>3.0</v>
      </c>
      <c r="D242" s="158">
        <v>5.0</v>
      </c>
      <c r="E242" s="158">
        <v>1.0</v>
      </c>
      <c r="F242" s="158">
        <v>10.0</v>
      </c>
      <c r="G242" s="158" t="s">
        <v>8527</v>
      </c>
      <c r="H242" s="168" t="s">
        <v>8487</v>
      </c>
      <c r="I242" s="158"/>
      <c r="J242" s="159" t="s">
        <v>23</v>
      </c>
      <c r="K242" s="12">
        <v>3719.0</v>
      </c>
      <c r="L242" s="12"/>
      <c r="N242" s="158" t="s">
        <v>8384</v>
      </c>
    </row>
    <row r="243">
      <c r="A243" s="158" t="s">
        <v>8476</v>
      </c>
      <c r="B243" s="158" t="s">
        <v>8352</v>
      </c>
      <c r="C243" s="158">
        <v>3.0</v>
      </c>
      <c r="D243" s="158">
        <v>6.0</v>
      </c>
      <c r="E243" s="158">
        <v>1.0</v>
      </c>
      <c r="F243" s="158">
        <v>10.0</v>
      </c>
      <c r="G243" s="158" t="s">
        <v>8527</v>
      </c>
      <c r="H243" s="168" t="s">
        <v>8507</v>
      </c>
      <c r="I243" s="158"/>
      <c r="J243" s="159" t="s">
        <v>23</v>
      </c>
      <c r="K243" s="12">
        <v>1669.0</v>
      </c>
      <c r="L243" s="12"/>
      <c r="N243" s="158" t="s">
        <v>8384</v>
      </c>
    </row>
    <row r="244">
      <c r="A244" s="158" t="s">
        <v>8476</v>
      </c>
      <c r="B244" s="158" t="s">
        <v>8352</v>
      </c>
      <c r="C244" s="158">
        <v>3.0</v>
      </c>
      <c r="D244" s="158">
        <v>7.0</v>
      </c>
      <c r="E244" s="158">
        <v>1.0</v>
      </c>
      <c r="F244" s="158">
        <v>10.0</v>
      </c>
      <c r="G244" s="158" t="s">
        <v>8527</v>
      </c>
      <c r="H244" s="168" t="s">
        <v>8508</v>
      </c>
      <c r="I244" s="158"/>
      <c r="J244" s="159" t="s">
        <v>23</v>
      </c>
      <c r="K244" s="12">
        <v>1719.0</v>
      </c>
      <c r="L244" s="12"/>
      <c r="N244" s="158" t="s">
        <v>8384</v>
      </c>
    </row>
    <row r="245">
      <c r="A245" s="158" t="s">
        <v>8476</v>
      </c>
      <c r="B245" s="158" t="s">
        <v>8352</v>
      </c>
      <c r="C245" s="158">
        <v>3.0</v>
      </c>
      <c r="D245" s="158">
        <v>8.0</v>
      </c>
      <c r="E245" s="158">
        <v>1.0</v>
      </c>
      <c r="F245" s="158">
        <v>10.0</v>
      </c>
      <c r="G245" s="158" t="s">
        <v>8527</v>
      </c>
      <c r="H245" s="168" t="s">
        <v>8509</v>
      </c>
      <c r="I245" s="158"/>
      <c r="J245" s="159" t="s">
        <v>23</v>
      </c>
      <c r="K245" s="12">
        <v>1719.0</v>
      </c>
      <c r="L245" s="12"/>
      <c r="N245" s="158" t="s">
        <v>8384</v>
      </c>
    </row>
    <row r="246">
      <c r="A246" s="158" t="s">
        <v>8476</v>
      </c>
      <c r="B246" s="158" t="s">
        <v>8352</v>
      </c>
      <c r="C246" s="158">
        <v>3.0</v>
      </c>
      <c r="D246" s="158">
        <v>9.0</v>
      </c>
      <c r="E246" s="158">
        <v>1.0</v>
      </c>
      <c r="F246" s="158">
        <v>10.0</v>
      </c>
      <c r="G246" s="158" t="s">
        <v>8527</v>
      </c>
      <c r="H246" s="168" t="s">
        <v>8510</v>
      </c>
      <c r="I246" s="158"/>
      <c r="J246" s="159" t="s">
        <v>23</v>
      </c>
      <c r="K246" s="12">
        <v>1859.0</v>
      </c>
      <c r="L246" s="12"/>
      <c r="N246" s="158" t="s">
        <v>8384</v>
      </c>
    </row>
    <row r="247">
      <c r="A247" s="158" t="s">
        <v>8476</v>
      </c>
      <c r="B247" s="158" t="s">
        <v>8352</v>
      </c>
      <c r="C247" s="158">
        <v>3.0</v>
      </c>
      <c r="D247" s="158">
        <v>10.0</v>
      </c>
      <c r="E247" s="158">
        <v>1.0</v>
      </c>
      <c r="F247" s="158">
        <v>10.0</v>
      </c>
      <c r="G247" s="158" t="s">
        <v>8527</v>
      </c>
      <c r="H247" s="168" t="s">
        <v>8511</v>
      </c>
      <c r="I247" s="158"/>
      <c r="J247" s="159" t="s">
        <v>23</v>
      </c>
      <c r="K247" s="12">
        <v>1859.0</v>
      </c>
      <c r="L247" s="12"/>
      <c r="N247" s="158" t="s">
        <v>8384</v>
      </c>
    </row>
    <row r="248">
      <c r="A248" s="158" t="s">
        <v>8476</v>
      </c>
      <c r="B248" s="158" t="s">
        <v>8352</v>
      </c>
      <c r="C248" s="158">
        <v>3.0</v>
      </c>
      <c r="D248" s="158">
        <v>11.0</v>
      </c>
      <c r="E248" s="158">
        <v>1.0</v>
      </c>
      <c r="F248" s="158">
        <v>10.0</v>
      </c>
      <c r="G248" s="158" t="s">
        <v>8527</v>
      </c>
      <c r="H248" s="168" t="s">
        <v>8512</v>
      </c>
      <c r="I248" s="158"/>
      <c r="J248" s="159" t="s">
        <v>23</v>
      </c>
      <c r="K248" s="12">
        <v>3409.0</v>
      </c>
      <c r="L248" s="12"/>
      <c r="N248" s="158" t="s">
        <v>8384</v>
      </c>
    </row>
    <row r="249">
      <c r="A249" s="158" t="s">
        <v>8476</v>
      </c>
      <c r="B249" s="158" t="s">
        <v>8352</v>
      </c>
      <c r="C249" s="158">
        <v>3.0</v>
      </c>
      <c r="D249" s="158">
        <v>12.0</v>
      </c>
      <c r="E249" s="158">
        <v>1.0</v>
      </c>
      <c r="F249" s="158">
        <v>10.0</v>
      </c>
      <c r="G249" s="158" t="s">
        <v>8527</v>
      </c>
      <c r="H249" s="168" t="s">
        <v>8513</v>
      </c>
      <c r="I249" s="158"/>
      <c r="J249" s="159" t="s">
        <v>23</v>
      </c>
      <c r="K249" s="12">
        <v>4349.0</v>
      </c>
      <c r="L249" s="12"/>
      <c r="N249" s="158" t="s">
        <v>8384</v>
      </c>
    </row>
    <row r="250">
      <c r="A250" s="158" t="s">
        <v>8476</v>
      </c>
      <c r="B250" s="158" t="s">
        <v>8352</v>
      </c>
      <c r="C250" s="158">
        <v>3.0</v>
      </c>
      <c r="D250" s="158">
        <v>13.0</v>
      </c>
      <c r="E250" s="158">
        <v>1.0</v>
      </c>
      <c r="F250" s="158">
        <v>10.0</v>
      </c>
      <c r="G250" s="158" t="s">
        <v>8527</v>
      </c>
      <c r="H250" s="168" t="s">
        <v>8514</v>
      </c>
      <c r="I250" s="158"/>
      <c r="J250" s="159" t="s">
        <v>23</v>
      </c>
      <c r="K250" s="12">
        <v>4539.0</v>
      </c>
      <c r="L250" s="12"/>
      <c r="N250" s="158" t="s">
        <v>8384</v>
      </c>
    </row>
    <row r="251">
      <c r="A251" s="158" t="s">
        <v>8476</v>
      </c>
      <c r="B251" s="158" t="s">
        <v>8352</v>
      </c>
      <c r="C251" s="158">
        <v>3.0</v>
      </c>
      <c r="D251" s="158">
        <v>14.0</v>
      </c>
      <c r="E251" s="158">
        <v>1.0</v>
      </c>
      <c r="F251" s="158">
        <v>10.0</v>
      </c>
      <c r="G251" s="158" t="s">
        <v>8527</v>
      </c>
      <c r="H251" s="168" t="s">
        <v>8515</v>
      </c>
      <c r="I251" s="158"/>
      <c r="J251" s="159" t="s">
        <v>23</v>
      </c>
      <c r="K251" s="12">
        <v>4669.0</v>
      </c>
      <c r="L251" s="12"/>
      <c r="N251" s="158" t="s">
        <v>8384</v>
      </c>
      <c r="O251" s="158"/>
    </row>
    <row r="252">
      <c r="A252" s="158" t="s">
        <v>8476</v>
      </c>
      <c r="B252" s="158" t="s">
        <v>8352</v>
      </c>
      <c r="C252" s="158">
        <v>3.0</v>
      </c>
      <c r="D252" s="158">
        <v>15.0</v>
      </c>
      <c r="E252" s="158">
        <v>1.0</v>
      </c>
      <c r="F252" s="158">
        <v>10.0</v>
      </c>
      <c r="G252" s="158" t="s">
        <v>8527</v>
      </c>
      <c r="H252" s="168" t="s">
        <v>8516</v>
      </c>
      <c r="I252" s="158"/>
      <c r="J252" s="159" t="s">
        <v>23</v>
      </c>
      <c r="K252" s="12">
        <v>5079.0</v>
      </c>
      <c r="L252" s="12"/>
      <c r="N252" s="158" t="s">
        <v>8384</v>
      </c>
      <c r="O252" s="158"/>
    </row>
    <row r="253">
      <c r="A253" s="158" t="s">
        <v>8476</v>
      </c>
      <c r="B253" s="158" t="s">
        <v>8352</v>
      </c>
      <c r="C253" s="158">
        <v>3.0</v>
      </c>
      <c r="D253" s="158">
        <v>16.0</v>
      </c>
      <c r="E253" s="158">
        <v>1.0</v>
      </c>
      <c r="F253" s="158">
        <v>10.0</v>
      </c>
      <c r="G253" s="158" t="s">
        <v>8527</v>
      </c>
      <c r="H253" s="168" t="s">
        <v>8517</v>
      </c>
      <c r="I253" s="158"/>
      <c r="J253" s="159" t="s">
        <v>23</v>
      </c>
      <c r="K253" s="12">
        <v>5079.0</v>
      </c>
      <c r="L253" s="12"/>
      <c r="N253" s="158" t="s">
        <v>8384</v>
      </c>
      <c r="O253" s="158"/>
    </row>
    <row r="254">
      <c r="A254" s="158" t="s">
        <v>8476</v>
      </c>
      <c r="B254" s="158" t="s">
        <v>8352</v>
      </c>
      <c r="C254" s="158">
        <v>3.0</v>
      </c>
      <c r="D254" s="158">
        <v>17.0</v>
      </c>
      <c r="E254" s="158">
        <v>1.0</v>
      </c>
      <c r="F254" s="158">
        <v>10.0</v>
      </c>
      <c r="G254" s="158" t="s">
        <v>8527</v>
      </c>
      <c r="H254" s="168" t="s">
        <v>8518</v>
      </c>
      <c r="I254" s="158"/>
      <c r="J254" s="159" t="s">
        <v>23</v>
      </c>
      <c r="K254" s="12">
        <v>5209.0</v>
      </c>
      <c r="L254" s="12"/>
      <c r="N254" s="158" t="s">
        <v>8384</v>
      </c>
      <c r="O254" s="158"/>
    </row>
    <row r="255">
      <c r="A255" s="158" t="s">
        <v>8476</v>
      </c>
      <c r="B255" s="158" t="s">
        <v>8352</v>
      </c>
      <c r="C255" s="158">
        <v>4.0</v>
      </c>
      <c r="D255" s="159">
        <v>1.0</v>
      </c>
      <c r="E255" s="158">
        <v>3.0</v>
      </c>
      <c r="F255" s="158">
        <v>11.0</v>
      </c>
      <c r="G255" s="158" t="s">
        <v>8528</v>
      </c>
      <c r="H255" s="158" t="s">
        <v>8407</v>
      </c>
      <c r="I255" s="158"/>
      <c r="J255" s="158"/>
      <c r="K255" s="158"/>
      <c r="L255" s="158"/>
      <c r="N255" s="158" t="s">
        <v>8384</v>
      </c>
      <c r="O255" s="158"/>
    </row>
    <row r="256">
      <c r="A256" s="158" t="s">
        <v>8476</v>
      </c>
      <c r="B256" s="158" t="s">
        <v>8352</v>
      </c>
      <c r="C256" s="158">
        <v>4.0</v>
      </c>
      <c r="D256" s="158">
        <v>2.0</v>
      </c>
      <c r="E256" s="158">
        <v>3.0</v>
      </c>
      <c r="F256" s="158">
        <v>11.0</v>
      </c>
      <c r="G256" s="158" t="s">
        <v>8528</v>
      </c>
      <c r="H256" s="158" t="s">
        <v>8408</v>
      </c>
      <c r="I256" s="158"/>
      <c r="J256" s="158"/>
      <c r="K256" s="158"/>
      <c r="L256" s="158"/>
      <c r="N256" s="158" t="s">
        <v>8384</v>
      </c>
      <c r="O256" s="158"/>
    </row>
    <row r="257">
      <c r="A257" s="158" t="s">
        <v>8476</v>
      </c>
      <c r="B257" s="158" t="s">
        <v>8352</v>
      </c>
      <c r="C257" s="158">
        <v>4.0</v>
      </c>
      <c r="D257" s="158">
        <v>3.0</v>
      </c>
      <c r="E257" s="158">
        <v>3.0</v>
      </c>
      <c r="F257" s="158">
        <v>11.0</v>
      </c>
      <c r="G257" s="158" t="s">
        <v>8528</v>
      </c>
      <c r="H257" s="158" t="s">
        <v>8409</v>
      </c>
      <c r="I257" s="158"/>
      <c r="J257" s="158"/>
      <c r="K257" s="158"/>
      <c r="L257" s="158"/>
      <c r="N257" s="158" t="s">
        <v>8384</v>
      </c>
      <c r="O257" s="158"/>
    </row>
    <row r="258">
      <c r="A258" s="158" t="s">
        <v>8476</v>
      </c>
      <c r="B258" s="158" t="s">
        <v>8352</v>
      </c>
      <c r="C258" s="158">
        <v>4.0</v>
      </c>
      <c r="D258" s="158">
        <v>4.0</v>
      </c>
      <c r="E258" s="158">
        <v>3.0</v>
      </c>
      <c r="F258" s="158">
        <v>11.0</v>
      </c>
      <c r="G258" s="158" t="s">
        <v>8528</v>
      </c>
      <c r="H258" s="158" t="s">
        <v>8410</v>
      </c>
      <c r="I258" s="158"/>
      <c r="J258" s="158"/>
      <c r="K258" s="158"/>
      <c r="L258" s="158"/>
      <c r="N258" s="158" t="s">
        <v>8384</v>
      </c>
      <c r="O258" s="158"/>
    </row>
    <row r="259">
      <c r="A259" s="158" t="s">
        <v>8476</v>
      </c>
      <c r="B259" s="158" t="s">
        <v>8352</v>
      </c>
      <c r="C259" s="158">
        <v>4.0</v>
      </c>
      <c r="D259" s="158">
        <v>5.0</v>
      </c>
      <c r="E259" s="158">
        <v>3.0</v>
      </c>
      <c r="F259" s="158">
        <v>11.0</v>
      </c>
      <c r="G259" s="158" t="s">
        <v>8528</v>
      </c>
      <c r="H259" s="158" t="s">
        <v>8411</v>
      </c>
      <c r="I259" s="158"/>
      <c r="J259" s="158"/>
      <c r="K259" s="158"/>
      <c r="L259" s="158"/>
      <c r="N259" s="158" t="s">
        <v>8384</v>
      </c>
      <c r="O259" s="158"/>
    </row>
    <row r="260">
      <c r="A260" s="158" t="s">
        <v>8476</v>
      </c>
      <c r="B260" s="158" t="s">
        <v>8352</v>
      </c>
      <c r="C260" s="158">
        <v>4.0</v>
      </c>
      <c r="D260" s="158">
        <v>6.0</v>
      </c>
      <c r="E260" s="158">
        <v>3.0</v>
      </c>
      <c r="F260" s="158">
        <v>11.0</v>
      </c>
      <c r="G260" s="158" t="s">
        <v>8528</v>
      </c>
      <c r="H260" s="158" t="s">
        <v>8412</v>
      </c>
      <c r="I260" s="158"/>
      <c r="J260" s="158"/>
      <c r="K260" s="158"/>
      <c r="L260" s="158"/>
      <c r="N260" s="158" t="s">
        <v>8384</v>
      </c>
      <c r="O260" s="158"/>
    </row>
    <row r="261">
      <c r="A261" s="158" t="s">
        <v>8476</v>
      </c>
      <c r="B261" s="158" t="s">
        <v>8352</v>
      </c>
      <c r="C261" s="158">
        <v>4.0</v>
      </c>
      <c r="D261" s="158">
        <v>7.0</v>
      </c>
      <c r="E261" s="158">
        <v>3.0</v>
      </c>
      <c r="F261" s="158">
        <v>11.0</v>
      </c>
      <c r="G261" s="158" t="s">
        <v>8528</v>
      </c>
      <c r="H261" s="158" t="s">
        <v>8413</v>
      </c>
      <c r="I261" s="158"/>
      <c r="J261" s="158"/>
      <c r="K261" s="158"/>
      <c r="L261" s="158"/>
      <c r="N261" s="158" t="s">
        <v>8384</v>
      </c>
      <c r="O261" s="158"/>
    </row>
    <row r="262">
      <c r="A262" s="158" t="s">
        <v>8476</v>
      </c>
      <c r="B262" s="158" t="s">
        <v>8352</v>
      </c>
      <c r="C262" s="158">
        <v>4.0</v>
      </c>
      <c r="D262" s="158">
        <v>8.0</v>
      </c>
      <c r="E262" s="158">
        <v>3.0</v>
      </c>
      <c r="F262" s="158">
        <v>11.0</v>
      </c>
      <c r="G262" s="158" t="s">
        <v>8528</v>
      </c>
      <c r="H262" s="158" t="s">
        <v>8414</v>
      </c>
      <c r="I262" s="158"/>
      <c r="J262" s="158"/>
      <c r="K262" s="158"/>
      <c r="L262" s="158"/>
      <c r="N262" s="158" t="s">
        <v>8384</v>
      </c>
      <c r="O262" s="158"/>
    </row>
    <row r="263">
      <c r="A263" s="158" t="s">
        <v>8476</v>
      </c>
      <c r="B263" s="158" t="s">
        <v>8352</v>
      </c>
      <c r="C263" s="158">
        <v>4.0</v>
      </c>
      <c r="D263" s="158">
        <v>9.0</v>
      </c>
      <c r="E263" s="158">
        <v>3.0</v>
      </c>
      <c r="F263" s="158">
        <v>11.0</v>
      </c>
      <c r="G263" s="158" t="s">
        <v>8528</v>
      </c>
      <c r="H263" s="158" t="s">
        <v>8415</v>
      </c>
      <c r="I263" s="158"/>
      <c r="J263" s="158"/>
      <c r="K263" s="158"/>
      <c r="L263" s="158"/>
      <c r="N263" s="158" t="s">
        <v>8384</v>
      </c>
      <c r="O263" s="158"/>
    </row>
    <row r="264">
      <c r="A264" s="158" t="s">
        <v>8476</v>
      </c>
      <c r="B264" s="158" t="s">
        <v>8352</v>
      </c>
      <c r="C264" s="158">
        <v>4.0</v>
      </c>
      <c r="D264" s="158">
        <v>10.0</v>
      </c>
      <c r="E264" s="158">
        <v>3.0</v>
      </c>
      <c r="F264" s="158">
        <v>11.0</v>
      </c>
      <c r="G264" s="158" t="s">
        <v>8528</v>
      </c>
      <c r="H264" s="158" t="s">
        <v>8416</v>
      </c>
      <c r="I264" s="158"/>
      <c r="J264" s="158"/>
      <c r="K264" s="158"/>
      <c r="L264" s="158"/>
      <c r="N264" s="158" t="s">
        <v>8384</v>
      </c>
      <c r="O264" s="158"/>
    </row>
    <row r="265">
      <c r="A265" s="158" t="s">
        <v>8476</v>
      </c>
      <c r="B265" s="158" t="s">
        <v>8352</v>
      </c>
      <c r="C265" s="158">
        <v>4.0</v>
      </c>
      <c r="D265" s="159">
        <v>1.0</v>
      </c>
      <c r="E265" s="158">
        <v>3.0</v>
      </c>
      <c r="F265" s="158">
        <v>12.0</v>
      </c>
      <c r="G265" s="158" t="s">
        <v>8529</v>
      </c>
      <c r="H265" s="158" t="s">
        <v>8407</v>
      </c>
      <c r="I265" s="158"/>
      <c r="J265" s="158"/>
      <c r="K265" s="158"/>
      <c r="L265" s="158"/>
      <c r="N265" s="158" t="s">
        <v>8384</v>
      </c>
      <c r="O265" s="158"/>
    </row>
    <row r="266">
      <c r="A266" s="158" t="s">
        <v>8476</v>
      </c>
      <c r="B266" s="158" t="s">
        <v>8352</v>
      </c>
      <c r="C266" s="158">
        <v>4.0</v>
      </c>
      <c r="D266" s="158">
        <v>2.0</v>
      </c>
      <c r="E266" s="158">
        <v>3.0</v>
      </c>
      <c r="F266" s="158">
        <v>12.0</v>
      </c>
      <c r="G266" s="158" t="s">
        <v>8529</v>
      </c>
      <c r="H266" s="158" t="s">
        <v>8408</v>
      </c>
      <c r="I266" s="158"/>
      <c r="J266" s="158"/>
      <c r="K266" s="158"/>
      <c r="L266" s="158"/>
      <c r="N266" s="158" t="s">
        <v>8384</v>
      </c>
      <c r="O266" s="158"/>
    </row>
    <row r="267">
      <c r="A267" s="158" t="s">
        <v>8476</v>
      </c>
      <c r="B267" s="158" t="s">
        <v>8352</v>
      </c>
      <c r="C267" s="158">
        <v>4.0</v>
      </c>
      <c r="D267" s="158">
        <v>3.0</v>
      </c>
      <c r="E267" s="158">
        <v>3.0</v>
      </c>
      <c r="F267" s="158">
        <v>12.0</v>
      </c>
      <c r="G267" s="158" t="s">
        <v>8529</v>
      </c>
      <c r="H267" s="158" t="s">
        <v>8409</v>
      </c>
      <c r="I267" s="158"/>
      <c r="J267" s="158"/>
      <c r="K267" s="158"/>
      <c r="L267" s="158"/>
      <c r="N267" s="158" t="s">
        <v>8384</v>
      </c>
      <c r="O267" s="158"/>
    </row>
    <row r="268">
      <c r="A268" s="158" t="s">
        <v>8476</v>
      </c>
      <c r="B268" s="158" t="s">
        <v>8352</v>
      </c>
      <c r="C268" s="158">
        <v>4.0</v>
      </c>
      <c r="D268" s="158">
        <v>4.0</v>
      </c>
      <c r="E268" s="158">
        <v>3.0</v>
      </c>
      <c r="F268" s="158">
        <v>12.0</v>
      </c>
      <c r="G268" s="158" t="s">
        <v>8529</v>
      </c>
      <c r="H268" s="158" t="s">
        <v>8410</v>
      </c>
      <c r="I268" s="158"/>
      <c r="J268" s="158"/>
      <c r="K268" s="158"/>
      <c r="L268" s="158"/>
      <c r="N268" s="158" t="s">
        <v>8384</v>
      </c>
      <c r="O268" s="158"/>
    </row>
    <row r="269">
      <c r="A269" s="158" t="s">
        <v>8476</v>
      </c>
      <c r="B269" s="158" t="s">
        <v>8352</v>
      </c>
      <c r="C269" s="158">
        <v>4.0</v>
      </c>
      <c r="D269" s="158">
        <v>5.0</v>
      </c>
      <c r="E269" s="158">
        <v>3.0</v>
      </c>
      <c r="F269" s="158">
        <v>12.0</v>
      </c>
      <c r="G269" s="158" t="s">
        <v>8529</v>
      </c>
      <c r="H269" s="158" t="s">
        <v>8411</v>
      </c>
      <c r="I269" s="158"/>
      <c r="J269" s="158"/>
      <c r="K269" s="158"/>
      <c r="L269" s="158"/>
      <c r="N269" s="158" t="s">
        <v>8384</v>
      </c>
      <c r="O269" s="158"/>
    </row>
    <row r="270">
      <c r="A270" s="158" t="s">
        <v>8476</v>
      </c>
      <c r="B270" s="158" t="s">
        <v>8352</v>
      </c>
      <c r="C270" s="158">
        <v>4.0</v>
      </c>
      <c r="D270" s="158">
        <v>6.0</v>
      </c>
      <c r="E270" s="158">
        <v>3.0</v>
      </c>
      <c r="F270" s="158">
        <v>12.0</v>
      </c>
      <c r="G270" s="158" t="s">
        <v>8529</v>
      </c>
      <c r="H270" s="158" t="s">
        <v>8412</v>
      </c>
      <c r="I270" s="158"/>
      <c r="J270" s="158"/>
      <c r="K270" s="158"/>
      <c r="L270" s="158"/>
      <c r="N270" s="158" t="s">
        <v>8384</v>
      </c>
      <c r="O270" s="158"/>
    </row>
    <row r="271">
      <c r="A271" s="158" t="s">
        <v>8476</v>
      </c>
      <c r="B271" s="158" t="s">
        <v>8352</v>
      </c>
      <c r="C271" s="158">
        <v>4.0</v>
      </c>
      <c r="D271" s="158">
        <v>7.0</v>
      </c>
      <c r="E271" s="158">
        <v>3.0</v>
      </c>
      <c r="F271" s="158">
        <v>12.0</v>
      </c>
      <c r="G271" s="158" t="s">
        <v>8529</v>
      </c>
      <c r="H271" s="158" t="s">
        <v>8413</v>
      </c>
      <c r="I271" s="158"/>
      <c r="J271" s="158"/>
      <c r="K271" s="158"/>
      <c r="L271" s="158"/>
      <c r="N271" s="158" t="s">
        <v>8384</v>
      </c>
      <c r="O271" s="158"/>
    </row>
    <row r="272">
      <c r="A272" s="158" t="s">
        <v>8476</v>
      </c>
      <c r="B272" s="158" t="s">
        <v>8352</v>
      </c>
      <c r="C272" s="158">
        <v>4.0</v>
      </c>
      <c r="D272" s="158">
        <v>8.0</v>
      </c>
      <c r="E272" s="158">
        <v>3.0</v>
      </c>
      <c r="F272" s="158">
        <v>12.0</v>
      </c>
      <c r="G272" s="158" t="s">
        <v>8529</v>
      </c>
      <c r="H272" s="158" t="s">
        <v>8414</v>
      </c>
      <c r="I272" s="158"/>
      <c r="J272" s="158"/>
      <c r="K272" s="158"/>
      <c r="L272" s="158"/>
      <c r="N272" s="158" t="s">
        <v>8384</v>
      </c>
      <c r="O272" s="158"/>
    </row>
    <row r="273">
      <c r="A273" s="158" t="s">
        <v>8476</v>
      </c>
      <c r="B273" s="158" t="s">
        <v>8352</v>
      </c>
      <c r="C273" s="158">
        <v>4.0</v>
      </c>
      <c r="D273" s="158">
        <v>9.0</v>
      </c>
      <c r="E273" s="158">
        <v>3.0</v>
      </c>
      <c r="F273" s="158">
        <v>12.0</v>
      </c>
      <c r="G273" s="158" t="s">
        <v>8529</v>
      </c>
      <c r="H273" s="158" t="s">
        <v>8415</v>
      </c>
      <c r="I273" s="158"/>
      <c r="J273" s="158"/>
      <c r="K273" s="158"/>
      <c r="L273" s="158"/>
      <c r="N273" s="158" t="s">
        <v>8384</v>
      </c>
      <c r="O273" s="158"/>
    </row>
    <row r="274">
      <c r="A274" s="158" t="s">
        <v>8476</v>
      </c>
      <c r="B274" s="158" t="s">
        <v>8352</v>
      </c>
      <c r="C274" s="158">
        <v>4.0</v>
      </c>
      <c r="D274" s="158">
        <v>10.0</v>
      </c>
      <c r="E274" s="158">
        <v>3.0</v>
      </c>
      <c r="F274" s="158">
        <v>12.0</v>
      </c>
      <c r="G274" s="158" t="s">
        <v>8529</v>
      </c>
      <c r="H274" s="158" t="s">
        <v>8416</v>
      </c>
      <c r="I274" s="158"/>
      <c r="J274" s="158"/>
      <c r="K274" s="158"/>
      <c r="L274" s="158"/>
      <c r="N274" s="158" t="s">
        <v>8384</v>
      </c>
      <c r="O274" s="158"/>
    </row>
    <row r="275">
      <c r="A275" s="158" t="s">
        <v>8476</v>
      </c>
      <c r="B275" s="158" t="s">
        <v>8352</v>
      </c>
      <c r="C275" s="158">
        <v>4.0</v>
      </c>
      <c r="D275" s="159">
        <v>1.0</v>
      </c>
      <c r="E275" s="158">
        <v>3.0</v>
      </c>
      <c r="F275" s="158">
        <v>13.0</v>
      </c>
      <c r="G275" s="158" t="s">
        <v>8530</v>
      </c>
      <c r="H275" s="158" t="s">
        <v>8407</v>
      </c>
      <c r="I275" s="158"/>
      <c r="J275" s="158"/>
      <c r="K275" s="158"/>
      <c r="L275" s="158"/>
      <c r="N275" s="158" t="s">
        <v>8384</v>
      </c>
      <c r="O275" s="158"/>
    </row>
    <row r="276">
      <c r="A276" s="158" t="s">
        <v>8476</v>
      </c>
      <c r="B276" s="158" t="s">
        <v>8352</v>
      </c>
      <c r="C276" s="158">
        <v>4.0</v>
      </c>
      <c r="D276" s="158">
        <v>2.0</v>
      </c>
      <c r="E276" s="158">
        <v>3.0</v>
      </c>
      <c r="F276" s="158">
        <v>13.0</v>
      </c>
      <c r="G276" s="158" t="s">
        <v>8530</v>
      </c>
      <c r="H276" s="158" t="s">
        <v>8408</v>
      </c>
      <c r="I276" s="158"/>
      <c r="J276" s="158"/>
      <c r="K276" s="158"/>
      <c r="L276" s="158"/>
      <c r="N276" s="158" t="s">
        <v>8384</v>
      </c>
      <c r="O276" s="158"/>
    </row>
    <row r="277">
      <c r="A277" s="158" t="s">
        <v>8476</v>
      </c>
      <c r="B277" s="158" t="s">
        <v>8352</v>
      </c>
      <c r="C277" s="158">
        <v>4.0</v>
      </c>
      <c r="D277" s="158">
        <v>3.0</v>
      </c>
      <c r="E277" s="158">
        <v>3.0</v>
      </c>
      <c r="F277" s="158">
        <v>13.0</v>
      </c>
      <c r="G277" s="158" t="s">
        <v>8530</v>
      </c>
      <c r="H277" s="158" t="s">
        <v>8409</v>
      </c>
      <c r="I277" s="158"/>
      <c r="J277" s="158"/>
      <c r="K277" s="158"/>
      <c r="L277" s="158"/>
      <c r="N277" s="158" t="s">
        <v>8384</v>
      </c>
      <c r="O277" s="158"/>
    </row>
    <row r="278">
      <c r="A278" s="158" t="s">
        <v>8476</v>
      </c>
      <c r="B278" s="158" t="s">
        <v>8352</v>
      </c>
      <c r="C278" s="158">
        <v>4.0</v>
      </c>
      <c r="D278" s="158">
        <v>4.0</v>
      </c>
      <c r="E278" s="158">
        <v>3.0</v>
      </c>
      <c r="F278" s="158">
        <v>13.0</v>
      </c>
      <c r="G278" s="158" t="s">
        <v>8530</v>
      </c>
      <c r="H278" s="158" t="s">
        <v>8410</v>
      </c>
      <c r="I278" s="158"/>
      <c r="J278" s="158"/>
      <c r="K278" s="158"/>
      <c r="L278" s="158"/>
      <c r="N278" s="158" t="s">
        <v>8384</v>
      </c>
      <c r="O278" s="158"/>
    </row>
    <row r="279">
      <c r="A279" s="158" t="s">
        <v>8476</v>
      </c>
      <c r="B279" s="158" t="s">
        <v>8352</v>
      </c>
      <c r="C279" s="158">
        <v>4.0</v>
      </c>
      <c r="D279" s="158">
        <v>5.0</v>
      </c>
      <c r="E279" s="158">
        <v>3.0</v>
      </c>
      <c r="F279" s="158">
        <v>13.0</v>
      </c>
      <c r="G279" s="158" t="s">
        <v>8530</v>
      </c>
      <c r="H279" s="158" t="s">
        <v>8411</v>
      </c>
      <c r="I279" s="158"/>
      <c r="J279" s="158"/>
      <c r="K279" s="158"/>
      <c r="L279" s="158"/>
      <c r="N279" s="158" t="s">
        <v>8384</v>
      </c>
      <c r="O279" s="158"/>
    </row>
    <row r="280">
      <c r="A280" s="158" t="s">
        <v>8476</v>
      </c>
      <c r="B280" s="158" t="s">
        <v>8352</v>
      </c>
      <c r="C280" s="158">
        <v>4.0</v>
      </c>
      <c r="D280" s="158">
        <v>6.0</v>
      </c>
      <c r="E280" s="158">
        <v>3.0</v>
      </c>
      <c r="F280" s="158">
        <v>13.0</v>
      </c>
      <c r="G280" s="158" t="s">
        <v>8530</v>
      </c>
      <c r="H280" s="158" t="s">
        <v>8412</v>
      </c>
      <c r="I280" s="158"/>
      <c r="J280" s="158"/>
      <c r="K280" s="158"/>
      <c r="L280" s="158"/>
      <c r="N280" s="158" t="s">
        <v>8384</v>
      </c>
      <c r="O280" s="158"/>
    </row>
    <row r="281">
      <c r="A281" s="158" t="s">
        <v>8476</v>
      </c>
      <c r="B281" s="158" t="s">
        <v>8352</v>
      </c>
      <c r="C281" s="158">
        <v>4.0</v>
      </c>
      <c r="D281" s="158">
        <v>7.0</v>
      </c>
      <c r="E281" s="158">
        <v>3.0</v>
      </c>
      <c r="F281" s="158">
        <v>13.0</v>
      </c>
      <c r="G281" s="158" t="s">
        <v>8530</v>
      </c>
      <c r="H281" s="158" t="s">
        <v>8413</v>
      </c>
      <c r="I281" s="158"/>
      <c r="J281" s="158"/>
      <c r="K281" s="158"/>
      <c r="L281" s="158"/>
      <c r="N281" s="158" t="s">
        <v>8384</v>
      </c>
      <c r="O281" s="158"/>
    </row>
    <row r="282">
      <c r="A282" s="158" t="s">
        <v>8476</v>
      </c>
      <c r="B282" s="158" t="s">
        <v>8352</v>
      </c>
      <c r="C282" s="158">
        <v>4.0</v>
      </c>
      <c r="D282" s="158">
        <v>8.0</v>
      </c>
      <c r="E282" s="158">
        <v>3.0</v>
      </c>
      <c r="F282" s="158">
        <v>13.0</v>
      </c>
      <c r="G282" s="158" t="s">
        <v>8530</v>
      </c>
      <c r="H282" s="158" t="s">
        <v>8414</v>
      </c>
      <c r="I282" s="158"/>
      <c r="J282" s="158"/>
      <c r="K282" s="158"/>
      <c r="L282" s="158"/>
      <c r="N282" s="158" t="s">
        <v>8384</v>
      </c>
      <c r="O282" s="158"/>
    </row>
    <row r="283">
      <c r="A283" s="158" t="s">
        <v>8476</v>
      </c>
      <c r="B283" s="158" t="s">
        <v>8352</v>
      </c>
      <c r="C283" s="158">
        <v>4.0</v>
      </c>
      <c r="D283" s="158">
        <v>9.0</v>
      </c>
      <c r="E283" s="158">
        <v>3.0</v>
      </c>
      <c r="F283" s="158">
        <v>13.0</v>
      </c>
      <c r="G283" s="158" t="s">
        <v>8530</v>
      </c>
      <c r="H283" s="158" t="s">
        <v>8415</v>
      </c>
      <c r="I283" s="158"/>
      <c r="J283" s="158"/>
      <c r="K283" s="158"/>
      <c r="L283" s="158"/>
      <c r="N283" s="158" t="s">
        <v>8384</v>
      </c>
      <c r="O283" s="158"/>
    </row>
    <row r="284">
      <c r="A284" s="158" t="s">
        <v>8476</v>
      </c>
      <c r="B284" s="158" t="s">
        <v>8352</v>
      </c>
      <c r="C284" s="158">
        <v>4.0</v>
      </c>
      <c r="D284" s="158">
        <v>10.0</v>
      </c>
      <c r="E284" s="158">
        <v>3.0</v>
      </c>
      <c r="F284" s="158">
        <v>13.0</v>
      </c>
      <c r="G284" s="158" t="s">
        <v>8530</v>
      </c>
      <c r="H284" s="158" t="s">
        <v>8416</v>
      </c>
      <c r="I284" s="158"/>
      <c r="J284" s="158"/>
      <c r="K284" s="158"/>
      <c r="L284" s="158"/>
      <c r="N284" s="158" t="s">
        <v>8384</v>
      </c>
      <c r="O284" s="158"/>
    </row>
    <row r="285">
      <c r="A285" s="158" t="s">
        <v>8476</v>
      </c>
      <c r="B285" s="158" t="s">
        <v>8352</v>
      </c>
      <c r="C285" s="158">
        <v>4.0</v>
      </c>
      <c r="D285" s="159">
        <v>1.0</v>
      </c>
      <c r="E285" s="158">
        <v>3.0</v>
      </c>
      <c r="F285" s="158">
        <v>14.0</v>
      </c>
      <c r="G285" s="158" t="s">
        <v>8531</v>
      </c>
      <c r="H285" s="158" t="s">
        <v>8407</v>
      </c>
      <c r="I285" s="158"/>
      <c r="J285" s="158"/>
      <c r="K285" s="158"/>
      <c r="L285" s="158"/>
      <c r="N285" s="158" t="s">
        <v>8384</v>
      </c>
      <c r="O285" s="158"/>
    </row>
    <row r="286">
      <c r="A286" s="158" t="s">
        <v>8476</v>
      </c>
      <c r="B286" s="158" t="s">
        <v>8352</v>
      </c>
      <c r="C286" s="158">
        <v>4.0</v>
      </c>
      <c r="D286" s="158">
        <v>2.0</v>
      </c>
      <c r="E286" s="158">
        <v>3.0</v>
      </c>
      <c r="F286" s="158">
        <v>14.0</v>
      </c>
      <c r="G286" s="158" t="s">
        <v>8531</v>
      </c>
      <c r="H286" s="158" t="s">
        <v>8408</v>
      </c>
      <c r="I286" s="158"/>
      <c r="J286" s="158"/>
      <c r="K286" s="158"/>
      <c r="L286" s="158"/>
      <c r="N286" s="158" t="s">
        <v>8384</v>
      </c>
      <c r="O286" s="158"/>
    </row>
    <row r="287">
      <c r="A287" s="158" t="s">
        <v>8476</v>
      </c>
      <c r="B287" s="158" t="s">
        <v>8352</v>
      </c>
      <c r="C287" s="158">
        <v>4.0</v>
      </c>
      <c r="D287" s="158">
        <v>3.0</v>
      </c>
      <c r="E287" s="158">
        <v>3.0</v>
      </c>
      <c r="F287" s="158">
        <v>14.0</v>
      </c>
      <c r="G287" s="158" t="s">
        <v>8531</v>
      </c>
      <c r="H287" s="158" t="s">
        <v>8409</v>
      </c>
      <c r="I287" s="158"/>
      <c r="J287" s="158"/>
      <c r="K287" s="158"/>
      <c r="L287" s="158"/>
      <c r="N287" s="158" t="s">
        <v>8384</v>
      </c>
      <c r="O287" s="158"/>
    </row>
    <row r="288">
      <c r="A288" s="158" t="s">
        <v>8476</v>
      </c>
      <c r="B288" s="158" t="s">
        <v>8352</v>
      </c>
      <c r="C288" s="158">
        <v>4.0</v>
      </c>
      <c r="D288" s="158">
        <v>4.0</v>
      </c>
      <c r="E288" s="158">
        <v>3.0</v>
      </c>
      <c r="F288" s="158">
        <v>14.0</v>
      </c>
      <c r="G288" s="158" t="s">
        <v>8531</v>
      </c>
      <c r="H288" s="158" t="s">
        <v>8410</v>
      </c>
      <c r="I288" s="158"/>
      <c r="J288" s="158"/>
      <c r="K288" s="158"/>
      <c r="L288" s="158"/>
      <c r="N288" s="158" t="s">
        <v>8384</v>
      </c>
      <c r="O288" s="158"/>
    </row>
    <row r="289">
      <c r="A289" s="158" t="s">
        <v>8476</v>
      </c>
      <c r="B289" s="158" t="s">
        <v>8352</v>
      </c>
      <c r="C289" s="158">
        <v>4.0</v>
      </c>
      <c r="D289" s="158">
        <v>5.0</v>
      </c>
      <c r="E289" s="158">
        <v>3.0</v>
      </c>
      <c r="F289" s="158">
        <v>14.0</v>
      </c>
      <c r="G289" s="158" t="s">
        <v>8531</v>
      </c>
      <c r="H289" s="158" t="s">
        <v>8411</v>
      </c>
      <c r="I289" s="158"/>
      <c r="J289" s="158"/>
      <c r="K289" s="158"/>
      <c r="L289" s="158"/>
      <c r="N289" s="158" t="s">
        <v>8384</v>
      </c>
      <c r="O289" s="158"/>
    </row>
    <row r="290">
      <c r="A290" s="158" t="s">
        <v>8476</v>
      </c>
      <c r="B290" s="158" t="s">
        <v>8352</v>
      </c>
      <c r="C290" s="158">
        <v>4.0</v>
      </c>
      <c r="D290" s="158">
        <v>6.0</v>
      </c>
      <c r="E290" s="158">
        <v>3.0</v>
      </c>
      <c r="F290" s="158">
        <v>14.0</v>
      </c>
      <c r="G290" s="158" t="s">
        <v>8531</v>
      </c>
      <c r="H290" s="158" t="s">
        <v>8412</v>
      </c>
      <c r="I290" s="158"/>
      <c r="J290" s="158"/>
      <c r="K290" s="158"/>
      <c r="L290" s="158"/>
      <c r="N290" s="158" t="s">
        <v>8384</v>
      </c>
      <c r="O290" s="158"/>
    </row>
    <row r="291">
      <c r="A291" s="158" t="s">
        <v>8476</v>
      </c>
      <c r="B291" s="158" t="s">
        <v>8352</v>
      </c>
      <c r="C291" s="158">
        <v>4.0</v>
      </c>
      <c r="D291" s="158">
        <v>7.0</v>
      </c>
      <c r="E291" s="158">
        <v>3.0</v>
      </c>
      <c r="F291" s="158">
        <v>14.0</v>
      </c>
      <c r="G291" s="158" t="s">
        <v>8531</v>
      </c>
      <c r="H291" s="158" t="s">
        <v>8413</v>
      </c>
      <c r="I291" s="158"/>
      <c r="J291" s="158"/>
      <c r="K291" s="158"/>
      <c r="L291" s="158"/>
      <c r="N291" s="158" t="s">
        <v>8384</v>
      </c>
      <c r="O291" s="158"/>
    </row>
    <row r="292">
      <c r="A292" s="158" t="s">
        <v>8476</v>
      </c>
      <c r="B292" s="158" t="s">
        <v>8352</v>
      </c>
      <c r="C292" s="158">
        <v>4.0</v>
      </c>
      <c r="D292" s="158">
        <v>8.0</v>
      </c>
      <c r="E292" s="158">
        <v>3.0</v>
      </c>
      <c r="F292" s="158">
        <v>14.0</v>
      </c>
      <c r="G292" s="158" t="s">
        <v>8531</v>
      </c>
      <c r="H292" s="158" t="s">
        <v>8414</v>
      </c>
      <c r="I292" s="158"/>
      <c r="J292" s="158"/>
      <c r="K292" s="158"/>
      <c r="L292" s="158"/>
      <c r="N292" s="158" t="s">
        <v>8384</v>
      </c>
      <c r="O292" s="158"/>
    </row>
    <row r="293">
      <c r="A293" s="158" t="s">
        <v>8476</v>
      </c>
      <c r="B293" s="158" t="s">
        <v>8352</v>
      </c>
      <c r="C293" s="158">
        <v>4.0</v>
      </c>
      <c r="D293" s="158">
        <v>9.0</v>
      </c>
      <c r="E293" s="158">
        <v>3.0</v>
      </c>
      <c r="F293" s="158">
        <v>14.0</v>
      </c>
      <c r="G293" s="158" t="s">
        <v>8531</v>
      </c>
      <c r="H293" s="158" t="s">
        <v>8415</v>
      </c>
      <c r="I293" s="158"/>
      <c r="J293" s="158"/>
      <c r="K293" s="158"/>
      <c r="L293" s="158"/>
      <c r="N293" s="158" t="s">
        <v>8384</v>
      </c>
      <c r="O293" s="158"/>
    </row>
    <row r="294">
      <c r="A294" s="158" t="s">
        <v>8476</v>
      </c>
      <c r="B294" s="158" t="s">
        <v>8352</v>
      </c>
      <c r="C294" s="158">
        <v>4.0</v>
      </c>
      <c r="D294" s="158">
        <v>10.0</v>
      </c>
      <c r="E294" s="158">
        <v>3.0</v>
      </c>
      <c r="F294" s="158">
        <v>14.0</v>
      </c>
      <c r="G294" s="158" t="s">
        <v>8531</v>
      </c>
      <c r="H294" s="158" t="s">
        <v>8416</v>
      </c>
      <c r="I294" s="158"/>
      <c r="J294" s="158"/>
      <c r="K294" s="158"/>
      <c r="L294" s="158"/>
      <c r="N294" s="158" t="s">
        <v>8384</v>
      </c>
      <c r="O294" s="158"/>
    </row>
    <row r="295">
      <c r="A295" s="158" t="s">
        <v>8476</v>
      </c>
      <c r="B295" s="158" t="s">
        <v>8352</v>
      </c>
      <c r="C295" s="158">
        <v>4.0</v>
      </c>
      <c r="D295" s="159">
        <v>1.0</v>
      </c>
      <c r="E295" s="158">
        <v>3.0</v>
      </c>
      <c r="F295" s="158">
        <v>15.0</v>
      </c>
      <c r="G295" s="158" t="s">
        <v>8532</v>
      </c>
      <c r="H295" s="158" t="s">
        <v>8407</v>
      </c>
      <c r="I295" s="158"/>
      <c r="J295" s="158"/>
      <c r="K295" s="158"/>
      <c r="L295" s="158"/>
      <c r="N295" s="158" t="s">
        <v>8384</v>
      </c>
      <c r="O295" s="158"/>
    </row>
    <row r="296">
      <c r="A296" s="158" t="s">
        <v>8476</v>
      </c>
      <c r="B296" s="158" t="s">
        <v>8352</v>
      </c>
      <c r="C296" s="158">
        <v>4.0</v>
      </c>
      <c r="D296" s="158">
        <v>2.0</v>
      </c>
      <c r="E296" s="158">
        <v>3.0</v>
      </c>
      <c r="F296" s="158">
        <v>15.0</v>
      </c>
      <c r="G296" s="158" t="s">
        <v>8532</v>
      </c>
      <c r="H296" s="158" t="s">
        <v>8408</v>
      </c>
      <c r="I296" s="158"/>
      <c r="J296" s="158"/>
      <c r="K296" s="158"/>
      <c r="L296" s="158"/>
      <c r="N296" s="158" t="s">
        <v>8384</v>
      </c>
      <c r="O296" s="158"/>
    </row>
    <row r="297">
      <c r="A297" s="158" t="s">
        <v>8476</v>
      </c>
      <c r="B297" s="158" t="s">
        <v>8352</v>
      </c>
      <c r="C297" s="158">
        <v>4.0</v>
      </c>
      <c r="D297" s="158">
        <v>3.0</v>
      </c>
      <c r="E297" s="158">
        <v>3.0</v>
      </c>
      <c r="F297" s="158">
        <v>15.0</v>
      </c>
      <c r="G297" s="158" t="s">
        <v>8532</v>
      </c>
      <c r="H297" s="158" t="s">
        <v>8409</v>
      </c>
      <c r="I297" s="158"/>
      <c r="J297" s="158"/>
      <c r="K297" s="158"/>
      <c r="L297" s="158"/>
      <c r="N297" s="158" t="s">
        <v>8384</v>
      </c>
      <c r="O297" s="158"/>
    </row>
    <row r="298">
      <c r="A298" s="158" t="s">
        <v>8476</v>
      </c>
      <c r="B298" s="158" t="s">
        <v>8352</v>
      </c>
      <c r="C298" s="158">
        <v>4.0</v>
      </c>
      <c r="D298" s="158">
        <v>4.0</v>
      </c>
      <c r="E298" s="158">
        <v>3.0</v>
      </c>
      <c r="F298" s="158">
        <v>15.0</v>
      </c>
      <c r="G298" s="158" t="s">
        <v>8532</v>
      </c>
      <c r="H298" s="158" t="s">
        <v>8410</v>
      </c>
      <c r="I298" s="158"/>
      <c r="J298" s="158"/>
      <c r="K298" s="158"/>
      <c r="L298" s="158"/>
      <c r="N298" s="158" t="s">
        <v>8384</v>
      </c>
      <c r="O298" s="158"/>
    </row>
    <row r="299">
      <c r="A299" s="158" t="s">
        <v>8476</v>
      </c>
      <c r="B299" s="158" t="s">
        <v>8352</v>
      </c>
      <c r="C299" s="158">
        <v>4.0</v>
      </c>
      <c r="D299" s="158">
        <v>5.0</v>
      </c>
      <c r="E299" s="158">
        <v>3.0</v>
      </c>
      <c r="F299" s="158">
        <v>15.0</v>
      </c>
      <c r="G299" s="158" t="s">
        <v>8532</v>
      </c>
      <c r="H299" s="158" t="s">
        <v>8411</v>
      </c>
      <c r="I299" s="158"/>
      <c r="J299" s="158"/>
      <c r="K299" s="158"/>
      <c r="L299" s="158"/>
      <c r="N299" s="158" t="s">
        <v>8384</v>
      </c>
      <c r="O299" s="158"/>
    </row>
    <row r="300">
      <c r="A300" s="158" t="s">
        <v>8476</v>
      </c>
      <c r="B300" s="158" t="s">
        <v>8352</v>
      </c>
      <c r="C300" s="158">
        <v>4.0</v>
      </c>
      <c r="D300" s="158">
        <v>6.0</v>
      </c>
      <c r="E300" s="158">
        <v>3.0</v>
      </c>
      <c r="F300" s="158">
        <v>15.0</v>
      </c>
      <c r="G300" s="158" t="s">
        <v>8532</v>
      </c>
      <c r="H300" s="158" t="s">
        <v>8412</v>
      </c>
      <c r="I300" s="158"/>
      <c r="J300" s="158"/>
      <c r="K300" s="158"/>
      <c r="L300" s="158"/>
      <c r="N300" s="158" t="s">
        <v>8384</v>
      </c>
      <c r="O300" s="158"/>
    </row>
    <row r="301">
      <c r="A301" s="158" t="s">
        <v>8476</v>
      </c>
      <c r="B301" s="158" t="s">
        <v>8352</v>
      </c>
      <c r="C301" s="158">
        <v>4.0</v>
      </c>
      <c r="D301" s="158">
        <v>7.0</v>
      </c>
      <c r="E301" s="158">
        <v>3.0</v>
      </c>
      <c r="F301" s="158">
        <v>15.0</v>
      </c>
      <c r="G301" s="158" t="s">
        <v>8532</v>
      </c>
      <c r="H301" s="158" t="s">
        <v>8413</v>
      </c>
      <c r="I301" s="158"/>
      <c r="J301" s="158"/>
      <c r="K301" s="158"/>
      <c r="L301" s="158"/>
      <c r="N301" s="158" t="s">
        <v>8384</v>
      </c>
      <c r="O301" s="158"/>
    </row>
    <row r="302">
      <c r="A302" s="158" t="s">
        <v>8476</v>
      </c>
      <c r="B302" s="158" t="s">
        <v>8352</v>
      </c>
      <c r="C302" s="158">
        <v>4.0</v>
      </c>
      <c r="D302" s="158">
        <v>8.0</v>
      </c>
      <c r="E302" s="158">
        <v>3.0</v>
      </c>
      <c r="F302" s="158">
        <v>15.0</v>
      </c>
      <c r="G302" s="158" t="s">
        <v>8532</v>
      </c>
      <c r="H302" s="158" t="s">
        <v>8414</v>
      </c>
      <c r="I302" s="158"/>
      <c r="J302" s="158"/>
      <c r="K302" s="158"/>
      <c r="L302" s="158"/>
      <c r="N302" s="158" t="s">
        <v>8384</v>
      </c>
      <c r="O302" s="158"/>
    </row>
    <row r="303">
      <c r="A303" s="158" t="s">
        <v>8476</v>
      </c>
      <c r="B303" s="158" t="s">
        <v>8352</v>
      </c>
      <c r="C303" s="158">
        <v>4.0</v>
      </c>
      <c r="D303" s="158">
        <v>9.0</v>
      </c>
      <c r="E303" s="158">
        <v>3.0</v>
      </c>
      <c r="F303" s="158">
        <v>15.0</v>
      </c>
      <c r="G303" s="158" t="s">
        <v>8532</v>
      </c>
      <c r="H303" s="158" t="s">
        <v>8415</v>
      </c>
      <c r="I303" s="158"/>
      <c r="J303" s="158"/>
      <c r="K303" s="158"/>
      <c r="L303" s="158"/>
      <c r="N303" s="158" t="s">
        <v>8384</v>
      </c>
      <c r="O303" s="158"/>
    </row>
    <row r="304">
      <c r="A304" s="158" t="s">
        <v>8476</v>
      </c>
      <c r="B304" s="158" t="s">
        <v>8352</v>
      </c>
      <c r="C304" s="158">
        <v>4.0</v>
      </c>
      <c r="D304" s="158">
        <v>10.0</v>
      </c>
      <c r="E304" s="158">
        <v>3.0</v>
      </c>
      <c r="F304" s="158">
        <v>15.0</v>
      </c>
      <c r="G304" s="158" t="s">
        <v>8532</v>
      </c>
      <c r="H304" s="158" t="s">
        <v>8416</v>
      </c>
      <c r="I304" s="158"/>
      <c r="J304" s="158"/>
      <c r="K304" s="158"/>
      <c r="L304" s="158"/>
      <c r="N304" s="158" t="s">
        <v>8384</v>
      </c>
      <c r="O304" s="158"/>
    </row>
    <row r="305">
      <c r="A305" s="158" t="s">
        <v>8476</v>
      </c>
      <c r="B305" s="158" t="s">
        <v>8352</v>
      </c>
      <c r="C305" s="158">
        <v>4.0</v>
      </c>
      <c r="D305" s="159">
        <v>1.0</v>
      </c>
      <c r="E305" s="158">
        <v>3.0</v>
      </c>
      <c r="F305" s="158">
        <v>16.0</v>
      </c>
      <c r="G305" s="158" t="s">
        <v>8533</v>
      </c>
      <c r="H305" s="158" t="s">
        <v>8407</v>
      </c>
      <c r="I305" s="158"/>
      <c r="J305" s="158"/>
      <c r="K305" s="158"/>
      <c r="L305" s="158"/>
      <c r="N305" s="158" t="s">
        <v>8384</v>
      </c>
      <c r="O305" s="158"/>
    </row>
    <row r="306">
      <c r="A306" s="158" t="s">
        <v>8476</v>
      </c>
      <c r="B306" s="158" t="s">
        <v>8352</v>
      </c>
      <c r="C306" s="158">
        <v>4.0</v>
      </c>
      <c r="D306" s="158">
        <v>2.0</v>
      </c>
      <c r="E306" s="158">
        <v>3.0</v>
      </c>
      <c r="F306" s="158">
        <v>16.0</v>
      </c>
      <c r="G306" s="158" t="s">
        <v>8533</v>
      </c>
      <c r="H306" s="158" t="s">
        <v>8408</v>
      </c>
      <c r="I306" s="158"/>
      <c r="J306" s="158"/>
      <c r="K306" s="158"/>
      <c r="L306" s="158"/>
      <c r="N306" s="158" t="s">
        <v>8384</v>
      </c>
      <c r="O306" s="158"/>
    </row>
    <row r="307">
      <c r="A307" s="158" t="s">
        <v>8476</v>
      </c>
      <c r="B307" s="158" t="s">
        <v>8352</v>
      </c>
      <c r="C307" s="158">
        <v>4.0</v>
      </c>
      <c r="D307" s="158">
        <v>3.0</v>
      </c>
      <c r="E307" s="158">
        <v>3.0</v>
      </c>
      <c r="F307" s="158">
        <v>16.0</v>
      </c>
      <c r="G307" s="158" t="s">
        <v>8533</v>
      </c>
      <c r="H307" s="158" t="s">
        <v>8409</v>
      </c>
      <c r="I307" s="158"/>
      <c r="J307" s="158"/>
      <c r="K307" s="158"/>
      <c r="L307" s="158"/>
      <c r="N307" s="158" t="s">
        <v>8384</v>
      </c>
      <c r="O307" s="158"/>
    </row>
    <row r="308">
      <c r="A308" s="158" t="s">
        <v>8476</v>
      </c>
      <c r="B308" s="158" t="s">
        <v>8352</v>
      </c>
      <c r="C308" s="158">
        <v>4.0</v>
      </c>
      <c r="D308" s="158">
        <v>4.0</v>
      </c>
      <c r="E308" s="158">
        <v>3.0</v>
      </c>
      <c r="F308" s="158">
        <v>16.0</v>
      </c>
      <c r="G308" s="158" t="s">
        <v>8533</v>
      </c>
      <c r="H308" s="158" t="s">
        <v>8410</v>
      </c>
      <c r="I308" s="158"/>
      <c r="J308" s="158"/>
      <c r="K308" s="158"/>
      <c r="L308" s="158"/>
      <c r="N308" s="158" t="s">
        <v>8384</v>
      </c>
      <c r="O308" s="158"/>
    </row>
    <row r="309">
      <c r="A309" s="158" t="s">
        <v>8476</v>
      </c>
      <c r="B309" s="158" t="s">
        <v>8352</v>
      </c>
      <c r="C309" s="158">
        <v>4.0</v>
      </c>
      <c r="D309" s="158">
        <v>5.0</v>
      </c>
      <c r="E309" s="158">
        <v>3.0</v>
      </c>
      <c r="F309" s="158">
        <v>16.0</v>
      </c>
      <c r="G309" s="158" t="s">
        <v>8533</v>
      </c>
      <c r="H309" s="158" t="s">
        <v>8411</v>
      </c>
      <c r="I309" s="158"/>
      <c r="J309" s="158"/>
      <c r="K309" s="158"/>
      <c r="L309" s="158"/>
      <c r="N309" s="158" t="s">
        <v>8384</v>
      </c>
      <c r="O309" s="158"/>
    </row>
    <row r="310">
      <c r="A310" s="158" t="s">
        <v>8476</v>
      </c>
      <c r="B310" s="158" t="s">
        <v>8352</v>
      </c>
      <c r="C310" s="158">
        <v>4.0</v>
      </c>
      <c r="D310" s="158">
        <v>6.0</v>
      </c>
      <c r="E310" s="158">
        <v>3.0</v>
      </c>
      <c r="F310" s="158">
        <v>16.0</v>
      </c>
      <c r="G310" s="158" t="s">
        <v>8533</v>
      </c>
      <c r="H310" s="158" t="s">
        <v>8412</v>
      </c>
      <c r="I310" s="158"/>
      <c r="J310" s="158"/>
      <c r="K310" s="158"/>
      <c r="L310" s="158"/>
      <c r="N310" s="158" t="s">
        <v>8384</v>
      </c>
      <c r="O310" s="158"/>
    </row>
    <row r="311">
      <c r="A311" s="158" t="s">
        <v>8476</v>
      </c>
      <c r="B311" s="158" t="s">
        <v>8352</v>
      </c>
      <c r="C311" s="158">
        <v>4.0</v>
      </c>
      <c r="D311" s="158">
        <v>7.0</v>
      </c>
      <c r="E311" s="158">
        <v>3.0</v>
      </c>
      <c r="F311" s="158">
        <v>16.0</v>
      </c>
      <c r="G311" s="158" t="s">
        <v>8533</v>
      </c>
      <c r="H311" s="158" t="s">
        <v>8413</v>
      </c>
      <c r="I311" s="158"/>
      <c r="J311" s="158"/>
      <c r="K311" s="158"/>
      <c r="L311" s="158"/>
      <c r="N311" s="158" t="s">
        <v>8384</v>
      </c>
      <c r="O311" s="158"/>
    </row>
    <row r="312">
      <c r="A312" s="158" t="s">
        <v>8476</v>
      </c>
      <c r="B312" s="158" t="s">
        <v>8352</v>
      </c>
      <c r="C312" s="158">
        <v>4.0</v>
      </c>
      <c r="D312" s="158">
        <v>8.0</v>
      </c>
      <c r="E312" s="158">
        <v>3.0</v>
      </c>
      <c r="F312" s="158">
        <v>16.0</v>
      </c>
      <c r="G312" s="158" t="s">
        <v>8533</v>
      </c>
      <c r="H312" s="158" t="s">
        <v>8414</v>
      </c>
      <c r="I312" s="158"/>
      <c r="J312" s="158"/>
      <c r="K312" s="158"/>
      <c r="L312" s="158"/>
      <c r="N312" s="158" t="s">
        <v>8384</v>
      </c>
      <c r="O312" s="158"/>
    </row>
    <row r="313">
      <c r="A313" s="158" t="s">
        <v>8476</v>
      </c>
      <c r="B313" s="158" t="s">
        <v>8352</v>
      </c>
      <c r="C313" s="158">
        <v>4.0</v>
      </c>
      <c r="D313" s="158">
        <v>9.0</v>
      </c>
      <c r="E313" s="158">
        <v>3.0</v>
      </c>
      <c r="F313" s="158">
        <v>16.0</v>
      </c>
      <c r="G313" s="158" t="s">
        <v>8533</v>
      </c>
      <c r="H313" s="158" t="s">
        <v>8415</v>
      </c>
      <c r="I313" s="158"/>
      <c r="J313" s="158"/>
      <c r="K313" s="158"/>
      <c r="L313" s="158"/>
      <c r="N313" s="158" t="s">
        <v>8384</v>
      </c>
      <c r="O313" s="158"/>
    </row>
    <row r="314">
      <c r="A314" s="158" t="s">
        <v>8476</v>
      </c>
      <c r="B314" s="158" t="s">
        <v>8352</v>
      </c>
      <c r="C314" s="158">
        <v>4.0</v>
      </c>
      <c r="D314" s="158">
        <v>10.0</v>
      </c>
      <c r="E314" s="158">
        <v>3.0</v>
      </c>
      <c r="F314" s="158">
        <v>16.0</v>
      </c>
      <c r="G314" s="158" t="s">
        <v>8533</v>
      </c>
      <c r="H314" s="158" t="s">
        <v>8416</v>
      </c>
      <c r="I314" s="158"/>
      <c r="J314" s="158"/>
      <c r="K314" s="158"/>
      <c r="L314" s="158"/>
      <c r="N314" s="158" t="s">
        <v>8384</v>
      </c>
      <c r="O314" s="158"/>
    </row>
    <row r="315">
      <c r="A315" s="158" t="s">
        <v>8476</v>
      </c>
      <c r="B315" s="158" t="s">
        <v>8352</v>
      </c>
      <c r="C315" s="158">
        <v>4.0</v>
      </c>
      <c r="D315" s="159">
        <v>1.0</v>
      </c>
      <c r="E315" s="158">
        <v>3.0</v>
      </c>
      <c r="F315" s="158">
        <v>17.0</v>
      </c>
      <c r="G315" s="158" t="s">
        <v>8534</v>
      </c>
      <c r="H315" s="158" t="s">
        <v>8407</v>
      </c>
      <c r="I315" s="158"/>
      <c r="J315" s="158"/>
      <c r="K315" s="158"/>
      <c r="L315" s="158"/>
      <c r="N315" s="158" t="s">
        <v>8384</v>
      </c>
      <c r="O315" s="158"/>
    </row>
    <row r="316">
      <c r="A316" s="158" t="s">
        <v>8476</v>
      </c>
      <c r="B316" s="158" t="s">
        <v>8352</v>
      </c>
      <c r="C316" s="158">
        <v>4.0</v>
      </c>
      <c r="D316" s="158">
        <v>2.0</v>
      </c>
      <c r="E316" s="158">
        <v>3.0</v>
      </c>
      <c r="F316" s="158">
        <v>17.0</v>
      </c>
      <c r="G316" s="158" t="s">
        <v>8534</v>
      </c>
      <c r="H316" s="158" t="s">
        <v>8408</v>
      </c>
      <c r="I316" s="158"/>
      <c r="J316" s="158"/>
      <c r="K316" s="158"/>
      <c r="L316" s="158"/>
      <c r="N316" s="158" t="s">
        <v>8384</v>
      </c>
      <c r="O316" s="158"/>
    </row>
    <row r="317">
      <c r="A317" s="158" t="s">
        <v>8476</v>
      </c>
      <c r="B317" s="158" t="s">
        <v>8352</v>
      </c>
      <c r="C317" s="158">
        <v>4.0</v>
      </c>
      <c r="D317" s="158">
        <v>3.0</v>
      </c>
      <c r="E317" s="158">
        <v>3.0</v>
      </c>
      <c r="F317" s="158">
        <v>17.0</v>
      </c>
      <c r="G317" s="158" t="s">
        <v>8534</v>
      </c>
      <c r="H317" s="158" t="s">
        <v>8409</v>
      </c>
      <c r="I317" s="158"/>
      <c r="J317" s="158"/>
      <c r="K317" s="158"/>
      <c r="L317" s="158"/>
      <c r="N317" s="158" t="s">
        <v>8384</v>
      </c>
      <c r="O317" s="158"/>
    </row>
    <row r="318">
      <c r="A318" s="158" t="s">
        <v>8476</v>
      </c>
      <c r="B318" s="158" t="s">
        <v>8352</v>
      </c>
      <c r="C318" s="158">
        <v>4.0</v>
      </c>
      <c r="D318" s="158">
        <v>4.0</v>
      </c>
      <c r="E318" s="158">
        <v>3.0</v>
      </c>
      <c r="F318" s="158">
        <v>17.0</v>
      </c>
      <c r="G318" s="158" t="s">
        <v>8534</v>
      </c>
      <c r="H318" s="158" t="s">
        <v>8410</v>
      </c>
      <c r="I318" s="158"/>
      <c r="J318" s="158"/>
      <c r="K318" s="158"/>
      <c r="L318" s="158"/>
      <c r="N318" s="158" t="s">
        <v>8384</v>
      </c>
      <c r="O318" s="158"/>
    </row>
    <row r="319">
      <c r="A319" s="158" t="s">
        <v>8476</v>
      </c>
      <c r="B319" s="158" t="s">
        <v>8352</v>
      </c>
      <c r="C319" s="158">
        <v>4.0</v>
      </c>
      <c r="D319" s="158">
        <v>5.0</v>
      </c>
      <c r="E319" s="158">
        <v>3.0</v>
      </c>
      <c r="F319" s="158">
        <v>17.0</v>
      </c>
      <c r="G319" s="158" t="s">
        <v>8534</v>
      </c>
      <c r="H319" s="158" t="s">
        <v>8411</v>
      </c>
      <c r="I319" s="158"/>
      <c r="J319" s="158"/>
      <c r="K319" s="158"/>
      <c r="L319" s="158"/>
      <c r="N319" s="158" t="s">
        <v>8384</v>
      </c>
      <c r="O319" s="158"/>
    </row>
    <row r="320">
      <c r="A320" s="158" t="s">
        <v>8476</v>
      </c>
      <c r="B320" s="158" t="s">
        <v>8352</v>
      </c>
      <c r="C320" s="158">
        <v>4.0</v>
      </c>
      <c r="D320" s="158">
        <v>6.0</v>
      </c>
      <c r="E320" s="158">
        <v>3.0</v>
      </c>
      <c r="F320" s="158">
        <v>17.0</v>
      </c>
      <c r="G320" s="158" t="s">
        <v>8534</v>
      </c>
      <c r="H320" s="158" t="s">
        <v>8412</v>
      </c>
      <c r="I320" s="158"/>
      <c r="J320" s="158"/>
      <c r="K320" s="158"/>
      <c r="L320" s="158"/>
      <c r="N320" s="158" t="s">
        <v>8384</v>
      </c>
      <c r="O320" s="158"/>
    </row>
    <row r="321">
      <c r="A321" s="158" t="s">
        <v>8476</v>
      </c>
      <c r="B321" s="158" t="s">
        <v>8352</v>
      </c>
      <c r="C321" s="158">
        <v>4.0</v>
      </c>
      <c r="D321" s="158">
        <v>7.0</v>
      </c>
      <c r="E321" s="158">
        <v>3.0</v>
      </c>
      <c r="F321" s="158">
        <v>17.0</v>
      </c>
      <c r="G321" s="158" t="s">
        <v>8534</v>
      </c>
      <c r="H321" s="158" t="s">
        <v>8413</v>
      </c>
      <c r="I321" s="158"/>
      <c r="J321" s="158"/>
      <c r="K321" s="158"/>
      <c r="L321" s="158"/>
      <c r="N321" s="158" t="s">
        <v>8384</v>
      </c>
      <c r="O321" s="158"/>
    </row>
    <row r="322">
      <c r="A322" s="158" t="s">
        <v>8476</v>
      </c>
      <c r="B322" s="158" t="s">
        <v>8352</v>
      </c>
      <c r="C322" s="158">
        <v>4.0</v>
      </c>
      <c r="D322" s="158">
        <v>8.0</v>
      </c>
      <c r="E322" s="158">
        <v>3.0</v>
      </c>
      <c r="F322" s="158">
        <v>17.0</v>
      </c>
      <c r="G322" s="158" t="s">
        <v>8534</v>
      </c>
      <c r="H322" s="158" t="s">
        <v>8414</v>
      </c>
      <c r="I322" s="158"/>
      <c r="J322" s="158"/>
      <c r="K322" s="158"/>
      <c r="L322" s="158"/>
      <c r="N322" s="158" t="s">
        <v>8384</v>
      </c>
      <c r="O322" s="158"/>
    </row>
    <row r="323">
      <c r="A323" s="158" t="s">
        <v>8476</v>
      </c>
      <c r="B323" s="158" t="s">
        <v>8352</v>
      </c>
      <c r="C323" s="158">
        <v>4.0</v>
      </c>
      <c r="D323" s="158">
        <v>9.0</v>
      </c>
      <c r="E323" s="158">
        <v>3.0</v>
      </c>
      <c r="F323" s="158">
        <v>17.0</v>
      </c>
      <c r="G323" s="158" t="s">
        <v>8534</v>
      </c>
      <c r="H323" s="158" t="s">
        <v>8415</v>
      </c>
      <c r="I323" s="158"/>
      <c r="J323" s="158"/>
      <c r="K323" s="158"/>
      <c r="L323" s="158"/>
      <c r="N323" s="158" t="s">
        <v>8384</v>
      </c>
      <c r="O323" s="158"/>
    </row>
    <row r="324">
      <c r="A324" s="158" t="s">
        <v>8476</v>
      </c>
      <c r="B324" s="158" t="s">
        <v>8352</v>
      </c>
      <c r="C324" s="158">
        <v>4.0</v>
      </c>
      <c r="D324" s="158">
        <v>10.0</v>
      </c>
      <c r="E324" s="158">
        <v>3.0</v>
      </c>
      <c r="F324" s="158">
        <v>17.0</v>
      </c>
      <c r="G324" s="158" t="s">
        <v>8534</v>
      </c>
      <c r="H324" s="158" t="s">
        <v>8416</v>
      </c>
      <c r="I324" s="158"/>
      <c r="J324" s="158"/>
      <c r="K324" s="158"/>
      <c r="L324" s="158"/>
      <c r="N324" s="158" t="s">
        <v>8384</v>
      </c>
      <c r="O324" s="158"/>
    </row>
    <row r="325">
      <c r="A325" s="158" t="s">
        <v>8476</v>
      </c>
      <c r="B325" s="158" t="s">
        <v>8352</v>
      </c>
      <c r="C325" s="158">
        <v>5.0</v>
      </c>
      <c r="D325" s="159">
        <v>1.0</v>
      </c>
      <c r="E325" s="158">
        <v>4.0</v>
      </c>
      <c r="F325" s="158">
        <v>1.0</v>
      </c>
      <c r="G325" s="158" t="s">
        <v>8406</v>
      </c>
      <c r="H325" s="161" t="s">
        <v>8417</v>
      </c>
      <c r="I325" s="158" t="s">
        <v>6507</v>
      </c>
      <c r="J325" s="169" t="s">
        <v>8535</v>
      </c>
      <c r="K325" s="158">
        <v>5.0</v>
      </c>
      <c r="L325" s="158"/>
      <c r="N325" s="158" t="s">
        <v>8395</v>
      </c>
      <c r="O325" s="158"/>
    </row>
    <row r="326">
      <c r="A326" s="158" t="s">
        <v>8476</v>
      </c>
      <c r="B326" s="158" t="s">
        <v>8352</v>
      </c>
      <c r="C326" s="158">
        <v>5.0</v>
      </c>
      <c r="D326" s="158">
        <v>2.0</v>
      </c>
      <c r="E326" s="158">
        <v>4.0</v>
      </c>
      <c r="F326" s="158">
        <v>2.0</v>
      </c>
      <c r="G326" s="158" t="s">
        <v>8406</v>
      </c>
      <c r="H326" s="161" t="s">
        <v>8418</v>
      </c>
      <c r="I326" s="158" t="s">
        <v>6492</v>
      </c>
      <c r="J326" s="169" t="s">
        <v>8535</v>
      </c>
      <c r="K326" s="158">
        <v>5.0</v>
      </c>
      <c r="L326" s="158"/>
      <c r="N326" s="158" t="s">
        <v>8395</v>
      </c>
      <c r="O326" s="158"/>
    </row>
    <row r="327">
      <c r="A327" s="158" t="s">
        <v>8476</v>
      </c>
      <c r="B327" s="158" t="s">
        <v>8352</v>
      </c>
      <c r="C327" s="158">
        <v>5.0</v>
      </c>
      <c r="D327" s="158">
        <v>3.0</v>
      </c>
      <c r="E327" s="158">
        <v>4.0</v>
      </c>
      <c r="F327" s="158">
        <v>3.0</v>
      </c>
      <c r="G327" s="158" t="s">
        <v>8406</v>
      </c>
      <c r="H327" s="161" t="s">
        <v>8419</v>
      </c>
      <c r="I327" s="158" t="s">
        <v>6978</v>
      </c>
      <c r="J327" s="169" t="s">
        <v>8535</v>
      </c>
      <c r="K327" s="158">
        <v>5.0</v>
      </c>
      <c r="L327" s="158"/>
      <c r="N327" s="158" t="s">
        <v>8395</v>
      </c>
      <c r="O327" s="158"/>
    </row>
    <row r="328">
      <c r="A328" s="158" t="s">
        <v>8476</v>
      </c>
      <c r="B328" s="158" t="s">
        <v>8352</v>
      </c>
      <c r="C328" s="158">
        <v>5.0</v>
      </c>
      <c r="D328" s="158">
        <v>4.0</v>
      </c>
      <c r="E328" s="158">
        <v>4.0</v>
      </c>
      <c r="F328" s="158">
        <v>4.0</v>
      </c>
      <c r="G328" s="158" t="s">
        <v>8406</v>
      </c>
      <c r="H328" s="161" t="s">
        <v>8420</v>
      </c>
      <c r="I328" s="158" t="s">
        <v>6936</v>
      </c>
      <c r="J328" s="169" t="s">
        <v>8535</v>
      </c>
      <c r="K328" s="158">
        <v>5.0</v>
      </c>
      <c r="L328" s="158"/>
      <c r="N328" s="158" t="s">
        <v>8395</v>
      </c>
      <c r="O328" s="158"/>
    </row>
    <row r="329">
      <c r="A329" s="158" t="s">
        <v>8476</v>
      </c>
      <c r="B329" s="158" t="s">
        <v>8352</v>
      </c>
      <c r="C329" s="158">
        <v>5.0</v>
      </c>
      <c r="D329" s="158">
        <v>5.0</v>
      </c>
      <c r="E329" s="158">
        <v>4.0</v>
      </c>
      <c r="F329" s="158">
        <v>5.0</v>
      </c>
      <c r="G329" s="158" t="s">
        <v>8406</v>
      </c>
      <c r="H329" s="161" t="s">
        <v>8421</v>
      </c>
      <c r="I329" s="158" t="s">
        <v>6620</v>
      </c>
      <c r="J329" s="169" t="s">
        <v>8535</v>
      </c>
      <c r="K329" s="158">
        <v>5.0</v>
      </c>
      <c r="L329" s="158"/>
      <c r="N329" s="158" t="s">
        <v>8395</v>
      </c>
      <c r="O329" s="158"/>
    </row>
    <row r="330">
      <c r="A330" s="158" t="s">
        <v>8476</v>
      </c>
      <c r="B330" s="158" t="s">
        <v>8352</v>
      </c>
      <c r="C330" s="158">
        <v>5.0</v>
      </c>
      <c r="D330" s="158">
        <v>6.0</v>
      </c>
      <c r="E330" s="158">
        <v>4.0</v>
      </c>
      <c r="F330" s="158">
        <v>6.0</v>
      </c>
      <c r="G330" s="158" t="s">
        <v>8406</v>
      </c>
      <c r="H330" s="161" t="s">
        <v>8422</v>
      </c>
      <c r="I330" s="158" t="s">
        <v>6563</v>
      </c>
      <c r="J330" s="169" t="s">
        <v>8535</v>
      </c>
      <c r="K330" s="158">
        <v>5.0</v>
      </c>
      <c r="L330" s="158"/>
      <c r="N330" s="158" t="s">
        <v>8395</v>
      </c>
      <c r="O330" s="158"/>
    </row>
    <row r="331">
      <c r="A331" s="158" t="s">
        <v>8476</v>
      </c>
      <c r="B331" s="158" t="s">
        <v>8352</v>
      </c>
      <c r="C331" s="158">
        <v>5.0</v>
      </c>
      <c r="D331" s="158">
        <v>7.0</v>
      </c>
      <c r="E331" s="158">
        <v>4.0</v>
      </c>
      <c r="F331" s="158">
        <v>7.0</v>
      </c>
      <c r="G331" s="158" t="s">
        <v>8406</v>
      </c>
      <c r="H331" s="161" t="s">
        <v>8423</v>
      </c>
      <c r="I331" s="158" t="s">
        <v>6701</v>
      </c>
      <c r="J331" s="169" t="s">
        <v>8535</v>
      </c>
      <c r="K331" s="158">
        <v>5.0</v>
      </c>
      <c r="L331" s="158"/>
      <c r="N331" s="158" t="s">
        <v>8395</v>
      </c>
      <c r="O331" s="158"/>
    </row>
    <row r="332">
      <c r="A332" s="158" t="s">
        <v>8476</v>
      </c>
      <c r="B332" s="158" t="s">
        <v>8352</v>
      </c>
      <c r="C332" s="158">
        <v>5.0</v>
      </c>
      <c r="D332" s="158">
        <v>8.0</v>
      </c>
      <c r="E332" s="158">
        <v>4.0</v>
      </c>
      <c r="F332" s="158">
        <v>8.0</v>
      </c>
      <c r="G332" s="158" t="s">
        <v>8406</v>
      </c>
      <c r="H332" s="161" t="s">
        <v>8424</v>
      </c>
      <c r="I332" s="158" t="s">
        <v>6684</v>
      </c>
      <c r="J332" s="169" t="s">
        <v>8535</v>
      </c>
      <c r="K332" s="158">
        <v>5.0</v>
      </c>
      <c r="L332" s="158"/>
      <c r="N332" s="158" t="s">
        <v>8395</v>
      </c>
      <c r="O332" s="158"/>
    </row>
    <row r="333">
      <c r="A333" s="158" t="s">
        <v>8476</v>
      </c>
      <c r="B333" s="158" t="s">
        <v>8352</v>
      </c>
      <c r="C333" s="158">
        <v>5.0</v>
      </c>
      <c r="D333" s="158">
        <v>9.0</v>
      </c>
      <c r="E333" s="158">
        <v>4.0</v>
      </c>
      <c r="F333" s="158">
        <v>9.0</v>
      </c>
      <c r="G333" s="158" t="s">
        <v>8406</v>
      </c>
      <c r="H333" s="161" t="s">
        <v>8425</v>
      </c>
      <c r="I333" s="158" t="s">
        <v>7039</v>
      </c>
      <c r="J333" s="169" t="s">
        <v>8535</v>
      </c>
      <c r="K333" s="158">
        <v>5.0</v>
      </c>
      <c r="L333" s="158"/>
      <c r="N333" s="158" t="s">
        <v>8395</v>
      </c>
      <c r="O333" s="158"/>
    </row>
    <row r="334">
      <c r="A334" s="158" t="s">
        <v>8476</v>
      </c>
      <c r="B334" s="158" t="s">
        <v>8352</v>
      </c>
      <c r="C334" s="158">
        <v>5.0</v>
      </c>
      <c r="D334" s="158">
        <v>10.0</v>
      </c>
      <c r="E334" s="158">
        <v>4.0</v>
      </c>
      <c r="F334" s="158">
        <v>10.0</v>
      </c>
      <c r="G334" s="158" t="s">
        <v>8406</v>
      </c>
      <c r="H334" s="161" t="s">
        <v>8426</v>
      </c>
      <c r="I334" s="158" t="s">
        <v>7023</v>
      </c>
      <c r="J334" s="169" t="s">
        <v>8535</v>
      </c>
      <c r="K334" s="158">
        <v>5.0</v>
      </c>
      <c r="L334" s="158"/>
      <c r="N334" s="158" t="s">
        <v>8395</v>
      </c>
      <c r="O334" s="158"/>
    </row>
    <row r="335">
      <c r="A335" s="170" t="s">
        <v>8536</v>
      </c>
      <c r="B335" s="170" t="s">
        <v>8357</v>
      </c>
      <c r="C335" s="170">
        <v>1.0</v>
      </c>
      <c r="D335" s="171">
        <v>1.0</v>
      </c>
      <c r="E335" s="172"/>
      <c r="F335" s="172"/>
      <c r="G335" s="170" t="s">
        <v>8537</v>
      </c>
      <c r="H335" s="173" t="s">
        <v>8538</v>
      </c>
      <c r="I335" s="170" t="s">
        <v>6111</v>
      </c>
      <c r="J335" s="171" t="s">
        <v>23</v>
      </c>
      <c r="K335" s="170">
        <v>639.0</v>
      </c>
      <c r="L335" s="174" t="s">
        <v>8539</v>
      </c>
      <c r="M335" s="50" t="s">
        <v>8498</v>
      </c>
      <c r="N335" s="170" t="s">
        <v>8395</v>
      </c>
    </row>
    <row r="336">
      <c r="A336" s="170" t="s">
        <v>8536</v>
      </c>
      <c r="B336" s="170" t="s">
        <v>8357</v>
      </c>
      <c r="C336" s="170">
        <v>1.0</v>
      </c>
      <c r="D336" s="170">
        <v>2.0</v>
      </c>
      <c r="E336" s="172"/>
      <c r="F336" s="172"/>
      <c r="G336" s="170" t="s">
        <v>8540</v>
      </c>
      <c r="H336" s="173" t="s">
        <v>8541</v>
      </c>
      <c r="I336" s="170" t="s">
        <v>6053</v>
      </c>
      <c r="J336" s="171" t="s">
        <v>23</v>
      </c>
      <c r="K336" s="175">
        <v>719.0</v>
      </c>
      <c r="L336" s="174" t="s">
        <v>8539</v>
      </c>
      <c r="M336" s="50"/>
      <c r="N336" s="170" t="s">
        <v>8395</v>
      </c>
    </row>
    <row r="337">
      <c r="A337" s="170" t="s">
        <v>8536</v>
      </c>
      <c r="B337" s="170" t="s">
        <v>8357</v>
      </c>
      <c r="C337" s="170">
        <v>2.0</v>
      </c>
      <c r="D337" s="171">
        <v>1.0</v>
      </c>
      <c r="E337" s="172"/>
      <c r="F337" s="172"/>
      <c r="G337" s="170" t="s">
        <v>8542</v>
      </c>
      <c r="H337" s="173" t="s">
        <v>8538</v>
      </c>
      <c r="I337" s="170" t="s">
        <v>6111</v>
      </c>
      <c r="J337" s="171" t="s">
        <v>23</v>
      </c>
      <c r="K337" s="170">
        <v>639.0</v>
      </c>
      <c r="L337" s="174" t="s">
        <v>8539</v>
      </c>
      <c r="M337" s="50"/>
      <c r="N337" s="170" t="s">
        <v>8395</v>
      </c>
    </row>
    <row r="338">
      <c r="A338" s="170" t="s">
        <v>8536</v>
      </c>
      <c r="B338" s="170" t="s">
        <v>8357</v>
      </c>
      <c r="C338" s="170">
        <v>2.0</v>
      </c>
      <c r="D338" s="170">
        <v>2.0</v>
      </c>
      <c r="E338" s="172"/>
      <c r="F338" s="172"/>
      <c r="G338" s="170" t="s">
        <v>8543</v>
      </c>
      <c r="H338" s="173" t="s">
        <v>8541</v>
      </c>
      <c r="I338" s="170" t="s">
        <v>6053</v>
      </c>
      <c r="J338" s="171" t="s">
        <v>23</v>
      </c>
      <c r="K338" s="175">
        <v>719.0</v>
      </c>
      <c r="L338" s="174" t="s">
        <v>8539</v>
      </c>
      <c r="M338" s="50"/>
      <c r="N338" s="170" t="s">
        <v>8395</v>
      </c>
    </row>
    <row r="339">
      <c r="A339" s="170" t="s">
        <v>8544</v>
      </c>
      <c r="B339" s="170" t="s">
        <v>8545</v>
      </c>
      <c r="C339" s="170">
        <v>1.0</v>
      </c>
      <c r="D339" s="170">
        <v>1.0</v>
      </c>
      <c r="E339" s="172"/>
      <c r="F339" s="172"/>
      <c r="G339" s="172"/>
      <c r="H339" s="172"/>
      <c r="I339" s="172"/>
      <c r="J339" s="171" t="s">
        <v>23</v>
      </c>
      <c r="K339" s="175">
        <v>459.0</v>
      </c>
      <c r="L339" s="174" t="s">
        <v>8546</v>
      </c>
      <c r="M339" s="50"/>
      <c r="N339" s="170" t="s">
        <v>8395</v>
      </c>
    </row>
    <row r="340">
      <c r="A340" s="170" t="s">
        <v>8547</v>
      </c>
      <c r="B340" s="170" t="s">
        <v>8548</v>
      </c>
      <c r="C340" s="170">
        <v>1.0</v>
      </c>
      <c r="D340" s="170">
        <v>1.0</v>
      </c>
      <c r="E340" s="172"/>
      <c r="F340" s="172"/>
      <c r="G340" s="170" t="s">
        <v>8537</v>
      </c>
      <c r="H340" s="173" t="s">
        <v>8538</v>
      </c>
      <c r="I340" s="170" t="s">
        <v>6111</v>
      </c>
      <c r="J340" s="171" t="s">
        <v>23</v>
      </c>
      <c r="K340" s="175">
        <v>179.0</v>
      </c>
      <c r="L340" s="174" t="s">
        <v>8549</v>
      </c>
      <c r="M340" s="50"/>
      <c r="N340" s="170" t="s">
        <v>8395</v>
      </c>
    </row>
    <row r="341">
      <c r="A341" s="170" t="s">
        <v>8547</v>
      </c>
      <c r="B341" s="170" t="s">
        <v>8548</v>
      </c>
      <c r="C341" s="170">
        <v>1.0</v>
      </c>
      <c r="D341" s="170">
        <v>2.0</v>
      </c>
      <c r="E341" s="172"/>
      <c r="F341" s="172"/>
      <c r="G341" s="170" t="s">
        <v>8540</v>
      </c>
      <c r="H341" s="173" t="s">
        <v>8541</v>
      </c>
      <c r="I341" s="170" t="s">
        <v>6053</v>
      </c>
      <c r="J341" s="171" t="s">
        <v>23</v>
      </c>
      <c r="K341" s="175">
        <v>199.0</v>
      </c>
      <c r="L341" s="170" t="s">
        <v>8550</v>
      </c>
      <c r="M341" s="50"/>
      <c r="N341" s="170" t="s">
        <v>8395</v>
      </c>
    </row>
    <row r="342">
      <c r="A342" s="158"/>
      <c r="B342" s="158"/>
      <c r="C342" s="158"/>
      <c r="D342" s="158"/>
      <c r="E342" s="158"/>
      <c r="F342" s="158"/>
      <c r="G342" s="158"/>
      <c r="H342" s="176"/>
      <c r="I342" s="158"/>
      <c r="J342" s="159"/>
      <c r="K342" s="12"/>
      <c r="L342" s="158"/>
      <c r="N342" s="158"/>
    </row>
    <row r="343">
      <c r="A343" s="158"/>
      <c r="B343" s="158"/>
      <c r="C343" s="158"/>
      <c r="D343" s="158"/>
      <c r="E343" s="158"/>
      <c r="F343" s="158"/>
      <c r="G343" s="158"/>
      <c r="H343" s="176"/>
      <c r="I343" s="158"/>
      <c r="J343" s="159"/>
      <c r="K343" s="12"/>
      <c r="L343" s="158"/>
      <c r="N343" s="158"/>
    </row>
    <row r="344">
      <c r="A344" s="158"/>
      <c r="B344" s="158"/>
      <c r="C344" s="158"/>
      <c r="D344" s="158"/>
      <c r="E344" s="158"/>
      <c r="F344" s="158"/>
      <c r="G344" s="158"/>
      <c r="H344" s="176"/>
      <c r="I344" s="158"/>
      <c r="J344" s="159"/>
      <c r="K344" s="12"/>
      <c r="L344" s="158"/>
      <c r="N344" s="158"/>
    </row>
    <row r="345">
      <c r="A345" s="170" t="s">
        <v>8551</v>
      </c>
      <c r="B345" s="170"/>
      <c r="C345" s="170">
        <v>1.0</v>
      </c>
      <c r="D345" s="170">
        <v>1.0</v>
      </c>
      <c r="E345" s="172"/>
      <c r="F345" s="172"/>
      <c r="G345" s="170" t="s">
        <v>5817</v>
      </c>
      <c r="H345" s="173" t="s">
        <v>8552</v>
      </c>
      <c r="I345" s="170" t="s">
        <v>5814</v>
      </c>
      <c r="J345" s="171"/>
      <c r="K345" s="175"/>
      <c r="L345" s="174" t="s">
        <v>8553</v>
      </c>
      <c r="M345" s="50"/>
      <c r="N345" s="170" t="s">
        <v>8395</v>
      </c>
    </row>
    <row r="346">
      <c r="A346" s="170" t="s">
        <v>8551</v>
      </c>
      <c r="B346" s="170"/>
      <c r="C346" s="170">
        <v>1.0</v>
      </c>
      <c r="D346" s="170">
        <v>2.0</v>
      </c>
      <c r="E346" s="172"/>
      <c r="F346" s="172"/>
      <c r="G346" s="170" t="s">
        <v>5966</v>
      </c>
      <c r="H346" s="173" t="s">
        <v>8554</v>
      </c>
      <c r="I346" s="170" t="s">
        <v>5963</v>
      </c>
      <c r="J346" s="171"/>
      <c r="K346" s="175"/>
      <c r="L346" s="174" t="s">
        <v>8553</v>
      </c>
      <c r="M346" s="50"/>
      <c r="N346" s="170" t="s">
        <v>8395</v>
      </c>
    </row>
    <row r="347">
      <c r="A347" s="170" t="s">
        <v>8551</v>
      </c>
      <c r="B347" s="170"/>
      <c r="C347" s="170">
        <v>1.0</v>
      </c>
      <c r="D347" s="170">
        <v>3.0</v>
      </c>
      <c r="E347" s="172"/>
      <c r="F347" s="172"/>
      <c r="G347" s="170" t="s">
        <v>5994</v>
      </c>
      <c r="H347" s="173" t="s">
        <v>8555</v>
      </c>
      <c r="I347" s="170" t="s">
        <v>5991</v>
      </c>
      <c r="J347" s="171"/>
      <c r="K347" s="175"/>
      <c r="L347" s="174" t="s">
        <v>8553</v>
      </c>
      <c r="M347" s="50"/>
      <c r="N347" s="170" t="s">
        <v>8395</v>
      </c>
    </row>
    <row r="348">
      <c r="A348" s="170" t="s">
        <v>8551</v>
      </c>
      <c r="B348" s="170"/>
      <c r="C348" s="170">
        <v>1.0</v>
      </c>
      <c r="D348" s="170">
        <v>4.0</v>
      </c>
      <c r="E348" s="172"/>
      <c r="F348" s="172"/>
      <c r="G348" s="170" t="s">
        <v>6015</v>
      </c>
      <c r="H348" s="173" t="s">
        <v>8556</v>
      </c>
      <c r="I348" s="170" t="s">
        <v>6013</v>
      </c>
      <c r="J348" s="171"/>
      <c r="K348" s="175"/>
      <c r="L348" s="174" t="s">
        <v>8553</v>
      </c>
      <c r="M348" s="50"/>
      <c r="N348" s="170" t="s">
        <v>8395</v>
      </c>
    </row>
    <row r="349">
      <c r="A349" s="170"/>
      <c r="B349" s="170"/>
      <c r="C349" s="170"/>
      <c r="D349" s="170"/>
      <c r="E349" s="172"/>
      <c r="F349" s="172"/>
      <c r="G349" s="170"/>
      <c r="H349" s="173"/>
      <c r="I349" s="170"/>
      <c r="J349" s="171"/>
      <c r="K349" s="175"/>
      <c r="L349" s="174"/>
      <c r="M349" s="50"/>
      <c r="N349" s="170"/>
    </row>
    <row r="350">
      <c r="A350" s="170" t="s">
        <v>8551</v>
      </c>
      <c r="B350" s="170"/>
      <c r="C350" s="170">
        <v>2.0</v>
      </c>
      <c r="D350" s="170">
        <v>1.0</v>
      </c>
      <c r="E350" s="177">
        <v>1.0</v>
      </c>
      <c r="F350" s="177">
        <v>1.0</v>
      </c>
      <c r="G350" s="170" t="s">
        <v>8542</v>
      </c>
      <c r="H350" s="173" t="s">
        <v>8538</v>
      </c>
      <c r="I350" s="170" t="s">
        <v>6111</v>
      </c>
      <c r="J350" s="171" t="s">
        <v>23</v>
      </c>
      <c r="K350" s="175">
        <v>1509.0</v>
      </c>
      <c r="L350" s="174" t="s">
        <v>8553</v>
      </c>
      <c r="M350" s="50"/>
      <c r="N350" s="170" t="s">
        <v>8395</v>
      </c>
    </row>
    <row r="351">
      <c r="A351" s="170" t="s">
        <v>8551</v>
      </c>
      <c r="B351" s="170"/>
      <c r="C351" s="170">
        <v>2.0</v>
      </c>
      <c r="D351" s="174">
        <v>1.0</v>
      </c>
      <c r="E351" s="177">
        <v>1.0</v>
      </c>
      <c r="F351" s="177">
        <v>2.0</v>
      </c>
      <c r="G351" s="170" t="s">
        <v>8542</v>
      </c>
      <c r="H351" s="173" t="s">
        <v>8538</v>
      </c>
      <c r="I351" s="170" t="s">
        <v>6111</v>
      </c>
      <c r="J351" s="171" t="s">
        <v>23</v>
      </c>
      <c r="K351" s="175">
        <v>1599.0</v>
      </c>
      <c r="L351" s="174" t="s">
        <v>8553</v>
      </c>
      <c r="M351" s="50"/>
      <c r="N351" s="170" t="s">
        <v>8395</v>
      </c>
    </row>
    <row r="352">
      <c r="A352" s="170" t="s">
        <v>8551</v>
      </c>
      <c r="B352" s="170"/>
      <c r="C352" s="170">
        <v>2.0</v>
      </c>
      <c r="D352" s="174">
        <v>1.0</v>
      </c>
      <c r="E352" s="177">
        <v>1.0</v>
      </c>
      <c r="F352" s="177">
        <v>3.0</v>
      </c>
      <c r="G352" s="170" t="s">
        <v>8542</v>
      </c>
      <c r="H352" s="173" t="s">
        <v>8538</v>
      </c>
      <c r="I352" s="170" t="s">
        <v>6111</v>
      </c>
      <c r="J352" s="171" t="s">
        <v>23</v>
      </c>
      <c r="K352" s="175">
        <v>1729.0</v>
      </c>
      <c r="L352" s="174" t="s">
        <v>8553</v>
      </c>
      <c r="M352" s="50"/>
      <c r="N352" s="170" t="s">
        <v>8395</v>
      </c>
    </row>
    <row r="353">
      <c r="A353" s="170" t="s">
        <v>8551</v>
      </c>
      <c r="B353" s="170"/>
      <c r="C353" s="170">
        <v>2.0</v>
      </c>
      <c r="D353" s="174">
        <v>1.0</v>
      </c>
      <c r="E353" s="177">
        <v>1.0</v>
      </c>
      <c r="F353" s="177">
        <v>4.0</v>
      </c>
      <c r="G353" s="170" t="s">
        <v>8542</v>
      </c>
      <c r="H353" s="173" t="s">
        <v>8538</v>
      </c>
      <c r="I353" s="170" t="s">
        <v>6111</v>
      </c>
      <c r="J353" s="171" t="s">
        <v>23</v>
      </c>
      <c r="K353" s="175">
        <v>1789.0</v>
      </c>
      <c r="L353" s="174" t="s">
        <v>8553</v>
      </c>
      <c r="M353" s="50"/>
      <c r="N353" s="170" t="s">
        <v>8395</v>
      </c>
    </row>
    <row r="354">
      <c r="A354" s="170"/>
      <c r="B354" s="170"/>
      <c r="C354" s="170"/>
      <c r="D354" s="170"/>
      <c r="E354" s="172"/>
      <c r="F354" s="172"/>
      <c r="G354" s="170"/>
      <c r="H354" s="173"/>
      <c r="I354" s="170"/>
      <c r="J354" s="171"/>
      <c r="K354" s="175"/>
      <c r="L354" s="174"/>
      <c r="M354" s="50"/>
      <c r="N354" s="170"/>
    </row>
    <row r="355">
      <c r="A355" s="170" t="s">
        <v>8551</v>
      </c>
      <c r="B355" s="170"/>
      <c r="C355" s="170">
        <v>2.0</v>
      </c>
      <c r="D355" s="174">
        <v>2.0</v>
      </c>
      <c r="E355" s="177">
        <v>1.0</v>
      </c>
      <c r="F355" s="177">
        <v>1.0</v>
      </c>
      <c r="G355" s="170" t="s">
        <v>8542</v>
      </c>
      <c r="H355" s="173" t="s">
        <v>8541</v>
      </c>
      <c r="I355" s="170" t="s">
        <v>6053</v>
      </c>
      <c r="J355" s="171" t="s">
        <v>23</v>
      </c>
      <c r="K355" s="175">
        <v>1669.0</v>
      </c>
      <c r="L355" s="174" t="s">
        <v>8553</v>
      </c>
      <c r="M355" s="50"/>
      <c r="N355" s="170" t="s">
        <v>8395</v>
      </c>
    </row>
    <row r="356">
      <c r="A356" s="170" t="s">
        <v>8551</v>
      </c>
      <c r="B356" s="170"/>
      <c r="C356" s="170">
        <v>2.0</v>
      </c>
      <c r="D356" s="170">
        <v>2.0</v>
      </c>
      <c r="E356" s="177">
        <v>1.0</v>
      </c>
      <c r="F356" s="177">
        <v>2.0</v>
      </c>
      <c r="G356" s="170" t="s">
        <v>8542</v>
      </c>
      <c r="H356" s="173" t="s">
        <v>8541</v>
      </c>
      <c r="I356" s="170" t="s">
        <v>6053</v>
      </c>
      <c r="J356" s="171" t="s">
        <v>23</v>
      </c>
      <c r="K356" s="175">
        <v>1759.0</v>
      </c>
      <c r="L356" s="174" t="s">
        <v>8553</v>
      </c>
      <c r="M356" s="50"/>
      <c r="N356" s="170" t="s">
        <v>8395</v>
      </c>
    </row>
    <row r="357">
      <c r="A357" s="170" t="s">
        <v>8551</v>
      </c>
      <c r="B357" s="170"/>
      <c r="C357" s="170">
        <v>2.0</v>
      </c>
      <c r="D357" s="174">
        <v>2.0</v>
      </c>
      <c r="E357" s="177">
        <v>1.0</v>
      </c>
      <c r="F357" s="177">
        <v>3.0</v>
      </c>
      <c r="G357" s="170" t="s">
        <v>8542</v>
      </c>
      <c r="H357" s="173" t="s">
        <v>8541</v>
      </c>
      <c r="I357" s="170" t="s">
        <v>6053</v>
      </c>
      <c r="J357" s="171" t="s">
        <v>23</v>
      </c>
      <c r="K357" s="175">
        <v>1879.0</v>
      </c>
      <c r="L357" s="174" t="s">
        <v>8553</v>
      </c>
      <c r="M357" s="50"/>
      <c r="N357" s="170" t="s">
        <v>8395</v>
      </c>
    </row>
    <row r="358">
      <c r="A358" s="170" t="s">
        <v>8551</v>
      </c>
      <c r="B358" s="170"/>
      <c r="C358" s="170">
        <v>2.0</v>
      </c>
      <c r="D358" s="174">
        <v>2.0</v>
      </c>
      <c r="E358" s="177">
        <v>1.0</v>
      </c>
      <c r="F358" s="177">
        <v>4.0</v>
      </c>
      <c r="G358" s="170" t="s">
        <v>8542</v>
      </c>
      <c r="H358" s="173" t="s">
        <v>8541</v>
      </c>
      <c r="I358" s="170" t="s">
        <v>6053</v>
      </c>
      <c r="J358" s="171" t="s">
        <v>23</v>
      </c>
      <c r="K358" s="175">
        <v>1949.0</v>
      </c>
      <c r="L358" s="174" t="s">
        <v>8553</v>
      </c>
      <c r="M358" s="50"/>
      <c r="N358" s="170" t="s">
        <v>8395</v>
      </c>
    </row>
    <row r="359">
      <c r="A359" s="158"/>
      <c r="B359" s="158"/>
      <c r="C359" s="158"/>
      <c r="D359" s="158"/>
      <c r="E359" s="158"/>
      <c r="F359" s="158"/>
      <c r="G359" s="158"/>
      <c r="H359" s="176"/>
      <c r="I359" s="158"/>
      <c r="J359" s="159"/>
      <c r="K359" s="12"/>
      <c r="L359" s="158"/>
      <c r="N359" s="158"/>
    </row>
    <row r="360">
      <c r="A360" s="158"/>
      <c r="B360" s="158"/>
      <c r="C360" s="158"/>
      <c r="D360" s="158"/>
      <c r="E360" s="158"/>
      <c r="F360" s="158"/>
      <c r="G360" s="158"/>
      <c r="H360" s="176"/>
      <c r="I360" s="158"/>
      <c r="J360" s="159"/>
      <c r="K360" s="12"/>
      <c r="L360" s="158"/>
      <c r="N360" s="158"/>
    </row>
    <row r="366">
      <c r="A366" s="170"/>
      <c r="B366" s="170"/>
      <c r="C366" s="174"/>
      <c r="D366" s="170"/>
      <c r="E366" s="177"/>
      <c r="F366" s="177"/>
      <c r="G366" s="170"/>
      <c r="H366" s="173"/>
      <c r="I366" s="170"/>
      <c r="J366" s="171"/>
      <c r="K366" s="175"/>
      <c r="L366" s="174"/>
      <c r="M366" s="50"/>
      <c r="N366" s="170"/>
    </row>
    <row r="367">
      <c r="A367" s="170"/>
      <c r="B367" s="170"/>
      <c r="C367" s="174"/>
      <c r="D367" s="174"/>
      <c r="E367" s="177"/>
      <c r="F367" s="177"/>
      <c r="G367" s="170"/>
      <c r="H367" s="173"/>
      <c r="I367" s="170"/>
      <c r="J367" s="171"/>
      <c r="K367" s="175"/>
      <c r="L367" s="174"/>
      <c r="M367" s="50"/>
      <c r="N367" s="170"/>
    </row>
    <row r="368">
      <c r="A368" s="158"/>
      <c r="B368" s="158"/>
      <c r="C368" s="158"/>
      <c r="D368" s="158"/>
      <c r="E368" s="158"/>
      <c r="F368" s="158"/>
      <c r="G368" s="158"/>
      <c r="H368" s="176"/>
      <c r="I368" s="158"/>
      <c r="J368" s="159"/>
      <c r="K368" s="12"/>
      <c r="L368" s="158"/>
      <c r="N368" s="158"/>
    </row>
    <row r="369">
      <c r="A369" s="170"/>
      <c r="B369" s="170"/>
      <c r="C369" s="170"/>
      <c r="D369" s="170"/>
      <c r="E369" s="172"/>
      <c r="F369" s="172"/>
      <c r="G369" s="170"/>
      <c r="H369" s="173"/>
      <c r="I369" s="170"/>
      <c r="J369" s="174"/>
      <c r="K369" s="178"/>
      <c r="L369" s="174"/>
      <c r="M369" s="50"/>
      <c r="N369" s="170"/>
    </row>
    <row r="370">
      <c r="A370" s="170"/>
      <c r="B370" s="170"/>
      <c r="C370" s="170"/>
      <c r="D370" s="174"/>
      <c r="E370" s="172"/>
      <c r="F370" s="172"/>
      <c r="G370" s="170"/>
      <c r="H370" s="173"/>
      <c r="I370" s="170"/>
      <c r="J370" s="174"/>
      <c r="K370" s="178"/>
      <c r="L370" s="174"/>
      <c r="M370" s="50"/>
      <c r="N370" s="170"/>
    </row>
    <row r="371">
      <c r="A371" s="170"/>
      <c r="B371" s="170"/>
      <c r="C371" s="170"/>
      <c r="D371" s="174"/>
      <c r="E371" s="172"/>
      <c r="F371" s="172"/>
      <c r="G371" s="170"/>
      <c r="H371" s="173"/>
      <c r="I371" s="170"/>
      <c r="J371" s="174"/>
      <c r="K371" s="178"/>
      <c r="L371" s="174"/>
      <c r="M371" s="50"/>
      <c r="N371" s="170"/>
    </row>
    <row r="372">
      <c r="A372" s="170"/>
      <c r="B372" s="170"/>
      <c r="C372" s="170"/>
      <c r="D372" s="174"/>
      <c r="E372" s="172"/>
      <c r="F372" s="172"/>
      <c r="G372" s="170"/>
      <c r="H372" s="173"/>
      <c r="I372" s="170"/>
      <c r="J372" s="174"/>
      <c r="K372" s="178"/>
      <c r="L372" s="174"/>
      <c r="M372" s="50"/>
      <c r="N372" s="170"/>
    </row>
    <row r="373">
      <c r="A373" s="170"/>
      <c r="B373" s="170"/>
      <c r="C373" s="170"/>
      <c r="D373" s="170"/>
      <c r="E373" s="172"/>
      <c r="F373" s="172"/>
      <c r="G373" s="170"/>
      <c r="H373" s="173"/>
      <c r="I373" s="170"/>
      <c r="J373" s="171"/>
      <c r="K373" s="175"/>
      <c r="L373" s="170"/>
      <c r="M373" s="50"/>
      <c r="N373" s="170"/>
    </row>
    <row r="374">
      <c r="A374" s="170"/>
      <c r="B374" s="170"/>
      <c r="C374" s="170"/>
      <c r="D374" s="174"/>
      <c r="E374" s="172"/>
      <c r="F374" s="172"/>
      <c r="G374" s="170"/>
      <c r="H374" s="173"/>
      <c r="I374" s="170"/>
      <c r="J374" s="174"/>
      <c r="K374" s="178"/>
      <c r="L374" s="174"/>
      <c r="M374" s="50"/>
      <c r="N374" s="170"/>
    </row>
    <row r="375">
      <c r="A375" s="170"/>
      <c r="B375" s="170"/>
      <c r="C375" s="170"/>
      <c r="D375" s="174"/>
      <c r="E375" s="172"/>
      <c r="F375" s="172"/>
      <c r="G375" s="170"/>
      <c r="H375" s="173"/>
      <c r="I375" s="170"/>
      <c r="J375" s="174"/>
      <c r="K375" s="178"/>
      <c r="L375" s="174"/>
      <c r="M375" s="50"/>
      <c r="N375" s="170"/>
    </row>
    <row r="376">
      <c r="A376" s="170"/>
      <c r="B376" s="170"/>
      <c r="C376" s="170"/>
      <c r="D376" s="174"/>
      <c r="E376" s="172"/>
      <c r="F376" s="172"/>
      <c r="G376" s="170"/>
      <c r="H376" s="173"/>
      <c r="I376" s="170"/>
      <c r="J376" s="174"/>
      <c r="K376" s="178"/>
      <c r="L376" s="174"/>
      <c r="M376" s="50"/>
      <c r="N376" s="170"/>
    </row>
    <row r="377">
      <c r="A377" s="170"/>
      <c r="B377" s="170"/>
      <c r="C377" s="170"/>
      <c r="D377" s="174"/>
      <c r="E377" s="172"/>
      <c r="F377" s="172"/>
      <c r="G377" s="170"/>
      <c r="H377" s="173"/>
      <c r="I377" s="170"/>
      <c r="J377" s="174"/>
      <c r="K377" s="178"/>
      <c r="L377" s="174"/>
      <c r="M377" s="50"/>
      <c r="N377" s="170"/>
    </row>
    <row r="378">
      <c r="A378" s="158"/>
      <c r="B378" s="158"/>
      <c r="C378" s="158"/>
      <c r="D378" s="158"/>
      <c r="E378" s="158"/>
      <c r="F378" s="158"/>
      <c r="G378" s="158"/>
      <c r="H378" s="176"/>
      <c r="I378" s="158"/>
      <c r="J378" s="159"/>
      <c r="K378" s="12"/>
      <c r="L378" s="158"/>
      <c r="N378" s="158"/>
    </row>
    <row r="379">
      <c r="A379" s="158"/>
      <c r="B379" s="158"/>
      <c r="C379" s="158"/>
      <c r="D379" s="158"/>
      <c r="E379" s="158"/>
      <c r="F379" s="158"/>
      <c r="G379" s="158"/>
      <c r="H379" s="176"/>
      <c r="I379" s="158"/>
      <c r="J379" s="159"/>
      <c r="K379" s="12"/>
      <c r="L379" s="158"/>
      <c r="N379" s="158"/>
    </row>
    <row r="380">
      <c r="A380" s="158"/>
      <c r="B380" s="158"/>
      <c r="C380" s="158"/>
      <c r="D380" s="158"/>
      <c r="E380" s="158"/>
      <c r="F380" s="158"/>
      <c r="G380" s="158"/>
      <c r="H380" s="176"/>
      <c r="I380" s="158"/>
      <c r="J380" s="159"/>
      <c r="K380" s="12"/>
      <c r="L380" s="158"/>
      <c r="N380" s="158"/>
    </row>
    <row r="381">
      <c r="A381" s="158"/>
      <c r="B381" s="158"/>
      <c r="C381" s="158"/>
      <c r="D381" s="158"/>
      <c r="E381" s="158"/>
      <c r="F381" s="158"/>
      <c r="G381" s="158"/>
      <c r="H381" s="176"/>
      <c r="I381" s="158"/>
      <c r="J381" s="159"/>
      <c r="K381" s="12"/>
      <c r="L381" s="158"/>
      <c r="N381" s="158"/>
    </row>
    <row r="382">
      <c r="A382" s="158"/>
      <c r="B382" s="158"/>
      <c r="C382" s="158"/>
      <c r="D382" s="158"/>
      <c r="E382" s="158"/>
      <c r="F382" s="158"/>
      <c r="G382" s="158"/>
      <c r="H382" s="176"/>
      <c r="I382" s="158"/>
      <c r="J382" s="159"/>
      <c r="K382" s="12"/>
      <c r="L382" s="158"/>
      <c r="N382" s="158"/>
    </row>
    <row r="383">
      <c r="A383" s="158"/>
      <c r="B383" s="158"/>
      <c r="C383" s="158"/>
      <c r="D383" s="158"/>
      <c r="E383" s="158"/>
      <c r="F383" s="158"/>
      <c r="G383" s="158"/>
      <c r="H383" s="176"/>
      <c r="I383" s="158"/>
      <c r="J383" s="159"/>
      <c r="K383" s="12"/>
      <c r="L383" s="158"/>
      <c r="N383" s="158"/>
    </row>
    <row r="384">
      <c r="A384" s="158"/>
      <c r="B384" s="158"/>
      <c r="C384" s="158"/>
      <c r="D384" s="158"/>
      <c r="E384" s="158"/>
      <c r="F384" s="158"/>
      <c r="G384" s="158"/>
      <c r="H384" s="176"/>
      <c r="I384" s="158"/>
      <c r="J384" s="159"/>
      <c r="K384" s="12"/>
      <c r="L384" s="158"/>
      <c r="N384" s="158"/>
    </row>
    <row r="385">
      <c r="A385" s="158"/>
      <c r="B385" s="158"/>
      <c r="C385" s="158"/>
      <c r="D385" s="158"/>
      <c r="E385" s="158"/>
      <c r="F385" s="158"/>
      <c r="G385" s="158"/>
      <c r="H385" s="176"/>
      <c r="I385" s="158"/>
      <c r="J385" s="159"/>
      <c r="K385" s="12"/>
      <c r="L385" s="158"/>
      <c r="N385" s="158"/>
    </row>
    <row r="386">
      <c r="A386" s="158"/>
      <c r="B386" s="158"/>
      <c r="C386" s="158"/>
      <c r="D386" s="158"/>
      <c r="E386" s="158"/>
      <c r="F386" s="158"/>
      <c r="G386" s="158"/>
      <c r="H386" s="176"/>
      <c r="I386" s="158"/>
      <c r="J386" s="159"/>
      <c r="K386" s="12"/>
      <c r="L386" s="158"/>
      <c r="N386" s="158"/>
    </row>
    <row r="387">
      <c r="A387" s="158"/>
      <c r="B387" s="158"/>
      <c r="C387" s="158"/>
      <c r="D387" s="158"/>
      <c r="E387" s="158"/>
      <c r="F387" s="158"/>
      <c r="G387" s="158"/>
      <c r="H387" s="176"/>
      <c r="I387" s="158"/>
      <c r="J387" s="159"/>
      <c r="K387" s="12"/>
      <c r="L387" s="158"/>
      <c r="N387" s="158"/>
    </row>
    <row r="388">
      <c r="A388" s="158"/>
      <c r="B388" s="158"/>
      <c r="C388" s="158"/>
      <c r="D388" s="158"/>
      <c r="E388" s="158"/>
      <c r="F388" s="158"/>
      <c r="G388" s="158"/>
      <c r="H388" s="176"/>
      <c r="I388" s="158"/>
      <c r="J388" s="159"/>
      <c r="K388" s="12"/>
      <c r="L388" s="158"/>
      <c r="N388" s="158"/>
    </row>
    <row r="389">
      <c r="A389" s="158"/>
      <c r="B389" s="158"/>
      <c r="C389" s="158"/>
      <c r="D389" s="158"/>
      <c r="E389" s="158"/>
      <c r="F389" s="158"/>
      <c r="G389" s="158"/>
      <c r="H389" s="176"/>
      <c r="I389" s="158"/>
      <c r="J389" s="159"/>
      <c r="K389" s="12"/>
      <c r="L389" s="158"/>
      <c r="N389" s="158"/>
    </row>
    <row r="390">
      <c r="A390" s="158"/>
      <c r="B390" s="158"/>
      <c r="C390" s="158"/>
      <c r="D390" s="158"/>
      <c r="E390" s="158"/>
      <c r="F390" s="158"/>
      <c r="G390" s="158"/>
      <c r="H390" s="176"/>
      <c r="I390" s="158"/>
      <c r="J390" s="159"/>
      <c r="K390" s="12"/>
      <c r="L390" s="158"/>
      <c r="N390" s="158"/>
    </row>
    <row r="391">
      <c r="A391" s="158"/>
      <c r="B391" s="158"/>
      <c r="C391" s="158"/>
      <c r="D391" s="158"/>
      <c r="E391" s="158"/>
      <c r="F391" s="158"/>
      <c r="G391" s="158"/>
      <c r="H391" s="176"/>
      <c r="I391" s="158"/>
      <c r="J391" s="159"/>
      <c r="K391" s="12"/>
      <c r="L391" s="158"/>
      <c r="N391" s="158"/>
    </row>
    <row r="392">
      <c r="A392" s="158"/>
      <c r="B392" s="158"/>
      <c r="C392" s="158"/>
      <c r="D392" s="158"/>
      <c r="E392" s="158"/>
      <c r="F392" s="158"/>
      <c r="G392" s="158"/>
      <c r="H392" s="176"/>
      <c r="I392" s="158"/>
      <c r="J392" s="159"/>
      <c r="K392" s="12"/>
      <c r="L392" s="158"/>
      <c r="N392" s="158"/>
    </row>
    <row r="393">
      <c r="A393" s="158"/>
      <c r="B393" s="158"/>
      <c r="C393" s="158"/>
      <c r="D393" s="158"/>
      <c r="E393" s="158"/>
      <c r="F393" s="158"/>
      <c r="G393" s="158"/>
      <c r="H393" s="176"/>
      <c r="I393" s="158"/>
      <c r="J393" s="159"/>
      <c r="K393" s="12"/>
      <c r="L393" s="158"/>
      <c r="N393" s="158"/>
    </row>
    <row r="394">
      <c r="A394" s="158"/>
      <c r="B394" s="158"/>
      <c r="C394" s="158"/>
      <c r="D394" s="158"/>
      <c r="E394" s="158"/>
      <c r="F394" s="158"/>
      <c r="G394" s="158"/>
      <c r="H394" s="176"/>
      <c r="I394" s="158"/>
      <c r="J394" s="159"/>
      <c r="K394" s="12"/>
      <c r="L394" s="158"/>
      <c r="N394" s="158"/>
    </row>
    <row r="395">
      <c r="A395" s="158"/>
      <c r="B395" s="158"/>
      <c r="C395" s="158"/>
      <c r="D395" s="158"/>
      <c r="E395" s="158"/>
      <c r="F395" s="158"/>
      <c r="G395" s="158"/>
      <c r="H395" s="176"/>
      <c r="I395" s="158"/>
      <c r="J395" s="159"/>
      <c r="K395" s="12"/>
      <c r="L395" s="158"/>
      <c r="N395" s="158"/>
    </row>
    <row r="396">
      <c r="A396" s="158"/>
      <c r="B396" s="158"/>
      <c r="C396" s="158"/>
      <c r="D396" s="158"/>
      <c r="E396" s="158"/>
      <c r="F396" s="158"/>
      <c r="G396" s="158"/>
      <c r="H396" s="176"/>
      <c r="I396" s="158"/>
      <c r="J396" s="159"/>
      <c r="K396" s="12"/>
      <c r="L396" s="158"/>
      <c r="N396" s="158"/>
    </row>
    <row r="397">
      <c r="A397" s="158"/>
      <c r="B397" s="158"/>
      <c r="C397" s="158"/>
      <c r="D397" s="158"/>
      <c r="E397" s="158"/>
      <c r="F397" s="158"/>
      <c r="G397" s="158"/>
      <c r="H397" s="176"/>
      <c r="I397" s="158"/>
      <c r="J397" s="159"/>
      <c r="K397" s="12"/>
      <c r="L397" s="158"/>
      <c r="N397" s="158"/>
    </row>
    <row r="398">
      <c r="A398" s="158"/>
      <c r="B398" s="158"/>
      <c r="C398" s="158"/>
      <c r="D398" s="158"/>
      <c r="E398" s="158"/>
      <c r="F398" s="158"/>
      <c r="G398" s="158"/>
      <c r="H398" s="176"/>
      <c r="I398" s="158"/>
      <c r="J398" s="159"/>
      <c r="K398" s="12"/>
      <c r="L398" s="158"/>
      <c r="N398" s="158"/>
    </row>
    <row r="399">
      <c r="A399" s="158"/>
      <c r="B399" s="158"/>
      <c r="C399" s="158"/>
      <c r="D399" s="158"/>
      <c r="E399" s="158"/>
      <c r="F399" s="158"/>
      <c r="G399" s="158"/>
      <c r="H399" s="176"/>
      <c r="I399" s="158"/>
      <c r="J399" s="159"/>
      <c r="K399" s="12"/>
      <c r="L399" s="158"/>
      <c r="N399" s="158"/>
    </row>
    <row r="400">
      <c r="A400" s="158"/>
      <c r="B400" s="158"/>
      <c r="C400" s="158"/>
      <c r="D400" s="158"/>
      <c r="E400" s="158"/>
      <c r="F400" s="158"/>
      <c r="G400" s="158"/>
      <c r="H400" s="176"/>
      <c r="I400" s="158"/>
      <c r="J400" s="159"/>
      <c r="K400" s="12"/>
      <c r="L400" s="158"/>
      <c r="N400" s="158"/>
    </row>
    <row r="401">
      <c r="A401" s="158"/>
      <c r="B401" s="158"/>
      <c r="C401" s="158"/>
      <c r="D401" s="158"/>
      <c r="E401" s="158"/>
      <c r="F401" s="158"/>
      <c r="G401" s="158"/>
      <c r="H401" s="176"/>
      <c r="I401" s="158"/>
      <c r="J401" s="159"/>
      <c r="K401" s="12"/>
      <c r="L401" s="158"/>
      <c r="N401" s="158"/>
    </row>
    <row r="402">
      <c r="A402" s="158"/>
      <c r="B402" s="158"/>
      <c r="C402" s="158"/>
      <c r="D402" s="158"/>
      <c r="E402" s="158"/>
      <c r="F402" s="158"/>
      <c r="G402" s="158"/>
      <c r="H402" s="176"/>
      <c r="I402" s="158"/>
      <c r="J402" s="159"/>
      <c r="K402" s="12"/>
      <c r="L402" s="158"/>
      <c r="N402" s="158"/>
    </row>
    <row r="403">
      <c r="A403" s="158"/>
      <c r="B403" s="158"/>
      <c r="C403" s="158"/>
      <c r="D403" s="158"/>
      <c r="E403" s="158"/>
      <c r="F403" s="158"/>
      <c r="G403" s="158"/>
      <c r="H403" s="176"/>
      <c r="I403" s="158"/>
      <c r="J403" s="159"/>
      <c r="K403" s="12"/>
      <c r="L403" s="158"/>
      <c r="N403" s="158"/>
    </row>
    <row r="404">
      <c r="A404" s="158"/>
      <c r="B404" s="158"/>
      <c r="C404" s="158"/>
      <c r="D404" s="158"/>
      <c r="E404" s="158"/>
      <c r="F404" s="158"/>
      <c r="G404" s="158"/>
      <c r="H404" s="176"/>
      <c r="I404" s="158"/>
      <c r="J404" s="159"/>
      <c r="K404" s="12"/>
      <c r="L404" s="158"/>
      <c r="N404" s="158"/>
    </row>
    <row r="405">
      <c r="A405" s="158"/>
      <c r="B405" s="158"/>
      <c r="C405" s="158"/>
      <c r="D405" s="158"/>
      <c r="E405" s="158"/>
      <c r="F405" s="158"/>
      <c r="G405" s="158"/>
      <c r="H405" s="176"/>
      <c r="I405" s="158"/>
      <c r="J405" s="159"/>
      <c r="K405" s="12"/>
      <c r="L405" s="158"/>
      <c r="N405" s="158"/>
    </row>
    <row r="406">
      <c r="A406" s="158"/>
      <c r="B406" s="158"/>
      <c r="C406" s="158"/>
      <c r="D406" s="158"/>
      <c r="E406" s="158"/>
      <c r="F406" s="158"/>
      <c r="G406" s="158"/>
      <c r="H406" s="176"/>
      <c r="I406" s="158"/>
      <c r="J406" s="159"/>
      <c r="K406" s="12"/>
      <c r="L406" s="158"/>
      <c r="N406" s="158"/>
    </row>
    <row r="407">
      <c r="A407" s="158"/>
      <c r="B407" s="158"/>
      <c r="C407" s="158"/>
      <c r="D407" s="158"/>
      <c r="E407" s="158"/>
      <c r="F407" s="158"/>
      <c r="G407" s="158"/>
      <c r="H407" s="176"/>
      <c r="I407" s="158"/>
      <c r="J407" s="159"/>
      <c r="K407" s="12"/>
      <c r="L407" s="158"/>
      <c r="N407" s="158"/>
    </row>
    <row r="408">
      <c r="A408" s="158"/>
      <c r="B408" s="158"/>
      <c r="C408" s="158"/>
      <c r="D408" s="158"/>
      <c r="E408" s="158"/>
      <c r="F408" s="158"/>
      <c r="G408" s="158"/>
      <c r="H408" s="176"/>
      <c r="I408" s="158"/>
      <c r="J408" s="159"/>
      <c r="K408" s="12"/>
      <c r="L408" s="158"/>
      <c r="N408" s="158"/>
    </row>
    <row r="409">
      <c r="A409" s="158"/>
      <c r="B409" s="158"/>
      <c r="C409" s="158"/>
      <c r="D409" s="158"/>
      <c r="E409" s="158"/>
      <c r="F409" s="158"/>
      <c r="G409" s="158"/>
      <c r="H409" s="176"/>
      <c r="I409" s="158"/>
      <c r="J409" s="159"/>
      <c r="K409" s="12"/>
      <c r="L409" s="158"/>
      <c r="N409" s="158"/>
    </row>
    <row r="410">
      <c r="A410" s="158"/>
      <c r="B410" s="158"/>
      <c r="C410" s="158"/>
      <c r="D410" s="158"/>
      <c r="E410" s="158"/>
      <c r="F410" s="158"/>
      <c r="G410" s="158"/>
      <c r="H410" s="176"/>
      <c r="I410" s="158"/>
      <c r="J410" s="159"/>
      <c r="K410" s="12"/>
      <c r="L410" s="158"/>
      <c r="N410" s="158"/>
    </row>
    <row r="411">
      <c r="A411" s="158"/>
      <c r="B411" s="158"/>
      <c r="C411" s="158"/>
      <c r="D411" s="158"/>
      <c r="E411" s="158"/>
      <c r="F411" s="158"/>
      <c r="G411" s="158"/>
      <c r="H411" s="176"/>
      <c r="I411" s="158"/>
      <c r="J411" s="159"/>
      <c r="K411" s="12"/>
      <c r="L411" s="158"/>
      <c r="N411" s="158"/>
    </row>
    <row r="412">
      <c r="A412" s="158"/>
      <c r="B412" s="158"/>
      <c r="C412" s="158"/>
      <c r="D412" s="158"/>
      <c r="E412" s="158"/>
      <c r="F412" s="158"/>
      <c r="G412" s="158"/>
      <c r="H412" s="176"/>
      <c r="I412" s="158"/>
      <c r="J412" s="159"/>
      <c r="K412" s="12"/>
      <c r="L412" s="158"/>
      <c r="N412" s="158"/>
    </row>
    <row r="413">
      <c r="A413" s="158"/>
      <c r="B413" s="158"/>
      <c r="C413" s="158"/>
      <c r="D413" s="158"/>
      <c r="E413" s="158"/>
      <c r="F413" s="158"/>
      <c r="G413" s="158"/>
      <c r="H413" s="176"/>
      <c r="I413" s="158"/>
      <c r="J413" s="159"/>
      <c r="K413" s="12"/>
      <c r="L413" s="158"/>
      <c r="N413" s="158"/>
    </row>
    <row r="414">
      <c r="A414" s="158"/>
      <c r="B414" s="158"/>
      <c r="C414" s="158"/>
      <c r="D414" s="158"/>
      <c r="E414" s="158"/>
      <c r="F414" s="158"/>
      <c r="G414" s="158"/>
      <c r="H414" s="176"/>
      <c r="I414" s="158"/>
      <c r="J414" s="159"/>
      <c r="K414" s="12"/>
      <c r="L414" s="158"/>
      <c r="N414" s="158"/>
    </row>
    <row r="415">
      <c r="A415" s="158"/>
      <c r="B415" s="158"/>
      <c r="C415" s="158"/>
      <c r="D415" s="158"/>
      <c r="E415" s="158"/>
      <c r="F415" s="158"/>
      <c r="G415" s="158"/>
      <c r="H415" s="176"/>
      <c r="I415" s="158"/>
      <c r="J415" s="159"/>
      <c r="K415" s="12"/>
      <c r="L415" s="158"/>
      <c r="N415" s="158"/>
    </row>
    <row r="416">
      <c r="A416" s="158"/>
      <c r="B416" s="158"/>
      <c r="C416" s="158"/>
      <c r="D416" s="158"/>
      <c r="E416" s="158"/>
      <c r="F416" s="158"/>
      <c r="G416" s="158"/>
      <c r="H416" s="176"/>
      <c r="I416" s="158"/>
      <c r="J416" s="159"/>
      <c r="K416" s="12"/>
      <c r="L416" s="158"/>
      <c r="N416" s="158"/>
    </row>
    <row r="417">
      <c r="A417" s="158"/>
      <c r="B417" s="158"/>
      <c r="C417" s="158"/>
      <c r="D417" s="158"/>
      <c r="E417" s="158"/>
      <c r="F417" s="158"/>
      <c r="G417" s="158"/>
      <c r="H417" s="176"/>
      <c r="I417" s="158"/>
      <c r="J417" s="159"/>
      <c r="K417" s="12"/>
      <c r="L417" s="158"/>
      <c r="N417" s="158"/>
    </row>
    <row r="418">
      <c r="A418" s="158"/>
      <c r="B418" s="158"/>
      <c r="C418" s="158"/>
      <c r="D418" s="158"/>
      <c r="E418" s="158"/>
      <c r="F418" s="158"/>
      <c r="G418" s="158"/>
      <c r="H418" s="176"/>
      <c r="I418" s="158"/>
      <c r="J418" s="159"/>
      <c r="K418" s="12"/>
      <c r="L418" s="158"/>
      <c r="N418" s="158"/>
    </row>
    <row r="419">
      <c r="A419" s="158"/>
      <c r="B419" s="158"/>
      <c r="C419" s="158"/>
      <c r="D419" s="158"/>
      <c r="E419" s="158"/>
      <c r="F419" s="158"/>
      <c r="G419" s="158"/>
      <c r="H419" s="176"/>
      <c r="I419" s="158"/>
      <c r="J419" s="159"/>
      <c r="K419" s="12"/>
      <c r="L419" s="158"/>
      <c r="N419" s="158"/>
    </row>
    <row r="420">
      <c r="A420" s="158"/>
      <c r="B420" s="158"/>
      <c r="C420" s="158"/>
      <c r="D420" s="158"/>
      <c r="E420" s="158"/>
      <c r="F420" s="158"/>
      <c r="G420" s="158"/>
      <c r="H420" s="176"/>
      <c r="I420" s="158"/>
      <c r="J420" s="159"/>
      <c r="K420" s="12"/>
      <c r="L420" s="158"/>
      <c r="N420" s="158"/>
    </row>
    <row r="421">
      <c r="A421" s="158"/>
      <c r="B421" s="158"/>
      <c r="C421" s="158"/>
      <c r="D421" s="158"/>
      <c r="E421" s="158"/>
      <c r="F421" s="158"/>
      <c r="G421" s="158"/>
      <c r="H421" s="176"/>
      <c r="I421" s="158"/>
      <c r="J421" s="159"/>
      <c r="K421" s="12"/>
      <c r="L421" s="158"/>
      <c r="N421" s="158"/>
    </row>
    <row r="422">
      <c r="A422" s="158"/>
      <c r="B422" s="158"/>
      <c r="C422" s="158"/>
      <c r="D422" s="158"/>
      <c r="E422" s="158"/>
      <c r="F422" s="158"/>
      <c r="G422" s="158"/>
      <c r="H422" s="176"/>
      <c r="I422" s="158"/>
      <c r="J422" s="159"/>
      <c r="K422" s="12"/>
      <c r="L422" s="158"/>
      <c r="N422" s="158"/>
    </row>
    <row r="423">
      <c r="A423" s="158"/>
      <c r="B423" s="158"/>
      <c r="C423" s="158"/>
      <c r="D423" s="158"/>
      <c r="E423" s="158"/>
      <c r="F423" s="158"/>
      <c r="G423" s="158"/>
      <c r="H423" s="176"/>
      <c r="I423" s="158"/>
      <c r="J423" s="159"/>
      <c r="K423" s="12"/>
      <c r="L423" s="158"/>
      <c r="N423" s="158"/>
    </row>
    <row r="424">
      <c r="A424" s="158"/>
      <c r="B424" s="158"/>
      <c r="C424" s="158"/>
      <c r="D424" s="158"/>
      <c r="E424" s="158"/>
      <c r="F424" s="158"/>
      <c r="G424" s="158"/>
      <c r="H424" s="176"/>
      <c r="I424" s="158"/>
      <c r="J424" s="159"/>
      <c r="K424" s="12"/>
      <c r="L424" s="158"/>
      <c r="N424" s="158"/>
    </row>
    <row r="425">
      <c r="A425" s="158"/>
      <c r="B425" s="158"/>
      <c r="C425" s="158"/>
      <c r="D425" s="158"/>
      <c r="E425" s="158"/>
      <c r="F425" s="158"/>
      <c r="G425" s="158"/>
      <c r="H425" s="176"/>
      <c r="I425" s="158"/>
      <c r="J425" s="159"/>
      <c r="K425" s="12"/>
      <c r="L425" s="158"/>
      <c r="N425" s="158"/>
    </row>
    <row r="426">
      <c r="A426" s="158"/>
      <c r="B426" s="158"/>
      <c r="C426" s="158"/>
      <c r="D426" s="158"/>
      <c r="E426" s="158"/>
      <c r="F426" s="158"/>
      <c r="G426" s="158"/>
      <c r="H426" s="176"/>
      <c r="I426" s="158"/>
      <c r="J426" s="159"/>
      <c r="K426" s="12"/>
      <c r="L426" s="158"/>
      <c r="N426" s="158"/>
    </row>
    <row r="427">
      <c r="A427" s="158"/>
      <c r="B427" s="158"/>
      <c r="C427" s="158"/>
      <c r="D427" s="158"/>
      <c r="E427" s="158"/>
      <c r="F427" s="158"/>
      <c r="G427" s="158"/>
      <c r="H427" s="176"/>
      <c r="I427" s="158"/>
      <c r="J427" s="159"/>
      <c r="K427" s="12"/>
      <c r="L427" s="158"/>
      <c r="N427" s="158"/>
    </row>
    <row r="428">
      <c r="A428" s="158"/>
      <c r="B428" s="158"/>
      <c r="C428" s="158"/>
      <c r="D428" s="158"/>
      <c r="E428" s="158"/>
      <c r="F428" s="158"/>
      <c r="G428" s="158"/>
      <c r="H428" s="176"/>
      <c r="I428" s="158"/>
      <c r="J428" s="159"/>
      <c r="K428" s="12"/>
      <c r="L428" s="158"/>
      <c r="N428" s="158"/>
    </row>
    <row r="429">
      <c r="A429" s="158"/>
      <c r="B429" s="158"/>
      <c r="C429" s="158"/>
      <c r="D429" s="158"/>
      <c r="E429" s="158"/>
      <c r="F429" s="158"/>
      <c r="G429" s="158"/>
      <c r="H429" s="176"/>
      <c r="I429" s="158"/>
      <c r="J429" s="159"/>
      <c r="K429" s="12"/>
      <c r="L429" s="158"/>
      <c r="N429" s="158"/>
    </row>
    <row r="430">
      <c r="A430" s="158"/>
      <c r="B430" s="158"/>
      <c r="C430" s="158"/>
      <c r="D430" s="158"/>
      <c r="E430" s="158"/>
      <c r="F430" s="158"/>
      <c r="G430" s="158"/>
      <c r="H430" s="176"/>
      <c r="I430" s="158"/>
      <c r="J430" s="159"/>
      <c r="K430" s="12"/>
      <c r="L430" s="158"/>
      <c r="N430" s="158"/>
    </row>
    <row r="431">
      <c r="A431" s="158"/>
      <c r="B431" s="158"/>
      <c r="C431" s="158"/>
      <c r="D431" s="158"/>
      <c r="E431" s="158"/>
      <c r="F431" s="158"/>
      <c r="G431" s="158"/>
      <c r="H431" s="176"/>
      <c r="I431" s="158"/>
      <c r="J431" s="159"/>
      <c r="K431" s="12"/>
      <c r="L431" s="158"/>
      <c r="N431" s="158"/>
    </row>
    <row r="432">
      <c r="A432" s="158"/>
      <c r="B432" s="158"/>
      <c r="C432" s="158"/>
      <c r="D432" s="158"/>
      <c r="E432" s="158"/>
      <c r="F432" s="158"/>
      <c r="G432" s="158"/>
      <c r="H432" s="176"/>
      <c r="I432" s="158"/>
      <c r="J432" s="159"/>
      <c r="K432" s="12"/>
      <c r="L432" s="158"/>
      <c r="N432" s="158"/>
    </row>
    <row r="433">
      <c r="A433" s="158"/>
      <c r="B433" s="158"/>
      <c r="C433" s="158"/>
      <c r="D433" s="158"/>
      <c r="E433" s="158"/>
      <c r="F433" s="158"/>
      <c r="G433" s="158"/>
      <c r="H433" s="176"/>
      <c r="I433" s="158"/>
      <c r="J433" s="159"/>
      <c r="K433" s="12"/>
      <c r="L433" s="158"/>
      <c r="N433" s="158"/>
    </row>
    <row r="434">
      <c r="A434" s="158"/>
      <c r="B434" s="158"/>
      <c r="C434" s="158"/>
      <c r="D434" s="158"/>
      <c r="E434" s="158"/>
      <c r="F434" s="158"/>
      <c r="G434" s="158"/>
      <c r="H434" s="176"/>
      <c r="I434" s="158"/>
      <c r="J434" s="159"/>
      <c r="K434" s="12"/>
      <c r="L434" s="158"/>
      <c r="N434" s="158"/>
    </row>
    <row r="435">
      <c r="A435" s="158"/>
      <c r="B435" s="158"/>
      <c r="C435" s="158"/>
      <c r="D435" s="158"/>
      <c r="E435" s="158"/>
      <c r="F435" s="158"/>
      <c r="G435" s="158"/>
      <c r="H435" s="176"/>
      <c r="I435" s="158"/>
      <c r="J435" s="159"/>
      <c r="K435" s="12"/>
      <c r="L435" s="158"/>
      <c r="N435" s="158"/>
    </row>
    <row r="436">
      <c r="A436" s="158"/>
      <c r="B436" s="158"/>
      <c r="C436" s="158"/>
      <c r="D436" s="158"/>
      <c r="E436" s="158"/>
      <c r="F436" s="158"/>
      <c r="G436" s="158"/>
      <c r="H436" s="176"/>
      <c r="I436" s="158"/>
      <c r="J436" s="159"/>
      <c r="K436" s="12"/>
      <c r="L436" s="158"/>
      <c r="N436" s="158"/>
    </row>
    <row r="437">
      <c r="A437" s="158"/>
      <c r="B437" s="158"/>
      <c r="C437" s="158"/>
      <c r="D437" s="158"/>
      <c r="E437" s="158"/>
      <c r="F437" s="158"/>
      <c r="G437" s="158"/>
      <c r="H437" s="176"/>
      <c r="I437" s="158"/>
      <c r="J437" s="159"/>
      <c r="K437" s="12"/>
      <c r="L437" s="158"/>
      <c r="N437" s="158"/>
    </row>
    <row r="438">
      <c r="A438" s="158"/>
      <c r="B438" s="158"/>
      <c r="C438" s="158"/>
      <c r="D438" s="158"/>
      <c r="E438" s="158"/>
      <c r="F438" s="158"/>
      <c r="G438" s="158"/>
      <c r="H438" s="176"/>
      <c r="I438" s="158"/>
      <c r="J438" s="159"/>
      <c r="K438" s="12"/>
      <c r="L438" s="158"/>
      <c r="N438" s="158"/>
    </row>
    <row r="439">
      <c r="A439" s="158"/>
      <c r="B439" s="158"/>
      <c r="C439" s="158"/>
      <c r="D439" s="158"/>
      <c r="E439" s="158"/>
      <c r="F439" s="158"/>
      <c r="G439" s="158"/>
      <c r="H439" s="176"/>
      <c r="I439" s="158"/>
      <c r="J439" s="159"/>
      <c r="K439" s="12"/>
      <c r="L439" s="158"/>
      <c r="N439" s="158"/>
    </row>
    <row r="440">
      <c r="A440" s="158"/>
      <c r="B440" s="158"/>
      <c r="C440" s="158"/>
      <c r="D440" s="158"/>
      <c r="E440" s="158"/>
      <c r="F440" s="158"/>
      <c r="G440" s="158"/>
      <c r="H440" s="176"/>
      <c r="I440" s="158"/>
      <c r="J440" s="159"/>
      <c r="K440" s="12"/>
      <c r="L440" s="158"/>
      <c r="N440" s="158"/>
    </row>
    <row r="441">
      <c r="A441" s="158"/>
      <c r="B441" s="158"/>
      <c r="C441" s="158"/>
      <c r="D441" s="158"/>
      <c r="E441" s="158"/>
      <c r="F441" s="158"/>
      <c r="G441" s="158"/>
      <c r="H441" s="176"/>
      <c r="I441" s="158"/>
      <c r="J441" s="159"/>
      <c r="K441" s="12"/>
      <c r="L441" s="158"/>
      <c r="N441" s="158"/>
    </row>
    <row r="442">
      <c r="A442" s="158"/>
      <c r="B442" s="158"/>
      <c r="C442" s="158"/>
      <c r="D442" s="158"/>
      <c r="E442" s="158"/>
      <c r="F442" s="158"/>
      <c r="G442" s="158"/>
      <c r="H442" s="176"/>
      <c r="I442" s="158"/>
      <c r="J442" s="159"/>
      <c r="K442" s="12"/>
      <c r="L442" s="158"/>
      <c r="N442" s="158"/>
    </row>
    <row r="443">
      <c r="A443" s="158"/>
      <c r="B443" s="158"/>
      <c r="C443" s="158"/>
      <c r="D443" s="158"/>
      <c r="E443" s="158"/>
      <c r="F443" s="158"/>
      <c r="G443" s="158"/>
      <c r="H443" s="176"/>
      <c r="I443" s="158"/>
      <c r="J443" s="159"/>
      <c r="K443" s="12"/>
      <c r="L443" s="158"/>
      <c r="N443" s="158"/>
    </row>
    <row r="444">
      <c r="A444" s="158"/>
      <c r="B444" s="158"/>
      <c r="C444" s="158"/>
      <c r="D444" s="158"/>
      <c r="E444" s="158"/>
      <c r="F444" s="158"/>
      <c r="G444" s="158"/>
      <c r="H444" s="176"/>
      <c r="I444" s="158"/>
      <c r="J444" s="159"/>
      <c r="K444" s="12"/>
      <c r="L444" s="158"/>
      <c r="N444" s="158"/>
    </row>
    <row r="445">
      <c r="A445" s="158"/>
      <c r="B445" s="158"/>
      <c r="C445" s="158"/>
      <c r="D445" s="158"/>
      <c r="E445" s="158"/>
      <c r="F445" s="158"/>
      <c r="G445" s="158"/>
      <c r="H445" s="176"/>
      <c r="I445" s="158"/>
      <c r="J445" s="159"/>
      <c r="K445" s="12"/>
      <c r="L445" s="158"/>
      <c r="N445" s="158"/>
    </row>
    <row r="446">
      <c r="A446" s="158"/>
      <c r="B446" s="158"/>
      <c r="C446" s="158"/>
      <c r="D446" s="158"/>
      <c r="E446" s="158"/>
      <c r="F446" s="158"/>
      <c r="G446" s="158"/>
      <c r="H446" s="176"/>
      <c r="I446" s="158"/>
      <c r="J446" s="159"/>
      <c r="K446" s="12"/>
      <c r="L446" s="158"/>
      <c r="N446" s="158"/>
    </row>
    <row r="447">
      <c r="A447" s="158"/>
      <c r="B447" s="158"/>
      <c r="C447" s="158"/>
      <c r="D447" s="158"/>
      <c r="E447" s="158"/>
      <c r="F447" s="158"/>
      <c r="G447" s="158"/>
      <c r="H447" s="176"/>
      <c r="I447" s="158"/>
      <c r="J447" s="159"/>
      <c r="K447" s="12"/>
      <c r="L447" s="158"/>
      <c r="N447" s="158"/>
    </row>
    <row r="448">
      <c r="A448" s="158"/>
      <c r="B448" s="158"/>
      <c r="C448" s="158"/>
      <c r="D448" s="158"/>
      <c r="E448" s="158"/>
      <c r="F448" s="158"/>
      <c r="G448" s="158"/>
      <c r="H448" s="176"/>
      <c r="I448" s="158"/>
      <c r="J448" s="159"/>
      <c r="K448" s="12"/>
      <c r="L448" s="158"/>
      <c r="N448" s="158"/>
    </row>
    <row r="449">
      <c r="A449" s="158"/>
      <c r="B449" s="158"/>
      <c r="C449" s="158"/>
      <c r="D449" s="158"/>
      <c r="E449" s="158"/>
      <c r="F449" s="158"/>
      <c r="G449" s="158"/>
      <c r="H449" s="176"/>
      <c r="I449" s="158"/>
      <c r="J449" s="159"/>
      <c r="K449" s="12"/>
      <c r="L449" s="158"/>
      <c r="N449" s="158"/>
    </row>
    <row r="450">
      <c r="A450" s="158"/>
      <c r="B450" s="158"/>
      <c r="C450" s="158"/>
      <c r="D450" s="158"/>
      <c r="E450" s="158"/>
      <c r="F450" s="158"/>
      <c r="G450" s="158"/>
      <c r="H450" s="176"/>
      <c r="I450" s="158"/>
      <c r="J450" s="159"/>
      <c r="K450" s="12"/>
      <c r="L450" s="158"/>
      <c r="N450" s="158"/>
    </row>
    <row r="451">
      <c r="A451" s="158"/>
      <c r="B451" s="158"/>
      <c r="C451" s="158"/>
      <c r="D451" s="158"/>
      <c r="E451" s="158"/>
      <c r="F451" s="158"/>
      <c r="G451" s="158"/>
      <c r="H451" s="176"/>
      <c r="I451" s="158"/>
      <c r="J451" s="159"/>
      <c r="K451" s="12"/>
      <c r="L451" s="158"/>
      <c r="N451" s="158"/>
    </row>
    <row r="452">
      <c r="A452" s="158"/>
      <c r="B452" s="158"/>
      <c r="C452" s="158"/>
      <c r="D452" s="158"/>
      <c r="E452" s="158"/>
      <c r="F452" s="158"/>
      <c r="G452" s="158"/>
      <c r="H452" s="176"/>
      <c r="I452" s="158"/>
      <c r="J452" s="159"/>
      <c r="K452" s="12"/>
      <c r="L452" s="158"/>
      <c r="N452" s="158"/>
    </row>
    <row r="453">
      <c r="A453" s="158"/>
      <c r="B453" s="158"/>
      <c r="C453" s="158"/>
      <c r="D453" s="158"/>
      <c r="E453" s="158"/>
      <c r="F453" s="158"/>
      <c r="G453" s="158"/>
      <c r="H453" s="176"/>
      <c r="I453" s="158"/>
      <c r="J453" s="159"/>
      <c r="K453" s="12"/>
      <c r="L453" s="158"/>
      <c r="N453" s="158"/>
    </row>
    <row r="454">
      <c r="A454" s="158"/>
      <c r="B454" s="158"/>
      <c r="C454" s="158"/>
      <c r="D454" s="158"/>
      <c r="E454" s="158"/>
      <c r="F454" s="158"/>
      <c r="G454" s="158"/>
      <c r="H454" s="176"/>
      <c r="I454" s="158"/>
      <c r="J454" s="159"/>
      <c r="K454" s="12"/>
      <c r="L454" s="158"/>
      <c r="N454" s="158"/>
    </row>
    <row r="455">
      <c r="A455" s="158"/>
      <c r="B455" s="158"/>
      <c r="C455" s="158"/>
      <c r="D455" s="158"/>
      <c r="E455" s="158"/>
      <c r="F455" s="158"/>
      <c r="G455" s="158"/>
      <c r="H455" s="176"/>
      <c r="I455" s="158"/>
      <c r="J455" s="159"/>
      <c r="K455" s="12"/>
      <c r="L455" s="158"/>
      <c r="N455" s="158"/>
    </row>
    <row r="456">
      <c r="A456" s="158"/>
      <c r="B456" s="158"/>
      <c r="C456" s="158"/>
      <c r="D456" s="158"/>
      <c r="E456" s="158"/>
      <c r="F456" s="158"/>
      <c r="G456" s="158"/>
      <c r="H456" s="176"/>
      <c r="I456" s="158"/>
      <c r="J456" s="159"/>
      <c r="K456" s="12"/>
      <c r="L456" s="158"/>
      <c r="N456" s="158"/>
    </row>
    <row r="457">
      <c r="A457" s="158"/>
      <c r="B457" s="158"/>
      <c r="C457" s="158"/>
      <c r="D457" s="158"/>
      <c r="E457" s="158"/>
      <c r="F457" s="158"/>
      <c r="G457" s="158"/>
      <c r="H457" s="176"/>
      <c r="I457" s="158"/>
      <c r="J457" s="159"/>
      <c r="K457" s="12"/>
      <c r="L457" s="158"/>
      <c r="N457" s="158"/>
    </row>
    <row r="458">
      <c r="A458" s="158"/>
      <c r="B458" s="158"/>
      <c r="C458" s="158"/>
      <c r="D458" s="158"/>
      <c r="E458" s="158"/>
      <c r="F458" s="158"/>
      <c r="G458" s="158"/>
      <c r="H458" s="176"/>
      <c r="I458" s="158"/>
      <c r="J458" s="159"/>
      <c r="K458" s="12"/>
      <c r="L458" s="158"/>
      <c r="N458" s="158"/>
    </row>
    <row r="459">
      <c r="A459" s="158"/>
      <c r="B459" s="158"/>
      <c r="C459" s="158"/>
      <c r="D459" s="158"/>
      <c r="E459" s="158"/>
      <c r="F459" s="158"/>
      <c r="G459" s="158"/>
      <c r="H459" s="176"/>
      <c r="I459" s="158"/>
      <c r="J459" s="159"/>
      <c r="K459" s="12"/>
      <c r="L459" s="158"/>
      <c r="N459" s="158"/>
    </row>
    <row r="460">
      <c r="A460" s="158"/>
      <c r="B460" s="158"/>
      <c r="C460" s="158"/>
      <c r="D460" s="158"/>
      <c r="E460" s="158"/>
      <c r="F460" s="158"/>
      <c r="G460" s="158"/>
      <c r="H460" s="176"/>
      <c r="I460" s="158"/>
      <c r="J460" s="159"/>
      <c r="K460" s="12"/>
      <c r="L460" s="158"/>
      <c r="N460" s="158"/>
    </row>
    <row r="461">
      <c r="A461" s="158"/>
      <c r="B461" s="158"/>
      <c r="C461" s="158"/>
      <c r="D461" s="158"/>
      <c r="E461" s="158"/>
      <c r="F461" s="158"/>
      <c r="G461" s="158"/>
      <c r="H461" s="176"/>
      <c r="I461" s="158"/>
      <c r="J461" s="159"/>
      <c r="K461" s="12"/>
      <c r="L461" s="158"/>
      <c r="N461" s="158"/>
    </row>
    <row r="462">
      <c r="A462" s="158"/>
      <c r="B462" s="158"/>
      <c r="C462" s="158"/>
      <c r="D462" s="158"/>
      <c r="E462" s="158"/>
      <c r="F462" s="158"/>
      <c r="G462" s="158"/>
      <c r="H462" s="176"/>
      <c r="I462" s="158"/>
      <c r="J462" s="159"/>
      <c r="K462" s="12"/>
      <c r="L462" s="158"/>
      <c r="N462" s="158"/>
    </row>
    <row r="463">
      <c r="A463" s="158"/>
      <c r="B463" s="158"/>
      <c r="C463" s="158"/>
      <c r="D463" s="158"/>
      <c r="E463" s="158"/>
      <c r="F463" s="158"/>
      <c r="G463" s="158"/>
      <c r="H463" s="176"/>
      <c r="I463" s="158"/>
      <c r="J463" s="159"/>
      <c r="K463" s="12"/>
      <c r="L463" s="158"/>
      <c r="N463" s="158"/>
    </row>
    <row r="464">
      <c r="A464" s="158"/>
      <c r="B464" s="158"/>
      <c r="C464" s="158"/>
      <c r="D464" s="158"/>
      <c r="E464" s="158"/>
      <c r="F464" s="158"/>
      <c r="G464" s="158"/>
      <c r="H464" s="176"/>
      <c r="I464" s="158"/>
      <c r="J464" s="159"/>
      <c r="K464" s="12"/>
      <c r="L464" s="158"/>
      <c r="N464" s="158"/>
    </row>
    <row r="465">
      <c r="A465" s="158"/>
      <c r="B465" s="158"/>
      <c r="C465" s="158"/>
      <c r="D465" s="158"/>
      <c r="E465" s="158"/>
      <c r="F465" s="158"/>
      <c r="G465" s="158"/>
      <c r="H465" s="176"/>
      <c r="I465" s="158"/>
      <c r="J465" s="159"/>
      <c r="K465" s="12"/>
      <c r="L465" s="158"/>
      <c r="N465" s="158"/>
    </row>
    <row r="466">
      <c r="A466" s="158"/>
      <c r="B466" s="158"/>
      <c r="C466" s="158"/>
      <c r="D466" s="158"/>
      <c r="E466" s="158"/>
      <c r="F466" s="158"/>
      <c r="G466" s="158"/>
      <c r="H466" s="176"/>
      <c r="I466" s="158"/>
      <c r="J466" s="159"/>
      <c r="K466" s="12"/>
      <c r="L466" s="158"/>
      <c r="N466" s="158"/>
    </row>
    <row r="467">
      <c r="A467" s="158"/>
      <c r="B467" s="158"/>
      <c r="C467" s="158"/>
      <c r="D467" s="158"/>
      <c r="E467" s="158"/>
      <c r="F467" s="158"/>
      <c r="G467" s="158"/>
      <c r="H467" s="176"/>
      <c r="I467" s="158"/>
      <c r="J467" s="159"/>
      <c r="K467" s="12"/>
      <c r="L467" s="158"/>
      <c r="N467" s="158"/>
    </row>
    <row r="468">
      <c r="A468" s="158"/>
      <c r="B468" s="158"/>
      <c r="C468" s="158"/>
      <c r="D468" s="158"/>
      <c r="E468" s="158"/>
      <c r="F468" s="158"/>
      <c r="G468" s="158"/>
      <c r="H468" s="176"/>
      <c r="I468" s="158"/>
      <c r="J468" s="159"/>
      <c r="K468" s="12"/>
      <c r="L468" s="158"/>
      <c r="N468" s="158"/>
    </row>
    <row r="469">
      <c r="A469" s="158"/>
      <c r="B469" s="158"/>
      <c r="C469" s="158"/>
      <c r="D469" s="158"/>
      <c r="E469" s="158"/>
      <c r="F469" s="158"/>
      <c r="G469" s="158"/>
      <c r="H469" s="176"/>
      <c r="I469" s="158"/>
      <c r="J469" s="159"/>
      <c r="K469" s="12"/>
      <c r="L469" s="158"/>
      <c r="N469" s="158"/>
    </row>
    <row r="470">
      <c r="A470" s="158"/>
      <c r="B470" s="158"/>
      <c r="C470" s="158"/>
      <c r="D470" s="158"/>
      <c r="E470" s="158"/>
      <c r="F470" s="158"/>
      <c r="G470" s="158"/>
      <c r="H470" s="176"/>
      <c r="I470" s="158"/>
      <c r="J470" s="159"/>
      <c r="K470" s="12"/>
      <c r="L470" s="158"/>
      <c r="N470" s="158"/>
    </row>
    <row r="471">
      <c r="A471" s="158"/>
      <c r="B471" s="158"/>
      <c r="C471" s="158"/>
      <c r="D471" s="158"/>
      <c r="E471" s="158"/>
      <c r="F471" s="158"/>
      <c r="G471" s="158"/>
      <c r="H471" s="176"/>
      <c r="I471" s="158"/>
      <c r="J471" s="159"/>
      <c r="K471" s="12"/>
      <c r="L471" s="158"/>
      <c r="N471" s="158"/>
    </row>
    <row r="472">
      <c r="A472" s="158"/>
      <c r="B472" s="158"/>
      <c r="C472" s="158"/>
      <c r="D472" s="158"/>
      <c r="E472" s="158"/>
      <c r="F472" s="158"/>
      <c r="G472" s="158"/>
      <c r="H472" s="176"/>
      <c r="I472" s="158"/>
      <c r="J472" s="159"/>
      <c r="K472" s="12"/>
      <c r="L472" s="158"/>
      <c r="N472" s="158"/>
    </row>
    <row r="473">
      <c r="A473" s="158"/>
      <c r="B473" s="158"/>
      <c r="C473" s="158"/>
      <c r="D473" s="158"/>
      <c r="E473" s="158"/>
      <c r="F473" s="158"/>
      <c r="G473" s="158"/>
      <c r="H473" s="176"/>
      <c r="I473" s="158"/>
      <c r="J473" s="159"/>
      <c r="K473" s="12"/>
      <c r="L473" s="158"/>
      <c r="N473" s="158"/>
    </row>
    <row r="474">
      <c r="A474" s="158"/>
      <c r="B474" s="158"/>
      <c r="C474" s="158"/>
      <c r="D474" s="158"/>
      <c r="E474" s="158"/>
      <c r="F474" s="158"/>
      <c r="G474" s="158"/>
      <c r="H474" s="176"/>
      <c r="I474" s="158"/>
      <c r="J474" s="159"/>
      <c r="K474" s="12"/>
      <c r="L474" s="158"/>
      <c r="N474" s="158"/>
    </row>
    <row r="475">
      <c r="A475" s="158"/>
      <c r="B475" s="158"/>
      <c r="C475" s="158"/>
      <c r="D475" s="158"/>
      <c r="E475" s="158"/>
      <c r="F475" s="158"/>
      <c r="G475" s="158"/>
      <c r="H475" s="176"/>
      <c r="I475" s="158"/>
      <c r="J475" s="159"/>
      <c r="K475" s="12"/>
      <c r="L475" s="158"/>
      <c r="N475" s="158"/>
    </row>
    <row r="476">
      <c r="A476" s="158"/>
      <c r="B476" s="158"/>
      <c r="C476" s="158"/>
      <c r="D476" s="158"/>
      <c r="E476" s="158"/>
      <c r="F476" s="158"/>
      <c r="G476" s="158"/>
      <c r="H476" s="176"/>
      <c r="I476" s="158"/>
      <c r="J476" s="159"/>
      <c r="K476" s="12"/>
      <c r="L476" s="158"/>
      <c r="N476" s="158"/>
    </row>
    <row r="477">
      <c r="A477" s="158"/>
      <c r="B477" s="158"/>
      <c r="C477" s="158"/>
      <c r="D477" s="158"/>
      <c r="E477" s="158"/>
      <c r="F477" s="158"/>
      <c r="G477" s="158"/>
      <c r="H477" s="176"/>
      <c r="I477" s="158"/>
      <c r="J477" s="159"/>
      <c r="K477" s="12"/>
      <c r="L477" s="158"/>
      <c r="N477" s="158"/>
    </row>
    <row r="478">
      <c r="A478" s="158"/>
      <c r="B478" s="158"/>
      <c r="C478" s="158"/>
      <c r="D478" s="158"/>
      <c r="E478" s="158"/>
      <c r="F478" s="158"/>
      <c r="G478" s="158"/>
      <c r="H478" s="176"/>
      <c r="I478" s="158"/>
      <c r="J478" s="159"/>
      <c r="K478" s="12"/>
      <c r="L478" s="158"/>
      <c r="N478" s="158"/>
    </row>
    <row r="479">
      <c r="A479" s="158"/>
      <c r="B479" s="158"/>
      <c r="C479" s="158"/>
      <c r="D479" s="158"/>
      <c r="E479" s="158"/>
      <c r="F479" s="158"/>
      <c r="G479" s="158"/>
      <c r="H479" s="176"/>
      <c r="I479" s="158"/>
      <c r="J479" s="159"/>
      <c r="K479" s="12"/>
      <c r="L479" s="158"/>
      <c r="N479" s="158"/>
    </row>
    <row r="480">
      <c r="A480" s="158"/>
      <c r="B480" s="158"/>
      <c r="C480" s="158"/>
      <c r="D480" s="158"/>
      <c r="E480" s="158"/>
      <c r="F480" s="158"/>
      <c r="G480" s="158"/>
      <c r="H480" s="176"/>
      <c r="I480" s="158"/>
      <c r="J480" s="159"/>
      <c r="K480" s="12"/>
      <c r="L480" s="158"/>
      <c r="N480" s="158"/>
    </row>
    <row r="481">
      <c r="A481" s="158"/>
      <c r="B481" s="158"/>
      <c r="C481" s="158"/>
      <c r="D481" s="158"/>
      <c r="E481" s="158"/>
      <c r="F481" s="158"/>
      <c r="G481" s="158"/>
      <c r="H481" s="176"/>
      <c r="I481" s="158"/>
      <c r="J481" s="159"/>
      <c r="K481" s="12"/>
      <c r="L481" s="158"/>
      <c r="N481" s="158"/>
    </row>
    <row r="482">
      <c r="A482" s="158"/>
      <c r="B482" s="158"/>
      <c r="C482" s="158"/>
      <c r="D482" s="158"/>
      <c r="E482" s="158"/>
      <c r="F482" s="158"/>
      <c r="G482" s="158"/>
      <c r="H482" s="176"/>
      <c r="I482" s="158"/>
      <c r="J482" s="159"/>
      <c r="K482" s="12"/>
      <c r="L482" s="158"/>
      <c r="N482" s="158"/>
    </row>
    <row r="483">
      <c r="A483" s="158"/>
      <c r="B483" s="158"/>
      <c r="C483" s="158"/>
      <c r="D483" s="158"/>
      <c r="E483" s="158"/>
      <c r="F483" s="158"/>
      <c r="G483" s="158"/>
      <c r="H483" s="176"/>
      <c r="I483" s="158"/>
      <c r="J483" s="159"/>
      <c r="K483" s="12"/>
      <c r="L483" s="158"/>
      <c r="N483" s="158"/>
    </row>
    <row r="484">
      <c r="A484" s="158"/>
      <c r="B484" s="158"/>
      <c r="C484" s="158"/>
      <c r="D484" s="158"/>
      <c r="E484" s="158"/>
      <c r="F484" s="158"/>
      <c r="G484" s="158"/>
      <c r="H484" s="176"/>
      <c r="I484" s="158"/>
      <c r="J484" s="159"/>
      <c r="K484" s="12"/>
      <c r="L484" s="158"/>
      <c r="N484" s="158"/>
    </row>
    <row r="485">
      <c r="A485" s="158"/>
      <c r="B485" s="158"/>
      <c r="C485" s="158"/>
      <c r="D485" s="158"/>
      <c r="E485" s="158"/>
      <c r="F485" s="158"/>
      <c r="G485" s="158"/>
      <c r="H485" s="176"/>
      <c r="I485" s="158"/>
      <c r="J485" s="159"/>
      <c r="K485" s="12"/>
      <c r="L485" s="158"/>
      <c r="N485" s="158"/>
    </row>
    <row r="486">
      <c r="A486" s="158"/>
      <c r="B486" s="158"/>
      <c r="C486" s="158"/>
      <c r="D486" s="158"/>
      <c r="E486" s="158"/>
      <c r="F486" s="158"/>
      <c r="G486" s="158"/>
      <c r="H486" s="176"/>
      <c r="I486" s="158"/>
      <c r="J486" s="159"/>
      <c r="K486" s="12"/>
      <c r="L486" s="158"/>
      <c r="N486" s="158"/>
    </row>
    <row r="487">
      <c r="A487" s="158"/>
      <c r="B487" s="158"/>
      <c r="C487" s="158"/>
      <c r="D487" s="158"/>
      <c r="E487" s="158"/>
      <c r="F487" s="158"/>
      <c r="G487" s="158"/>
      <c r="H487" s="176"/>
      <c r="I487" s="158"/>
      <c r="J487" s="159"/>
      <c r="K487" s="12"/>
      <c r="L487" s="158"/>
      <c r="N487" s="158"/>
    </row>
    <row r="488">
      <c r="A488" s="158"/>
      <c r="B488" s="158"/>
      <c r="C488" s="158"/>
      <c r="D488" s="158"/>
      <c r="E488" s="158"/>
      <c r="F488" s="158"/>
      <c r="G488" s="158"/>
      <c r="H488" s="176"/>
      <c r="I488" s="158"/>
      <c r="J488" s="159"/>
      <c r="K488" s="12"/>
      <c r="L488" s="158"/>
      <c r="N488" s="158"/>
    </row>
    <row r="489">
      <c r="A489" s="158"/>
      <c r="B489" s="158"/>
      <c r="C489" s="158"/>
      <c r="D489" s="158"/>
      <c r="E489" s="158"/>
      <c r="F489" s="158"/>
      <c r="G489" s="158"/>
      <c r="H489" s="176"/>
      <c r="I489" s="158"/>
      <c r="J489" s="159"/>
      <c r="K489" s="12"/>
      <c r="L489" s="158"/>
      <c r="N489" s="158"/>
    </row>
    <row r="490">
      <c r="A490" s="158"/>
      <c r="B490" s="158"/>
      <c r="C490" s="158"/>
      <c r="D490" s="158"/>
      <c r="E490" s="158"/>
      <c r="F490" s="158"/>
      <c r="G490" s="158"/>
      <c r="H490" s="176"/>
      <c r="I490" s="158"/>
      <c r="J490" s="159"/>
      <c r="K490" s="12"/>
      <c r="L490" s="158"/>
      <c r="N490" s="158"/>
    </row>
    <row r="491">
      <c r="A491" s="158"/>
      <c r="B491" s="158"/>
      <c r="C491" s="158"/>
      <c r="D491" s="158"/>
      <c r="E491" s="158"/>
      <c r="F491" s="158"/>
      <c r="G491" s="158"/>
      <c r="H491" s="176"/>
      <c r="I491" s="158"/>
      <c r="J491" s="159"/>
      <c r="K491" s="12"/>
      <c r="L491" s="158"/>
      <c r="N491" s="158"/>
    </row>
    <row r="492">
      <c r="A492" s="158"/>
      <c r="B492" s="158"/>
      <c r="C492" s="158"/>
      <c r="D492" s="158"/>
      <c r="E492" s="158"/>
      <c r="F492" s="158"/>
      <c r="G492" s="158"/>
      <c r="H492" s="176"/>
      <c r="I492" s="158"/>
      <c r="J492" s="159"/>
      <c r="K492" s="12"/>
      <c r="L492" s="158"/>
      <c r="N492" s="158"/>
    </row>
    <row r="493">
      <c r="A493" s="158"/>
      <c r="B493" s="158"/>
      <c r="C493" s="158"/>
      <c r="D493" s="158"/>
      <c r="E493" s="158"/>
      <c r="F493" s="158"/>
      <c r="G493" s="158"/>
      <c r="H493" s="176"/>
      <c r="I493" s="158"/>
      <c r="J493" s="159"/>
      <c r="K493" s="12"/>
      <c r="L493" s="158"/>
      <c r="N493" s="158"/>
    </row>
    <row r="494">
      <c r="A494" s="158"/>
      <c r="B494" s="158"/>
      <c r="C494" s="158"/>
      <c r="D494" s="158"/>
      <c r="E494" s="158"/>
      <c r="F494" s="158"/>
      <c r="G494" s="158"/>
      <c r="H494" s="176"/>
      <c r="I494" s="158"/>
      <c r="J494" s="159"/>
      <c r="K494" s="12"/>
      <c r="L494" s="158"/>
      <c r="N494" s="158"/>
    </row>
    <row r="495">
      <c r="A495" s="158"/>
      <c r="B495" s="158"/>
      <c r="C495" s="158"/>
      <c r="D495" s="158"/>
      <c r="E495" s="158"/>
      <c r="F495" s="158"/>
      <c r="G495" s="158"/>
      <c r="H495" s="176"/>
      <c r="I495" s="158"/>
      <c r="J495" s="159"/>
      <c r="K495" s="12"/>
      <c r="L495" s="158"/>
      <c r="N495" s="158"/>
    </row>
    <row r="496">
      <c r="A496" s="158"/>
      <c r="B496" s="158"/>
      <c r="C496" s="158"/>
      <c r="D496" s="158"/>
      <c r="E496" s="158"/>
      <c r="F496" s="158"/>
      <c r="G496" s="158"/>
      <c r="H496" s="176"/>
      <c r="I496" s="158"/>
      <c r="J496" s="159"/>
      <c r="K496" s="12"/>
      <c r="L496" s="158"/>
      <c r="N496" s="158"/>
    </row>
    <row r="497">
      <c r="A497" s="158"/>
      <c r="B497" s="158"/>
      <c r="C497" s="158"/>
      <c r="D497" s="158"/>
      <c r="E497" s="158"/>
      <c r="F497" s="158"/>
      <c r="G497" s="158"/>
      <c r="H497" s="176"/>
      <c r="I497" s="158"/>
      <c r="J497" s="159"/>
      <c r="K497" s="12"/>
      <c r="L497" s="158"/>
      <c r="N497" s="158"/>
    </row>
    <row r="498">
      <c r="A498" s="158"/>
      <c r="B498" s="158"/>
      <c r="C498" s="158"/>
      <c r="D498" s="158"/>
      <c r="E498" s="158"/>
      <c r="F498" s="158"/>
      <c r="G498" s="158"/>
      <c r="H498" s="176"/>
      <c r="I498" s="158"/>
      <c r="J498" s="159"/>
      <c r="K498" s="12"/>
      <c r="L498" s="158"/>
      <c r="N498" s="158"/>
    </row>
    <row r="499">
      <c r="A499" s="158"/>
      <c r="B499" s="158"/>
      <c r="C499" s="158"/>
      <c r="D499" s="158"/>
      <c r="E499" s="158"/>
      <c r="F499" s="158"/>
      <c r="G499" s="158"/>
      <c r="H499" s="176"/>
      <c r="I499" s="158"/>
      <c r="J499" s="159"/>
      <c r="K499" s="12"/>
      <c r="L499" s="158"/>
      <c r="N499" s="158"/>
    </row>
    <row r="500">
      <c r="A500" s="158"/>
      <c r="B500" s="158"/>
      <c r="C500" s="158"/>
      <c r="D500" s="158"/>
      <c r="E500" s="158"/>
      <c r="F500" s="158"/>
      <c r="G500" s="158"/>
      <c r="H500" s="176"/>
      <c r="I500" s="158"/>
      <c r="J500" s="159"/>
      <c r="K500" s="12"/>
      <c r="L500" s="158"/>
      <c r="N500" s="158"/>
    </row>
    <row r="501">
      <c r="A501" s="158"/>
      <c r="B501" s="158"/>
      <c r="C501" s="158"/>
      <c r="D501" s="158"/>
      <c r="E501" s="158"/>
      <c r="F501" s="158"/>
      <c r="G501" s="158"/>
      <c r="H501" s="176"/>
      <c r="I501" s="158"/>
      <c r="J501" s="159"/>
      <c r="K501" s="12"/>
      <c r="L501" s="158"/>
      <c r="N501" s="158"/>
    </row>
    <row r="502">
      <c r="A502" s="158"/>
      <c r="B502" s="158"/>
      <c r="C502" s="158"/>
      <c r="D502" s="158"/>
      <c r="E502" s="158"/>
      <c r="F502" s="158"/>
      <c r="G502" s="158"/>
      <c r="H502" s="176"/>
      <c r="I502" s="158"/>
      <c r="J502" s="159"/>
      <c r="K502" s="12"/>
      <c r="L502" s="158"/>
      <c r="N502" s="158"/>
    </row>
    <row r="503">
      <c r="A503" s="158"/>
      <c r="B503" s="158"/>
      <c r="C503" s="158"/>
      <c r="D503" s="158"/>
      <c r="E503" s="158"/>
      <c r="F503" s="158"/>
      <c r="G503" s="158"/>
      <c r="H503" s="176"/>
      <c r="I503" s="158"/>
      <c r="J503" s="159"/>
      <c r="K503" s="12"/>
      <c r="L503" s="158"/>
      <c r="N503" s="158"/>
    </row>
    <row r="504">
      <c r="A504" s="158"/>
      <c r="B504" s="158"/>
      <c r="C504" s="158"/>
      <c r="D504" s="158"/>
      <c r="E504" s="158"/>
      <c r="F504" s="158"/>
      <c r="G504" s="158"/>
      <c r="H504" s="176"/>
      <c r="I504" s="158"/>
      <c r="J504" s="159"/>
      <c r="K504" s="12"/>
      <c r="L504" s="158"/>
      <c r="N504" s="158"/>
    </row>
    <row r="505">
      <c r="A505" s="158"/>
      <c r="B505" s="158"/>
      <c r="C505" s="158"/>
      <c r="D505" s="158"/>
      <c r="E505" s="158"/>
      <c r="F505" s="158"/>
      <c r="G505" s="158"/>
      <c r="H505" s="176"/>
      <c r="I505" s="158"/>
      <c r="J505" s="159"/>
      <c r="K505" s="12"/>
      <c r="L505" s="158"/>
      <c r="N505" s="158"/>
    </row>
    <row r="506">
      <c r="A506" s="158"/>
      <c r="B506" s="158"/>
      <c r="C506" s="158"/>
      <c r="D506" s="158"/>
      <c r="E506" s="158"/>
      <c r="F506" s="158"/>
      <c r="G506" s="158"/>
      <c r="H506" s="176"/>
      <c r="I506" s="158"/>
      <c r="J506" s="159"/>
      <c r="K506" s="12"/>
      <c r="L506" s="158"/>
      <c r="N506" s="158"/>
    </row>
    <row r="507">
      <c r="A507" s="158"/>
      <c r="B507" s="158"/>
      <c r="C507" s="158"/>
      <c r="D507" s="158"/>
      <c r="E507" s="158"/>
      <c r="F507" s="158"/>
      <c r="G507" s="158"/>
      <c r="H507" s="176"/>
      <c r="I507" s="158"/>
      <c r="J507" s="159"/>
      <c r="K507" s="12"/>
      <c r="L507" s="158"/>
      <c r="N507" s="158"/>
    </row>
    <row r="508">
      <c r="A508" s="158"/>
      <c r="B508" s="158"/>
      <c r="C508" s="158"/>
      <c r="D508" s="158"/>
      <c r="E508" s="158"/>
      <c r="F508" s="158"/>
      <c r="G508" s="158"/>
      <c r="H508" s="176"/>
      <c r="I508" s="158"/>
      <c r="J508" s="159"/>
      <c r="K508" s="12"/>
      <c r="L508" s="158"/>
      <c r="N508" s="158"/>
    </row>
    <row r="509">
      <c r="A509" s="158"/>
      <c r="B509" s="158"/>
      <c r="C509" s="158"/>
      <c r="D509" s="158"/>
      <c r="E509" s="158"/>
      <c r="F509" s="158"/>
      <c r="G509" s="158"/>
      <c r="H509" s="176"/>
      <c r="I509" s="158"/>
      <c r="J509" s="159"/>
      <c r="K509" s="12"/>
      <c r="L509" s="158"/>
      <c r="N509" s="158"/>
    </row>
    <row r="510">
      <c r="A510" s="158"/>
      <c r="B510" s="158"/>
      <c r="C510" s="158"/>
      <c r="D510" s="158"/>
      <c r="E510" s="158"/>
      <c r="F510" s="158"/>
      <c r="G510" s="158"/>
      <c r="H510" s="176"/>
      <c r="I510" s="158"/>
      <c r="J510" s="159"/>
      <c r="K510" s="12"/>
      <c r="L510" s="158"/>
      <c r="N510" s="158"/>
    </row>
    <row r="511">
      <c r="A511" s="158"/>
      <c r="B511" s="158"/>
      <c r="C511" s="158"/>
      <c r="D511" s="158"/>
      <c r="E511" s="158"/>
      <c r="F511" s="158"/>
      <c r="G511" s="158"/>
      <c r="H511" s="176"/>
      <c r="I511" s="158"/>
      <c r="J511" s="159"/>
      <c r="K511" s="12"/>
      <c r="L511" s="158"/>
      <c r="N511" s="158"/>
    </row>
    <row r="512">
      <c r="A512" s="158"/>
      <c r="B512" s="158"/>
      <c r="C512" s="158"/>
      <c r="D512" s="158"/>
      <c r="E512" s="158"/>
      <c r="F512" s="158"/>
      <c r="G512" s="158"/>
      <c r="H512" s="176"/>
      <c r="I512" s="158"/>
      <c r="J512" s="159"/>
      <c r="K512" s="12"/>
      <c r="L512" s="158"/>
      <c r="N512" s="158"/>
    </row>
    <row r="513">
      <c r="A513" s="158"/>
      <c r="B513" s="158"/>
      <c r="C513" s="158"/>
      <c r="D513" s="158"/>
      <c r="E513" s="158"/>
      <c r="F513" s="158"/>
      <c r="G513" s="158"/>
      <c r="H513" s="176"/>
      <c r="I513" s="158"/>
      <c r="J513" s="159"/>
      <c r="K513" s="12"/>
      <c r="L513" s="158"/>
      <c r="N513" s="158"/>
    </row>
    <row r="514">
      <c r="A514" s="158"/>
      <c r="B514" s="158"/>
      <c r="C514" s="158"/>
      <c r="D514" s="158"/>
      <c r="E514" s="158"/>
      <c r="F514" s="158"/>
      <c r="G514" s="158"/>
      <c r="H514" s="176"/>
      <c r="I514" s="158"/>
      <c r="J514" s="159"/>
      <c r="K514" s="12"/>
      <c r="L514" s="158"/>
      <c r="N514" s="158"/>
    </row>
    <row r="515">
      <c r="A515" s="158"/>
      <c r="B515" s="158"/>
      <c r="C515" s="158"/>
      <c r="D515" s="158"/>
      <c r="E515" s="158"/>
      <c r="F515" s="158"/>
      <c r="G515" s="158"/>
      <c r="H515" s="176"/>
      <c r="I515" s="158"/>
      <c r="J515" s="159"/>
      <c r="K515" s="12"/>
      <c r="L515" s="158"/>
      <c r="N515" s="158"/>
    </row>
    <row r="516">
      <c r="A516" s="158"/>
      <c r="B516" s="158"/>
      <c r="C516" s="158"/>
      <c r="D516" s="158"/>
      <c r="E516" s="158"/>
      <c r="F516" s="158"/>
      <c r="G516" s="158"/>
      <c r="H516" s="176"/>
      <c r="I516" s="158"/>
      <c r="J516" s="159"/>
      <c r="K516" s="12"/>
      <c r="L516" s="158"/>
      <c r="N516" s="158"/>
    </row>
    <row r="517">
      <c r="A517" s="158"/>
      <c r="B517" s="158"/>
      <c r="C517" s="158"/>
      <c r="D517" s="158"/>
      <c r="E517" s="158"/>
      <c r="F517" s="158"/>
      <c r="G517" s="158"/>
      <c r="H517" s="176"/>
      <c r="I517" s="158"/>
      <c r="J517" s="159"/>
      <c r="K517" s="12"/>
      <c r="L517" s="158"/>
      <c r="N517" s="158"/>
    </row>
    <row r="518">
      <c r="A518" s="158"/>
      <c r="B518" s="158"/>
      <c r="C518" s="158"/>
      <c r="D518" s="158"/>
      <c r="E518" s="158"/>
      <c r="F518" s="158"/>
      <c r="G518" s="158"/>
      <c r="H518" s="176"/>
      <c r="I518" s="158"/>
      <c r="J518" s="159"/>
      <c r="K518" s="12"/>
      <c r="L518" s="158"/>
      <c r="N518" s="158"/>
    </row>
    <row r="519">
      <c r="A519" s="158"/>
      <c r="B519" s="158"/>
      <c r="C519" s="158"/>
      <c r="D519" s="158"/>
      <c r="E519" s="158"/>
      <c r="F519" s="158"/>
      <c r="G519" s="158"/>
      <c r="H519" s="176"/>
      <c r="I519" s="158"/>
      <c r="J519" s="159"/>
      <c r="K519" s="12"/>
      <c r="L519" s="158"/>
      <c r="N519" s="158"/>
    </row>
    <row r="520">
      <c r="A520" s="158"/>
      <c r="B520" s="158"/>
      <c r="C520" s="158"/>
      <c r="D520" s="158"/>
      <c r="E520" s="158"/>
      <c r="F520" s="158"/>
      <c r="G520" s="158"/>
      <c r="H520" s="176"/>
      <c r="I520" s="158"/>
      <c r="J520" s="159"/>
      <c r="K520" s="12"/>
      <c r="L520" s="158"/>
      <c r="N520" s="158"/>
    </row>
    <row r="521">
      <c r="A521" s="158"/>
      <c r="B521" s="158"/>
      <c r="C521" s="158"/>
      <c r="D521" s="158"/>
      <c r="E521" s="158"/>
      <c r="F521" s="158"/>
      <c r="G521" s="158"/>
      <c r="H521" s="176"/>
      <c r="I521" s="158"/>
      <c r="J521" s="159"/>
      <c r="K521" s="12"/>
      <c r="L521" s="158"/>
      <c r="N521" s="158"/>
    </row>
    <row r="522">
      <c r="A522" s="158"/>
      <c r="B522" s="158"/>
      <c r="C522" s="158"/>
      <c r="D522" s="158"/>
      <c r="E522" s="158"/>
      <c r="F522" s="158"/>
      <c r="G522" s="158"/>
      <c r="H522" s="176"/>
      <c r="I522" s="158"/>
      <c r="J522" s="159"/>
      <c r="K522" s="12"/>
      <c r="L522" s="158"/>
      <c r="N522" s="158"/>
    </row>
    <row r="523">
      <c r="A523" s="158"/>
      <c r="B523" s="158"/>
      <c r="C523" s="158"/>
      <c r="D523" s="158"/>
      <c r="E523" s="158"/>
      <c r="F523" s="158"/>
      <c r="G523" s="158"/>
      <c r="H523" s="176"/>
      <c r="I523" s="158"/>
      <c r="J523" s="159"/>
      <c r="K523" s="12"/>
      <c r="L523" s="158"/>
      <c r="N523" s="158"/>
    </row>
    <row r="524">
      <c r="A524" s="158"/>
      <c r="B524" s="158"/>
      <c r="C524" s="158"/>
      <c r="D524" s="158"/>
      <c r="E524" s="158"/>
      <c r="F524" s="158"/>
      <c r="G524" s="158"/>
      <c r="H524" s="176"/>
      <c r="I524" s="158"/>
      <c r="J524" s="159"/>
      <c r="K524" s="12"/>
      <c r="L524" s="158"/>
      <c r="N524" s="158"/>
    </row>
    <row r="525">
      <c r="A525" s="158"/>
      <c r="B525" s="158"/>
      <c r="C525" s="158"/>
      <c r="D525" s="158"/>
      <c r="E525" s="158"/>
      <c r="F525" s="158"/>
      <c r="G525" s="158"/>
      <c r="H525" s="176"/>
      <c r="I525" s="158"/>
      <c r="J525" s="159"/>
      <c r="K525" s="12"/>
      <c r="L525" s="158"/>
      <c r="N525" s="158"/>
    </row>
    <row r="526">
      <c r="A526" s="158"/>
      <c r="B526" s="158"/>
      <c r="C526" s="158"/>
      <c r="D526" s="158"/>
      <c r="E526" s="158"/>
      <c r="F526" s="158"/>
      <c r="G526" s="158"/>
      <c r="H526" s="176"/>
      <c r="I526" s="158"/>
      <c r="J526" s="159"/>
      <c r="K526" s="12"/>
      <c r="L526" s="158"/>
      <c r="N526" s="158"/>
    </row>
    <row r="527">
      <c r="A527" s="158"/>
      <c r="B527" s="158"/>
      <c r="C527" s="158"/>
      <c r="D527" s="158"/>
      <c r="E527" s="158"/>
      <c r="F527" s="158"/>
      <c r="G527" s="158"/>
      <c r="H527" s="176"/>
      <c r="I527" s="158"/>
      <c r="J527" s="159"/>
      <c r="K527" s="12"/>
      <c r="L527" s="158"/>
      <c r="N527" s="158"/>
    </row>
    <row r="528">
      <c r="A528" s="158"/>
      <c r="B528" s="158"/>
      <c r="C528" s="158"/>
      <c r="D528" s="158"/>
      <c r="E528" s="158"/>
      <c r="F528" s="158"/>
      <c r="G528" s="158"/>
      <c r="H528" s="176"/>
      <c r="I528" s="158"/>
      <c r="J528" s="159"/>
      <c r="K528" s="12"/>
      <c r="L528" s="158"/>
      <c r="N528" s="158"/>
    </row>
    <row r="529">
      <c r="A529" s="158"/>
      <c r="B529" s="158"/>
      <c r="C529" s="158"/>
      <c r="D529" s="158"/>
      <c r="E529" s="158"/>
      <c r="F529" s="158"/>
      <c r="G529" s="158"/>
      <c r="H529" s="176"/>
      <c r="I529" s="158"/>
      <c r="J529" s="159"/>
      <c r="K529" s="12"/>
      <c r="L529" s="158"/>
      <c r="N529" s="158"/>
    </row>
    <row r="530">
      <c r="A530" s="158"/>
      <c r="B530" s="158"/>
      <c r="C530" s="158"/>
      <c r="D530" s="158"/>
      <c r="E530" s="158"/>
      <c r="F530" s="158"/>
      <c r="G530" s="158"/>
      <c r="H530" s="176"/>
      <c r="I530" s="158"/>
      <c r="J530" s="159"/>
      <c r="K530" s="12"/>
      <c r="L530" s="158"/>
      <c r="N530" s="158"/>
    </row>
    <row r="531">
      <c r="A531" s="158"/>
      <c r="B531" s="158"/>
      <c r="C531" s="158"/>
      <c r="D531" s="158"/>
      <c r="E531" s="158"/>
      <c r="F531" s="158"/>
      <c r="G531" s="158"/>
      <c r="H531" s="176"/>
      <c r="I531" s="158"/>
      <c r="J531" s="159"/>
      <c r="K531" s="12"/>
      <c r="L531" s="158"/>
      <c r="N531" s="158"/>
    </row>
    <row r="532">
      <c r="A532" s="158"/>
      <c r="B532" s="158"/>
      <c r="C532" s="158"/>
      <c r="D532" s="158"/>
      <c r="E532" s="158"/>
      <c r="F532" s="158"/>
      <c r="G532" s="158"/>
      <c r="H532" s="176"/>
      <c r="I532" s="158"/>
      <c r="J532" s="159"/>
      <c r="K532" s="12"/>
      <c r="L532" s="158"/>
      <c r="N532" s="158"/>
    </row>
    <row r="533">
      <c r="A533" s="158"/>
      <c r="B533" s="158"/>
      <c r="C533" s="158"/>
      <c r="D533" s="158"/>
      <c r="E533" s="158"/>
      <c r="F533" s="158"/>
      <c r="G533" s="158"/>
      <c r="H533" s="176"/>
      <c r="I533" s="158"/>
      <c r="J533" s="159"/>
      <c r="K533" s="12"/>
      <c r="L533" s="158"/>
      <c r="N533" s="158"/>
    </row>
    <row r="534">
      <c r="A534" s="158"/>
      <c r="B534" s="158"/>
      <c r="C534" s="158"/>
      <c r="D534" s="158"/>
      <c r="E534" s="158"/>
      <c r="F534" s="158"/>
      <c r="G534" s="158"/>
      <c r="H534" s="176"/>
      <c r="I534" s="158"/>
      <c r="J534" s="159"/>
      <c r="K534" s="12"/>
      <c r="L534" s="158"/>
      <c r="N534" s="158"/>
    </row>
    <row r="535">
      <c r="A535" s="158"/>
      <c r="B535" s="158"/>
      <c r="C535" s="158"/>
      <c r="D535" s="158"/>
      <c r="E535" s="158"/>
      <c r="F535" s="158"/>
      <c r="G535" s="158"/>
      <c r="H535" s="176"/>
      <c r="I535" s="158"/>
      <c r="J535" s="159"/>
      <c r="K535" s="12"/>
      <c r="L535" s="158"/>
      <c r="N535" s="158"/>
    </row>
    <row r="536">
      <c r="A536" s="158"/>
      <c r="B536" s="158"/>
      <c r="C536" s="158"/>
      <c r="D536" s="158"/>
      <c r="E536" s="158"/>
      <c r="F536" s="158"/>
      <c r="G536" s="158"/>
      <c r="H536" s="176"/>
      <c r="I536" s="158"/>
      <c r="J536" s="159"/>
      <c r="K536" s="12"/>
      <c r="L536" s="158"/>
      <c r="N536" s="158"/>
    </row>
    <row r="537">
      <c r="A537" s="158"/>
      <c r="B537" s="158"/>
      <c r="C537" s="158"/>
      <c r="D537" s="158"/>
      <c r="E537" s="158"/>
      <c r="F537" s="158"/>
      <c r="G537" s="158"/>
      <c r="H537" s="176"/>
      <c r="I537" s="158"/>
      <c r="J537" s="159"/>
      <c r="K537" s="12"/>
      <c r="L537" s="158"/>
      <c r="N537" s="158"/>
    </row>
    <row r="538">
      <c r="A538" s="158"/>
      <c r="B538" s="158"/>
      <c r="C538" s="158"/>
      <c r="D538" s="158"/>
      <c r="E538" s="158"/>
      <c r="F538" s="158"/>
      <c r="G538" s="158"/>
      <c r="H538" s="176"/>
      <c r="I538" s="158"/>
      <c r="J538" s="159"/>
      <c r="K538" s="12"/>
      <c r="L538" s="158"/>
      <c r="N538" s="158"/>
    </row>
    <row r="539">
      <c r="A539" s="158"/>
      <c r="B539" s="158"/>
      <c r="C539" s="158"/>
      <c r="D539" s="158"/>
      <c r="E539" s="158"/>
      <c r="F539" s="158"/>
      <c r="G539" s="158"/>
      <c r="H539" s="176"/>
      <c r="I539" s="158"/>
      <c r="J539" s="159"/>
      <c r="K539" s="12"/>
      <c r="L539" s="158"/>
      <c r="N539" s="158"/>
    </row>
    <row r="540">
      <c r="A540" s="158"/>
      <c r="B540" s="158"/>
      <c r="C540" s="158"/>
      <c r="D540" s="158"/>
      <c r="E540" s="158"/>
      <c r="F540" s="158"/>
      <c r="G540" s="158"/>
      <c r="H540" s="176"/>
      <c r="I540" s="158"/>
      <c r="J540" s="159"/>
      <c r="K540" s="12"/>
      <c r="L540" s="158"/>
      <c r="N540" s="158"/>
    </row>
    <row r="541">
      <c r="A541" s="158"/>
      <c r="B541" s="158"/>
      <c r="C541" s="158"/>
      <c r="D541" s="158"/>
      <c r="E541" s="158"/>
      <c r="F541" s="158"/>
      <c r="G541" s="158"/>
      <c r="H541" s="176"/>
      <c r="I541" s="158"/>
      <c r="J541" s="159"/>
      <c r="K541" s="12"/>
      <c r="L541" s="158"/>
      <c r="N541" s="158"/>
    </row>
    <row r="542">
      <c r="A542" s="158"/>
      <c r="B542" s="158"/>
      <c r="C542" s="158"/>
      <c r="D542" s="158"/>
      <c r="E542" s="158"/>
      <c r="F542" s="158"/>
      <c r="G542" s="158"/>
      <c r="H542" s="176"/>
      <c r="I542" s="158"/>
      <c r="J542" s="159"/>
      <c r="K542" s="12"/>
      <c r="L542" s="158"/>
      <c r="N542" s="158"/>
    </row>
    <row r="543">
      <c r="A543" s="158"/>
      <c r="B543" s="158"/>
      <c r="C543" s="158"/>
      <c r="D543" s="158"/>
      <c r="E543" s="158"/>
      <c r="F543" s="158"/>
      <c r="G543" s="158"/>
      <c r="H543" s="176"/>
      <c r="I543" s="158"/>
      <c r="J543" s="159"/>
      <c r="K543" s="12"/>
      <c r="L543" s="158"/>
      <c r="N543" s="158"/>
    </row>
    <row r="544">
      <c r="A544" s="158"/>
      <c r="B544" s="158"/>
      <c r="C544" s="158"/>
      <c r="D544" s="158"/>
      <c r="E544" s="158"/>
      <c r="F544" s="158"/>
      <c r="G544" s="158"/>
      <c r="H544" s="176"/>
      <c r="I544" s="158"/>
      <c r="J544" s="159"/>
      <c r="K544" s="12"/>
      <c r="L544" s="158"/>
      <c r="N544" s="158"/>
    </row>
    <row r="545">
      <c r="A545" s="158"/>
      <c r="B545" s="158"/>
      <c r="C545" s="158"/>
      <c r="D545" s="158"/>
      <c r="E545" s="158"/>
      <c r="F545" s="158"/>
      <c r="G545" s="158"/>
      <c r="H545" s="176"/>
      <c r="I545" s="158"/>
      <c r="J545" s="159"/>
      <c r="K545" s="12"/>
      <c r="L545" s="158"/>
      <c r="N545" s="158"/>
    </row>
    <row r="546">
      <c r="A546" s="158"/>
      <c r="B546" s="158"/>
      <c r="C546" s="158"/>
      <c r="D546" s="158"/>
      <c r="E546" s="158"/>
      <c r="F546" s="158"/>
      <c r="G546" s="158"/>
      <c r="H546" s="176"/>
      <c r="I546" s="158"/>
      <c r="J546" s="159"/>
      <c r="K546" s="12"/>
      <c r="L546" s="158"/>
      <c r="N546" s="158"/>
    </row>
    <row r="547">
      <c r="A547" s="158"/>
      <c r="B547" s="158"/>
      <c r="C547" s="158"/>
      <c r="D547" s="158"/>
      <c r="E547" s="158"/>
      <c r="F547" s="158"/>
      <c r="G547" s="158"/>
      <c r="H547" s="176"/>
      <c r="I547" s="158"/>
      <c r="J547" s="159"/>
      <c r="K547" s="12"/>
      <c r="L547" s="158"/>
      <c r="N547" s="158"/>
    </row>
    <row r="548">
      <c r="A548" s="158"/>
      <c r="B548" s="158"/>
      <c r="C548" s="158"/>
      <c r="D548" s="158"/>
      <c r="E548" s="158"/>
      <c r="F548" s="158"/>
      <c r="G548" s="158"/>
      <c r="H548" s="176"/>
      <c r="I548" s="158"/>
      <c r="J548" s="159"/>
      <c r="K548" s="12"/>
      <c r="L548" s="158"/>
      <c r="N548" s="158"/>
    </row>
    <row r="549">
      <c r="A549" s="158"/>
      <c r="B549" s="158"/>
      <c r="C549" s="158"/>
      <c r="D549" s="158"/>
      <c r="E549" s="158"/>
      <c r="F549" s="158"/>
      <c r="G549" s="158"/>
      <c r="H549" s="176"/>
      <c r="I549" s="158"/>
      <c r="J549" s="159"/>
      <c r="K549" s="12"/>
      <c r="L549" s="158"/>
      <c r="N549" s="158"/>
    </row>
    <row r="550">
      <c r="A550" s="158"/>
      <c r="B550" s="158"/>
      <c r="C550" s="158"/>
      <c r="D550" s="158"/>
      <c r="E550" s="158"/>
      <c r="F550" s="158"/>
      <c r="G550" s="158"/>
      <c r="H550" s="176"/>
      <c r="I550" s="158"/>
      <c r="J550" s="159"/>
      <c r="K550" s="12"/>
      <c r="L550" s="158"/>
      <c r="N550" s="158"/>
    </row>
    <row r="551">
      <c r="A551" s="158"/>
      <c r="B551" s="158"/>
      <c r="C551" s="158"/>
      <c r="D551" s="158"/>
      <c r="E551" s="158"/>
      <c r="F551" s="158"/>
      <c r="G551" s="158"/>
      <c r="H551" s="176"/>
      <c r="I551" s="158"/>
      <c r="J551" s="159"/>
      <c r="K551" s="12"/>
      <c r="L551" s="158"/>
      <c r="N551" s="158"/>
    </row>
    <row r="552">
      <c r="A552" s="158"/>
      <c r="B552" s="158"/>
      <c r="C552" s="158"/>
      <c r="D552" s="158"/>
      <c r="E552" s="158"/>
      <c r="F552" s="158"/>
      <c r="G552" s="158"/>
      <c r="H552" s="176"/>
      <c r="I552" s="158"/>
      <c r="J552" s="159"/>
      <c r="K552" s="12"/>
      <c r="L552" s="158"/>
      <c r="N552" s="158"/>
    </row>
    <row r="553">
      <c r="A553" s="158"/>
      <c r="B553" s="158"/>
      <c r="C553" s="158"/>
      <c r="D553" s="158"/>
      <c r="E553" s="158"/>
      <c r="F553" s="158"/>
      <c r="G553" s="158"/>
      <c r="H553" s="176"/>
      <c r="I553" s="158"/>
      <c r="J553" s="159"/>
      <c r="K553" s="12"/>
      <c r="L553" s="158"/>
      <c r="N553" s="158"/>
    </row>
    <row r="554">
      <c r="A554" s="158"/>
      <c r="B554" s="158"/>
      <c r="C554" s="158"/>
      <c r="D554" s="158"/>
      <c r="E554" s="158"/>
      <c r="F554" s="158"/>
      <c r="G554" s="158"/>
      <c r="H554" s="176"/>
      <c r="I554" s="158"/>
      <c r="J554" s="159"/>
      <c r="K554" s="12"/>
      <c r="L554" s="158"/>
      <c r="N554" s="158"/>
    </row>
    <row r="555">
      <c r="A555" s="15"/>
      <c r="B555" s="15"/>
      <c r="C555" s="15"/>
      <c r="D555" s="15"/>
      <c r="E555" s="15"/>
      <c r="F555" s="15"/>
      <c r="G555" s="15"/>
      <c r="H555" s="15"/>
      <c r="I555" s="28"/>
      <c r="J555" s="28"/>
      <c r="K555" s="28"/>
      <c r="L555" s="28"/>
      <c r="N555" s="28"/>
    </row>
    <row r="556">
      <c r="A556" s="15"/>
      <c r="B556" s="15"/>
      <c r="C556" s="15"/>
      <c r="D556" s="15"/>
      <c r="E556" s="15"/>
      <c r="F556" s="15"/>
      <c r="G556" s="15"/>
      <c r="H556" s="15"/>
      <c r="I556" s="28"/>
      <c r="J556" s="28"/>
      <c r="K556" s="28"/>
      <c r="L556" s="28"/>
      <c r="N556" s="28"/>
    </row>
    <row r="557">
      <c r="A557" s="15"/>
      <c r="B557" s="15"/>
      <c r="C557" s="15"/>
      <c r="D557" s="15"/>
      <c r="E557" s="15"/>
      <c r="F557" s="15"/>
      <c r="G557" s="15"/>
      <c r="H557" s="15"/>
      <c r="I557" s="28"/>
      <c r="J557" s="28"/>
      <c r="K557" s="28"/>
      <c r="L557" s="28"/>
      <c r="N557" s="28"/>
    </row>
    <row r="558">
      <c r="A558" s="15"/>
      <c r="B558" s="15"/>
      <c r="C558" s="15"/>
      <c r="D558" s="15"/>
      <c r="E558" s="15"/>
      <c r="F558" s="15"/>
      <c r="G558" s="15"/>
      <c r="H558" s="15"/>
      <c r="I558" s="28"/>
      <c r="J558" s="28"/>
      <c r="K558" s="28"/>
      <c r="L558" s="28"/>
      <c r="N558" s="28"/>
    </row>
    <row r="559">
      <c r="A559" s="15"/>
      <c r="B559" s="15"/>
      <c r="C559" s="15"/>
      <c r="D559" s="15"/>
      <c r="E559" s="15"/>
      <c r="F559" s="15"/>
      <c r="G559" s="15"/>
      <c r="H559" s="15"/>
      <c r="I559" s="28"/>
      <c r="J559" s="28"/>
      <c r="K559" s="28"/>
      <c r="L559" s="28"/>
      <c r="N559" s="28"/>
    </row>
    <row r="560">
      <c r="A560" s="15"/>
      <c r="B560" s="15"/>
      <c r="C560" s="15"/>
      <c r="D560" s="15"/>
      <c r="E560" s="15"/>
      <c r="F560" s="15"/>
      <c r="G560" s="15"/>
      <c r="H560" s="15"/>
      <c r="I560" s="28"/>
      <c r="J560" s="28"/>
      <c r="K560" s="28"/>
      <c r="L560" s="28"/>
      <c r="N560" s="28"/>
    </row>
    <row r="561">
      <c r="A561" s="15"/>
      <c r="B561" s="15"/>
      <c r="C561" s="15"/>
      <c r="D561" s="15"/>
      <c r="E561" s="15"/>
      <c r="F561" s="15"/>
      <c r="G561" s="15"/>
      <c r="H561" s="15"/>
      <c r="I561" s="28"/>
      <c r="J561" s="28"/>
      <c r="K561" s="28"/>
      <c r="L561" s="28"/>
      <c r="N561" s="28"/>
    </row>
    <row r="562">
      <c r="A562" s="15"/>
      <c r="B562" s="15"/>
      <c r="C562" s="15"/>
      <c r="D562" s="15"/>
      <c r="E562" s="15"/>
      <c r="F562" s="15"/>
      <c r="G562" s="15"/>
      <c r="H562" s="15"/>
      <c r="I562" s="28"/>
      <c r="J562" s="28"/>
      <c r="K562" s="28"/>
      <c r="L562" s="28"/>
      <c r="N562" s="28"/>
    </row>
    <row r="563">
      <c r="A563" s="15"/>
      <c r="B563" s="15"/>
      <c r="C563" s="15"/>
      <c r="D563" s="15"/>
      <c r="E563" s="15"/>
      <c r="F563" s="15"/>
      <c r="G563" s="15"/>
      <c r="H563" s="15"/>
      <c r="I563" s="28"/>
      <c r="J563" s="28"/>
      <c r="K563" s="28"/>
      <c r="L563" s="28"/>
      <c r="N563" s="28"/>
    </row>
    <row r="564">
      <c r="A564" s="15"/>
      <c r="B564" s="15"/>
      <c r="C564" s="15"/>
      <c r="D564" s="15"/>
      <c r="E564" s="15"/>
      <c r="F564" s="15"/>
      <c r="G564" s="15"/>
      <c r="H564" s="15"/>
      <c r="I564" s="28"/>
      <c r="J564" s="28"/>
      <c r="K564" s="28"/>
      <c r="L564" s="28"/>
      <c r="N564" s="28"/>
    </row>
    <row r="565">
      <c r="A565" s="15"/>
      <c r="B565" s="15"/>
      <c r="C565" s="15"/>
      <c r="D565" s="15"/>
      <c r="E565" s="15"/>
      <c r="F565" s="15"/>
      <c r="G565" s="15"/>
      <c r="H565" s="15"/>
      <c r="I565" s="28"/>
      <c r="J565" s="28"/>
      <c r="K565" s="28"/>
      <c r="L565" s="28"/>
      <c r="N565" s="28"/>
    </row>
    <row r="566">
      <c r="A566" s="15"/>
      <c r="B566" s="15"/>
      <c r="C566" s="15"/>
      <c r="D566" s="15"/>
      <c r="E566" s="15"/>
      <c r="F566" s="15"/>
      <c r="G566" s="15"/>
      <c r="H566" s="15"/>
      <c r="I566" s="28"/>
      <c r="J566" s="28"/>
      <c r="K566" s="28"/>
      <c r="L566" s="28"/>
      <c r="N566" s="28"/>
    </row>
    <row r="567">
      <c r="A567" s="15"/>
      <c r="B567" s="15"/>
      <c r="C567" s="15"/>
      <c r="D567" s="15"/>
      <c r="E567" s="15"/>
      <c r="F567" s="15"/>
      <c r="G567" s="15"/>
      <c r="H567" s="15"/>
      <c r="I567" s="28"/>
      <c r="J567" s="28"/>
      <c r="K567" s="28"/>
      <c r="L567" s="28"/>
      <c r="N567" s="28"/>
    </row>
    <row r="568">
      <c r="A568" s="15"/>
      <c r="B568" s="15"/>
      <c r="C568" s="15"/>
      <c r="D568" s="15"/>
      <c r="E568" s="15"/>
      <c r="F568" s="15"/>
      <c r="G568" s="15"/>
      <c r="H568" s="15"/>
      <c r="I568" s="28"/>
      <c r="J568" s="28"/>
      <c r="K568" s="28"/>
      <c r="L568" s="28"/>
      <c r="N568" s="28"/>
    </row>
    <row r="569">
      <c r="A569" s="15"/>
      <c r="B569" s="15"/>
      <c r="C569" s="15"/>
      <c r="D569" s="15"/>
      <c r="E569" s="15"/>
      <c r="F569" s="15"/>
      <c r="G569" s="15"/>
      <c r="H569" s="15"/>
      <c r="I569" s="28"/>
      <c r="J569" s="28"/>
      <c r="K569" s="28"/>
      <c r="L569" s="28"/>
      <c r="N569" s="28"/>
    </row>
    <row r="570">
      <c r="A570" s="15"/>
      <c r="B570" s="15"/>
      <c r="C570" s="15"/>
      <c r="D570" s="15"/>
      <c r="E570" s="15"/>
      <c r="F570" s="15"/>
      <c r="G570" s="15"/>
      <c r="H570" s="15"/>
      <c r="I570" s="28"/>
      <c r="J570" s="28"/>
      <c r="K570" s="28"/>
      <c r="L570" s="28"/>
      <c r="N570" s="28"/>
    </row>
    <row r="571">
      <c r="A571" s="15"/>
      <c r="B571" s="15"/>
      <c r="C571" s="15"/>
      <c r="D571" s="15"/>
      <c r="E571" s="15"/>
      <c r="F571" s="15"/>
      <c r="G571" s="15"/>
      <c r="H571" s="15"/>
      <c r="I571" s="28"/>
      <c r="J571" s="28"/>
      <c r="K571" s="28"/>
      <c r="L571" s="28"/>
      <c r="N571" s="28"/>
    </row>
    <row r="572">
      <c r="A572" s="15"/>
      <c r="B572" s="15"/>
      <c r="C572" s="15"/>
      <c r="D572" s="15"/>
      <c r="E572" s="15"/>
      <c r="F572" s="15"/>
      <c r="G572" s="15"/>
      <c r="H572" s="15"/>
      <c r="I572" s="28"/>
      <c r="J572" s="28"/>
      <c r="K572" s="28"/>
      <c r="L572" s="28"/>
      <c r="N572" s="28"/>
    </row>
    <row r="573">
      <c r="A573" s="15"/>
      <c r="B573" s="15"/>
      <c r="C573" s="15"/>
      <c r="D573" s="15"/>
      <c r="E573" s="15"/>
      <c r="F573" s="15"/>
      <c r="G573" s="15"/>
      <c r="H573" s="15"/>
      <c r="I573" s="28"/>
      <c r="J573" s="28"/>
      <c r="K573" s="28"/>
      <c r="L573" s="28"/>
      <c r="N573" s="28"/>
    </row>
    <row r="574">
      <c r="A574" s="15"/>
      <c r="B574" s="15"/>
      <c r="C574" s="15"/>
      <c r="D574" s="15"/>
      <c r="E574" s="15"/>
      <c r="F574" s="15"/>
      <c r="G574" s="15"/>
      <c r="H574" s="15"/>
      <c r="I574" s="28"/>
      <c r="J574" s="28"/>
      <c r="K574" s="28"/>
      <c r="L574" s="28"/>
      <c r="N574" s="28"/>
    </row>
    <row r="575">
      <c r="A575" s="15"/>
      <c r="B575" s="15"/>
      <c r="C575" s="15"/>
      <c r="D575" s="15"/>
      <c r="E575" s="15"/>
      <c r="F575" s="15"/>
      <c r="G575" s="15"/>
      <c r="H575" s="15"/>
      <c r="I575" s="28"/>
      <c r="J575" s="28"/>
      <c r="K575" s="28"/>
      <c r="L575" s="28"/>
      <c r="N575" s="28"/>
    </row>
    <row r="576">
      <c r="A576" s="15"/>
      <c r="B576" s="15"/>
      <c r="C576" s="15"/>
      <c r="D576" s="15"/>
      <c r="E576" s="15"/>
      <c r="F576" s="15"/>
      <c r="G576" s="15"/>
      <c r="H576" s="15"/>
      <c r="I576" s="28"/>
      <c r="J576" s="28"/>
      <c r="K576" s="28"/>
      <c r="L576" s="28"/>
      <c r="N576" s="28"/>
    </row>
    <row r="577">
      <c r="A577" s="15"/>
      <c r="B577" s="15"/>
      <c r="C577" s="15"/>
      <c r="D577" s="15"/>
      <c r="E577" s="15"/>
      <c r="F577" s="15"/>
      <c r="G577" s="15"/>
      <c r="H577" s="15"/>
      <c r="I577" s="28"/>
      <c r="J577" s="28"/>
      <c r="K577" s="28"/>
      <c r="L577" s="28"/>
      <c r="N577" s="28"/>
    </row>
    <row r="578">
      <c r="A578" s="15"/>
      <c r="B578" s="15"/>
      <c r="C578" s="15"/>
      <c r="D578" s="15"/>
      <c r="E578" s="15"/>
      <c r="F578" s="15"/>
      <c r="G578" s="15"/>
      <c r="H578" s="15"/>
      <c r="I578" s="28"/>
      <c r="J578" s="28"/>
      <c r="K578" s="28"/>
      <c r="L578" s="28"/>
      <c r="N578" s="28"/>
    </row>
    <row r="579">
      <c r="A579" s="15"/>
      <c r="B579" s="15"/>
      <c r="C579" s="15"/>
      <c r="D579" s="15"/>
      <c r="E579" s="15"/>
      <c r="F579" s="15"/>
      <c r="G579" s="15"/>
      <c r="H579" s="15"/>
      <c r="I579" s="28"/>
      <c r="J579" s="28"/>
      <c r="K579" s="28"/>
      <c r="L579" s="28"/>
      <c r="N579" s="28"/>
    </row>
    <row r="580">
      <c r="A580" s="15"/>
      <c r="B580" s="15"/>
      <c r="C580" s="15"/>
      <c r="D580" s="15"/>
      <c r="E580" s="15"/>
      <c r="F580" s="15"/>
      <c r="G580" s="15"/>
      <c r="H580" s="15"/>
      <c r="I580" s="28"/>
      <c r="J580" s="28"/>
      <c r="K580" s="28"/>
      <c r="L580" s="28"/>
      <c r="N580" s="28"/>
    </row>
    <row r="581">
      <c r="A581" s="15"/>
      <c r="B581" s="15"/>
      <c r="C581" s="15"/>
      <c r="D581" s="15"/>
      <c r="E581" s="15"/>
      <c r="F581" s="15"/>
      <c r="G581" s="15"/>
      <c r="H581" s="15"/>
      <c r="I581" s="28"/>
      <c r="J581" s="28"/>
      <c r="K581" s="28"/>
      <c r="L581" s="28"/>
      <c r="N581" s="28"/>
    </row>
    <row r="582">
      <c r="A582" s="15"/>
      <c r="B582" s="15"/>
      <c r="C582" s="15"/>
      <c r="D582" s="15"/>
      <c r="E582" s="15"/>
      <c r="F582" s="15"/>
      <c r="G582" s="15"/>
      <c r="H582" s="15"/>
      <c r="I582" s="28"/>
      <c r="J582" s="28"/>
      <c r="K582" s="28"/>
      <c r="L582" s="28"/>
      <c r="N582" s="28"/>
    </row>
    <row r="583">
      <c r="A583" s="15"/>
      <c r="B583" s="15"/>
      <c r="C583" s="15"/>
      <c r="D583" s="15"/>
      <c r="E583" s="15"/>
      <c r="F583" s="15"/>
      <c r="G583" s="15"/>
      <c r="H583" s="15"/>
      <c r="I583" s="28"/>
      <c r="J583" s="28"/>
      <c r="K583" s="28"/>
      <c r="L583" s="28"/>
      <c r="N583" s="28"/>
    </row>
    <row r="584">
      <c r="A584" s="15"/>
      <c r="B584" s="15"/>
      <c r="C584" s="15"/>
      <c r="D584" s="15"/>
      <c r="E584" s="15"/>
      <c r="F584" s="15"/>
      <c r="G584" s="15"/>
      <c r="H584" s="15"/>
      <c r="I584" s="28"/>
      <c r="J584" s="28"/>
      <c r="K584" s="28"/>
      <c r="L584" s="28"/>
      <c r="N584" s="28"/>
    </row>
    <row r="585">
      <c r="A585" s="15"/>
      <c r="B585" s="15"/>
      <c r="C585" s="15"/>
      <c r="D585" s="15"/>
      <c r="E585" s="15"/>
      <c r="F585" s="15"/>
      <c r="G585" s="15"/>
      <c r="H585" s="15"/>
      <c r="I585" s="28"/>
      <c r="J585" s="28"/>
      <c r="K585" s="28"/>
      <c r="L585" s="28"/>
      <c r="N585" s="28"/>
    </row>
    <row r="586">
      <c r="A586" s="15"/>
      <c r="B586" s="15"/>
      <c r="C586" s="15"/>
      <c r="D586" s="15"/>
      <c r="E586" s="15"/>
      <c r="F586" s="15"/>
      <c r="G586" s="15"/>
      <c r="H586" s="15"/>
      <c r="I586" s="28"/>
      <c r="J586" s="28"/>
      <c r="K586" s="28"/>
      <c r="L586" s="28"/>
      <c r="N586" s="28"/>
    </row>
    <row r="587">
      <c r="A587" s="15"/>
      <c r="B587" s="15"/>
      <c r="C587" s="15"/>
      <c r="D587" s="15"/>
      <c r="E587" s="15"/>
      <c r="F587" s="15"/>
      <c r="G587" s="15"/>
      <c r="H587" s="15"/>
      <c r="I587" s="28"/>
      <c r="J587" s="28"/>
      <c r="K587" s="28"/>
      <c r="L587" s="28"/>
      <c r="N587" s="28"/>
    </row>
    <row r="588">
      <c r="A588" s="15"/>
      <c r="B588" s="15"/>
      <c r="C588" s="15"/>
      <c r="D588" s="15"/>
      <c r="E588" s="15"/>
      <c r="F588" s="15"/>
      <c r="G588" s="15"/>
      <c r="H588" s="15"/>
      <c r="I588" s="28"/>
      <c r="J588" s="28"/>
      <c r="K588" s="28"/>
      <c r="L588" s="28"/>
      <c r="N588" s="28"/>
    </row>
    <row r="589">
      <c r="A589" s="15"/>
      <c r="B589" s="15"/>
      <c r="C589" s="15"/>
      <c r="D589" s="15"/>
      <c r="E589" s="15"/>
      <c r="F589" s="15"/>
      <c r="G589" s="15"/>
      <c r="H589" s="15"/>
      <c r="I589" s="28"/>
      <c r="J589" s="28"/>
      <c r="K589" s="28"/>
      <c r="L589" s="28"/>
      <c r="N589" s="28"/>
    </row>
    <row r="590">
      <c r="A590" s="15"/>
      <c r="B590" s="15"/>
      <c r="C590" s="15"/>
      <c r="D590" s="15"/>
      <c r="E590" s="15"/>
      <c r="F590" s="15"/>
      <c r="G590" s="15"/>
      <c r="H590" s="15"/>
      <c r="I590" s="28"/>
      <c r="J590" s="28"/>
      <c r="K590" s="28"/>
      <c r="L590" s="28"/>
      <c r="N590" s="28"/>
    </row>
    <row r="591">
      <c r="A591" s="15"/>
      <c r="B591" s="15"/>
      <c r="C591" s="15"/>
      <c r="D591" s="15"/>
      <c r="E591" s="15"/>
      <c r="F591" s="15"/>
      <c r="G591" s="15"/>
      <c r="H591" s="15"/>
      <c r="I591" s="28"/>
      <c r="J591" s="28"/>
      <c r="K591" s="28"/>
      <c r="L591" s="28"/>
      <c r="N591" s="28"/>
    </row>
    <row r="592">
      <c r="A592" s="15"/>
      <c r="B592" s="15"/>
      <c r="C592" s="15"/>
      <c r="D592" s="15"/>
      <c r="E592" s="15"/>
      <c r="F592" s="15"/>
      <c r="G592" s="15"/>
      <c r="H592" s="15"/>
      <c r="I592" s="28"/>
      <c r="J592" s="28"/>
      <c r="K592" s="28"/>
      <c r="L592" s="28"/>
      <c r="N592" s="28"/>
    </row>
    <row r="593">
      <c r="A593" s="15"/>
      <c r="B593" s="15"/>
      <c r="C593" s="15"/>
      <c r="D593" s="15"/>
      <c r="E593" s="15"/>
      <c r="F593" s="15"/>
      <c r="G593" s="15"/>
      <c r="H593" s="15"/>
      <c r="I593" s="28"/>
      <c r="J593" s="28"/>
      <c r="K593" s="28"/>
      <c r="L593" s="28"/>
      <c r="N593" s="28"/>
    </row>
    <row r="594">
      <c r="A594" s="15"/>
      <c r="B594" s="15"/>
      <c r="C594" s="15"/>
      <c r="D594" s="15"/>
      <c r="E594" s="15"/>
      <c r="F594" s="15"/>
      <c r="G594" s="15"/>
      <c r="H594" s="15"/>
      <c r="I594" s="28"/>
      <c r="J594" s="28"/>
      <c r="K594" s="28"/>
      <c r="L594" s="28"/>
      <c r="N594" s="28"/>
    </row>
    <row r="595">
      <c r="A595" s="15"/>
      <c r="B595" s="15"/>
      <c r="C595" s="15"/>
      <c r="D595" s="15"/>
      <c r="E595" s="15"/>
      <c r="F595" s="15"/>
      <c r="G595" s="15"/>
      <c r="H595" s="15"/>
      <c r="I595" s="28"/>
      <c r="J595" s="28"/>
      <c r="K595" s="28"/>
      <c r="L595" s="28"/>
      <c r="N595" s="28"/>
    </row>
    <row r="596">
      <c r="A596" s="15"/>
      <c r="B596" s="15"/>
      <c r="C596" s="15"/>
      <c r="D596" s="15"/>
      <c r="E596" s="15"/>
      <c r="F596" s="15"/>
      <c r="G596" s="15"/>
      <c r="H596" s="15"/>
      <c r="I596" s="28"/>
      <c r="J596" s="28"/>
      <c r="K596" s="28"/>
      <c r="L596" s="28"/>
      <c r="N596" s="28"/>
    </row>
    <row r="597">
      <c r="A597" s="15"/>
      <c r="B597" s="15"/>
      <c r="C597" s="15"/>
      <c r="D597" s="15"/>
      <c r="E597" s="15"/>
      <c r="F597" s="15"/>
      <c r="G597" s="15"/>
      <c r="H597" s="15"/>
      <c r="I597" s="28"/>
      <c r="J597" s="28"/>
      <c r="K597" s="28"/>
      <c r="L597" s="28"/>
      <c r="N597" s="28"/>
    </row>
    <row r="598">
      <c r="A598" s="15"/>
      <c r="B598" s="15"/>
      <c r="C598" s="15"/>
      <c r="D598" s="15"/>
      <c r="E598" s="15"/>
      <c r="F598" s="15"/>
      <c r="G598" s="15"/>
      <c r="H598" s="15"/>
      <c r="I598" s="28"/>
      <c r="J598" s="28"/>
      <c r="K598" s="28"/>
      <c r="L598" s="28"/>
      <c r="N598" s="28"/>
    </row>
    <row r="599">
      <c r="A599" s="15"/>
      <c r="B599" s="15"/>
      <c r="C599" s="15"/>
      <c r="D599" s="15"/>
      <c r="E599" s="15"/>
      <c r="F599" s="15"/>
      <c r="G599" s="15"/>
      <c r="H599" s="15"/>
      <c r="I599" s="28"/>
      <c r="J599" s="28"/>
      <c r="K599" s="28"/>
      <c r="L599" s="28"/>
      <c r="N599" s="28"/>
    </row>
    <row r="600">
      <c r="A600" s="15"/>
      <c r="B600" s="15"/>
      <c r="C600" s="15"/>
      <c r="D600" s="15"/>
      <c r="E600" s="15"/>
      <c r="F600" s="15"/>
      <c r="G600" s="15"/>
      <c r="H600" s="15"/>
      <c r="I600" s="28"/>
      <c r="J600" s="28"/>
      <c r="K600" s="28"/>
      <c r="L600" s="28"/>
      <c r="N600" s="28"/>
    </row>
    <row r="601">
      <c r="A601" s="15"/>
      <c r="B601" s="15"/>
      <c r="C601" s="15"/>
      <c r="D601" s="15"/>
      <c r="E601" s="15"/>
      <c r="F601" s="15"/>
      <c r="G601" s="15"/>
      <c r="H601" s="15"/>
      <c r="I601" s="28"/>
      <c r="J601" s="28"/>
      <c r="K601" s="28"/>
      <c r="L601" s="28"/>
      <c r="N601" s="28"/>
    </row>
    <row r="602">
      <c r="A602" s="15"/>
      <c r="B602" s="15"/>
      <c r="C602" s="15"/>
      <c r="D602" s="15"/>
      <c r="E602" s="15"/>
      <c r="F602" s="15"/>
      <c r="G602" s="15"/>
      <c r="H602" s="15"/>
      <c r="I602" s="28"/>
      <c r="J602" s="28"/>
      <c r="K602" s="28"/>
      <c r="L602" s="28"/>
      <c r="N602" s="28"/>
    </row>
    <row r="603">
      <c r="A603" s="15"/>
      <c r="B603" s="15"/>
      <c r="C603" s="15"/>
      <c r="D603" s="15"/>
      <c r="E603" s="15"/>
      <c r="F603" s="15"/>
      <c r="G603" s="15"/>
      <c r="H603" s="15"/>
      <c r="I603" s="28"/>
      <c r="J603" s="28"/>
      <c r="K603" s="28"/>
      <c r="L603" s="28"/>
      <c r="N603" s="28"/>
    </row>
    <row r="604">
      <c r="A604" s="15"/>
      <c r="B604" s="15"/>
      <c r="C604" s="15"/>
      <c r="D604" s="15"/>
      <c r="E604" s="15"/>
      <c r="F604" s="15"/>
      <c r="G604" s="15"/>
      <c r="H604" s="15"/>
      <c r="I604" s="28"/>
      <c r="J604" s="28"/>
      <c r="K604" s="28"/>
      <c r="L604" s="28"/>
      <c r="N604" s="28"/>
    </row>
    <row r="605">
      <c r="A605" s="15"/>
      <c r="B605" s="15"/>
      <c r="C605" s="15"/>
      <c r="D605" s="15"/>
      <c r="E605" s="15"/>
      <c r="F605" s="15"/>
      <c r="G605" s="15"/>
      <c r="H605" s="15"/>
      <c r="I605" s="28"/>
      <c r="J605" s="28"/>
      <c r="K605" s="28"/>
      <c r="L605" s="28"/>
      <c r="N605" s="28"/>
    </row>
    <row r="606">
      <c r="A606" s="15"/>
      <c r="B606" s="15"/>
      <c r="C606" s="15"/>
      <c r="D606" s="15"/>
      <c r="E606" s="15"/>
      <c r="F606" s="15"/>
      <c r="G606" s="15"/>
      <c r="H606" s="15"/>
      <c r="I606" s="28"/>
      <c r="J606" s="28"/>
      <c r="K606" s="28"/>
      <c r="L606" s="28"/>
      <c r="N606" s="28"/>
    </row>
    <row r="607">
      <c r="A607" s="15"/>
      <c r="B607" s="15"/>
      <c r="C607" s="15"/>
      <c r="D607" s="15"/>
      <c r="E607" s="15"/>
      <c r="F607" s="15"/>
      <c r="G607" s="15"/>
      <c r="H607" s="15"/>
      <c r="I607" s="28"/>
      <c r="J607" s="28"/>
      <c r="K607" s="28"/>
      <c r="L607" s="28"/>
      <c r="N607" s="28"/>
    </row>
    <row r="608">
      <c r="A608" s="15"/>
      <c r="B608" s="15"/>
      <c r="C608" s="15"/>
      <c r="D608" s="15"/>
      <c r="E608" s="15"/>
      <c r="F608" s="15"/>
      <c r="G608" s="15"/>
      <c r="H608" s="15"/>
      <c r="I608" s="28"/>
      <c r="J608" s="28"/>
      <c r="K608" s="28"/>
      <c r="L608" s="28"/>
      <c r="N608" s="28"/>
    </row>
    <row r="609">
      <c r="A609" s="15"/>
      <c r="B609" s="15"/>
      <c r="C609" s="15"/>
      <c r="D609" s="15"/>
      <c r="E609" s="15"/>
      <c r="F609" s="15"/>
      <c r="G609" s="15"/>
      <c r="H609" s="15"/>
      <c r="I609" s="28"/>
      <c r="J609" s="28"/>
      <c r="K609" s="28"/>
      <c r="L609" s="28"/>
      <c r="N609" s="28"/>
    </row>
    <row r="610">
      <c r="A610" s="15"/>
      <c r="B610" s="15"/>
      <c r="C610" s="15"/>
      <c r="D610" s="15"/>
      <c r="E610" s="15"/>
      <c r="F610" s="15"/>
      <c r="G610" s="15"/>
      <c r="H610" s="15"/>
      <c r="I610" s="28"/>
      <c r="J610" s="28"/>
      <c r="K610" s="28"/>
      <c r="L610" s="28"/>
      <c r="N610" s="28"/>
    </row>
    <row r="611">
      <c r="A611" s="15"/>
      <c r="B611" s="15"/>
      <c r="C611" s="15"/>
      <c r="D611" s="15"/>
      <c r="E611" s="15"/>
      <c r="F611" s="15"/>
      <c r="G611" s="15"/>
      <c r="H611" s="15"/>
      <c r="I611" s="28"/>
      <c r="J611" s="28"/>
      <c r="K611" s="28"/>
      <c r="L611" s="28"/>
      <c r="N611" s="28"/>
    </row>
    <row r="612">
      <c r="A612" s="15"/>
      <c r="B612" s="15"/>
      <c r="C612" s="15"/>
      <c r="D612" s="15"/>
      <c r="E612" s="15"/>
      <c r="F612" s="15"/>
      <c r="G612" s="15"/>
      <c r="H612" s="15"/>
      <c r="I612" s="28"/>
      <c r="J612" s="28"/>
      <c r="K612" s="28"/>
      <c r="L612" s="28"/>
      <c r="N612" s="28"/>
    </row>
    <row r="613">
      <c r="A613" s="15"/>
      <c r="B613" s="15"/>
      <c r="C613" s="15"/>
      <c r="D613" s="15"/>
      <c r="E613" s="15"/>
      <c r="F613" s="15"/>
      <c r="G613" s="15"/>
      <c r="H613" s="15"/>
      <c r="I613" s="28"/>
      <c r="J613" s="28"/>
      <c r="K613" s="28"/>
      <c r="L613" s="28"/>
      <c r="N613" s="28"/>
    </row>
    <row r="614">
      <c r="A614" s="15"/>
      <c r="B614" s="15"/>
      <c r="C614" s="15"/>
      <c r="D614" s="15"/>
      <c r="E614" s="15"/>
      <c r="F614" s="15"/>
      <c r="G614" s="15"/>
      <c r="H614" s="15"/>
      <c r="I614" s="28"/>
      <c r="J614" s="28"/>
      <c r="K614" s="28"/>
      <c r="L614" s="28"/>
      <c r="N614" s="28"/>
    </row>
    <row r="615">
      <c r="A615" s="15"/>
      <c r="B615" s="15"/>
      <c r="C615" s="15"/>
      <c r="D615" s="15"/>
      <c r="E615" s="15"/>
      <c r="F615" s="15"/>
      <c r="G615" s="15"/>
      <c r="H615" s="15"/>
      <c r="I615" s="28"/>
      <c r="J615" s="28"/>
      <c r="K615" s="28"/>
      <c r="L615" s="28"/>
      <c r="N615" s="28"/>
    </row>
    <row r="616">
      <c r="A616" s="15"/>
      <c r="B616" s="15"/>
      <c r="C616" s="15"/>
      <c r="D616" s="15"/>
      <c r="E616" s="15"/>
      <c r="F616" s="15"/>
      <c r="G616" s="15"/>
      <c r="H616" s="15"/>
      <c r="I616" s="28"/>
      <c r="J616" s="28"/>
      <c r="K616" s="28"/>
      <c r="L616" s="28"/>
      <c r="N616" s="28"/>
    </row>
    <row r="617">
      <c r="A617" s="15"/>
      <c r="B617" s="15"/>
      <c r="C617" s="15"/>
      <c r="D617" s="15"/>
      <c r="E617" s="15"/>
      <c r="F617" s="15"/>
      <c r="G617" s="15"/>
      <c r="H617" s="15"/>
      <c r="I617" s="28"/>
      <c r="J617" s="28"/>
      <c r="K617" s="28"/>
      <c r="L617" s="28"/>
      <c r="N617" s="28"/>
    </row>
    <row r="618">
      <c r="A618" s="15"/>
      <c r="B618" s="15"/>
      <c r="C618" s="15"/>
      <c r="D618" s="15"/>
      <c r="E618" s="15"/>
      <c r="F618" s="15"/>
      <c r="G618" s="15"/>
      <c r="H618" s="15"/>
      <c r="I618" s="28"/>
      <c r="J618" s="28"/>
      <c r="K618" s="28"/>
      <c r="L618" s="28"/>
      <c r="N618" s="28"/>
    </row>
    <row r="619">
      <c r="A619" s="15"/>
      <c r="B619" s="15"/>
      <c r="C619" s="15"/>
      <c r="D619" s="15"/>
      <c r="E619" s="15"/>
      <c r="F619" s="15"/>
      <c r="G619" s="15"/>
      <c r="H619" s="15"/>
      <c r="I619" s="28"/>
      <c r="J619" s="28"/>
      <c r="K619" s="28"/>
      <c r="L619" s="28"/>
      <c r="N619" s="28"/>
    </row>
    <row r="620">
      <c r="A620" s="15"/>
      <c r="B620" s="15"/>
      <c r="C620" s="15"/>
      <c r="D620" s="15"/>
      <c r="E620" s="15"/>
      <c r="F620" s="15"/>
      <c r="G620" s="15"/>
      <c r="H620" s="15"/>
      <c r="I620" s="28"/>
      <c r="J620" s="28"/>
      <c r="K620" s="28"/>
      <c r="L620" s="28"/>
      <c r="N620" s="28"/>
    </row>
    <row r="621">
      <c r="A621" s="15"/>
      <c r="B621" s="15"/>
      <c r="C621" s="15"/>
      <c r="D621" s="15"/>
      <c r="E621" s="15"/>
      <c r="F621" s="15"/>
      <c r="G621" s="15"/>
      <c r="H621" s="15"/>
      <c r="I621" s="28"/>
      <c r="J621" s="28"/>
      <c r="K621" s="28"/>
      <c r="L621" s="28"/>
      <c r="N621" s="28"/>
    </row>
    <row r="622">
      <c r="A622" s="15"/>
      <c r="B622" s="15"/>
      <c r="C622" s="15"/>
      <c r="D622" s="15"/>
      <c r="E622" s="15"/>
      <c r="F622" s="15"/>
      <c r="G622" s="15"/>
      <c r="H622" s="15"/>
      <c r="I622" s="28"/>
      <c r="J622" s="28"/>
      <c r="K622" s="28"/>
      <c r="L622" s="28"/>
      <c r="N622" s="28"/>
    </row>
    <row r="623">
      <c r="A623" s="15"/>
      <c r="B623" s="15"/>
      <c r="C623" s="15"/>
      <c r="D623" s="15"/>
      <c r="E623" s="15"/>
      <c r="F623" s="15"/>
      <c r="G623" s="15"/>
      <c r="H623" s="15"/>
      <c r="I623" s="28"/>
      <c r="J623" s="28"/>
      <c r="K623" s="28"/>
      <c r="L623" s="28"/>
      <c r="N623" s="28"/>
    </row>
    <row r="624">
      <c r="A624" s="15"/>
      <c r="B624" s="15"/>
      <c r="C624" s="15"/>
      <c r="D624" s="15"/>
      <c r="E624" s="15"/>
      <c r="F624" s="15"/>
      <c r="G624" s="15"/>
      <c r="H624" s="15"/>
      <c r="I624" s="28"/>
      <c r="J624" s="28"/>
      <c r="K624" s="28"/>
      <c r="L624" s="28"/>
      <c r="N624" s="28"/>
    </row>
    <row r="625">
      <c r="A625" s="15"/>
      <c r="B625" s="15"/>
      <c r="C625" s="15"/>
      <c r="D625" s="15"/>
      <c r="E625" s="15"/>
      <c r="F625" s="15"/>
      <c r="G625" s="15"/>
      <c r="H625" s="15"/>
      <c r="I625" s="28"/>
      <c r="J625" s="28"/>
      <c r="K625" s="28"/>
      <c r="L625" s="28"/>
      <c r="N625" s="28"/>
    </row>
    <row r="626">
      <c r="A626" s="15"/>
      <c r="B626" s="15"/>
      <c r="C626" s="15"/>
      <c r="D626" s="15"/>
      <c r="E626" s="15"/>
      <c r="F626" s="15"/>
      <c r="G626" s="15"/>
      <c r="H626" s="15"/>
      <c r="I626" s="28"/>
      <c r="J626" s="28"/>
      <c r="K626" s="28"/>
      <c r="L626" s="28"/>
      <c r="N626" s="28"/>
    </row>
    <row r="627">
      <c r="A627" s="15"/>
      <c r="B627" s="15"/>
      <c r="C627" s="15"/>
      <c r="D627" s="15"/>
      <c r="E627" s="15"/>
      <c r="F627" s="15"/>
      <c r="G627" s="15"/>
      <c r="H627" s="15"/>
      <c r="I627" s="28"/>
      <c r="J627" s="28"/>
      <c r="K627" s="28"/>
      <c r="L627" s="28"/>
      <c r="N627" s="28"/>
    </row>
    <row r="628">
      <c r="A628" s="15"/>
      <c r="B628" s="15"/>
      <c r="C628" s="15"/>
      <c r="D628" s="15"/>
      <c r="E628" s="15"/>
      <c r="F628" s="15"/>
      <c r="G628" s="15"/>
      <c r="H628" s="15"/>
      <c r="I628" s="28"/>
      <c r="J628" s="28"/>
      <c r="K628" s="28"/>
      <c r="L628" s="28"/>
      <c r="N628" s="28"/>
    </row>
    <row r="629">
      <c r="A629" s="15"/>
      <c r="B629" s="15"/>
      <c r="C629" s="15"/>
      <c r="D629" s="15"/>
      <c r="E629" s="15"/>
      <c r="F629" s="15"/>
      <c r="G629" s="15"/>
      <c r="H629" s="15"/>
      <c r="I629" s="28"/>
      <c r="J629" s="28"/>
      <c r="K629" s="28"/>
      <c r="L629" s="28"/>
      <c r="N629" s="28"/>
    </row>
    <row r="630">
      <c r="A630" s="15"/>
      <c r="B630" s="15"/>
      <c r="C630" s="15"/>
      <c r="D630" s="15"/>
      <c r="E630" s="15"/>
      <c r="F630" s="15"/>
      <c r="G630" s="15"/>
      <c r="H630" s="15"/>
      <c r="I630" s="28"/>
      <c r="J630" s="28"/>
      <c r="K630" s="28"/>
      <c r="L630" s="28"/>
      <c r="N630" s="28"/>
    </row>
    <row r="631">
      <c r="A631" s="15"/>
      <c r="B631" s="15"/>
      <c r="C631" s="15"/>
      <c r="D631" s="15"/>
      <c r="E631" s="15"/>
      <c r="F631" s="15"/>
      <c r="G631" s="15"/>
      <c r="H631" s="15"/>
      <c r="I631" s="28"/>
      <c r="J631" s="28"/>
      <c r="K631" s="28"/>
      <c r="L631" s="28"/>
      <c r="N631" s="28"/>
    </row>
    <row r="632">
      <c r="A632" s="15"/>
      <c r="B632" s="15"/>
      <c r="C632" s="15"/>
      <c r="D632" s="15"/>
      <c r="E632" s="15"/>
      <c r="F632" s="15"/>
      <c r="G632" s="15"/>
      <c r="H632" s="15"/>
      <c r="I632" s="28"/>
      <c r="J632" s="28"/>
      <c r="K632" s="28"/>
      <c r="L632" s="28"/>
      <c r="N632" s="28"/>
    </row>
    <row r="633">
      <c r="A633" s="15"/>
      <c r="B633" s="15"/>
      <c r="C633" s="15"/>
      <c r="D633" s="15"/>
      <c r="E633" s="15"/>
      <c r="F633" s="15"/>
      <c r="G633" s="15"/>
      <c r="H633" s="15"/>
      <c r="I633" s="28"/>
      <c r="J633" s="28"/>
      <c r="K633" s="28"/>
      <c r="L633" s="28"/>
      <c r="N633" s="28"/>
    </row>
    <row r="634">
      <c r="A634" s="15"/>
      <c r="B634" s="15"/>
      <c r="C634" s="15"/>
      <c r="D634" s="15"/>
      <c r="E634" s="15"/>
      <c r="F634" s="15"/>
      <c r="G634" s="15"/>
      <c r="H634" s="15"/>
      <c r="I634" s="28"/>
      <c r="J634" s="28"/>
      <c r="K634" s="28"/>
      <c r="L634" s="28"/>
      <c r="N634" s="28"/>
    </row>
    <row r="635">
      <c r="A635" s="15"/>
      <c r="B635" s="15"/>
      <c r="C635" s="15"/>
      <c r="D635" s="15"/>
      <c r="E635" s="15"/>
      <c r="F635" s="15"/>
      <c r="G635" s="15"/>
      <c r="H635" s="15"/>
      <c r="I635" s="28"/>
      <c r="J635" s="28"/>
      <c r="K635" s="28"/>
      <c r="L635" s="28"/>
      <c r="N635" s="28"/>
    </row>
    <row r="636">
      <c r="A636" s="15"/>
      <c r="B636" s="15"/>
      <c r="C636" s="15"/>
      <c r="D636" s="15"/>
      <c r="E636" s="15"/>
      <c r="F636" s="15"/>
      <c r="G636" s="15"/>
      <c r="H636" s="15"/>
      <c r="I636" s="28"/>
      <c r="J636" s="28"/>
      <c r="K636" s="28"/>
      <c r="L636" s="28"/>
      <c r="N636" s="28"/>
    </row>
    <row r="637">
      <c r="A637" s="15"/>
      <c r="B637" s="15"/>
      <c r="C637" s="15"/>
      <c r="D637" s="15"/>
      <c r="E637" s="15"/>
      <c r="F637" s="15"/>
      <c r="G637" s="15"/>
      <c r="H637" s="15"/>
      <c r="I637" s="28"/>
      <c r="J637" s="28"/>
      <c r="K637" s="28"/>
      <c r="L637" s="28"/>
      <c r="N637" s="28"/>
    </row>
    <row r="638">
      <c r="A638" s="15"/>
      <c r="B638" s="15"/>
      <c r="C638" s="15"/>
      <c r="D638" s="15"/>
      <c r="E638" s="15"/>
      <c r="F638" s="15"/>
      <c r="G638" s="15"/>
      <c r="H638" s="15"/>
      <c r="I638" s="28"/>
      <c r="J638" s="28"/>
      <c r="K638" s="28"/>
      <c r="L638" s="28"/>
      <c r="N638" s="28"/>
    </row>
    <row r="639">
      <c r="A639" s="15"/>
      <c r="B639" s="15"/>
      <c r="C639" s="15"/>
      <c r="D639" s="15"/>
      <c r="E639" s="15"/>
      <c r="F639" s="15"/>
      <c r="G639" s="15"/>
      <c r="H639" s="15"/>
      <c r="I639" s="28"/>
      <c r="J639" s="28"/>
      <c r="K639" s="28"/>
      <c r="L639" s="28"/>
      <c r="N639" s="28"/>
    </row>
    <row r="640">
      <c r="A640" s="15"/>
      <c r="B640" s="15"/>
      <c r="C640" s="15"/>
      <c r="D640" s="15"/>
      <c r="E640" s="15"/>
      <c r="F640" s="15"/>
      <c r="G640" s="15"/>
      <c r="H640" s="15"/>
      <c r="I640" s="28"/>
      <c r="J640" s="28"/>
      <c r="K640" s="28"/>
      <c r="L640" s="28"/>
      <c r="N640" s="28"/>
    </row>
    <row r="641">
      <c r="A641" s="15"/>
      <c r="B641" s="15"/>
      <c r="C641" s="15"/>
      <c r="D641" s="15"/>
      <c r="E641" s="15"/>
      <c r="F641" s="15"/>
      <c r="G641" s="15"/>
      <c r="H641" s="15"/>
      <c r="I641" s="28"/>
      <c r="J641" s="28"/>
      <c r="K641" s="28"/>
      <c r="L641" s="28"/>
      <c r="N641" s="28"/>
    </row>
    <row r="642">
      <c r="A642" s="15"/>
      <c r="B642" s="15"/>
      <c r="C642" s="15"/>
      <c r="D642" s="15"/>
      <c r="E642" s="15"/>
      <c r="F642" s="15"/>
      <c r="G642" s="15"/>
      <c r="H642" s="15"/>
      <c r="I642" s="28"/>
      <c r="J642" s="28"/>
      <c r="K642" s="28"/>
      <c r="L642" s="28"/>
      <c r="N642" s="28"/>
    </row>
    <row r="643">
      <c r="A643" s="15"/>
      <c r="B643" s="15"/>
      <c r="C643" s="15"/>
      <c r="D643" s="15"/>
      <c r="E643" s="15"/>
      <c r="F643" s="15"/>
      <c r="G643" s="15"/>
      <c r="H643" s="15"/>
      <c r="I643" s="28"/>
      <c r="J643" s="28"/>
      <c r="K643" s="28"/>
      <c r="L643" s="28"/>
      <c r="N643" s="28"/>
    </row>
    <row r="644">
      <c r="A644" s="15"/>
      <c r="B644" s="15"/>
      <c r="C644" s="15"/>
      <c r="D644" s="15"/>
      <c r="E644" s="15"/>
      <c r="F644" s="15"/>
      <c r="G644" s="15"/>
      <c r="H644" s="15"/>
      <c r="I644" s="28"/>
      <c r="J644" s="28"/>
      <c r="K644" s="28"/>
      <c r="L644" s="28"/>
      <c r="N644" s="28"/>
    </row>
    <row r="645">
      <c r="A645" s="15"/>
      <c r="B645" s="15"/>
      <c r="C645" s="15"/>
      <c r="D645" s="15"/>
      <c r="E645" s="15"/>
      <c r="F645" s="15"/>
      <c r="G645" s="15"/>
      <c r="H645" s="15"/>
      <c r="I645" s="28"/>
      <c r="J645" s="28"/>
      <c r="K645" s="28"/>
      <c r="L645" s="28"/>
      <c r="N645" s="28"/>
    </row>
    <row r="646">
      <c r="A646" s="15"/>
      <c r="B646" s="15"/>
      <c r="C646" s="15"/>
      <c r="D646" s="15"/>
      <c r="E646" s="15"/>
      <c r="F646" s="15"/>
      <c r="G646" s="15"/>
      <c r="H646" s="15"/>
      <c r="I646" s="28"/>
      <c r="J646" s="28"/>
      <c r="K646" s="28"/>
      <c r="L646" s="28"/>
      <c r="N646" s="28"/>
    </row>
    <row r="647">
      <c r="A647" s="15"/>
      <c r="B647" s="15"/>
      <c r="C647" s="15"/>
      <c r="D647" s="15"/>
      <c r="E647" s="15"/>
      <c r="F647" s="15"/>
      <c r="G647" s="15"/>
      <c r="H647" s="15"/>
      <c r="I647" s="28"/>
      <c r="J647" s="28"/>
      <c r="K647" s="28"/>
      <c r="L647" s="28"/>
      <c r="N647" s="28"/>
    </row>
    <row r="648">
      <c r="A648" s="15"/>
      <c r="B648" s="15"/>
      <c r="C648" s="15"/>
      <c r="D648" s="15"/>
      <c r="E648" s="15"/>
      <c r="F648" s="15"/>
      <c r="G648" s="15"/>
      <c r="H648" s="15"/>
      <c r="I648" s="28"/>
      <c r="J648" s="28"/>
      <c r="K648" s="28"/>
      <c r="L648" s="28"/>
      <c r="N648" s="28"/>
    </row>
    <row r="649">
      <c r="A649" s="15"/>
      <c r="B649" s="15"/>
      <c r="C649" s="15"/>
      <c r="D649" s="15"/>
      <c r="E649" s="15"/>
      <c r="F649" s="15"/>
      <c r="G649" s="15"/>
      <c r="H649" s="15"/>
      <c r="I649" s="28"/>
      <c r="J649" s="28"/>
      <c r="K649" s="28"/>
      <c r="L649" s="28"/>
      <c r="N649" s="28"/>
    </row>
    <row r="650">
      <c r="A650" s="15"/>
      <c r="B650" s="15"/>
      <c r="C650" s="15"/>
      <c r="D650" s="15"/>
      <c r="E650" s="15"/>
      <c r="F650" s="15"/>
      <c r="G650" s="15"/>
      <c r="H650" s="15"/>
      <c r="I650" s="28"/>
      <c r="J650" s="28"/>
      <c r="K650" s="28"/>
      <c r="L650" s="28"/>
      <c r="N650" s="28"/>
    </row>
    <row r="651">
      <c r="A651" s="15"/>
      <c r="B651" s="15"/>
      <c r="C651" s="15"/>
      <c r="D651" s="15"/>
      <c r="E651" s="15"/>
      <c r="F651" s="15"/>
      <c r="G651" s="15"/>
      <c r="H651" s="15"/>
      <c r="I651" s="28"/>
      <c r="J651" s="28"/>
      <c r="K651" s="28"/>
      <c r="L651" s="28"/>
      <c r="N651" s="28"/>
    </row>
    <row r="652">
      <c r="A652" s="15"/>
      <c r="B652" s="15"/>
      <c r="C652" s="15"/>
      <c r="D652" s="15"/>
      <c r="E652" s="15"/>
      <c r="F652" s="15"/>
      <c r="G652" s="15"/>
      <c r="H652" s="15"/>
      <c r="I652" s="28"/>
      <c r="J652" s="28"/>
      <c r="K652" s="28"/>
      <c r="L652" s="28"/>
      <c r="N652" s="28"/>
    </row>
    <row r="653">
      <c r="A653" s="15"/>
      <c r="B653" s="15"/>
      <c r="C653" s="15"/>
      <c r="D653" s="15"/>
      <c r="E653" s="15"/>
      <c r="F653" s="15"/>
      <c r="G653" s="15"/>
      <c r="H653" s="15"/>
      <c r="I653" s="28"/>
      <c r="J653" s="28"/>
      <c r="K653" s="28"/>
      <c r="L653" s="28"/>
      <c r="N653" s="28"/>
    </row>
    <row r="654">
      <c r="A654" s="15"/>
      <c r="B654" s="15"/>
      <c r="C654" s="15"/>
      <c r="D654" s="15"/>
      <c r="E654" s="15"/>
      <c r="F654" s="15"/>
      <c r="G654" s="15"/>
      <c r="H654" s="15"/>
      <c r="I654" s="28"/>
      <c r="J654" s="28"/>
      <c r="K654" s="28"/>
      <c r="L654" s="28"/>
      <c r="N654" s="28"/>
    </row>
    <row r="655">
      <c r="A655" s="15"/>
      <c r="B655" s="15"/>
      <c r="C655" s="15"/>
      <c r="D655" s="15"/>
      <c r="E655" s="15"/>
      <c r="F655" s="15"/>
      <c r="G655" s="15"/>
      <c r="H655" s="15"/>
      <c r="I655" s="28"/>
      <c r="J655" s="28"/>
      <c r="K655" s="28"/>
      <c r="L655" s="28"/>
      <c r="N655" s="28"/>
    </row>
    <row r="656">
      <c r="A656" s="15"/>
      <c r="B656" s="15"/>
      <c r="C656" s="15"/>
      <c r="D656" s="15"/>
      <c r="E656" s="15"/>
      <c r="F656" s="15"/>
      <c r="G656" s="15"/>
      <c r="H656" s="15"/>
      <c r="I656" s="28"/>
      <c r="J656" s="28"/>
      <c r="K656" s="28"/>
      <c r="L656" s="28"/>
      <c r="N656" s="28"/>
    </row>
    <row r="657">
      <c r="A657" s="15"/>
      <c r="B657" s="15"/>
      <c r="C657" s="15"/>
      <c r="D657" s="15"/>
      <c r="E657" s="15"/>
      <c r="F657" s="15"/>
      <c r="G657" s="15"/>
      <c r="H657" s="15"/>
      <c r="I657" s="28"/>
      <c r="J657" s="28"/>
      <c r="K657" s="28"/>
      <c r="L657" s="28"/>
      <c r="N657" s="28"/>
    </row>
    <row r="658">
      <c r="A658" s="15"/>
      <c r="B658" s="15"/>
      <c r="C658" s="15"/>
      <c r="D658" s="15"/>
      <c r="E658" s="15"/>
      <c r="F658" s="15"/>
      <c r="G658" s="15"/>
      <c r="H658" s="15"/>
      <c r="I658" s="28"/>
      <c r="J658" s="28"/>
      <c r="K658" s="28"/>
      <c r="L658" s="28"/>
      <c r="N658" s="28"/>
    </row>
    <row r="659">
      <c r="A659" s="15"/>
      <c r="B659" s="15"/>
      <c r="C659" s="15"/>
      <c r="D659" s="15"/>
      <c r="E659" s="15"/>
      <c r="F659" s="15"/>
      <c r="G659" s="15"/>
      <c r="H659" s="15"/>
      <c r="I659" s="28"/>
      <c r="J659" s="28"/>
      <c r="K659" s="28"/>
      <c r="L659" s="28"/>
      <c r="N659" s="28"/>
    </row>
    <row r="660">
      <c r="A660" s="15"/>
      <c r="B660" s="15"/>
      <c r="C660" s="15"/>
      <c r="D660" s="15"/>
      <c r="E660" s="15"/>
      <c r="F660" s="15"/>
      <c r="G660" s="15"/>
      <c r="H660" s="15"/>
      <c r="I660" s="28"/>
      <c r="J660" s="28"/>
      <c r="K660" s="28"/>
      <c r="L660" s="28"/>
      <c r="N660" s="28"/>
    </row>
    <row r="661">
      <c r="A661" s="15"/>
      <c r="B661" s="15"/>
      <c r="C661" s="15"/>
      <c r="D661" s="15"/>
      <c r="E661" s="15"/>
      <c r="F661" s="15"/>
      <c r="G661" s="15"/>
      <c r="H661" s="15"/>
      <c r="I661" s="28"/>
      <c r="J661" s="28"/>
      <c r="K661" s="28"/>
      <c r="L661" s="28"/>
      <c r="N661" s="28"/>
    </row>
    <row r="662">
      <c r="A662" s="15"/>
      <c r="B662" s="15"/>
      <c r="C662" s="15"/>
      <c r="D662" s="15"/>
      <c r="E662" s="15"/>
      <c r="F662" s="15"/>
      <c r="G662" s="15"/>
      <c r="H662" s="15"/>
      <c r="I662" s="28"/>
      <c r="J662" s="28"/>
      <c r="K662" s="28"/>
      <c r="L662" s="28"/>
      <c r="N662" s="28"/>
    </row>
    <row r="663">
      <c r="A663" s="15"/>
      <c r="B663" s="15"/>
      <c r="C663" s="15"/>
      <c r="D663" s="15"/>
      <c r="E663" s="15"/>
      <c r="F663" s="15"/>
      <c r="G663" s="15"/>
      <c r="H663" s="15"/>
      <c r="I663" s="28"/>
      <c r="J663" s="28"/>
      <c r="K663" s="28"/>
      <c r="L663" s="28"/>
      <c r="N663" s="28"/>
    </row>
    <row r="664">
      <c r="A664" s="15"/>
      <c r="B664" s="15"/>
      <c r="C664" s="15"/>
      <c r="D664" s="15"/>
      <c r="E664" s="15"/>
      <c r="F664" s="15"/>
      <c r="G664" s="15"/>
      <c r="H664" s="15"/>
      <c r="I664" s="28"/>
      <c r="J664" s="28"/>
      <c r="K664" s="28"/>
      <c r="L664" s="28"/>
      <c r="N664" s="28"/>
    </row>
    <row r="665">
      <c r="A665" s="15"/>
      <c r="B665" s="15"/>
      <c r="C665" s="15"/>
      <c r="D665" s="15"/>
      <c r="E665" s="15"/>
      <c r="F665" s="15"/>
      <c r="G665" s="15"/>
      <c r="H665" s="15"/>
      <c r="I665" s="28"/>
      <c r="J665" s="28"/>
      <c r="K665" s="28"/>
      <c r="L665" s="28"/>
      <c r="N665" s="28"/>
    </row>
    <row r="666">
      <c r="A666" s="15"/>
      <c r="B666" s="15"/>
      <c r="C666" s="15"/>
      <c r="D666" s="15"/>
      <c r="E666" s="15"/>
      <c r="F666" s="15"/>
      <c r="G666" s="15"/>
      <c r="H666" s="15"/>
      <c r="I666" s="28"/>
      <c r="J666" s="28"/>
      <c r="K666" s="28"/>
      <c r="L666" s="28"/>
      <c r="N666" s="28"/>
    </row>
    <row r="667">
      <c r="A667" s="15"/>
      <c r="B667" s="15"/>
      <c r="C667" s="15"/>
      <c r="D667" s="15"/>
      <c r="E667" s="15"/>
      <c r="F667" s="15"/>
      <c r="G667" s="15"/>
      <c r="H667" s="15"/>
      <c r="I667" s="28"/>
      <c r="J667" s="28"/>
      <c r="K667" s="28"/>
      <c r="L667" s="28"/>
      <c r="N667" s="28"/>
    </row>
    <row r="668">
      <c r="A668" s="15"/>
      <c r="B668" s="15"/>
      <c r="C668" s="15"/>
      <c r="D668" s="15"/>
      <c r="E668" s="15"/>
      <c r="F668" s="15"/>
      <c r="G668" s="15"/>
      <c r="H668" s="15"/>
      <c r="I668" s="28"/>
      <c r="J668" s="28"/>
      <c r="K668" s="28"/>
      <c r="L668" s="28"/>
      <c r="N668" s="28"/>
    </row>
    <row r="669">
      <c r="A669" s="15"/>
      <c r="B669" s="15"/>
      <c r="C669" s="15"/>
      <c r="D669" s="15"/>
      <c r="E669" s="15"/>
      <c r="F669" s="15"/>
      <c r="G669" s="15"/>
      <c r="H669" s="15"/>
      <c r="I669" s="28"/>
      <c r="J669" s="28"/>
      <c r="K669" s="28"/>
      <c r="L669" s="28"/>
      <c r="N669" s="28"/>
    </row>
    <row r="670">
      <c r="A670" s="15"/>
      <c r="B670" s="15"/>
      <c r="C670" s="15"/>
      <c r="D670" s="15"/>
      <c r="E670" s="15"/>
      <c r="F670" s="15"/>
      <c r="G670" s="15"/>
      <c r="H670" s="15"/>
      <c r="I670" s="28"/>
      <c r="J670" s="28"/>
      <c r="K670" s="28"/>
      <c r="L670" s="28"/>
      <c r="N670" s="28"/>
    </row>
    <row r="671">
      <c r="A671" s="15"/>
      <c r="B671" s="15"/>
      <c r="C671" s="15"/>
      <c r="D671" s="15"/>
      <c r="E671" s="15"/>
      <c r="F671" s="15"/>
      <c r="G671" s="15"/>
      <c r="H671" s="15"/>
      <c r="I671" s="28"/>
      <c r="J671" s="28"/>
      <c r="K671" s="28"/>
      <c r="L671" s="28"/>
      <c r="N671" s="28"/>
    </row>
    <row r="672">
      <c r="A672" s="15"/>
      <c r="B672" s="15"/>
      <c r="C672" s="15"/>
      <c r="D672" s="15"/>
      <c r="E672" s="15"/>
      <c r="F672" s="15"/>
      <c r="G672" s="15"/>
      <c r="H672" s="15"/>
      <c r="I672" s="28"/>
      <c r="J672" s="28"/>
      <c r="K672" s="28"/>
      <c r="L672" s="28"/>
      <c r="N672" s="28"/>
    </row>
    <row r="673">
      <c r="A673" s="15"/>
      <c r="B673" s="15"/>
      <c r="C673" s="15"/>
      <c r="D673" s="15"/>
      <c r="E673" s="15"/>
      <c r="F673" s="15"/>
      <c r="G673" s="15"/>
      <c r="H673" s="15"/>
      <c r="I673" s="28"/>
      <c r="J673" s="28"/>
      <c r="K673" s="28"/>
      <c r="L673" s="28"/>
      <c r="N673" s="28"/>
    </row>
    <row r="674">
      <c r="A674" s="15"/>
      <c r="B674" s="15"/>
      <c r="C674" s="15"/>
      <c r="D674" s="15"/>
      <c r="E674" s="15"/>
      <c r="F674" s="15"/>
      <c r="G674" s="15"/>
      <c r="H674" s="15"/>
      <c r="I674" s="28"/>
      <c r="J674" s="28"/>
      <c r="K674" s="28"/>
      <c r="L674" s="28"/>
      <c r="N674" s="28"/>
    </row>
    <row r="675">
      <c r="A675" s="15"/>
      <c r="B675" s="15"/>
      <c r="C675" s="15"/>
      <c r="D675" s="15"/>
      <c r="E675" s="15"/>
      <c r="F675" s="15"/>
      <c r="G675" s="15"/>
      <c r="H675" s="15"/>
      <c r="I675" s="28"/>
      <c r="J675" s="28"/>
      <c r="K675" s="28"/>
      <c r="L675" s="28"/>
      <c r="N675" s="28"/>
    </row>
    <row r="676">
      <c r="A676" s="15"/>
      <c r="B676" s="15"/>
      <c r="C676" s="15"/>
      <c r="D676" s="15"/>
      <c r="E676" s="15"/>
      <c r="F676" s="15"/>
      <c r="G676" s="15"/>
      <c r="H676" s="15"/>
      <c r="I676" s="28"/>
      <c r="J676" s="28"/>
      <c r="K676" s="28"/>
      <c r="L676" s="28"/>
      <c r="N676" s="28"/>
    </row>
    <row r="677">
      <c r="A677" s="15"/>
      <c r="B677" s="15"/>
      <c r="C677" s="15"/>
      <c r="D677" s="15"/>
      <c r="E677" s="15"/>
      <c r="F677" s="15"/>
      <c r="G677" s="15"/>
      <c r="H677" s="15"/>
      <c r="I677" s="28"/>
      <c r="J677" s="28"/>
      <c r="K677" s="28"/>
      <c r="L677" s="28"/>
      <c r="N677" s="28"/>
    </row>
    <row r="678">
      <c r="A678" s="15"/>
      <c r="B678" s="15"/>
      <c r="C678" s="15"/>
      <c r="D678" s="15"/>
      <c r="E678" s="15"/>
      <c r="F678" s="15"/>
      <c r="G678" s="15"/>
      <c r="H678" s="15"/>
      <c r="I678" s="28"/>
      <c r="J678" s="28"/>
      <c r="K678" s="28"/>
      <c r="L678" s="28"/>
      <c r="N678" s="28"/>
    </row>
    <row r="679">
      <c r="A679" s="15"/>
      <c r="B679" s="15"/>
      <c r="C679" s="15"/>
      <c r="D679" s="15"/>
      <c r="E679" s="15"/>
      <c r="F679" s="15"/>
      <c r="G679" s="15"/>
      <c r="H679" s="15"/>
      <c r="I679" s="28"/>
      <c r="J679" s="28"/>
      <c r="K679" s="28"/>
      <c r="L679" s="28"/>
      <c r="N679" s="28"/>
    </row>
    <row r="680">
      <c r="A680" s="15"/>
      <c r="B680" s="15"/>
      <c r="C680" s="15"/>
      <c r="D680" s="15"/>
      <c r="E680" s="15"/>
      <c r="F680" s="15"/>
      <c r="G680" s="15"/>
      <c r="H680" s="15"/>
      <c r="I680" s="28"/>
      <c r="J680" s="28"/>
      <c r="K680" s="28"/>
      <c r="L680" s="28"/>
      <c r="N680" s="28"/>
    </row>
    <row r="681">
      <c r="A681" s="15"/>
      <c r="B681" s="15"/>
      <c r="C681" s="15"/>
      <c r="D681" s="15"/>
      <c r="E681" s="15"/>
      <c r="F681" s="15"/>
      <c r="G681" s="15"/>
      <c r="H681" s="15"/>
      <c r="I681" s="28"/>
      <c r="J681" s="28"/>
      <c r="K681" s="28"/>
      <c r="L681" s="28"/>
      <c r="N681" s="28"/>
    </row>
    <row r="682">
      <c r="A682" s="15"/>
      <c r="B682" s="15"/>
      <c r="C682" s="15"/>
      <c r="D682" s="15"/>
      <c r="E682" s="15"/>
      <c r="F682" s="15"/>
      <c r="G682" s="15"/>
      <c r="H682" s="15"/>
      <c r="I682" s="28"/>
      <c r="J682" s="28"/>
      <c r="K682" s="28"/>
      <c r="L682" s="28"/>
      <c r="N682" s="28"/>
    </row>
    <row r="683">
      <c r="A683" s="15"/>
      <c r="B683" s="15"/>
      <c r="C683" s="15"/>
      <c r="D683" s="15"/>
      <c r="E683" s="15"/>
      <c r="F683" s="15"/>
      <c r="G683" s="15"/>
      <c r="H683" s="15"/>
      <c r="I683" s="28"/>
      <c r="J683" s="28"/>
      <c r="K683" s="28"/>
      <c r="L683" s="28"/>
      <c r="N683" s="28"/>
    </row>
    <row r="684">
      <c r="A684" s="15"/>
      <c r="B684" s="15"/>
      <c r="C684" s="15"/>
      <c r="D684" s="15"/>
      <c r="E684" s="15"/>
      <c r="F684" s="15"/>
      <c r="G684" s="15"/>
      <c r="H684" s="15"/>
      <c r="I684" s="28"/>
      <c r="J684" s="28"/>
      <c r="K684" s="28"/>
      <c r="L684" s="28"/>
      <c r="N684" s="28"/>
    </row>
    <row r="685">
      <c r="A685" s="15"/>
      <c r="B685" s="15"/>
      <c r="C685" s="15"/>
      <c r="D685" s="15"/>
      <c r="E685" s="15"/>
      <c r="F685" s="15"/>
      <c r="G685" s="15"/>
      <c r="H685" s="15"/>
      <c r="I685" s="28"/>
      <c r="J685" s="28"/>
      <c r="K685" s="28"/>
      <c r="L685" s="28"/>
      <c r="N685" s="28"/>
    </row>
    <row r="686">
      <c r="A686" s="15"/>
      <c r="B686" s="15"/>
      <c r="C686" s="15"/>
      <c r="D686" s="15"/>
      <c r="E686" s="15"/>
      <c r="F686" s="15"/>
      <c r="G686" s="15"/>
      <c r="H686" s="15"/>
      <c r="I686" s="28"/>
      <c r="J686" s="28"/>
      <c r="K686" s="28"/>
      <c r="L686" s="28"/>
      <c r="N686" s="28"/>
    </row>
    <row r="687">
      <c r="A687" s="15"/>
      <c r="B687" s="15"/>
      <c r="C687" s="15"/>
      <c r="D687" s="15"/>
      <c r="E687" s="15"/>
      <c r="F687" s="15"/>
      <c r="G687" s="15"/>
      <c r="H687" s="15"/>
      <c r="I687" s="28"/>
      <c r="J687" s="28"/>
      <c r="K687" s="28"/>
      <c r="L687" s="28"/>
      <c r="N687" s="28"/>
    </row>
    <row r="688">
      <c r="A688" s="15"/>
      <c r="B688" s="15"/>
      <c r="C688" s="15"/>
      <c r="D688" s="15"/>
      <c r="E688" s="15"/>
      <c r="F688" s="15"/>
      <c r="G688" s="15"/>
      <c r="H688" s="15"/>
      <c r="I688" s="28"/>
      <c r="J688" s="28"/>
      <c r="K688" s="28"/>
      <c r="L688" s="28"/>
      <c r="N688" s="28"/>
    </row>
    <row r="689">
      <c r="A689" s="15"/>
      <c r="B689" s="15"/>
      <c r="C689" s="15"/>
      <c r="D689" s="15"/>
      <c r="E689" s="15"/>
      <c r="F689" s="15"/>
      <c r="G689" s="15"/>
      <c r="H689" s="15"/>
      <c r="I689" s="28"/>
      <c r="J689" s="28"/>
      <c r="K689" s="28"/>
      <c r="L689" s="28"/>
      <c r="N689" s="28"/>
    </row>
    <row r="690">
      <c r="A690" s="15"/>
      <c r="B690" s="15"/>
      <c r="C690" s="15"/>
      <c r="D690" s="15"/>
      <c r="E690" s="15"/>
      <c r="F690" s="15"/>
      <c r="G690" s="15"/>
      <c r="H690" s="15"/>
      <c r="I690" s="28"/>
      <c r="J690" s="28"/>
      <c r="K690" s="28"/>
      <c r="L690" s="28"/>
      <c r="N690" s="28"/>
    </row>
    <row r="691">
      <c r="A691" s="15"/>
      <c r="B691" s="15"/>
      <c r="C691" s="15"/>
      <c r="D691" s="15"/>
      <c r="E691" s="15"/>
      <c r="F691" s="15"/>
      <c r="G691" s="15"/>
      <c r="H691" s="15"/>
      <c r="I691" s="28"/>
      <c r="J691" s="28"/>
      <c r="K691" s="28"/>
      <c r="L691" s="28"/>
      <c r="N691" s="28"/>
    </row>
    <row r="692">
      <c r="A692" s="15"/>
      <c r="B692" s="15"/>
      <c r="C692" s="15"/>
      <c r="D692" s="15"/>
      <c r="E692" s="15"/>
      <c r="F692" s="15"/>
      <c r="G692" s="15"/>
      <c r="H692" s="15"/>
      <c r="I692" s="28"/>
      <c r="J692" s="28"/>
      <c r="K692" s="28"/>
      <c r="L692" s="28"/>
      <c r="N692" s="28"/>
    </row>
    <row r="693">
      <c r="A693" s="15"/>
      <c r="B693" s="15"/>
      <c r="C693" s="15"/>
      <c r="D693" s="15"/>
      <c r="E693" s="15"/>
      <c r="F693" s="15"/>
      <c r="G693" s="15"/>
      <c r="H693" s="15"/>
      <c r="I693" s="28"/>
      <c r="J693" s="28"/>
      <c r="K693" s="28"/>
      <c r="L693" s="28"/>
      <c r="N693" s="28"/>
    </row>
    <row r="694">
      <c r="A694" s="15"/>
      <c r="B694" s="15"/>
      <c r="C694" s="15"/>
      <c r="D694" s="15"/>
      <c r="E694" s="15"/>
      <c r="F694" s="15"/>
      <c r="G694" s="15"/>
      <c r="H694" s="15"/>
      <c r="I694" s="28"/>
      <c r="J694" s="28"/>
      <c r="K694" s="28"/>
      <c r="L694" s="28"/>
      <c r="N694" s="28"/>
    </row>
    <row r="695">
      <c r="A695" s="15"/>
      <c r="B695" s="15"/>
      <c r="C695" s="15"/>
      <c r="D695" s="15"/>
      <c r="E695" s="15"/>
      <c r="F695" s="15"/>
      <c r="G695" s="15"/>
      <c r="H695" s="15"/>
      <c r="I695" s="28"/>
      <c r="J695" s="28"/>
      <c r="K695" s="28"/>
      <c r="L695" s="28"/>
      <c r="N695" s="28"/>
    </row>
    <row r="696">
      <c r="A696" s="15"/>
      <c r="B696" s="15"/>
      <c r="C696" s="15"/>
      <c r="D696" s="15"/>
      <c r="E696" s="15"/>
      <c r="F696" s="15"/>
      <c r="G696" s="15"/>
      <c r="H696" s="15"/>
      <c r="I696" s="28"/>
      <c r="J696" s="28"/>
      <c r="K696" s="28"/>
      <c r="L696" s="28"/>
      <c r="N696" s="28"/>
    </row>
    <row r="697">
      <c r="A697" s="15"/>
      <c r="B697" s="15"/>
      <c r="C697" s="15"/>
      <c r="D697" s="15"/>
      <c r="E697" s="15"/>
      <c r="F697" s="15"/>
      <c r="G697" s="15"/>
      <c r="H697" s="15"/>
      <c r="I697" s="28"/>
      <c r="J697" s="28"/>
      <c r="K697" s="28"/>
      <c r="L697" s="28"/>
      <c r="N697" s="28"/>
    </row>
    <row r="698">
      <c r="A698" s="15"/>
      <c r="B698" s="15"/>
      <c r="C698" s="15"/>
      <c r="D698" s="15"/>
      <c r="E698" s="15"/>
      <c r="F698" s="15"/>
      <c r="G698" s="15"/>
      <c r="H698" s="15"/>
      <c r="I698" s="28"/>
      <c r="J698" s="28"/>
      <c r="K698" s="28"/>
      <c r="L698" s="28"/>
      <c r="N698" s="28"/>
    </row>
    <row r="699">
      <c r="A699" s="15"/>
      <c r="B699" s="15"/>
      <c r="C699" s="15"/>
      <c r="D699" s="15"/>
      <c r="E699" s="15"/>
      <c r="F699" s="15"/>
      <c r="G699" s="15"/>
      <c r="H699" s="15"/>
      <c r="I699" s="28"/>
      <c r="J699" s="28"/>
      <c r="K699" s="28"/>
      <c r="L699" s="28"/>
      <c r="N699" s="28"/>
    </row>
    <row r="700">
      <c r="A700" s="15"/>
      <c r="B700" s="15"/>
      <c r="C700" s="15"/>
      <c r="D700" s="15"/>
      <c r="E700" s="15"/>
      <c r="F700" s="15"/>
      <c r="G700" s="15"/>
      <c r="H700" s="15"/>
      <c r="I700" s="28"/>
      <c r="J700" s="28"/>
      <c r="K700" s="28"/>
      <c r="L700" s="28"/>
      <c r="N700" s="28"/>
    </row>
    <row r="701">
      <c r="A701" s="15"/>
      <c r="B701" s="15"/>
      <c r="C701" s="15"/>
      <c r="D701" s="15"/>
      <c r="E701" s="15"/>
      <c r="F701" s="15"/>
      <c r="G701" s="15"/>
      <c r="H701" s="15"/>
      <c r="I701" s="28"/>
      <c r="J701" s="28"/>
      <c r="K701" s="28"/>
      <c r="L701" s="28"/>
      <c r="N701" s="28"/>
    </row>
    <row r="702">
      <c r="A702" s="15"/>
      <c r="B702" s="15"/>
      <c r="C702" s="15"/>
      <c r="D702" s="15"/>
      <c r="E702" s="15"/>
      <c r="F702" s="15"/>
      <c r="G702" s="15"/>
      <c r="H702" s="15"/>
      <c r="I702" s="28"/>
      <c r="J702" s="28"/>
      <c r="K702" s="28"/>
      <c r="L702" s="28"/>
      <c r="N702" s="28"/>
    </row>
    <row r="703">
      <c r="A703" s="15"/>
      <c r="B703" s="15"/>
      <c r="C703" s="15"/>
      <c r="D703" s="15"/>
      <c r="E703" s="15"/>
      <c r="F703" s="15"/>
      <c r="G703" s="15"/>
      <c r="H703" s="15"/>
      <c r="I703" s="28"/>
      <c r="J703" s="28"/>
      <c r="K703" s="28"/>
      <c r="L703" s="28"/>
      <c r="N703" s="28"/>
    </row>
    <row r="704">
      <c r="A704" s="15"/>
      <c r="B704" s="15"/>
      <c r="C704" s="15"/>
      <c r="D704" s="15"/>
      <c r="E704" s="15"/>
      <c r="F704" s="15"/>
      <c r="G704" s="15"/>
      <c r="H704" s="15"/>
      <c r="I704" s="28"/>
      <c r="J704" s="28"/>
      <c r="K704" s="28"/>
      <c r="L704" s="28"/>
      <c r="N704" s="28"/>
    </row>
    <row r="705">
      <c r="A705" s="15"/>
      <c r="B705" s="15"/>
      <c r="C705" s="15"/>
      <c r="D705" s="15"/>
      <c r="E705" s="15"/>
      <c r="F705" s="15"/>
      <c r="G705" s="15"/>
      <c r="H705" s="15"/>
      <c r="I705" s="28"/>
      <c r="J705" s="28"/>
      <c r="K705" s="28"/>
      <c r="L705" s="28"/>
      <c r="N705" s="28"/>
    </row>
    <row r="706">
      <c r="A706" s="15"/>
      <c r="B706" s="15"/>
      <c r="C706" s="15"/>
      <c r="D706" s="15"/>
      <c r="E706" s="15"/>
      <c r="F706" s="15"/>
      <c r="G706" s="15"/>
      <c r="H706" s="15"/>
      <c r="I706" s="28"/>
      <c r="J706" s="28"/>
      <c r="K706" s="28"/>
      <c r="L706" s="28"/>
      <c r="N706" s="28"/>
    </row>
    <row r="707">
      <c r="A707" s="15"/>
      <c r="B707" s="15"/>
      <c r="C707" s="15"/>
      <c r="D707" s="15"/>
      <c r="E707" s="15"/>
      <c r="F707" s="15"/>
      <c r="G707" s="15"/>
      <c r="H707" s="15"/>
      <c r="I707" s="28"/>
      <c r="J707" s="28"/>
      <c r="K707" s="28"/>
      <c r="L707" s="28"/>
      <c r="N707" s="28"/>
    </row>
    <row r="708">
      <c r="A708" s="15"/>
      <c r="B708" s="15"/>
      <c r="C708" s="15"/>
      <c r="D708" s="15"/>
      <c r="E708" s="15"/>
      <c r="F708" s="15"/>
      <c r="G708" s="15"/>
      <c r="H708" s="15"/>
      <c r="I708" s="28"/>
      <c r="J708" s="28"/>
      <c r="K708" s="28"/>
      <c r="L708" s="28"/>
      <c r="N708" s="28"/>
    </row>
    <row r="709">
      <c r="A709" s="15"/>
      <c r="B709" s="15"/>
      <c r="C709" s="15"/>
      <c r="D709" s="15"/>
      <c r="E709" s="15"/>
      <c r="F709" s="15"/>
      <c r="G709" s="15"/>
      <c r="H709" s="15"/>
      <c r="I709" s="28"/>
      <c r="J709" s="28"/>
      <c r="K709" s="28"/>
      <c r="L709" s="28"/>
      <c r="N709" s="28"/>
    </row>
    <row r="710">
      <c r="A710" s="15"/>
      <c r="B710" s="15"/>
      <c r="C710" s="15"/>
      <c r="D710" s="15"/>
      <c r="E710" s="15"/>
      <c r="F710" s="15"/>
      <c r="G710" s="15"/>
      <c r="H710" s="15"/>
      <c r="I710" s="28"/>
      <c r="J710" s="28"/>
      <c r="K710" s="28"/>
      <c r="L710" s="28"/>
      <c r="N710" s="28"/>
    </row>
    <row r="711">
      <c r="A711" s="15"/>
      <c r="B711" s="15"/>
      <c r="C711" s="15"/>
      <c r="D711" s="15"/>
      <c r="E711" s="15"/>
      <c r="F711" s="15"/>
      <c r="G711" s="15"/>
      <c r="H711" s="15"/>
      <c r="I711" s="28"/>
      <c r="J711" s="28"/>
      <c r="K711" s="28"/>
      <c r="L711" s="28"/>
      <c r="N711" s="28"/>
    </row>
    <row r="712">
      <c r="A712" s="15"/>
      <c r="B712" s="15"/>
      <c r="C712" s="15"/>
      <c r="D712" s="15"/>
      <c r="E712" s="15"/>
      <c r="F712" s="15"/>
      <c r="G712" s="15"/>
      <c r="H712" s="15"/>
      <c r="I712" s="28"/>
      <c r="J712" s="28"/>
      <c r="K712" s="28"/>
      <c r="L712" s="28"/>
      <c r="N712" s="28"/>
    </row>
    <row r="713">
      <c r="A713" s="15"/>
      <c r="B713" s="15"/>
      <c r="C713" s="15"/>
      <c r="D713" s="15"/>
      <c r="E713" s="15"/>
      <c r="F713" s="15"/>
      <c r="G713" s="15"/>
      <c r="H713" s="15"/>
      <c r="I713" s="28"/>
      <c r="J713" s="28"/>
      <c r="K713" s="28"/>
      <c r="L713" s="28"/>
      <c r="N713" s="28"/>
    </row>
    <row r="714">
      <c r="A714" s="15"/>
      <c r="B714" s="15"/>
      <c r="C714" s="15"/>
      <c r="D714" s="15"/>
      <c r="E714" s="15"/>
      <c r="F714" s="15"/>
      <c r="G714" s="15"/>
      <c r="H714" s="15"/>
      <c r="I714" s="28"/>
      <c r="J714" s="28"/>
      <c r="K714" s="28"/>
      <c r="L714" s="28"/>
      <c r="N714" s="28"/>
    </row>
    <row r="715">
      <c r="A715" s="15"/>
      <c r="B715" s="15"/>
      <c r="C715" s="15"/>
      <c r="D715" s="15"/>
      <c r="E715" s="15"/>
      <c r="F715" s="15"/>
      <c r="G715" s="15"/>
      <c r="H715" s="15"/>
      <c r="I715" s="28"/>
      <c r="J715" s="28"/>
      <c r="K715" s="28"/>
      <c r="L715" s="28"/>
      <c r="N715" s="28"/>
    </row>
    <row r="716">
      <c r="A716" s="15"/>
      <c r="B716" s="15"/>
      <c r="C716" s="15"/>
      <c r="D716" s="15"/>
      <c r="E716" s="15"/>
      <c r="F716" s="15"/>
      <c r="G716" s="15"/>
      <c r="H716" s="15"/>
      <c r="I716" s="28"/>
      <c r="J716" s="28"/>
      <c r="K716" s="28"/>
      <c r="L716" s="28"/>
      <c r="N716" s="28"/>
    </row>
    <row r="717">
      <c r="A717" s="15"/>
      <c r="B717" s="15"/>
      <c r="C717" s="15"/>
      <c r="D717" s="15"/>
      <c r="E717" s="15"/>
      <c r="F717" s="15"/>
      <c r="G717" s="15"/>
      <c r="H717" s="15"/>
      <c r="I717" s="28"/>
      <c r="J717" s="28"/>
      <c r="K717" s="28"/>
      <c r="L717" s="28"/>
      <c r="N717" s="28"/>
    </row>
    <row r="718">
      <c r="A718" s="15"/>
      <c r="B718" s="15"/>
      <c r="C718" s="15"/>
      <c r="D718" s="15"/>
      <c r="E718" s="15"/>
      <c r="F718" s="15"/>
      <c r="G718" s="15"/>
      <c r="H718" s="15"/>
      <c r="I718" s="28"/>
      <c r="J718" s="28"/>
      <c r="K718" s="28"/>
      <c r="L718" s="28"/>
      <c r="N718" s="28"/>
    </row>
    <row r="719">
      <c r="A719" s="15"/>
      <c r="B719" s="15"/>
      <c r="C719" s="15"/>
      <c r="D719" s="15"/>
      <c r="E719" s="15"/>
      <c r="F719" s="15"/>
      <c r="G719" s="15"/>
      <c r="H719" s="15"/>
      <c r="I719" s="28"/>
      <c r="J719" s="28"/>
      <c r="K719" s="28"/>
      <c r="L719" s="28"/>
      <c r="N719" s="28"/>
    </row>
    <row r="720">
      <c r="A720" s="15"/>
      <c r="B720" s="15"/>
      <c r="C720" s="15"/>
      <c r="D720" s="15"/>
      <c r="E720" s="15"/>
      <c r="F720" s="15"/>
      <c r="G720" s="15"/>
      <c r="H720" s="15"/>
      <c r="I720" s="28"/>
      <c r="J720" s="28"/>
      <c r="K720" s="28"/>
      <c r="L720" s="28"/>
      <c r="N720" s="28"/>
    </row>
    <row r="721">
      <c r="A721" s="15"/>
      <c r="B721" s="15"/>
      <c r="C721" s="15"/>
      <c r="D721" s="15"/>
      <c r="E721" s="15"/>
      <c r="F721" s="15"/>
      <c r="G721" s="15"/>
      <c r="H721" s="15"/>
      <c r="I721" s="28"/>
      <c r="J721" s="28"/>
      <c r="K721" s="28"/>
      <c r="L721" s="28"/>
      <c r="N721" s="28"/>
    </row>
    <row r="722">
      <c r="A722" s="15"/>
      <c r="B722" s="15"/>
      <c r="C722" s="15"/>
      <c r="D722" s="15"/>
      <c r="E722" s="15"/>
      <c r="F722" s="15"/>
      <c r="G722" s="15"/>
      <c r="H722" s="15"/>
      <c r="I722" s="28"/>
      <c r="J722" s="28"/>
      <c r="K722" s="28"/>
      <c r="L722" s="28"/>
      <c r="N722" s="28"/>
    </row>
    <row r="723">
      <c r="A723" s="15"/>
      <c r="B723" s="15"/>
      <c r="C723" s="15"/>
      <c r="D723" s="15"/>
      <c r="E723" s="15"/>
      <c r="F723" s="15"/>
      <c r="G723" s="15"/>
      <c r="H723" s="15"/>
      <c r="I723" s="28"/>
      <c r="J723" s="28"/>
      <c r="K723" s="28"/>
      <c r="L723" s="28"/>
      <c r="N723" s="28"/>
    </row>
    <row r="724">
      <c r="A724" s="15"/>
      <c r="B724" s="15"/>
      <c r="C724" s="15"/>
      <c r="D724" s="15"/>
      <c r="E724" s="15"/>
      <c r="F724" s="15"/>
      <c r="G724" s="15"/>
      <c r="H724" s="15"/>
      <c r="I724" s="28"/>
      <c r="J724" s="28"/>
      <c r="K724" s="28"/>
      <c r="L724" s="28"/>
      <c r="N724" s="28"/>
    </row>
    <row r="725">
      <c r="A725" s="15"/>
      <c r="B725" s="15"/>
      <c r="C725" s="15"/>
      <c r="D725" s="15"/>
      <c r="E725" s="15"/>
      <c r="F725" s="15"/>
      <c r="G725" s="15"/>
      <c r="H725" s="15"/>
      <c r="I725" s="28"/>
      <c r="J725" s="28"/>
      <c r="K725" s="28"/>
      <c r="L725" s="28"/>
      <c r="N725" s="28"/>
    </row>
    <row r="726">
      <c r="A726" s="15"/>
      <c r="B726" s="15"/>
      <c r="C726" s="15"/>
      <c r="D726" s="15"/>
      <c r="E726" s="15"/>
      <c r="F726" s="15"/>
      <c r="G726" s="15"/>
      <c r="H726" s="15"/>
      <c r="I726" s="28"/>
      <c r="J726" s="28"/>
      <c r="K726" s="28"/>
      <c r="L726" s="28"/>
      <c r="N726" s="28"/>
    </row>
    <row r="727">
      <c r="A727" s="15"/>
      <c r="B727" s="15"/>
      <c r="C727" s="15"/>
      <c r="D727" s="15"/>
      <c r="E727" s="15"/>
      <c r="F727" s="15"/>
      <c r="G727" s="15"/>
      <c r="H727" s="15"/>
      <c r="I727" s="28"/>
      <c r="J727" s="28"/>
      <c r="K727" s="28"/>
      <c r="L727" s="28"/>
      <c r="N727" s="28"/>
    </row>
    <row r="728">
      <c r="A728" s="15"/>
      <c r="B728" s="15"/>
      <c r="C728" s="15"/>
      <c r="D728" s="15"/>
      <c r="E728" s="15"/>
      <c r="F728" s="15"/>
      <c r="G728" s="15"/>
      <c r="H728" s="15"/>
      <c r="I728" s="28"/>
      <c r="J728" s="28"/>
      <c r="K728" s="28"/>
      <c r="L728" s="28"/>
      <c r="N728" s="28"/>
    </row>
    <row r="729">
      <c r="A729" s="15"/>
      <c r="B729" s="15"/>
      <c r="C729" s="15"/>
      <c r="D729" s="15"/>
      <c r="E729" s="15"/>
      <c r="F729" s="15"/>
      <c r="G729" s="15"/>
      <c r="H729" s="15"/>
      <c r="I729" s="28"/>
      <c r="J729" s="28"/>
      <c r="K729" s="28"/>
      <c r="L729" s="28"/>
      <c r="N729" s="28"/>
    </row>
    <row r="730">
      <c r="A730" s="15"/>
      <c r="B730" s="15"/>
      <c r="C730" s="15"/>
      <c r="D730" s="15"/>
      <c r="E730" s="15"/>
      <c r="F730" s="15"/>
      <c r="G730" s="15"/>
      <c r="H730" s="15"/>
      <c r="I730" s="28"/>
      <c r="J730" s="28"/>
      <c r="K730" s="28"/>
      <c r="L730" s="28"/>
      <c r="N730" s="28"/>
    </row>
    <row r="731">
      <c r="A731" s="15"/>
      <c r="B731" s="15"/>
      <c r="C731" s="15"/>
      <c r="D731" s="15"/>
      <c r="E731" s="15"/>
      <c r="F731" s="15"/>
      <c r="G731" s="15"/>
      <c r="H731" s="15"/>
      <c r="I731" s="28"/>
      <c r="J731" s="28"/>
      <c r="K731" s="28"/>
      <c r="L731" s="28"/>
      <c r="N731" s="28"/>
    </row>
    <row r="732">
      <c r="A732" s="15"/>
      <c r="B732" s="15"/>
      <c r="C732" s="15"/>
      <c r="D732" s="15"/>
      <c r="E732" s="15"/>
      <c r="F732" s="15"/>
      <c r="G732" s="15"/>
      <c r="H732" s="15"/>
      <c r="I732" s="28"/>
      <c r="J732" s="28"/>
      <c r="K732" s="28"/>
      <c r="L732" s="28"/>
      <c r="N732" s="28"/>
    </row>
    <row r="733">
      <c r="A733" s="15"/>
      <c r="B733" s="15"/>
      <c r="C733" s="15"/>
      <c r="D733" s="15"/>
      <c r="E733" s="15"/>
      <c r="F733" s="15"/>
      <c r="G733" s="15"/>
      <c r="H733" s="15"/>
      <c r="I733" s="28"/>
      <c r="J733" s="28"/>
      <c r="K733" s="28"/>
      <c r="L733" s="28"/>
      <c r="N733" s="28"/>
    </row>
    <row r="734">
      <c r="A734" s="15"/>
      <c r="B734" s="15"/>
      <c r="C734" s="15"/>
      <c r="D734" s="15"/>
      <c r="E734" s="15"/>
      <c r="F734" s="15"/>
      <c r="G734" s="15"/>
      <c r="H734" s="15"/>
      <c r="I734" s="28"/>
      <c r="J734" s="28"/>
      <c r="K734" s="28"/>
      <c r="L734" s="28"/>
      <c r="N734" s="28"/>
    </row>
    <row r="735">
      <c r="A735" s="15"/>
      <c r="B735" s="15"/>
      <c r="C735" s="15"/>
      <c r="D735" s="15"/>
      <c r="E735" s="15"/>
      <c r="F735" s="15"/>
      <c r="G735" s="15"/>
      <c r="H735" s="15"/>
      <c r="I735" s="28"/>
      <c r="J735" s="28"/>
      <c r="K735" s="28"/>
      <c r="L735" s="28"/>
      <c r="N735" s="28"/>
    </row>
    <row r="736">
      <c r="A736" s="15"/>
      <c r="B736" s="15"/>
      <c r="C736" s="15"/>
      <c r="D736" s="15"/>
      <c r="E736" s="15"/>
      <c r="F736" s="15"/>
      <c r="G736" s="15"/>
      <c r="H736" s="15"/>
      <c r="I736" s="28"/>
      <c r="J736" s="28"/>
      <c r="K736" s="28"/>
      <c r="L736" s="28"/>
      <c r="N736" s="28"/>
    </row>
    <row r="737">
      <c r="A737" s="15"/>
      <c r="B737" s="15"/>
      <c r="C737" s="15"/>
      <c r="D737" s="15"/>
      <c r="E737" s="15"/>
      <c r="F737" s="15"/>
      <c r="G737" s="15"/>
      <c r="H737" s="15"/>
      <c r="I737" s="28"/>
      <c r="J737" s="28"/>
      <c r="K737" s="28"/>
      <c r="L737" s="28"/>
      <c r="N737" s="28"/>
    </row>
    <row r="738">
      <c r="A738" s="15"/>
      <c r="B738" s="15"/>
      <c r="C738" s="15"/>
      <c r="D738" s="15"/>
      <c r="E738" s="15"/>
      <c r="F738" s="15"/>
      <c r="G738" s="15"/>
      <c r="H738" s="15"/>
      <c r="I738" s="28"/>
      <c r="J738" s="28"/>
      <c r="K738" s="28"/>
      <c r="L738" s="28"/>
      <c r="N738" s="28"/>
    </row>
    <row r="739">
      <c r="A739" s="15"/>
      <c r="B739" s="15"/>
      <c r="C739" s="15"/>
      <c r="D739" s="15"/>
      <c r="E739" s="15"/>
      <c r="F739" s="15"/>
      <c r="G739" s="15"/>
      <c r="H739" s="15"/>
      <c r="I739" s="28"/>
      <c r="J739" s="28"/>
      <c r="K739" s="28"/>
      <c r="L739" s="28"/>
      <c r="N739" s="28"/>
    </row>
    <row r="740">
      <c r="A740" s="15"/>
      <c r="B740" s="15"/>
      <c r="C740" s="15"/>
      <c r="D740" s="15"/>
      <c r="E740" s="15"/>
      <c r="F740" s="15"/>
      <c r="G740" s="15"/>
      <c r="H740" s="15"/>
      <c r="I740" s="28"/>
      <c r="J740" s="28"/>
      <c r="K740" s="28"/>
      <c r="L740" s="28"/>
      <c r="N740" s="28"/>
    </row>
    <row r="741">
      <c r="A741" s="15"/>
      <c r="B741" s="15"/>
      <c r="C741" s="15"/>
      <c r="D741" s="15"/>
      <c r="E741" s="15"/>
      <c r="F741" s="15"/>
      <c r="G741" s="15"/>
      <c r="H741" s="15"/>
      <c r="I741" s="28"/>
      <c r="J741" s="28"/>
      <c r="K741" s="28"/>
      <c r="L741" s="28"/>
      <c r="N741" s="28"/>
    </row>
    <row r="742">
      <c r="A742" s="15"/>
      <c r="B742" s="15"/>
      <c r="C742" s="15"/>
      <c r="D742" s="15"/>
      <c r="E742" s="15"/>
      <c r="F742" s="15"/>
      <c r="G742" s="15"/>
      <c r="H742" s="15"/>
      <c r="I742" s="28"/>
      <c r="J742" s="28"/>
      <c r="K742" s="28"/>
      <c r="L742" s="28"/>
      <c r="N742" s="28"/>
    </row>
    <row r="743">
      <c r="A743" s="15"/>
      <c r="B743" s="15"/>
      <c r="C743" s="15"/>
      <c r="D743" s="15"/>
      <c r="E743" s="15"/>
      <c r="F743" s="15"/>
      <c r="G743" s="15"/>
      <c r="H743" s="15"/>
      <c r="I743" s="28"/>
      <c r="J743" s="28"/>
      <c r="K743" s="28"/>
      <c r="L743" s="28"/>
      <c r="N743" s="28"/>
    </row>
    <row r="744">
      <c r="A744" s="15"/>
      <c r="B744" s="15"/>
      <c r="C744" s="15"/>
      <c r="D744" s="15"/>
      <c r="E744" s="15"/>
      <c r="F744" s="15"/>
      <c r="G744" s="15"/>
      <c r="H744" s="15"/>
      <c r="I744" s="28"/>
      <c r="J744" s="28"/>
      <c r="K744" s="28"/>
      <c r="L744" s="28"/>
      <c r="N744" s="28"/>
    </row>
    <row r="745">
      <c r="A745" s="15"/>
      <c r="B745" s="15"/>
      <c r="C745" s="15"/>
      <c r="D745" s="15"/>
      <c r="E745" s="15"/>
      <c r="F745" s="15"/>
      <c r="G745" s="15"/>
      <c r="H745" s="15"/>
      <c r="I745" s="28"/>
      <c r="J745" s="28"/>
      <c r="K745" s="28"/>
      <c r="L745" s="28"/>
      <c r="N745" s="28"/>
    </row>
    <row r="746">
      <c r="A746" s="15"/>
      <c r="B746" s="15"/>
      <c r="C746" s="15"/>
      <c r="D746" s="15"/>
      <c r="E746" s="15"/>
      <c r="F746" s="15"/>
      <c r="G746" s="15"/>
      <c r="H746" s="15"/>
      <c r="I746" s="28"/>
      <c r="J746" s="28"/>
      <c r="K746" s="28"/>
      <c r="L746" s="28"/>
      <c r="N746" s="28"/>
    </row>
    <row r="747">
      <c r="A747" s="15"/>
      <c r="B747" s="15"/>
      <c r="C747" s="15"/>
      <c r="D747" s="15"/>
      <c r="E747" s="15"/>
      <c r="F747" s="15"/>
      <c r="G747" s="15"/>
      <c r="H747" s="15"/>
      <c r="I747" s="28"/>
      <c r="J747" s="28"/>
      <c r="K747" s="28"/>
      <c r="L747" s="28"/>
      <c r="N747" s="28"/>
    </row>
    <row r="748">
      <c r="A748" s="15"/>
      <c r="B748" s="15"/>
      <c r="C748" s="15"/>
      <c r="D748" s="15"/>
      <c r="E748" s="15"/>
      <c r="F748" s="15"/>
      <c r="G748" s="15"/>
      <c r="H748" s="15"/>
      <c r="I748" s="28"/>
      <c r="J748" s="28"/>
      <c r="K748" s="28"/>
      <c r="L748" s="28"/>
      <c r="N748" s="28"/>
    </row>
    <row r="749">
      <c r="A749" s="15"/>
      <c r="B749" s="15"/>
      <c r="C749" s="15"/>
      <c r="D749" s="15"/>
      <c r="E749" s="15"/>
      <c r="F749" s="15"/>
      <c r="G749" s="15"/>
      <c r="H749" s="15"/>
      <c r="I749" s="28"/>
      <c r="J749" s="28"/>
      <c r="K749" s="28"/>
      <c r="L749" s="28"/>
      <c r="N749" s="28"/>
    </row>
    <row r="750">
      <c r="A750" s="15"/>
      <c r="B750" s="15"/>
      <c r="C750" s="15"/>
      <c r="D750" s="15"/>
      <c r="E750" s="15"/>
      <c r="F750" s="15"/>
      <c r="G750" s="15"/>
      <c r="H750" s="15"/>
      <c r="I750" s="28"/>
      <c r="J750" s="28"/>
      <c r="K750" s="28"/>
      <c r="L750" s="28"/>
      <c r="N750" s="28"/>
    </row>
    <row r="751">
      <c r="A751" s="15"/>
      <c r="B751" s="15"/>
      <c r="C751" s="15"/>
      <c r="D751" s="15"/>
      <c r="E751" s="15"/>
      <c r="F751" s="15"/>
      <c r="G751" s="15"/>
      <c r="H751" s="15"/>
      <c r="I751" s="28"/>
      <c r="J751" s="28"/>
      <c r="K751" s="28"/>
      <c r="L751" s="28"/>
      <c r="N751" s="28"/>
    </row>
    <row r="752">
      <c r="A752" s="15"/>
      <c r="B752" s="15"/>
      <c r="C752" s="15"/>
      <c r="D752" s="15"/>
      <c r="E752" s="15"/>
      <c r="F752" s="15"/>
      <c r="G752" s="15"/>
      <c r="H752" s="15"/>
      <c r="I752" s="28"/>
      <c r="J752" s="28"/>
      <c r="K752" s="28"/>
      <c r="L752" s="28"/>
      <c r="N752" s="28"/>
    </row>
    <row r="753">
      <c r="A753" s="15"/>
      <c r="B753" s="15"/>
      <c r="C753" s="15"/>
      <c r="D753" s="15"/>
      <c r="E753" s="15"/>
      <c r="F753" s="15"/>
      <c r="G753" s="15"/>
      <c r="H753" s="15"/>
      <c r="I753" s="28"/>
      <c r="J753" s="28"/>
      <c r="K753" s="28"/>
      <c r="L753" s="28"/>
      <c r="N753" s="28"/>
    </row>
    <row r="754">
      <c r="A754" s="15"/>
      <c r="B754" s="15"/>
      <c r="C754" s="15"/>
      <c r="D754" s="15"/>
      <c r="E754" s="15"/>
      <c r="F754" s="15"/>
      <c r="G754" s="15"/>
      <c r="H754" s="15"/>
      <c r="I754" s="28"/>
      <c r="J754" s="28"/>
      <c r="K754" s="28"/>
      <c r="L754" s="28"/>
      <c r="N754" s="28"/>
    </row>
    <row r="755">
      <c r="A755" s="15"/>
      <c r="B755" s="15"/>
      <c r="C755" s="15"/>
      <c r="D755" s="15"/>
      <c r="E755" s="15"/>
      <c r="F755" s="15"/>
      <c r="G755" s="15"/>
      <c r="H755" s="15"/>
      <c r="I755" s="28"/>
      <c r="J755" s="28"/>
      <c r="K755" s="28"/>
      <c r="L755" s="28"/>
      <c r="N755" s="28"/>
    </row>
    <row r="756">
      <c r="A756" s="15"/>
      <c r="B756" s="15"/>
      <c r="C756" s="15"/>
      <c r="D756" s="15"/>
      <c r="E756" s="15"/>
      <c r="F756" s="15"/>
      <c r="G756" s="15"/>
      <c r="H756" s="15"/>
      <c r="I756" s="28"/>
      <c r="J756" s="28"/>
      <c r="K756" s="28"/>
      <c r="L756" s="28"/>
      <c r="N756" s="28"/>
    </row>
    <row r="757">
      <c r="A757" s="15"/>
      <c r="B757" s="15"/>
      <c r="C757" s="15"/>
      <c r="D757" s="15"/>
      <c r="E757" s="15"/>
      <c r="F757" s="15"/>
      <c r="G757" s="15"/>
      <c r="H757" s="15"/>
      <c r="I757" s="28"/>
      <c r="J757" s="28"/>
      <c r="K757" s="28"/>
      <c r="L757" s="28"/>
      <c r="N757" s="28"/>
    </row>
    <row r="758">
      <c r="A758" s="15"/>
      <c r="B758" s="15"/>
      <c r="C758" s="15"/>
      <c r="D758" s="15"/>
      <c r="E758" s="15"/>
      <c r="F758" s="15"/>
      <c r="G758" s="15"/>
      <c r="H758" s="15"/>
      <c r="I758" s="28"/>
      <c r="J758" s="28"/>
      <c r="K758" s="28"/>
      <c r="L758" s="28"/>
      <c r="N758" s="28"/>
    </row>
    <row r="759">
      <c r="A759" s="15"/>
      <c r="B759" s="15"/>
      <c r="C759" s="15"/>
      <c r="D759" s="15"/>
      <c r="E759" s="15"/>
      <c r="F759" s="15"/>
      <c r="G759" s="15"/>
      <c r="H759" s="15"/>
      <c r="I759" s="28"/>
      <c r="J759" s="28"/>
      <c r="K759" s="28"/>
      <c r="L759" s="28"/>
      <c r="N759" s="28"/>
    </row>
    <row r="760">
      <c r="A760" s="15"/>
      <c r="B760" s="15"/>
      <c r="C760" s="15"/>
      <c r="D760" s="15"/>
      <c r="E760" s="15"/>
      <c r="F760" s="15"/>
      <c r="G760" s="15"/>
      <c r="H760" s="15"/>
      <c r="I760" s="28"/>
      <c r="J760" s="28"/>
      <c r="K760" s="28"/>
      <c r="L760" s="28"/>
      <c r="N760" s="28"/>
    </row>
    <row r="761">
      <c r="A761" s="15"/>
      <c r="B761" s="15"/>
      <c r="C761" s="15"/>
      <c r="D761" s="15"/>
      <c r="E761" s="15"/>
      <c r="F761" s="15"/>
      <c r="G761" s="15"/>
      <c r="H761" s="15"/>
      <c r="I761" s="28"/>
      <c r="J761" s="28"/>
      <c r="K761" s="28"/>
      <c r="L761" s="28"/>
      <c r="N761" s="28"/>
    </row>
    <row r="762">
      <c r="A762" s="15"/>
      <c r="B762" s="15"/>
      <c r="C762" s="15"/>
      <c r="D762" s="15"/>
      <c r="E762" s="15"/>
      <c r="F762" s="15"/>
      <c r="G762" s="15"/>
      <c r="H762" s="15"/>
      <c r="I762" s="28"/>
      <c r="J762" s="28"/>
      <c r="K762" s="28"/>
      <c r="L762" s="28"/>
      <c r="N762" s="28"/>
    </row>
    <row r="763">
      <c r="A763" s="15"/>
      <c r="B763" s="15"/>
      <c r="C763" s="15"/>
      <c r="D763" s="15"/>
      <c r="E763" s="15"/>
      <c r="F763" s="15"/>
      <c r="G763" s="15"/>
      <c r="H763" s="15"/>
      <c r="I763" s="28"/>
      <c r="J763" s="28"/>
      <c r="K763" s="28"/>
      <c r="L763" s="28"/>
      <c r="N763" s="28"/>
    </row>
    <row r="764">
      <c r="A764" s="15"/>
      <c r="B764" s="15"/>
      <c r="C764" s="15"/>
      <c r="D764" s="15"/>
      <c r="E764" s="15"/>
      <c r="F764" s="15"/>
      <c r="G764" s="15"/>
      <c r="H764" s="15"/>
      <c r="I764" s="28"/>
      <c r="J764" s="28"/>
      <c r="K764" s="28"/>
      <c r="L764" s="28"/>
      <c r="N764" s="28"/>
    </row>
    <row r="765">
      <c r="A765" s="15"/>
      <c r="B765" s="15"/>
      <c r="C765" s="15"/>
      <c r="D765" s="15"/>
      <c r="E765" s="15"/>
      <c r="F765" s="15"/>
      <c r="G765" s="15"/>
      <c r="H765" s="15"/>
      <c r="I765" s="28"/>
      <c r="J765" s="28"/>
      <c r="K765" s="28"/>
      <c r="L765" s="28"/>
      <c r="N765" s="28"/>
    </row>
    <row r="766">
      <c r="A766" s="15"/>
      <c r="B766" s="15"/>
      <c r="C766" s="15"/>
      <c r="D766" s="15"/>
      <c r="E766" s="15"/>
      <c r="F766" s="15"/>
      <c r="G766" s="15"/>
      <c r="H766" s="15"/>
      <c r="I766" s="28"/>
      <c r="J766" s="28"/>
      <c r="K766" s="28"/>
      <c r="L766" s="28"/>
      <c r="N766" s="28"/>
    </row>
    <row r="767">
      <c r="A767" s="15"/>
      <c r="B767" s="15"/>
      <c r="C767" s="15"/>
      <c r="D767" s="15"/>
      <c r="E767" s="15"/>
      <c r="F767" s="15"/>
      <c r="G767" s="15"/>
      <c r="H767" s="15"/>
      <c r="I767" s="28"/>
      <c r="J767" s="28"/>
      <c r="K767" s="28"/>
      <c r="L767" s="28"/>
      <c r="N767" s="28"/>
    </row>
    <row r="768">
      <c r="A768" s="15"/>
      <c r="B768" s="15"/>
      <c r="C768" s="15"/>
      <c r="D768" s="15"/>
      <c r="E768" s="15"/>
      <c r="F768" s="15"/>
      <c r="G768" s="15"/>
      <c r="H768" s="15"/>
      <c r="I768" s="28"/>
      <c r="J768" s="28"/>
      <c r="K768" s="28"/>
      <c r="L768" s="28"/>
      <c r="N768" s="28"/>
    </row>
    <row r="769">
      <c r="A769" s="15"/>
      <c r="B769" s="15"/>
      <c r="C769" s="15"/>
      <c r="D769" s="15"/>
      <c r="E769" s="15"/>
      <c r="F769" s="15"/>
      <c r="G769" s="15"/>
      <c r="H769" s="15"/>
      <c r="I769" s="28"/>
      <c r="J769" s="28"/>
      <c r="K769" s="28"/>
      <c r="L769" s="28"/>
      <c r="N769" s="28"/>
    </row>
    <row r="770">
      <c r="A770" s="15"/>
      <c r="B770" s="15"/>
      <c r="C770" s="15"/>
      <c r="D770" s="15"/>
      <c r="E770" s="15"/>
      <c r="F770" s="15"/>
      <c r="G770" s="15"/>
      <c r="H770" s="15"/>
      <c r="I770" s="28"/>
      <c r="J770" s="28"/>
      <c r="K770" s="28"/>
      <c r="L770" s="28"/>
      <c r="N770" s="28"/>
    </row>
    <row r="771">
      <c r="A771" s="15"/>
      <c r="B771" s="15"/>
      <c r="C771" s="15"/>
      <c r="D771" s="15"/>
      <c r="E771" s="15"/>
      <c r="F771" s="15"/>
      <c r="G771" s="15"/>
      <c r="H771" s="15"/>
      <c r="I771" s="28"/>
      <c r="J771" s="28"/>
      <c r="K771" s="28"/>
      <c r="L771" s="28"/>
      <c r="N771" s="28"/>
    </row>
    <row r="772">
      <c r="A772" s="15"/>
      <c r="B772" s="15"/>
      <c r="C772" s="15"/>
      <c r="D772" s="15"/>
      <c r="E772" s="15"/>
      <c r="F772" s="15"/>
      <c r="G772" s="15"/>
      <c r="H772" s="15"/>
      <c r="I772" s="28"/>
      <c r="J772" s="28"/>
      <c r="K772" s="28"/>
      <c r="L772" s="28"/>
      <c r="N772" s="28"/>
    </row>
    <row r="773">
      <c r="A773" s="15"/>
      <c r="B773" s="15"/>
      <c r="C773" s="15"/>
      <c r="D773" s="15"/>
      <c r="E773" s="15"/>
      <c r="F773" s="15"/>
      <c r="G773" s="15"/>
      <c r="H773" s="15"/>
      <c r="I773" s="28"/>
      <c r="J773" s="28"/>
      <c r="K773" s="28"/>
      <c r="L773" s="28"/>
      <c r="N773" s="28"/>
    </row>
    <row r="774">
      <c r="A774" s="15"/>
      <c r="B774" s="15"/>
      <c r="C774" s="15"/>
      <c r="D774" s="15"/>
      <c r="E774" s="15"/>
      <c r="F774" s="15"/>
      <c r="G774" s="15"/>
      <c r="H774" s="15"/>
      <c r="I774" s="28"/>
      <c r="J774" s="28"/>
      <c r="K774" s="28"/>
      <c r="L774" s="28"/>
      <c r="N774" s="28"/>
    </row>
    <row r="775">
      <c r="A775" s="15"/>
      <c r="B775" s="15"/>
      <c r="C775" s="15"/>
      <c r="D775" s="15"/>
      <c r="E775" s="15"/>
      <c r="F775" s="15"/>
      <c r="G775" s="15"/>
      <c r="H775" s="15"/>
      <c r="I775" s="28"/>
      <c r="J775" s="28"/>
      <c r="K775" s="28"/>
      <c r="L775" s="28"/>
      <c r="N775" s="28"/>
    </row>
    <row r="776">
      <c r="A776" s="15"/>
      <c r="B776" s="15"/>
      <c r="C776" s="15"/>
      <c r="D776" s="15"/>
      <c r="E776" s="15"/>
      <c r="F776" s="15"/>
      <c r="G776" s="15"/>
      <c r="H776" s="15"/>
      <c r="I776" s="28"/>
      <c r="J776" s="28"/>
      <c r="K776" s="28"/>
      <c r="L776" s="28"/>
      <c r="N776" s="28"/>
    </row>
    <row r="777">
      <c r="A777" s="15"/>
      <c r="B777" s="15"/>
      <c r="C777" s="15"/>
      <c r="D777" s="15"/>
      <c r="E777" s="15"/>
      <c r="F777" s="15"/>
      <c r="G777" s="15"/>
      <c r="H777" s="15"/>
      <c r="I777" s="28"/>
      <c r="J777" s="28"/>
      <c r="K777" s="28"/>
      <c r="L777" s="28"/>
      <c r="N777" s="28"/>
    </row>
    <row r="778">
      <c r="A778" s="15"/>
      <c r="B778" s="15"/>
      <c r="C778" s="15"/>
      <c r="D778" s="15"/>
      <c r="E778" s="15"/>
      <c r="F778" s="15"/>
      <c r="G778" s="15"/>
      <c r="H778" s="15"/>
      <c r="I778" s="28"/>
      <c r="J778" s="28"/>
      <c r="K778" s="28"/>
      <c r="L778" s="28"/>
      <c r="N778" s="28"/>
    </row>
    <row r="779">
      <c r="A779" s="15"/>
      <c r="B779" s="15"/>
      <c r="C779" s="15"/>
      <c r="D779" s="15"/>
      <c r="E779" s="15"/>
      <c r="F779" s="15"/>
      <c r="G779" s="15"/>
      <c r="H779" s="15"/>
      <c r="I779" s="28"/>
      <c r="J779" s="28"/>
      <c r="K779" s="28"/>
      <c r="L779" s="28"/>
      <c r="N779" s="28"/>
    </row>
    <row r="780">
      <c r="A780" s="15"/>
      <c r="B780" s="15"/>
      <c r="C780" s="15"/>
      <c r="D780" s="15"/>
      <c r="E780" s="15"/>
      <c r="F780" s="15"/>
      <c r="G780" s="15"/>
      <c r="H780" s="15"/>
      <c r="I780" s="28"/>
      <c r="J780" s="28"/>
      <c r="K780" s="28"/>
      <c r="L780" s="28"/>
      <c r="N780" s="28"/>
    </row>
    <row r="781">
      <c r="A781" s="15"/>
      <c r="B781" s="15"/>
      <c r="C781" s="15"/>
      <c r="D781" s="15"/>
      <c r="E781" s="15"/>
      <c r="F781" s="15"/>
      <c r="G781" s="15"/>
      <c r="H781" s="15"/>
      <c r="I781" s="28"/>
      <c r="J781" s="28"/>
      <c r="K781" s="28"/>
      <c r="L781" s="28"/>
      <c r="N781" s="28"/>
    </row>
    <row r="782">
      <c r="A782" s="15"/>
      <c r="B782" s="15"/>
      <c r="C782" s="15"/>
      <c r="D782" s="15"/>
      <c r="E782" s="15"/>
      <c r="F782" s="15"/>
      <c r="G782" s="15"/>
      <c r="H782" s="15"/>
      <c r="I782" s="28"/>
      <c r="J782" s="28"/>
      <c r="K782" s="28"/>
      <c r="L782" s="28"/>
      <c r="N782" s="28"/>
    </row>
    <row r="783">
      <c r="A783" s="15"/>
      <c r="B783" s="15"/>
      <c r="C783" s="15"/>
      <c r="D783" s="15"/>
      <c r="E783" s="15"/>
      <c r="F783" s="15"/>
      <c r="G783" s="15"/>
      <c r="H783" s="15"/>
      <c r="I783" s="28"/>
      <c r="J783" s="28"/>
      <c r="K783" s="28"/>
      <c r="L783" s="28"/>
      <c r="N783" s="28"/>
    </row>
    <row r="784">
      <c r="A784" s="15"/>
      <c r="B784" s="15"/>
      <c r="C784" s="15"/>
      <c r="D784" s="15"/>
      <c r="E784" s="15"/>
      <c r="F784" s="15"/>
      <c r="G784" s="15"/>
      <c r="H784" s="15"/>
      <c r="I784" s="28"/>
      <c r="J784" s="28"/>
      <c r="K784" s="28"/>
      <c r="L784" s="28"/>
      <c r="N784" s="28"/>
    </row>
    <row r="785">
      <c r="A785" s="15"/>
      <c r="B785" s="15"/>
      <c r="C785" s="15"/>
      <c r="D785" s="15"/>
      <c r="E785" s="15"/>
      <c r="F785" s="15"/>
      <c r="G785" s="15"/>
      <c r="H785" s="15"/>
      <c r="I785" s="28"/>
      <c r="J785" s="28"/>
      <c r="K785" s="28"/>
      <c r="L785" s="28"/>
      <c r="N785" s="28"/>
    </row>
    <row r="786">
      <c r="A786" s="15"/>
      <c r="B786" s="15"/>
      <c r="C786" s="15"/>
      <c r="D786" s="15"/>
      <c r="E786" s="15"/>
      <c r="F786" s="15"/>
      <c r="G786" s="15"/>
      <c r="H786" s="15"/>
      <c r="I786" s="28"/>
      <c r="J786" s="28"/>
      <c r="K786" s="28"/>
      <c r="L786" s="28"/>
      <c r="N786" s="28"/>
    </row>
    <row r="787">
      <c r="A787" s="15"/>
      <c r="B787" s="15"/>
      <c r="C787" s="15"/>
      <c r="D787" s="15"/>
      <c r="E787" s="15"/>
      <c r="F787" s="15"/>
      <c r="G787" s="15"/>
      <c r="H787" s="15"/>
      <c r="I787" s="28"/>
      <c r="J787" s="28"/>
      <c r="K787" s="28"/>
      <c r="L787" s="28"/>
      <c r="N787" s="28"/>
    </row>
    <row r="788">
      <c r="A788" s="15"/>
      <c r="B788" s="15"/>
      <c r="C788" s="15"/>
      <c r="D788" s="15"/>
      <c r="E788" s="15"/>
      <c r="F788" s="15"/>
      <c r="G788" s="15"/>
      <c r="H788" s="15"/>
      <c r="I788" s="28"/>
      <c r="J788" s="28"/>
      <c r="K788" s="28"/>
      <c r="L788" s="28"/>
      <c r="N788" s="28"/>
    </row>
    <row r="789">
      <c r="A789" s="15"/>
      <c r="B789" s="15"/>
      <c r="C789" s="15"/>
      <c r="D789" s="15"/>
      <c r="E789" s="15"/>
      <c r="F789" s="15"/>
      <c r="G789" s="15"/>
      <c r="H789" s="15"/>
      <c r="I789" s="28"/>
      <c r="J789" s="28"/>
      <c r="K789" s="28"/>
      <c r="L789" s="28"/>
      <c r="N789" s="28"/>
    </row>
    <row r="790">
      <c r="A790" s="15"/>
      <c r="B790" s="15"/>
      <c r="C790" s="15"/>
      <c r="D790" s="15"/>
      <c r="E790" s="15"/>
      <c r="F790" s="15"/>
      <c r="G790" s="15"/>
      <c r="H790" s="15"/>
      <c r="I790" s="15"/>
      <c r="J790" s="15"/>
      <c r="K790" s="28"/>
      <c r="L790" s="28"/>
      <c r="N790" s="15"/>
    </row>
    <row r="791">
      <c r="A791" s="15"/>
      <c r="B791" s="15"/>
      <c r="C791" s="15"/>
      <c r="D791" s="15"/>
      <c r="E791" s="15"/>
      <c r="F791" s="15"/>
      <c r="G791" s="15"/>
      <c r="H791" s="15"/>
      <c r="I791" s="15"/>
      <c r="J791" s="15"/>
      <c r="K791" s="28"/>
      <c r="L791" s="28"/>
      <c r="N791" s="15"/>
    </row>
    <row r="792">
      <c r="A792" s="15"/>
      <c r="B792" s="15"/>
      <c r="C792" s="15"/>
      <c r="D792" s="15"/>
      <c r="E792" s="15"/>
      <c r="F792" s="15"/>
      <c r="G792" s="15"/>
      <c r="H792" s="15"/>
      <c r="I792" s="15"/>
      <c r="J792" s="15"/>
      <c r="K792" s="28"/>
      <c r="L792" s="28"/>
      <c r="N792" s="15"/>
    </row>
    <row r="793">
      <c r="A793" s="15"/>
      <c r="B793" s="15"/>
      <c r="C793" s="15"/>
      <c r="D793" s="15"/>
      <c r="E793" s="15"/>
      <c r="F793" s="15"/>
      <c r="G793" s="15"/>
      <c r="H793" s="15"/>
      <c r="I793" s="15"/>
      <c r="J793" s="15"/>
      <c r="K793" s="28"/>
      <c r="L793" s="28"/>
      <c r="N793" s="15"/>
    </row>
    <row r="794">
      <c r="A794" s="15"/>
      <c r="B794" s="15"/>
      <c r="C794" s="15"/>
      <c r="D794" s="15"/>
      <c r="E794" s="15"/>
      <c r="F794" s="15"/>
      <c r="G794" s="15"/>
      <c r="H794" s="15"/>
      <c r="I794" s="15"/>
      <c r="J794" s="15"/>
      <c r="K794" s="28"/>
      <c r="L794" s="28"/>
      <c r="N794" s="15"/>
    </row>
    <row r="795">
      <c r="A795" s="15"/>
      <c r="B795" s="15"/>
      <c r="C795" s="15"/>
      <c r="D795" s="15"/>
      <c r="E795" s="15"/>
      <c r="F795" s="15"/>
      <c r="G795" s="15"/>
      <c r="H795" s="15"/>
      <c r="I795" s="15"/>
      <c r="J795" s="15"/>
      <c r="K795" s="28"/>
      <c r="L795" s="28"/>
      <c r="N795" s="15"/>
    </row>
    <row r="796">
      <c r="A796" s="15"/>
      <c r="B796" s="15"/>
      <c r="C796" s="15"/>
      <c r="D796" s="15"/>
      <c r="E796" s="15"/>
      <c r="F796" s="15"/>
      <c r="G796" s="15"/>
      <c r="H796" s="15"/>
      <c r="I796" s="15"/>
      <c r="J796" s="15"/>
      <c r="K796" s="28"/>
      <c r="L796" s="28"/>
      <c r="N796" s="15"/>
    </row>
    <row r="797">
      <c r="A797" s="15"/>
      <c r="B797" s="15"/>
      <c r="C797" s="15"/>
      <c r="D797" s="15"/>
      <c r="E797" s="15"/>
      <c r="F797" s="15"/>
      <c r="G797" s="15"/>
      <c r="H797" s="15"/>
      <c r="I797" s="15"/>
      <c r="J797" s="15"/>
      <c r="K797" s="28"/>
      <c r="L797" s="28"/>
      <c r="N797" s="15"/>
    </row>
    <row r="798">
      <c r="A798" s="15"/>
      <c r="B798" s="15"/>
      <c r="C798" s="15"/>
      <c r="D798" s="15"/>
      <c r="E798" s="15"/>
      <c r="F798" s="15"/>
      <c r="G798" s="15"/>
      <c r="H798" s="15"/>
      <c r="I798" s="15"/>
      <c r="J798" s="15"/>
      <c r="K798" s="28"/>
      <c r="L798" s="28"/>
      <c r="N798" s="15"/>
    </row>
    <row r="799">
      <c r="A799" s="15"/>
      <c r="B799" s="15"/>
      <c r="C799" s="15"/>
      <c r="D799" s="15"/>
      <c r="E799" s="15"/>
      <c r="F799" s="15"/>
      <c r="G799" s="15"/>
      <c r="H799" s="15"/>
      <c r="I799" s="15"/>
      <c r="J799" s="15"/>
      <c r="K799" s="28"/>
      <c r="L799" s="28"/>
      <c r="N799" s="15"/>
    </row>
    <row r="800">
      <c r="A800" s="15"/>
      <c r="B800" s="15"/>
      <c r="C800" s="15"/>
      <c r="D800" s="15"/>
      <c r="E800" s="15"/>
      <c r="F800" s="15"/>
      <c r="G800" s="15"/>
      <c r="H800" s="15"/>
      <c r="I800" s="15"/>
      <c r="J800" s="15"/>
      <c r="K800" s="28"/>
      <c r="L800" s="28"/>
      <c r="N800" s="15"/>
    </row>
    <row r="801">
      <c r="A801" s="15"/>
      <c r="B801" s="15"/>
      <c r="C801" s="15"/>
      <c r="D801" s="15"/>
      <c r="E801" s="15"/>
      <c r="F801" s="15"/>
      <c r="G801" s="15"/>
      <c r="H801" s="15"/>
      <c r="I801" s="15"/>
      <c r="J801" s="15"/>
      <c r="K801" s="28"/>
      <c r="L801" s="28"/>
      <c r="N801" s="15"/>
    </row>
    <row r="802">
      <c r="A802" s="15"/>
      <c r="B802" s="15"/>
      <c r="C802" s="15"/>
      <c r="D802" s="15"/>
      <c r="E802" s="15"/>
      <c r="F802" s="15"/>
      <c r="G802" s="15"/>
      <c r="H802" s="15"/>
      <c r="I802" s="15"/>
      <c r="J802" s="15"/>
      <c r="K802" s="28"/>
      <c r="L802" s="28"/>
      <c r="N802" s="15"/>
    </row>
    <row r="803">
      <c r="A803" s="15"/>
      <c r="B803" s="15"/>
      <c r="C803" s="15"/>
      <c r="D803" s="15"/>
      <c r="E803" s="15"/>
      <c r="F803" s="15"/>
      <c r="G803" s="15"/>
      <c r="H803" s="15"/>
      <c r="I803" s="15"/>
      <c r="J803" s="15"/>
      <c r="K803" s="28"/>
      <c r="L803" s="28"/>
      <c r="N803" s="15"/>
    </row>
    <row r="804">
      <c r="A804" s="15"/>
      <c r="B804" s="15"/>
      <c r="C804" s="15"/>
      <c r="D804" s="15"/>
      <c r="E804" s="15"/>
      <c r="F804" s="15"/>
      <c r="G804" s="15"/>
      <c r="H804" s="15"/>
      <c r="I804" s="15"/>
      <c r="J804" s="15"/>
      <c r="K804" s="28"/>
      <c r="L804" s="28"/>
      <c r="N804" s="15"/>
    </row>
    <row r="805">
      <c r="A805" s="15"/>
      <c r="B805" s="15"/>
      <c r="C805" s="15"/>
      <c r="D805" s="15"/>
      <c r="E805" s="15"/>
      <c r="F805" s="15"/>
      <c r="G805" s="15"/>
      <c r="H805" s="15"/>
      <c r="I805" s="15"/>
      <c r="J805" s="15"/>
      <c r="K805" s="28"/>
      <c r="L805" s="28"/>
      <c r="N805" s="15"/>
    </row>
    <row r="806">
      <c r="A806" s="15"/>
      <c r="B806" s="15"/>
      <c r="C806" s="15"/>
      <c r="D806" s="15"/>
      <c r="E806" s="15"/>
      <c r="F806" s="15"/>
      <c r="G806" s="15"/>
      <c r="H806" s="15"/>
      <c r="I806" s="15"/>
      <c r="J806" s="15"/>
      <c r="K806" s="28"/>
      <c r="L806" s="28"/>
      <c r="N806" s="15"/>
    </row>
    <row r="807">
      <c r="A807" s="15"/>
      <c r="B807" s="15"/>
      <c r="C807" s="15"/>
      <c r="D807" s="15"/>
      <c r="E807" s="15"/>
      <c r="F807" s="15"/>
      <c r="G807" s="15"/>
      <c r="H807" s="15"/>
      <c r="I807" s="15"/>
      <c r="J807" s="15"/>
      <c r="K807" s="15"/>
      <c r="L807" s="15"/>
      <c r="N807" s="15"/>
    </row>
    <row r="808">
      <c r="A808" s="15"/>
      <c r="B808" s="15"/>
      <c r="C808" s="15"/>
      <c r="D808" s="15"/>
      <c r="E808" s="15"/>
      <c r="F808" s="15"/>
      <c r="G808" s="15"/>
      <c r="H808" s="15"/>
      <c r="I808" s="15"/>
      <c r="J808" s="15"/>
      <c r="K808" s="15"/>
      <c r="L808" s="15"/>
      <c r="N808" s="15"/>
    </row>
    <row r="809">
      <c r="A809" s="15"/>
      <c r="B809" s="15"/>
      <c r="C809" s="15"/>
      <c r="D809" s="15"/>
      <c r="E809" s="15"/>
      <c r="F809" s="15"/>
      <c r="G809" s="15"/>
      <c r="H809" s="15"/>
      <c r="I809" s="15"/>
      <c r="J809" s="15"/>
      <c r="K809" s="15"/>
      <c r="L809" s="15"/>
      <c r="N809" s="15"/>
    </row>
    <row r="810">
      <c r="A810" s="15"/>
      <c r="B810" s="15"/>
      <c r="C810" s="15"/>
      <c r="D810" s="15"/>
      <c r="E810" s="15"/>
      <c r="F810" s="15"/>
      <c r="G810" s="15"/>
      <c r="H810" s="15"/>
      <c r="I810" s="15"/>
      <c r="J810" s="15"/>
      <c r="K810" s="15"/>
      <c r="L810" s="15"/>
      <c r="N810" s="15"/>
    </row>
    <row r="811">
      <c r="A811" s="15"/>
      <c r="B811" s="15"/>
      <c r="C811" s="15"/>
      <c r="D811" s="15"/>
      <c r="E811" s="15"/>
      <c r="F811" s="15"/>
      <c r="G811" s="15"/>
      <c r="H811" s="15"/>
      <c r="I811" s="15"/>
      <c r="J811" s="15"/>
      <c r="K811" s="15"/>
      <c r="L811" s="15"/>
      <c r="N811" s="15"/>
    </row>
    <row r="812">
      <c r="A812" s="15"/>
      <c r="B812" s="15"/>
      <c r="C812" s="15"/>
      <c r="D812" s="15"/>
      <c r="E812" s="15"/>
      <c r="F812" s="15"/>
      <c r="G812" s="15"/>
      <c r="H812" s="15"/>
      <c r="I812" s="15"/>
      <c r="J812" s="15"/>
      <c r="K812" s="15"/>
      <c r="L812" s="15"/>
      <c r="N812" s="15"/>
    </row>
    <row r="813">
      <c r="A813" s="15"/>
      <c r="B813" s="15"/>
      <c r="C813" s="15"/>
      <c r="D813" s="15"/>
      <c r="E813" s="15"/>
      <c r="F813" s="15"/>
      <c r="G813" s="15"/>
      <c r="H813" s="15"/>
      <c r="I813" s="15"/>
      <c r="J813" s="15"/>
      <c r="K813" s="15"/>
      <c r="L813" s="15"/>
      <c r="N813" s="15"/>
    </row>
    <row r="814">
      <c r="A814" s="15"/>
      <c r="B814" s="15"/>
      <c r="C814" s="15"/>
      <c r="D814" s="15"/>
      <c r="E814" s="15"/>
      <c r="F814" s="15"/>
      <c r="G814" s="15"/>
      <c r="H814" s="15"/>
      <c r="I814" s="15"/>
      <c r="J814" s="15"/>
      <c r="K814" s="15"/>
      <c r="L814" s="15"/>
      <c r="N814" s="15"/>
    </row>
    <row r="815">
      <c r="A815" s="15"/>
      <c r="B815" s="15"/>
      <c r="C815" s="15"/>
      <c r="D815" s="15"/>
      <c r="E815" s="15"/>
      <c r="F815" s="15"/>
      <c r="G815" s="15"/>
      <c r="H815" s="15"/>
      <c r="I815" s="15"/>
      <c r="J815" s="15"/>
      <c r="K815" s="15"/>
      <c r="L815" s="15"/>
      <c r="N815" s="15"/>
    </row>
    <row r="816">
      <c r="A816" s="15"/>
      <c r="B816" s="15"/>
      <c r="C816" s="15"/>
      <c r="D816" s="15"/>
      <c r="E816" s="15"/>
      <c r="F816" s="15"/>
      <c r="G816" s="15"/>
      <c r="H816" s="15"/>
      <c r="I816" s="15"/>
      <c r="J816" s="15"/>
      <c r="K816" s="15"/>
      <c r="L816" s="15"/>
      <c r="N816" s="15"/>
    </row>
    <row r="817">
      <c r="A817" s="15"/>
      <c r="B817" s="15"/>
      <c r="C817" s="15"/>
      <c r="D817" s="15"/>
      <c r="E817" s="15"/>
      <c r="F817" s="15"/>
      <c r="G817" s="15"/>
      <c r="H817" s="15"/>
      <c r="I817" s="15"/>
      <c r="J817" s="15"/>
      <c r="K817" s="15"/>
      <c r="L817" s="15"/>
      <c r="N817" s="15"/>
    </row>
    <row r="818">
      <c r="A818" s="15"/>
      <c r="B818" s="15"/>
      <c r="C818" s="15"/>
      <c r="D818" s="15"/>
      <c r="E818" s="15"/>
      <c r="F818" s="15"/>
      <c r="G818" s="15"/>
      <c r="H818" s="15"/>
      <c r="I818" s="15"/>
      <c r="J818" s="15"/>
      <c r="K818" s="15"/>
      <c r="L818" s="15"/>
      <c r="N818" s="15"/>
    </row>
    <row r="819">
      <c r="A819" s="15"/>
      <c r="B819" s="15"/>
      <c r="C819" s="15"/>
      <c r="D819" s="15"/>
      <c r="E819" s="15"/>
      <c r="F819" s="15"/>
      <c r="G819" s="15"/>
      <c r="H819" s="15"/>
      <c r="I819" s="15"/>
      <c r="J819" s="15"/>
      <c r="K819" s="15"/>
      <c r="L819" s="15"/>
      <c r="N819" s="15"/>
    </row>
    <row r="820">
      <c r="A820" s="15"/>
      <c r="B820" s="15"/>
      <c r="C820" s="15"/>
      <c r="D820" s="15"/>
      <c r="E820" s="15"/>
      <c r="F820" s="15"/>
      <c r="G820" s="15"/>
      <c r="H820" s="15"/>
      <c r="I820" s="15"/>
      <c r="J820" s="15"/>
      <c r="K820" s="15"/>
      <c r="L820" s="15"/>
      <c r="N820" s="15"/>
    </row>
    <row r="821">
      <c r="A821" s="15"/>
      <c r="B821" s="15"/>
      <c r="C821" s="15"/>
      <c r="D821" s="15"/>
      <c r="E821" s="15"/>
      <c r="F821" s="15"/>
      <c r="G821" s="15"/>
      <c r="H821" s="15"/>
      <c r="I821" s="15"/>
      <c r="J821" s="15"/>
      <c r="K821" s="15"/>
      <c r="L821" s="15"/>
      <c r="N821" s="15"/>
    </row>
    <row r="822">
      <c r="A822" s="15"/>
      <c r="B822" s="15"/>
      <c r="C822" s="15"/>
      <c r="D822" s="15"/>
      <c r="E822" s="15"/>
      <c r="F822" s="15"/>
      <c r="G822" s="15"/>
      <c r="H822" s="15"/>
      <c r="I822" s="15"/>
      <c r="J822" s="15"/>
      <c r="K822" s="15"/>
      <c r="L822" s="15"/>
      <c r="N822" s="15"/>
    </row>
    <row r="823">
      <c r="A823" s="15"/>
      <c r="B823" s="15"/>
      <c r="C823" s="15"/>
      <c r="D823" s="15"/>
      <c r="E823" s="15"/>
      <c r="F823" s="15"/>
      <c r="G823" s="15"/>
      <c r="H823" s="15"/>
      <c r="I823" s="15"/>
      <c r="J823" s="15"/>
      <c r="K823" s="15"/>
      <c r="L823" s="15"/>
      <c r="N823" s="15"/>
    </row>
    <row r="824">
      <c r="A824" s="15"/>
      <c r="B824" s="15"/>
      <c r="C824" s="15"/>
      <c r="D824" s="15"/>
      <c r="E824" s="15"/>
      <c r="F824" s="15"/>
      <c r="G824" s="15"/>
      <c r="H824" s="15"/>
      <c r="I824" s="15"/>
      <c r="J824" s="15"/>
      <c r="K824" s="15"/>
      <c r="L824" s="15"/>
      <c r="N824" s="15"/>
    </row>
    <row r="825">
      <c r="A825" s="15"/>
      <c r="B825" s="15"/>
      <c r="C825" s="15"/>
      <c r="D825" s="15"/>
      <c r="E825" s="15"/>
      <c r="F825" s="15"/>
      <c r="G825" s="15"/>
      <c r="H825" s="15"/>
      <c r="I825" s="15"/>
      <c r="J825" s="15"/>
      <c r="K825" s="15"/>
      <c r="L825" s="15"/>
      <c r="N825" s="15"/>
    </row>
    <row r="826">
      <c r="A826" s="15"/>
      <c r="B826" s="15"/>
      <c r="C826" s="15"/>
      <c r="D826" s="15"/>
      <c r="E826" s="15"/>
      <c r="F826" s="15"/>
      <c r="G826" s="15"/>
      <c r="H826" s="15"/>
      <c r="I826" s="15"/>
      <c r="J826" s="15"/>
      <c r="K826" s="15"/>
      <c r="L826" s="15"/>
      <c r="N826" s="15"/>
    </row>
    <row r="827">
      <c r="A827" s="15"/>
      <c r="B827" s="15"/>
      <c r="C827" s="15"/>
      <c r="D827" s="15"/>
      <c r="E827" s="15"/>
      <c r="F827" s="15"/>
      <c r="G827" s="15"/>
      <c r="H827" s="15"/>
      <c r="I827" s="15"/>
      <c r="J827" s="15"/>
      <c r="K827" s="15"/>
      <c r="L827" s="15"/>
      <c r="N827" s="15"/>
    </row>
    <row r="828">
      <c r="A828" s="15"/>
      <c r="B828" s="15"/>
      <c r="C828" s="15"/>
      <c r="D828" s="15"/>
      <c r="E828" s="15"/>
      <c r="F828" s="15"/>
      <c r="G828" s="15"/>
      <c r="H828" s="15"/>
      <c r="I828" s="15"/>
      <c r="J828" s="15"/>
      <c r="K828" s="15"/>
      <c r="L828" s="15"/>
      <c r="N828" s="15"/>
    </row>
    <row r="829">
      <c r="A829" s="15"/>
      <c r="B829" s="15"/>
      <c r="C829" s="15"/>
      <c r="D829" s="15"/>
      <c r="E829" s="15"/>
      <c r="F829" s="15"/>
      <c r="G829" s="15"/>
      <c r="H829" s="15"/>
      <c r="I829" s="15"/>
      <c r="J829" s="15"/>
      <c r="K829" s="15"/>
      <c r="L829" s="15"/>
      <c r="N829" s="15"/>
    </row>
    <row r="830">
      <c r="A830" s="15"/>
      <c r="B830" s="15"/>
      <c r="C830" s="15"/>
      <c r="D830" s="15"/>
      <c r="E830" s="15"/>
      <c r="F830" s="15"/>
      <c r="G830" s="15"/>
      <c r="H830" s="15"/>
      <c r="I830" s="15"/>
      <c r="J830" s="15"/>
      <c r="K830" s="15"/>
      <c r="L830" s="15"/>
      <c r="N830" s="15"/>
    </row>
    <row r="831">
      <c r="A831" s="15"/>
      <c r="B831" s="15"/>
      <c r="C831" s="15"/>
      <c r="D831" s="15"/>
      <c r="E831" s="15"/>
      <c r="F831" s="15"/>
      <c r="G831" s="15"/>
      <c r="H831" s="15"/>
      <c r="I831" s="15"/>
      <c r="J831" s="15"/>
      <c r="K831" s="15"/>
      <c r="L831" s="15"/>
      <c r="N831" s="15"/>
    </row>
    <row r="832">
      <c r="A832" s="15"/>
      <c r="B832" s="15"/>
      <c r="C832" s="15"/>
      <c r="D832" s="15"/>
      <c r="E832" s="15"/>
      <c r="F832" s="15"/>
      <c r="G832" s="15"/>
      <c r="H832" s="15"/>
      <c r="I832" s="15"/>
      <c r="J832" s="15"/>
      <c r="K832" s="15"/>
      <c r="L832" s="15"/>
      <c r="N832" s="15"/>
    </row>
    <row r="833">
      <c r="A833" s="15"/>
      <c r="B833" s="15"/>
      <c r="C833" s="15"/>
      <c r="D833" s="15"/>
      <c r="E833" s="15"/>
      <c r="F833" s="15"/>
      <c r="G833" s="15"/>
      <c r="H833" s="15"/>
      <c r="I833" s="15"/>
      <c r="J833" s="15"/>
      <c r="K833" s="15"/>
      <c r="L833" s="15"/>
      <c r="N833" s="15"/>
    </row>
    <row r="834">
      <c r="A834" s="15"/>
      <c r="B834" s="15"/>
      <c r="C834" s="15"/>
      <c r="D834" s="15"/>
      <c r="E834" s="15"/>
      <c r="F834" s="15"/>
      <c r="G834" s="15"/>
      <c r="H834" s="15"/>
      <c r="I834" s="15"/>
      <c r="J834" s="15"/>
      <c r="K834" s="15"/>
      <c r="L834" s="15"/>
      <c r="N834" s="15"/>
    </row>
    <row r="835">
      <c r="A835" s="15"/>
      <c r="B835" s="15"/>
      <c r="C835" s="15"/>
      <c r="D835" s="15"/>
      <c r="E835" s="15"/>
      <c r="F835" s="15"/>
      <c r="G835" s="15"/>
      <c r="H835" s="15"/>
      <c r="I835" s="15"/>
      <c r="J835" s="15"/>
      <c r="K835" s="15"/>
      <c r="L835" s="15"/>
      <c r="N835" s="15"/>
    </row>
    <row r="836">
      <c r="A836" s="15"/>
      <c r="B836" s="15"/>
      <c r="C836" s="15"/>
      <c r="D836" s="15"/>
      <c r="E836" s="15"/>
      <c r="F836" s="15"/>
      <c r="G836" s="15"/>
      <c r="H836" s="15"/>
      <c r="I836" s="15"/>
      <c r="J836" s="15"/>
      <c r="K836" s="15"/>
      <c r="L836" s="15"/>
      <c r="N836" s="15"/>
    </row>
    <row r="837">
      <c r="A837" s="15"/>
      <c r="B837" s="15"/>
      <c r="C837" s="15"/>
      <c r="D837" s="15"/>
      <c r="E837" s="15"/>
      <c r="F837" s="15"/>
      <c r="G837" s="15"/>
      <c r="H837" s="15"/>
      <c r="I837" s="15"/>
      <c r="J837" s="15"/>
      <c r="K837" s="15"/>
      <c r="L837" s="15"/>
      <c r="N837" s="15"/>
    </row>
    <row r="838">
      <c r="A838" s="15"/>
      <c r="B838" s="15"/>
      <c r="C838" s="15"/>
      <c r="D838" s="15"/>
      <c r="E838" s="15"/>
      <c r="F838" s="15"/>
      <c r="G838" s="15"/>
      <c r="H838" s="15"/>
      <c r="I838" s="15"/>
      <c r="J838" s="15"/>
      <c r="K838" s="15"/>
      <c r="L838" s="15"/>
      <c r="N838" s="15"/>
    </row>
    <row r="839">
      <c r="A839" s="15"/>
      <c r="B839" s="15"/>
      <c r="C839" s="15"/>
      <c r="D839" s="15"/>
      <c r="E839" s="15"/>
      <c r="F839" s="15"/>
      <c r="G839" s="15"/>
      <c r="H839" s="15"/>
      <c r="I839" s="15"/>
      <c r="J839" s="15"/>
      <c r="K839" s="15"/>
      <c r="L839" s="15"/>
      <c r="N839" s="15"/>
    </row>
    <row r="840">
      <c r="A840" s="15"/>
      <c r="B840" s="15"/>
      <c r="C840" s="15"/>
      <c r="D840" s="15"/>
      <c r="E840" s="15"/>
      <c r="F840" s="15"/>
      <c r="G840" s="15"/>
      <c r="H840" s="15"/>
      <c r="I840" s="15"/>
      <c r="J840" s="15"/>
      <c r="K840" s="15"/>
      <c r="L840" s="15"/>
      <c r="N840" s="15"/>
    </row>
    <row r="841">
      <c r="A841" s="15"/>
      <c r="B841" s="15"/>
      <c r="C841" s="15"/>
      <c r="D841" s="15"/>
      <c r="E841" s="15"/>
      <c r="F841" s="15"/>
      <c r="G841" s="15"/>
      <c r="H841" s="15"/>
      <c r="I841" s="15"/>
      <c r="J841" s="15"/>
      <c r="K841" s="15"/>
      <c r="L841" s="15"/>
      <c r="N841" s="15"/>
    </row>
    <row r="842">
      <c r="A842" s="15"/>
      <c r="B842" s="15"/>
      <c r="C842" s="15"/>
      <c r="D842" s="15"/>
      <c r="E842" s="15"/>
      <c r="F842" s="15"/>
      <c r="G842" s="15"/>
      <c r="H842" s="15"/>
      <c r="I842" s="15"/>
      <c r="J842" s="15"/>
      <c r="K842" s="15"/>
      <c r="L842" s="15"/>
      <c r="N842" s="15"/>
    </row>
    <row r="843">
      <c r="A843" s="15"/>
      <c r="B843" s="15"/>
      <c r="C843" s="15"/>
      <c r="D843" s="15"/>
      <c r="E843" s="15"/>
      <c r="F843" s="15"/>
      <c r="G843" s="15"/>
      <c r="H843" s="15"/>
      <c r="I843" s="15"/>
      <c r="J843" s="15"/>
      <c r="K843" s="15"/>
      <c r="L843" s="15"/>
      <c r="N843" s="15"/>
    </row>
    <row r="844">
      <c r="A844" s="15"/>
      <c r="B844" s="15"/>
      <c r="C844" s="15"/>
      <c r="D844" s="15"/>
      <c r="E844" s="15"/>
      <c r="F844" s="15"/>
      <c r="G844" s="15"/>
      <c r="H844" s="15"/>
      <c r="I844" s="15"/>
      <c r="J844" s="15"/>
      <c r="K844" s="15"/>
      <c r="L844" s="15"/>
      <c r="N844" s="15"/>
    </row>
    <row r="845">
      <c r="A845" s="15"/>
      <c r="B845" s="15"/>
      <c r="C845" s="15"/>
      <c r="D845" s="15"/>
      <c r="E845" s="15"/>
      <c r="F845" s="15"/>
      <c r="G845" s="15"/>
      <c r="H845" s="15"/>
      <c r="I845" s="15"/>
      <c r="J845" s="15"/>
      <c r="K845" s="15"/>
      <c r="L845" s="15"/>
      <c r="N845" s="15"/>
    </row>
    <row r="846">
      <c r="A846" s="15"/>
      <c r="B846" s="15"/>
      <c r="C846" s="15"/>
      <c r="D846" s="15"/>
      <c r="E846" s="15"/>
      <c r="F846" s="15"/>
      <c r="G846" s="15"/>
      <c r="H846" s="15"/>
      <c r="I846" s="15"/>
      <c r="J846" s="15"/>
      <c r="K846" s="15"/>
      <c r="L846" s="15"/>
      <c r="N846" s="15"/>
    </row>
    <row r="847">
      <c r="A847" s="15"/>
      <c r="B847" s="15"/>
      <c r="C847" s="15"/>
      <c r="D847" s="15"/>
      <c r="E847" s="15"/>
      <c r="F847" s="15"/>
      <c r="G847" s="15"/>
      <c r="H847" s="15"/>
      <c r="I847" s="15"/>
      <c r="J847" s="15"/>
      <c r="K847" s="15"/>
      <c r="L847" s="15"/>
      <c r="N847" s="15"/>
    </row>
    <row r="848">
      <c r="A848" s="15"/>
      <c r="B848" s="15"/>
      <c r="C848" s="15"/>
      <c r="D848" s="15"/>
      <c r="E848" s="15"/>
      <c r="F848" s="15"/>
      <c r="G848" s="15"/>
      <c r="H848" s="15"/>
      <c r="I848" s="15"/>
      <c r="J848" s="15"/>
      <c r="K848" s="15"/>
      <c r="L848" s="15"/>
      <c r="N848" s="15"/>
    </row>
    <row r="849">
      <c r="A849" s="15"/>
      <c r="B849" s="15"/>
      <c r="C849" s="15"/>
      <c r="D849" s="15"/>
      <c r="E849" s="15"/>
      <c r="F849" s="15"/>
      <c r="G849" s="15"/>
      <c r="H849" s="15"/>
      <c r="I849" s="15"/>
      <c r="J849" s="15"/>
      <c r="K849" s="15"/>
      <c r="L849" s="15"/>
      <c r="N849" s="15"/>
    </row>
    <row r="850">
      <c r="A850" s="15"/>
      <c r="B850" s="15"/>
      <c r="C850" s="15"/>
      <c r="D850" s="15"/>
      <c r="E850" s="15"/>
      <c r="F850" s="15"/>
      <c r="G850" s="15"/>
      <c r="H850" s="15"/>
      <c r="I850" s="15"/>
      <c r="J850" s="15"/>
      <c r="K850" s="15"/>
      <c r="L850" s="15"/>
      <c r="N850" s="15"/>
    </row>
    <row r="851">
      <c r="A851" s="15"/>
      <c r="B851" s="15"/>
      <c r="C851" s="15"/>
      <c r="D851" s="15"/>
      <c r="E851" s="15"/>
      <c r="F851" s="15"/>
      <c r="G851" s="15"/>
      <c r="H851" s="15"/>
      <c r="I851" s="15"/>
      <c r="J851" s="15"/>
      <c r="K851" s="15"/>
      <c r="L851" s="15"/>
      <c r="N851" s="15"/>
    </row>
    <row r="852">
      <c r="A852" s="15"/>
      <c r="B852" s="15"/>
      <c r="C852" s="15"/>
      <c r="D852" s="15"/>
      <c r="E852" s="15"/>
      <c r="F852" s="15"/>
      <c r="G852" s="15"/>
      <c r="H852" s="15"/>
      <c r="I852" s="15"/>
      <c r="J852" s="15"/>
      <c r="K852" s="15"/>
      <c r="L852" s="15"/>
      <c r="N852" s="15"/>
    </row>
    <row r="853">
      <c r="A853" s="15"/>
      <c r="B853" s="15"/>
      <c r="C853" s="15"/>
      <c r="D853" s="15"/>
      <c r="E853" s="15"/>
      <c r="F853" s="15"/>
      <c r="G853" s="15"/>
      <c r="H853" s="15"/>
      <c r="I853" s="15"/>
      <c r="J853" s="15"/>
      <c r="K853" s="15"/>
      <c r="L853" s="15"/>
      <c r="N853" s="15"/>
    </row>
    <row r="854">
      <c r="A854" s="15"/>
      <c r="B854" s="15"/>
      <c r="C854" s="15"/>
      <c r="D854" s="15"/>
      <c r="E854" s="15"/>
      <c r="F854" s="15"/>
      <c r="G854" s="15"/>
      <c r="H854" s="15"/>
      <c r="I854" s="15"/>
      <c r="J854" s="15"/>
      <c r="K854" s="15"/>
      <c r="L854" s="15"/>
      <c r="N854" s="15"/>
    </row>
    <row r="855">
      <c r="A855" s="15"/>
      <c r="B855" s="15"/>
      <c r="C855" s="15"/>
      <c r="D855" s="15"/>
      <c r="E855" s="15"/>
      <c r="F855" s="15"/>
      <c r="G855" s="15"/>
      <c r="H855" s="15"/>
      <c r="I855" s="15"/>
      <c r="J855" s="15"/>
      <c r="K855" s="15"/>
      <c r="L855" s="15"/>
      <c r="N855" s="15"/>
    </row>
    <row r="856">
      <c r="A856" s="15"/>
      <c r="B856" s="15"/>
      <c r="C856" s="15"/>
      <c r="D856" s="15"/>
      <c r="E856" s="15"/>
      <c r="F856" s="15"/>
      <c r="G856" s="15"/>
      <c r="H856" s="15"/>
      <c r="I856" s="15"/>
      <c r="J856" s="15"/>
      <c r="K856" s="15"/>
      <c r="L856" s="15"/>
      <c r="N856" s="15"/>
    </row>
    <row r="857">
      <c r="A857" s="15"/>
      <c r="B857" s="15"/>
      <c r="C857" s="15"/>
      <c r="D857" s="15"/>
      <c r="E857" s="15"/>
      <c r="F857" s="15"/>
      <c r="G857" s="15"/>
      <c r="H857" s="15"/>
      <c r="I857" s="15"/>
      <c r="J857" s="15"/>
      <c r="K857" s="15"/>
      <c r="L857" s="15"/>
      <c r="N857" s="15"/>
    </row>
    <row r="858">
      <c r="A858" s="15"/>
      <c r="B858" s="15"/>
      <c r="C858" s="15"/>
      <c r="D858" s="15"/>
      <c r="E858" s="15"/>
      <c r="F858" s="15"/>
      <c r="G858" s="15"/>
      <c r="H858" s="15"/>
      <c r="I858" s="15"/>
      <c r="J858" s="15"/>
      <c r="K858" s="15"/>
      <c r="L858" s="15"/>
      <c r="N858" s="15"/>
    </row>
    <row r="859">
      <c r="A859" s="15"/>
      <c r="B859" s="15"/>
      <c r="C859" s="15"/>
      <c r="D859" s="15"/>
      <c r="E859" s="15"/>
      <c r="F859" s="15"/>
      <c r="G859" s="15"/>
      <c r="H859" s="15"/>
      <c r="I859" s="15"/>
      <c r="J859" s="15"/>
      <c r="K859" s="15"/>
      <c r="L859" s="15"/>
      <c r="N859" s="15"/>
    </row>
    <row r="860">
      <c r="A860" s="15"/>
      <c r="B860" s="15"/>
      <c r="C860" s="15"/>
      <c r="D860" s="15"/>
      <c r="E860" s="15"/>
      <c r="F860" s="15"/>
      <c r="G860" s="15"/>
      <c r="H860" s="15"/>
      <c r="I860" s="15"/>
      <c r="J860" s="15"/>
      <c r="K860" s="15"/>
      <c r="L860" s="15"/>
      <c r="N860" s="15"/>
    </row>
    <row r="861">
      <c r="A861" s="15"/>
      <c r="B861" s="15"/>
      <c r="C861" s="15"/>
      <c r="D861" s="15"/>
      <c r="E861" s="15"/>
      <c r="F861" s="15"/>
      <c r="G861" s="15"/>
      <c r="H861" s="15"/>
      <c r="I861" s="15"/>
      <c r="J861" s="15"/>
      <c r="K861" s="15"/>
      <c r="L861" s="15"/>
      <c r="N861" s="15"/>
    </row>
    <row r="862">
      <c r="A862" s="15"/>
      <c r="B862" s="15"/>
      <c r="C862" s="15"/>
      <c r="D862" s="15"/>
      <c r="E862" s="15"/>
      <c r="F862" s="15"/>
      <c r="G862" s="15"/>
      <c r="H862" s="15"/>
      <c r="I862" s="15"/>
      <c r="J862" s="15"/>
      <c r="K862" s="15"/>
      <c r="L862" s="15"/>
      <c r="N862" s="15"/>
    </row>
    <row r="863">
      <c r="A863" s="15"/>
      <c r="B863" s="15"/>
      <c r="C863" s="15"/>
      <c r="D863" s="15"/>
      <c r="E863" s="15"/>
      <c r="F863" s="15"/>
      <c r="G863" s="15"/>
      <c r="H863" s="15"/>
      <c r="I863" s="15"/>
      <c r="J863" s="15"/>
      <c r="K863" s="15"/>
      <c r="L863" s="15"/>
      <c r="N863" s="15"/>
    </row>
    <row r="864">
      <c r="A864" s="15"/>
      <c r="B864" s="15"/>
      <c r="C864" s="15"/>
      <c r="D864" s="15"/>
      <c r="E864" s="15"/>
      <c r="F864" s="15"/>
      <c r="G864" s="15"/>
      <c r="H864" s="15"/>
      <c r="I864" s="15"/>
      <c r="J864" s="15"/>
      <c r="K864" s="15"/>
      <c r="L864" s="15"/>
      <c r="N864" s="15"/>
    </row>
    <row r="865">
      <c r="A865" s="15"/>
      <c r="B865" s="15"/>
      <c r="C865" s="15"/>
      <c r="D865" s="15"/>
      <c r="E865" s="15"/>
      <c r="F865" s="15"/>
      <c r="G865" s="15"/>
      <c r="H865" s="15"/>
      <c r="I865" s="15"/>
      <c r="J865" s="15"/>
      <c r="K865" s="15"/>
      <c r="L865" s="15"/>
      <c r="N865" s="15"/>
    </row>
    <row r="866">
      <c r="A866" s="15"/>
      <c r="B866" s="15"/>
      <c r="C866" s="15"/>
      <c r="D866" s="15"/>
      <c r="E866" s="15"/>
      <c r="F866" s="15"/>
      <c r="G866" s="15"/>
      <c r="H866" s="15"/>
      <c r="I866" s="15"/>
      <c r="J866" s="15"/>
      <c r="K866" s="15"/>
      <c r="L866" s="15"/>
      <c r="N866" s="15"/>
    </row>
    <row r="867">
      <c r="A867" s="15"/>
      <c r="B867" s="15"/>
      <c r="C867" s="15"/>
      <c r="D867" s="15"/>
      <c r="E867" s="15"/>
      <c r="F867" s="15"/>
      <c r="G867" s="15"/>
      <c r="H867" s="15"/>
      <c r="I867" s="15"/>
      <c r="J867" s="15"/>
      <c r="K867" s="15"/>
      <c r="L867" s="15"/>
      <c r="N867" s="15"/>
    </row>
    <row r="868">
      <c r="A868" s="15"/>
      <c r="B868" s="15"/>
      <c r="C868" s="15"/>
      <c r="D868" s="15"/>
      <c r="E868" s="15"/>
      <c r="F868" s="15"/>
      <c r="G868" s="15"/>
      <c r="H868" s="15"/>
      <c r="I868" s="15"/>
      <c r="J868" s="15"/>
      <c r="K868" s="15"/>
      <c r="L868" s="15"/>
      <c r="N868" s="15"/>
    </row>
    <row r="869">
      <c r="A869" s="15"/>
      <c r="B869" s="15"/>
      <c r="C869" s="15"/>
      <c r="D869" s="15"/>
      <c r="E869" s="15"/>
      <c r="F869" s="15"/>
      <c r="G869" s="15"/>
      <c r="H869" s="15"/>
      <c r="I869" s="15"/>
      <c r="J869" s="15"/>
      <c r="K869" s="15"/>
      <c r="L869" s="15"/>
      <c r="N869" s="15"/>
    </row>
    <row r="870">
      <c r="A870" s="15"/>
      <c r="B870" s="15"/>
      <c r="C870" s="15"/>
      <c r="D870" s="15"/>
      <c r="E870" s="15"/>
      <c r="F870" s="15"/>
      <c r="G870" s="15"/>
      <c r="H870" s="15"/>
      <c r="I870" s="15"/>
      <c r="J870" s="15"/>
      <c r="K870" s="15"/>
      <c r="L870" s="15"/>
      <c r="N870" s="15"/>
    </row>
    <row r="871">
      <c r="A871" s="15"/>
      <c r="B871" s="15"/>
      <c r="C871" s="15"/>
      <c r="D871" s="15"/>
      <c r="E871" s="15"/>
      <c r="F871" s="15"/>
      <c r="G871" s="15"/>
      <c r="H871" s="15"/>
      <c r="I871" s="15"/>
      <c r="J871" s="15"/>
      <c r="K871" s="15"/>
      <c r="L871" s="15"/>
      <c r="N871" s="15"/>
    </row>
    <row r="872">
      <c r="A872" s="15"/>
      <c r="B872" s="15"/>
      <c r="C872" s="15"/>
      <c r="D872" s="15"/>
      <c r="E872" s="15"/>
      <c r="F872" s="15"/>
      <c r="G872" s="15"/>
      <c r="H872" s="15"/>
      <c r="I872" s="15"/>
      <c r="J872" s="15"/>
      <c r="K872" s="15"/>
      <c r="L872" s="15"/>
      <c r="N872" s="15"/>
    </row>
    <row r="873">
      <c r="A873" s="15"/>
      <c r="B873" s="15"/>
      <c r="C873" s="15"/>
      <c r="D873" s="15"/>
      <c r="E873" s="15"/>
      <c r="F873" s="15"/>
      <c r="G873" s="15"/>
      <c r="H873" s="15"/>
      <c r="I873" s="15"/>
      <c r="J873" s="15"/>
      <c r="K873" s="15"/>
      <c r="L873" s="15"/>
      <c r="N873" s="15"/>
    </row>
    <row r="874">
      <c r="A874" s="15"/>
      <c r="B874" s="15"/>
      <c r="C874" s="15"/>
      <c r="D874" s="15"/>
      <c r="E874" s="15"/>
      <c r="F874" s="15"/>
      <c r="G874" s="15"/>
      <c r="H874" s="15"/>
      <c r="I874" s="15"/>
      <c r="J874" s="15"/>
      <c r="K874" s="15"/>
      <c r="L874" s="15"/>
      <c r="N874" s="15"/>
    </row>
    <row r="875">
      <c r="A875" s="15"/>
      <c r="B875" s="15"/>
      <c r="C875" s="15"/>
      <c r="D875" s="15"/>
      <c r="E875" s="15"/>
      <c r="F875" s="15"/>
      <c r="G875" s="15"/>
      <c r="H875" s="15"/>
      <c r="I875" s="15"/>
      <c r="J875" s="15"/>
      <c r="K875" s="15"/>
      <c r="L875" s="15"/>
      <c r="N875" s="15"/>
    </row>
    <row r="876">
      <c r="A876" s="15"/>
      <c r="B876" s="15"/>
      <c r="C876" s="15"/>
      <c r="D876" s="15"/>
      <c r="E876" s="15"/>
      <c r="F876" s="15"/>
      <c r="G876" s="15"/>
      <c r="H876" s="15"/>
      <c r="I876" s="15"/>
      <c r="J876" s="15"/>
      <c r="K876" s="15"/>
      <c r="L876" s="15"/>
      <c r="N876" s="15"/>
    </row>
    <row r="877">
      <c r="A877" s="15"/>
      <c r="B877" s="15"/>
      <c r="C877" s="15"/>
      <c r="D877" s="15"/>
      <c r="E877" s="15"/>
      <c r="F877" s="15"/>
      <c r="G877" s="15"/>
      <c r="H877" s="15"/>
      <c r="I877" s="15"/>
      <c r="J877" s="15"/>
      <c r="K877" s="15"/>
      <c r="L877" s="15"/>
      <c r="N877" s="15"/>
    </row>
    <row r="878">
      <c r="A878" s="15"/>
      <c r="B878" s="15"/>
      <c r="C878" s="15"/>
      <c r="D878" s="15"/>
      <c r="E878" s="15"/>
      <c r="F878" s="15"/>
      <c r="G878" s="15"/>
      <c r="H878" s="15"/>
      <c r="I878" s="15"/>
      <c r="J878" s="15"/>
      <c r="K878" s="15"/>
      <c r="L878" s="15"/>
      <c r="N878" s="15"/>
    </row>
    <row r="879">
      <c r="A879" s="15"/>
      <c r="B879" s="15"/>
      <c r="C879" s="15"/>
      <c r="D879" s="15"/>
      <c r="E879" s="15"/>
      <c r="F879" s="15"/>
      <c r="G879" s="15"/>
      <c r="H879" s="15"/>
      <c r="I879" s="15"/>
      <c r="J879" s="15"/>
      <c r="K879" s="15"/>
      <c r="L879" s="15"/>
      <c r="N879" s="15"/>
    </row>
    <row r="880">
      <c r="A880" s="15"/>
      <c r="B880" s="15"/>
      <c r="C880" s="15"/>
      <c r="D880" s="15"/>
      <c r="E880" s="15"/>
      <c r="F880" s="15"/>
      <c r="G880" s="15"/>
      <c r="H880" s="15"/>
      <c r="I880" s="15"/>
      <c r="J880" s="15"/>
      <c r="K880" s="15"/>
      <c r="L880" s="15"/>
      <c r="N880" s="15"/>
    </row>
    <row r="881">
      <c r="A881" s="15"/>
      <c r="B881" s="15"/>
      <c r="C881" s="15"/>
      <c r="D881" s="15"/>
      <c r="E881" s="15"/>
      <c r="F881" s="15"/>
      <c r="G881" s="15"/>
      <c r="H881" s="15"/>
      <c r="I881" s="15"/>
      <c r="J881" s="15"/>
      <c r="K881" s="15"/>
      <c r="L881" s="15"/>
      <c r="N881" s="15"/>
    </row>
    <row r="882">
      <c r="A882" s="15"/>
      <c r="B882" s="15"/>
      <c r="C882" s="15"/>
      <c r="D882" s="15"/>
      <c r="E882" s="15"/>
      <c r="F882" s="15"/>
      <c r="G882" s="15"/>
      <c r="H882" s="15"/>
      <c r="I882" s="15"/>
      <c r="J882" s="15"/>
      <c r="K882" s="15"/>
      <c r="L882" s="15"/>
      <c r="N882" s="15"/>
    </row>
    <row r="883">
      <c r="A883" s="15"/>
      <c r="B883" s="15"/>
      <c r="C883" s="15"/>
      <c r="D883" s="15"/>
      <c r="E883" s="15"/>
      <c r="F883" s="15"/>
      <c r="G883" s="15"/>
      <c r="H883" s="15"/>
      <c r="I883" s="15"/>
      <c r="J883" s="15"/>
      <c r="K883" s="15"/>
      <c r="L883" s="15"/>
      <c r="N883" s="15"/>
    </row>
    <row r="884">
      <c r="A884" s="15"/>
      <c r="B884" s="15"/>
      <c r="C884" s="15"/>
      <c r="D884" s="15"/>
      <c r="E884" s="15"/>
      <c r="F884" s="15"/>
      <c r="G884" s="15"/>
      <c r="H884" s="15"/>
      <c r="I884" s="15"/>
      <c r="J884" s="15"/>
      <c r="K884" s="15"/>
      <c r="L884" s="15"/>
      <c r="N884" s="15"/>
    </row>
    <row r="885">
      <c r="A885" s="15"/>
      <c r="B885" s="15"/>
      <c r="C885" s="15"/>
      <c r="D885" s="15"/>
      <c r="E885" s="15"/>
      <c r="F885" s="15"/>
      <c r="G885" s="15"/>
      <c r="H885" s="15"/>
      <c r="I885" s="15"/>
      <c r="J885" s="15"/>
      <c r="K885" s="15"/>
      <c r="L885" s="15"/>
      <c r="N885" s="15"/>
    </row>
    <row r="886">
      <c r="A886" s="15"/>
      <c r="B886" s="15"/>
      <c r="C886" s="15"/>
      <c r="D886" s="15"/>
      <c r="E886" s="15"/>
      <c r="F886" s="15"/>
      <c r="G886" s="15"/>
      <c r="H886" s="15"/>
      <c r="I886" s="15"/>
      <c r="J886" s="15"/>
      <c r="K886" s="15"/>
      <c r="L886" s="15"/>
      <c r="N886" s="15"/>
    </row>
    <row r="887">
      <c r="A887" s="15"/>
      <c r="B887" s="15"/>
      <c r="C887" s="15"/>
      <c r="D887" s="15"/>
      <c r="E887" s="15"/>
      <c r="F887" s="15"/>
      <c r="G887" s="15"/>
      <c r="H887" s="15"/>
      <c r="I887" s="15"/>
      <c r="J887" s="15"/>
      <c r="K887" s="15"/>
      <c r="L887" s="15"/>
      <c r="N887" s="15"/>
    </row>
    <row r="888">
      <c r="A888" s="15"/>
      <c r="B888" s="15"/>
      <c r="C888" s="15"/>
      <c r="D888" s="15"/>
      <c r="E888" s="15"/>
      <c r="F888" s="15"/>
      <c r="G888" s="15"/>
      <c r="H888" s="15"/>
      <c r="I888" s="15"/>
      <c r="J888" s="15"/>
      <c r="K888" s="15"/>
      <c r="L888" s="15"/>
      <c r="N888" s="15"/>
    </row>
    <row r="889">
      <c r="A889" s="15"/>
      <c r="B889" s="15"/>
      <c r="C889" s="15"/>
      <c r="D889" s="15"/>
      <c r="E889" s="15"/>
      <c r="F889" s="15"/>
      <c r="G889" s="15"/>
      <c r="H889" s="15"/>
      <c r="I889" s="15"/>
      <c r="J889" s="15"/>
      <c r="K889" s="15"/>
      <c r="L889" s="15"/>
      <c r="N889" s="15"/>
    </row>
    <row r="890">
      <c r="A890" s="15"/>
      <c r="B890" s="15"/>
      <c r="C890" s="15"/>
      <c r="D890" s="15"/>
      <c r="E890" s="15"/>
      <c r="F890" s="15"/>
      <c r="G890" s="15"/>
      <c r="H890" s="15"/>
      <c r="I890" s="15"/>
      <c r="J890" s="15"/>
      <c r="K890" s="15"/>
      <c r="L890" s="15"/>
      <c r="N890" s="15"/>
    </row>
    <row r="891">
      <c r="A891" s="15"/>
      <c r="B891" s="15"/>
      <c r="C891" s="15"/>
      <c r="D891" s="15"/>
      <c r="E891" s="15"/>
      <c r="F891" s="15"/>
      <c r="G891" s="15"/>
      <c r="H891" s="15"/>
      <c r="I891" s="15"/>
      <c r="J891" s="15"/>
      <c r="K891" s="15"/>
      <c r="L891" s="15"/>
      <c r="N891" s="15"/>
    </row>
    <row r="892">
      <c r="A892" s="15"/>
      <c r="B892" s="15"/>
      <c r="C892" s="15"/>
      <c r="D892" s="15"/>
      <c r="E892" s="15"/>
      <c r="F892" s="15"/>
      <c r="G892" s="15"/>
      <c r="H892" s="15"/>
      <c r="I892" s="15"/>
      <c r="J892" s="15"/>
      <c r="K892" s="15"/>
      <c r="L892" s="15"/>
      <c r="N892" s="15"/>
    </row>
    <row r="893">
      <c r="A893" s="15"/>
      <c r="B893" s="15"/>
      <c r="C893" s="15"/>
      <c r="D893" s="15"/>
      <c r="E893" s="15"/>
      <c r="F893" s="15"/>
      <c r="G893" s="15"/>
      <c r="H893" s="15"/>
      <c r="I893" s="15"/>
      <c r="J893" s="15"/>
      <c r="K893" s="15"/>
      <c r="L893" s="15"/>
      <c r="N893" s="15"/>
    </row>
    <row r="894">
      <c r="A894" s="15"/>
      <c r="B894" s="15"/>
      <c r="C894" s="15"/>
      <c r="D894" s="15"/>
      <c r="E894" s="15"/>
      <c r="F894" s="15"/>
      <c r="G894" s="15"/>
      <c r="H894" s="15"/>
      <c r="I894" s="15"/>
      <c r="J894" s="15"/>
      <c r="K894" s="15"/>
      <c r="L894" s="15"/>
      <c r="N894" s="15"/>
    </row>
    <row r="895">
      <c r="A895" s="15"/>
      <c r="B895" s="15"/>
      <c r="C895" s="15"/>
      <c r="D895" s="15"/>
      <c r="E895" s="15"/>
      <c r="F895" s="15"/>
      <c r="G895" s="15"/>
      <c r="H895" s="15"/>
      <c r="I895" s="15"/>
      <c r="J895" s="15"/>
      <c r="K895" s="15"/>
      <c r="L895" s="15"/>
      <c r="N895" s="15"/>
    </row>
    <row r="896">
      <c r="A896" s="15"/>
      <c r="B896" s="15"/>
      <c r="C896" s="15"/>
      <c r="D896" s="15"/>
      <c r="E896" s="15"/>
      <c r="F896" s="15"/>
      <c r="G896" s="15"/>
      <c r="H896" s="15"/>
      <c r="I896" s="15"/>
      <c r="J896" s="15"/>
      <c r="K896" s="15"/>
      <c r="L896" s="15"/>
      <c r="N896" s="15"/>
    </row>
    <row r="897">
      <c r="A897" s="15"/>
      <c r="B897" s="15"/>
      <c r="C897" s="15"/>
      <c r="D897" s="15"/>
      <c r="E897" s="15"/>
      <c r="F897" s="15"/>
      <c r="G897" s="15"/>
      <c r="H897" s="15"/>
      <c r="I897" s="15"/>
      <c r="J897" s="15"/>
      <c r="K897" s="15"/>
      <c r="L897" s="15"/>
      <c r="N897" s="15"/>
    </row>
    <row r="898">
      <c r="A898" s="15"/>
      <c r="B898" s="15"/>
      <c r="C898" s="15"/>
      <c r="D898" s="15"/>
      <c r="E898" s="15"/>
      <c r="F898" s="15"/>
      <c r="G898" s="15"/>
      <c r="H898" s="15"/>
      <c r="I898" s="15"/>
      <c r="J898" s="15"/>
      <c r="K898" s="15"/>
      <c r="L898" s="15"/>
      <c r="N898" s="15"/>
    </row>
    <row r="899">
      <c r="A899" s="15"/>
      <c r="B899" s="15"/>
      <c r="C899" s="15"/>
      <c r="D899" s="15"/>
      <c r="E899" s="15"/>
      <c r="F899" s="15"/>
      <c r="G899" s="15"/>
      <c r="H899" s="15"/>
      <c r="I899" s="15"/>
      <c r="J899" s="15"/>
      <c r="K899" s="15"/>
      <c r="L899" s="15"/>
      <c r="N899" s="15"/>
    </row>
    <row r="900">
      <c r="A900" s="15"/>
      <c r="B900" s="15"/>
      <c r="C900" s="15"/>
      <c r="D900" s="15"/>
      <c r="E900" s="15"/>
      <c r="F900" s="15"/>
      <c r="G900" s="15"/>
      <c r="H900" s="15"/>
      <c r="I900" s="15"/>
      <c r="J900" s="15"/>
      <c r="K900" s="15"/>
      <c r="L900" s="15"/>
      <c r="N900" s="15"/>
    </row>
    <row r="901">
      <c r="A901" s="15"/>
      <c r="B901" s="15"/>
      <c r="C901" s="15"/>
      <c r="D901" s="15"/>
      <c r="E901" s="15"/>
      <c r="F901" s="15"/>
      <c r="G901" s="15"/>
      <c r="H901" s="15"/>
      <c r="I901" s="15"/>
      <c r="J901" s="15"/>
      <c r="K901" s="15"/>
      <c r="L901" s="15"/>
      <c r="N901" s="15"/>
    </row>
    <row r="902">
      <c r="A902" s="15"/>
      <c r="B902" s="15"/>
      <c r="C902" s="15"/>
      <c r="D902" s="15"/>
      <c r="E902" s="15"/>
      <c r="F902" s="15"/>
      <c r="G902" s="15"/>
      <c r="H902" s="15"/>
      <c r="I902" s="15"/>
      <c r="J902" s="15"/>
      <c r="K902" s="15"/>
      <c r="L902" s="15"/>
      <c r="N902" s="15"/>
    </row>
    <row r="903">
      <c r="A903" s="15"/>
      <c r="B903" s="15"/>
      <c r="C903" s="15"/>
      <c r="D903" s="15"/>
      <c r="E903" s="15"/>
      <c r="F903" s="15"/>
      <c r="G903" s="15"/>
      <c r="H903" s="15"/>
      <c r="I903" s="15"/>
      <c r="J903" s="15"/>
      <c r="K903" s="15"/>
      <c r="L903" s="15"/>
      <c r="N903" s="15"/>
    </row>
    <row r="904">
      <c r="A904" s="15"/>
      <c r="B904" s="15"/>
      <c r="C904" s="15"/>
      <c r="D904" s="15"/>
      <c r="E904" s="15"/>
      <c r="F904" s="15"/>
      <c r="G904" s="15"/>
      <c r="H904" s="15"/>
      <c r="I904" s="15"/>
      <c r="J904" s="15"/>
      <c r="K904" s="15"/>
      <c r="L904" s="15"/>
      <c r="N904" s="15"/>
    </row>
    <row r="905">
      <c r="A905" s="15"/>
      <c r="B905" s="15"/>
      <c r="C905" s="15"/>
      <c r="D905" s="15"/>
      <c r="E905" s="15"/>
      <c r="F905" s="15"/>
      <c r="G905" s="15"/>
      <c r="H905" s="15"/>
      <c r="I905" s="15"/>
      <c r="J905" s="15"/>
      <c r="K905" s="15"/>
      <c r="L905" s="15"/>
      <c r="N905" s="15"/>
    </row>
    <row r="906">
      <c r="A906" s="15"/>
      <c r="B906" s="15"/>
      <c r="C906" s="15"/>
      <c r="D906" s="15"/>
      <c r="E906" s="15"/>
      <c r="F906" s="15"/>
      <c r="G906" s="15"/>
      <c r="H906" s="15"/>
      <c r="I906" s="15"/>
      <c r="J906" s="15"/>
      <c r="K906" s="15"/>
      <c r="L906" s="15"/>
      <c r="N906" s="15"/>
    </row>
    <row r="907">
      <c r="A907" s="15"/>
      <c r="B907" s="15"/>
      <c r="C907" s="15"/>
      <c r="D907" s="15"/>
      <c r="E907" s="15"/>
      <c r="F907" s="15"/>
      <c r="G907" s="15"/>
      <c r="H907" s="15"/>
      <c r="I907" s="15"/>
      <c r="J907" s="15"/>
      <c r="K907" s="15"/>
      <c r="L907" s="15"/>
      <c r="N907" s="15"/>
    </row>
    <row r="908">
      <c r="A908" s="15"/>
      <c r="B908" s="15"/>
      <c r="C908" s="15"/>
      <c r="D908" s="15"/>
      <c r="E908" s="15"/>
      <c r="F908" s="15"/>
      <c r="G908" s="15"/>
      <c r="H908" s="15"/>
      <c r="I908" s="15"/>
      <c r="J908" s="15"/>
      <c r="K908" s="15"/>
      <c r="L908" s="15"/>
      <c r="N908" s="15"/>
    </row>
    <row r="909">
      <c r="A909" s="15"/>
      <c r="B909" s="15"/>
      <c r="C909" s="15"/>
      <c r="D909" s="15"/>
      <c r="E909" s="15"/>
      <c r="F909" s="15"/>
      <c r="G909" s="15"/>
      <c r="H909" s="15"/>
      <c r="I909" s="15"/>
      <c r="J909" s="15"/>
      <c r="K909" s="15"/>
      <c r="L909" s="15"/>
      <c r="N909" s="15"/>
    </row>
    <row r="910">
      <c r="A910" s="15"/>
      <c r="B910" s="15"/>
      <c r="C910" s="15"/>
      <c r="D910" s="15"/>
      <c r="E910" s="15"/>
      <c r="F910" s="15"/>
      <c r="G910" s="15"/>
      <c r="H910" s="15"/>
      <c r="I910" s="15"/>
      <c r="J910" s="15"/>
      <c r="K910" s="15"/>
      <c r="L910" s="15"/>
      <c r="N910" s="15"/>
    </row>
    <row r="911">
      <c r="A911" s="15"/>
      <c r="B911" s="15"/>
      <c r="C911" s="15"/>
      <c r="D911" s="15"/>
      <c r="E911" s="15"/>
      <c r="F911" s="15"/>
      <c r="G911" s="15"/>
      <c r="H911" s="15"/>
      <c r="I911" s="15"/>
      <c r="J911" s="15"/>
      <c r="K911" s="15"/>
      <c r="L911" s="15"/>
      <c r="N911" s="15"/>
    </row>
    <row r="912">
      <c r="A912" s="15"/>
      <c r="B912" s="15"/>
      <c r="C912" s="15"/>
      <c r="D912" s="15"/>
      <c r="E912" s="15"/>
      <c r="F912" s="15"/>
      <c r="G912" s="15"/>
      <c r="H912" s="15"/>
      <c r="I912" s="15"/>
      <c r="J912" s="15"/>
      <c r="K912" s="15"/>
      <c r="L912" s="15"/>
      <c r="N912" s="15"/>
    </row>
    <row r="913">
      <c r="A913" s="15"/>
      <c r="B913" s="15"/>
      <c r="C913" s="15"/>
      <c r="D913" s="15"/>
      <c r="E913" s="15"/>
      <c r="F913" s="15"/>
      <c r="G913" s="15"/>
      <c r="H913" s="15"/>
      <c r="I913" s="15"/>
      <c r="J913" s="15"/>
      <c r="K913" s="15"/>
      <c r="L913" s="15"/>
      <c r="N913" s="15"/>
    </row>
    <row r="914">
      <c r="A914" s="15"/>
      <c r="B914" s="15"/>
      <c r="C914" s="15"/>
      <c r="D914" s="15"/>
      <c r="E914" s="15"/>
      <c r="F914" s="15"/>
      <c r="G914" s="15"/>
      <c r="H914" s="15"/>
      <c r="I914" s="15"/>
      <c r="J914" s="15"/>
      <c r="K914" s="15"/>
      <c r="L914" s="15"/>
      <c r="N914" s="15"/>
    </row>
    <row r="915">
      <c r="A915" s="15"/>
      <c r="B915" s="15"/>
      <c r="C915" s="15"/>
      <c r="D915" s="15"/>
      <c r="E915" s="15"/>
      <c r="F915" s="15"/>
      <c r="G915" s="15"/>
      <c r="H915" s="15"/>
      <c r="I915" s="15"/>
      <c r="J915" s="15"/>
      <c r="K915" s="15"/>
      <c r="L915" s="15"/>
      <c r="N915" s="15"/>
    </row>
    <row r="916">
      <c r="A916" s="15"/>
      <c r="B916" s="15"/>
      <c r="C916" s="15"/>
      <c r="D916" s="15"/>
      <c r="E916" s="15"/>
      <c r="F916" s="15"/>
      <c r="G916" s="15"/>
      <c r="H916" s="15"/>
      <c r="I916" s="15"/>
      <c r="J916" s="15"/>
      <c r="K916" s="15"/>
      <c r="L916" s="15"/>
      <c r="N916" s="15"/>
    </row>
    <row r="917">
      <c r="A917" s="15"/>
      <c r="B917" s="15"/>
      <c r="C917" s="15"/>
      <c r="D917" s="15"/>
      <c r="E917" s="15"/>
      <c r="F917" s="15"/>
      <c r="G917" s="15"/>
      <c r="H917" s="15"/>
      <c r="I917" s="15"/>
      <c r="J917" s="15"/>
      <c r="K917" s="15"/>
      <c r="L917" s="15"/>
      <c r="N917" s="15"/>
    </row>
    <row r="918">
      <c r="A918" s="15"/>
      <c r="B918" s="15"/>
      <c r="C918" s="15"/>
      <c r="D918" s="15"/>
      <c r="E918" s="15"/>
      <c r="F918" s="15"/>
      <c r="G918" s="15"/>
      <c r="H918" s="15"/>
      <c r="I918" s="15"/>
      <c r="J918" s="15"/>
      <c r="K918" s="15"/>
      <c r="L918" s="15"/>
      <c r="N918" s="15"/>
    </row>
    <row r="919">
      <c r="A919" s="15"/>
      <c r="B919" s="15"/>
      <c r="C919" s="15"/>
      <c r="D919" s="15"/>
      <c r="E919" s="15"/>
      <c r="F919" s="15"/>
      <c r="G919" s="15"/>
      <c r="H919" s="15"/>
      <c r="I919" s="15"/>
      <c r="J919" s="15"/>
      <c r="K919" s="15"/>
      <c r="L919" s="15"/>
      <c r="N919" s="15"/>
    </row>
    <row r="920">
      <c r="A920" s="15"/>
      <c r="B920" s="15"/>
      <c r="C920" s="15"/>
      <c r="D920" s="15"/>
      <c r="E920" s="15"/>
      <c r="F920" s="15"/>
      <c r="G920" s="15"/>
      <c r="H920" s="15"/>
      <c r="I920" s="15"/>
      <c r="J920" s="15"/>
      <c r="K920" s="15"/>
      <c r="L920" s="15"/>
      <c r="N920" s="15"/>
    </row>
    <row r="921">
      <c r="A921" s="15"/>
      <c r="B921" s="15"/>
      <c r="C921" s="15"/>
      <c r="D921" s="15"/>
      <c r="E921" s="15"/>
      <c r="F921" s="15"/>
      <c r="G921" s="15"/>
      <c r="H921" s="15"/>
      <c r="I921" s="15"/>
      <c r="J921" s="15"/>
      <c r="K921" s="15"/>
      <c r="L921" s="15"/>
      <c r="N921" s="15"/>
    </row>
    <row r="922">
      <c r="A922" s="15"/>
      <c r="B922" s="15"/>
      <c r="C922" s="15"/>
      <c r="D922" s="15"/>
      <c r="E922" s="15"/>
      <c r="F922" s="15"/>
      <c r="G922" s="15"/>
      <c r="H922" s="15"/>
      <c r="I922" s="15"/>
      <c r="J922" s="15"/>
      <c r="K922" s="15"/>
      <c r="L922" s="15"/>
      <c r="N922" s="15"/>
    </row>
    <row r="923">
      <c r="A923" s="15"/>
      <c r="B923" s="15"/>
      <c r="C923" s="15"/>
      <c r="D923" s="15"/>
      <c r="E923" s="15"/>
      <c r="F923" s="15"/>
      <c r="G923" s="15"/>
      <c r="H923" s="15"/>
      <c r="I923" s="15"/>
      <c r="J923" s="15"/>
      <c r="K923" s="15"/>
      <c r="L923" s="15"/>
      <c r="N923" s="15"/>
    </row>
    <row r="924">
      <c r="A924" s="15"/>
      <c r="B924" s="15"/>
      <c r="C924" s="15"/>
      <c r="D924" s="15"/>
      <c r="E924" s="15"/>
      <c r="F924" s="15"/>
      <c r="G924" s="15"/>
      <c r="H924" s="15"/>
      <c r="I924" s="15"/>
      <c r="J924" s="15"/>
      <c r="K924" s="15"/>
      <c r="L924" s="15"/>
      <c r="N924" s="15"/>
    </row>
    <row r="925">
      <c r="A925" s="15"/>
      <c r="B925" s="15"/>
      <c r="C925" s="15"/>
      <c r="D925" s="15"/>
      <c r="E925" s="15"/>
      <c r="F925" s="15"/>
      <c r="G925" s="15"/>
      <c r="H925" s="15"/>
      <c r="I925" s="15"/>
      <c r="J925" s="15"/>
      <c r="K925" s="15"/>
      <c r="L925" s="15"/>
      <c r="N925" s="15"/>
    </row>
    <row r="926">
      <c r="A926" s="15"/>
      <c r="B926" s="15"/>
      <c r="C926" s="15"/>
      <c r="D926" s="15"/>
      <c r="E926" s="15"/>
      <c r="F926" s="15"/>
      <c r="G926" s="15"/>
      <c r="H926" s="15"/>
      <c r="I926" s="15"/>
      <c r="J926" s="15"/>
      <c r="K926" s="15"/>
      <c r="L926" s="15"/>
      <c r="N926" s="15"/>
    </row>
    <row r="927">
      <c r="A927" s="15"/>
      <c r="B927" s="15"/>
      <c r="C927" s="15"/>
      <c r="D927" s="15"/>
      <c r="E927" s="15"/>
      <c r="F927" s="15"/>
      <c r="G927" s="15"/>
      <c r="H927" s="15"/>
      <c r="I927" s="15"/>
      <c r="J927" s="15"/>
      <c r="K927" s="15"/>
      <c r="L927" s="15"/>
      <c r="N927" s="15"/>
    </row>
    <row r="928">
      <c r="A928" s="15"/>
      <c r="B928" s="15"/>
      <c r="C928" s="15"/>
      <c r="D928" s="15"/>
      <c r="E928" s="15"/>
      <c r="F928" s="15"/>
      <c r="G928" s="15"/>
      <c r="H928" s="15"/>
      <c r="I928" s="15"/>
      <c r="J928" s="15"/>
      <c r="K928" s="15"/>
      <c r="L928" s="15"/>
      <c r="N928" s="15"/>
    </row>
    <row r="929">
      <c r="A929" s="15"/>
      <c r="B929" s="15"/>
      <c r="C929" s="15"/>
      <c r="D929" s="15"/>
      <c r="E929" s="15"/>
      <c r="F929" s="15"/>
      <c r="G929" s="15"/>
      <c r="H929" s="15"/>
      <c r="I929" s="15"/>
      <c r="J929" s="15"/>
      <c r="K929" s="15"/>
      <c r="L929" s="15"/>
      <c r="N929" s="15"/>
    </row>
    <row r="930">
      <c r="A930" s="15"/>
      <c r="B930" s="15"/>
      <c r="C930" s="15"/>
      <c r="D930" s="15"/>
      <c r="E930" s="15"/>
      <c r="F930" s="15"/>
      <c r="G930" s="15"/>
      <c r="H930" s="15"/>
      <c r="I930" s="15"/>
      <c r="J930" s="15"/>
      <c r="K930" s="15"/>
      <c r="L930" s="15"/>
      <c r="N930" s="15"/>
    </row>
    <row r="931">
      <c r="A931" s="15"/>
      <c r="B931" s="15"/>
      <c r="C931" s="15"/>
      <c r="D931" s="15"/>
      <c r="E931" s="15"/>
      <c r="F931" s="15"/>
      <c r="G931" s="15"/>
      <c r="H931" s="15"/>
      <c r="I931" s="15"/>
      <c r="J931" s="15"/>
      <c r="K931" s="15"/>
      <c r="L931" s="15"/>
      <c r="N931" s="15"/>
    </row>
    <row r="932">
      <c r="A932" s="15"/>
      <c r="B932" s="15"/>
      <c r="C932" s="15"/>
      <c r="D932" s="15"/>
      <c r="E932" s="15"/>
      <c r="F932" s="15"/>
      <c r="G932" s="15"/>
      <c r="H932" s="15"/>
      <c r="I932" s="15"/>
      <c r="J932" s="15"/>
      <c r="K932" s="15"/>
      <c r="L932" s="15"/>
      <c r="N932" s="15"/>
    </row>
    <row r="933">
      <c r="A933" s="15"/>
      <c r="B933" s="15"/>
      <c r="C933" s="15"/>
      <c r="D933" s="15"/>
      <c r="E933" s="15"/>
      <c r="F933" s="15"/>
      <c r="G933" s="15"/>
      <c r="H933" s="15"/>
      <c r="I933" s="15"/>
      <c r="J933" s="15"/>
      <c r="K933" s="15"/>
      <c r="L933" s="15"/>
      <c r="N933" s="15"/>
    </row>
    <row r="934">
      <c r="A934" s="15"/>
      <c r="B934" s="15"/>
      <c r="C934" s="15"/>
      <c r="D934" s="15"/>
      <c r="E934" s="15"/>
      <c r="F934" s="15"/>
      <c r="G934" s="15"/>
      <c r="H934" s="15"/>
      <c r="I934" s="15"/>
      <c r="J934" s="15"/>
      <c r="K934" s="15"/>
      <c r="L934" s="15"/>
      <c r="N934" s="15"/>
    </row>
    <row r="935">
      <c r="A935" s="15"/>
      <c r="B935" s="15"/>
      <c r="C935" s="15"/>
      <c r="D935" s="15"/>
      <c r="E935" s="15"/>
      <c r="F935" s="15"/>
      <c r="G935" s="15"/>
      <c r="H935" s="15"/>
      <c r="I935" s="15"/>
      <c r="J935" s="15"/>
      <c r="K935" s="15"/>
      <c r="L935" s="15"/>
      <c r="N935" s="15"/>
    </row>
    <row r="936">
      <c r="A936" s="15"/>
      <c r="B936" s="15"/>
      <c r="C936" s="15"/>
      <c r="D936" s="15"/>
      <c r="E936" s="15"/>
      <c r="F936" s="15"/>
      <c r="G936" s="15"/>
      <c r="H936" s="15"/>
      <c r="I936" s="15"/>
      <c r="J936" s="15"/>
      <c r="K936" s="15"/>
      <c r="L936" s="15"/>
      <c r="N936" s="15"/>
    </row>
    <row r="937">
      <c r="A937" s="15"/>
      <c r="B937" s="15"/>
      <c r="C937" s="15"/>
      <c r="D937" s="15"/>
      <c r="E937" s="15"/>
      <c r="F937" s="15"/>
      <c r="G937" s="15"/>
      <c r="H937" s="15"/>
      <c r="I937" s="15"/>
      <c r="J937" s="15"/>
      <c r="K937" s="15"/>
      <c r="L937" s="15"/>
      <c r="N937" s="15"/>
    </row>
    <row r="938">
      <c r="A938" s="15"/>
      <c r="B938" s="15"/>
      <c r="C938" s="15"/>
      <c r="D938" s="15"/>
      <c r="E938" s="15"/>
      <c r="F938" s="15"/>
      <c r="G938" s="15"/>
      <c r="H938" s="15"/>
      <c r="I938" s="15"/>
      <c r="J938" s="15"/>
      <c r="K938" s="15"/>
      <c r="L938" s="15"/>
      <c r="N938" s="15"/>
    </row>
    <row r="939">
      <c r="A939" s="15"/>
      <c r="B939" s="15"/>
      <c r="C939" s="15"/>
      <c r="D939" s="15"/>
      <c r="E939" s="15"/>
      <c r="F939" s="15"/>
      <c r="G939" s="15"/>
      <c r="H939" s="15"/>
      <c r="I939" s="15"/>
      <c r="J939" s="15"/>
      <c r="K939" s="15"/>
      <c r="L939" s="15"/>
      <c r="N939" s="15"/>
    </row>
    <row r="940">
      <c r="A940" s="15"/>
      <c r="B940" s="15"/>
      <c r="C940" s="15"/>
      <c r="D940" s="15"/>
      <c r="E940" s="15"/>
      <c r="F940" s="15"/>
      <c r="G940" s="15"/>
      <c r="H940" s="15"/>
      <c r="I940" s="15"/>
      <c r="J940" s="15"/>
      <c r="K940" s="15"/>
      <c r="L940" s="15"/>
      <c r="N940" s="15"/>
    </row>
    <row r="941">
      <c r="A941" s="15"/>
      <c r="B941" s="15"/>
      <c r="C941" s="15"/>
      <c r="D941" s="15"/>
      <c r="E941" s="15"/>
      <c r="F941" s="15"/>
      <c r="G941" s="15"/>
      <c r="H941" s="15"/>
      <c r="I941" s="15"/>
      <c r="J941" s="15"/>
      <c r="K941" s="15"/>
      <c r="L941" s="15"/>
      <c r="N941" s="15"/>
    </row>
    <row r="942">
      <c r="A942" s="15"/>
      <c r="B942" s="15"/>
      <c r="C942" s="15"/>
      <c r="D942" s="15"/>
      <c r="E942" s="15"/>
      <c r="F942" s="15"/>
      <c r="G942" s="15"/>
      <c r="H942" s="15"/>
      <c r="I942" s="15"/>
      <c r="J942" s="15"/>
      <c r="K942" s="15"/>
      <c r="L942" s="15"/>
      <c r="N942" s="15"/>
    </row>
    <row r="943">
      <c r="A943" s="15"/>
      <c r="B943" s="15"/>
      <c r="C943" s="15"/>
      <c r="D943" s="15"/>
      <c r="E943" s="15"/>
      <c r="F943" s="15"/>
      <c r="G943" s="15"/>
      <c r="H943" s="15"/>
      <c r="I943" s="15"/>
      <c r="J943" s="15"/>
      <c r="K943" s="15"/>
      <c r="L943" s="15"/>
      <c r="N943" s="15"/>
    </row>
    <row r="944">
      <c r="A944" s="15"/>
      <c r="B944" s="15"/>
      <c r="C944" s="15"/>
      <c r="D944" s="15"/>
      <c r="E944" s="15"/>
      <c r="F944" s="15"/>
      <c r="G944" s="15"/>
      <c r="H944" s="15"/>
      <c r="I944" s="15"/>
      <c r="J944" s="15"/>
      <c r="K944" s="15"/>
      <c r="L944" s="15"/>
      <c r="N944" s="15"/>
    </row>
    <row r="945">
      <c r="A945" s="15"/>
      <c r="B945" s="15"/>
      <c r="C945" s="15"/>
      <c r="D945" s="15"/>
      <c r="E945" s="15"/>
      <c r="F945" s="15"/>
      <c r="G945" s="15"/>
      <c r="H945" s="15"/>
      <c r="I945" s="15"/>
      <c r="J945" s="15"/>
      <c r="K945" s="15"/>
      <c r="L945" s="15"/>
      <c r="N945" s="15"/>
    </row>
    <row r="946">
      <c r="A946" s="15"/>
      <c r="B946" s="15"/>
      <c r="C946" s="15"/>
      <c r="D946" s="15"/>
      <c r="E946" s="15"/>
      <c r="F946" s="15"/>
      <c r="G946" s="15"/>
      <c r="H946" s="15"/>
      <c r="I946" s="15"/>
      <c r="J946" s="15"/>
      <c r="K946" s="15"/>
      <c r="L946" s="15"/>
      <c r="N946" s="15"/>
    </row>
    <row r="947">
      <c r="A947" s="15"/>
      <c r="B947" s="15"/>
      <c r="C947" s="15"/>
      <c r="D947" s="15"/>
      <c r="E947" s="15"/>
      <c r="F947" s="15"/>
      <c r="G947" s="15"/>
      <c r="H947" s="15"/>
      <c r="I947" s="15"/>
      <c r="J947" s="15"/>
      <c r="K947" s="15"/>
      <c r="L947" s="15"/>
      <c r="N947" s="15"/>
    </row>
    <row r="948">
      <c r="A948" s="15"/>
      <c r="B948" s="15"/>
      <c r="C948" s="15"/>
      <c r="D948" s="15"/>
      <c r="E948" s="15"/>
      <c r="F948" s="15"/>
      <c r="G948" s="15"/>
      <c r="H948" s="15"/>
      <c r="I948" s="15"/>
      <c r="J948" s="15"/>
      <c r="K948" s="15"/>
      <c r="L948" s="15"/>
      <c r="N948" s="15"/>
    </row>
    <row r="949">
      <c r="A949" s="15"/>
      <c r="B949" s="15"/>
      <c r="C949" s="15"/>
      <c r="D949" s="15"/>
      <c r="E949" s="15"/>
      <c r="F949" s="15"/>
      <c r="G949" s="15"/>
      <c r="H949" s="15"/>
      <c r="I949" s="15"/>
      <c r="J949" s="15"/>
      <c r="K949" s="15"/>
      <c r="L949" s="15"/>
      <c r="N949" s="15"/>
    </row>
    <row r="950">
      <c r="A950" s="15"/>
      <c r="B950" s="15"/>
      <c r="C950" s="15"/>
      <c r="D950" s="15"/>
      <c r="E950" s="15"/>
      <c r="F950" s="15"/>
      <c r="G950" s="15"/>
      <c r="H950" s="15"/>
      <c r="I950" s="15"/>
      <c r="J950" s="15"/>
      <c r="K950" s="15"/>
      <c r="L950" s="15"/>
      <c r="N950" s="15"/>
    </row>
    <row r="951">
      <c r="A951" s="15"/>
      <c r="B951" s="15"/>
      <c r="C951" s="15"/>
      <c r="D951" s="15"/>
      <c r="E951" s="15"/>
      <c r="F951" s="15"/>
      <c r="G951" s="15"/>
      <c r="H951" s="15"/>
      <c r="I951" s="15"/>
      <c r="J951" s="15"/>
      <c r="K951" s="15"/>
      <c r="L951" s="15"/>
      <c r="N951" s="15"/>
    </row>
    <row r="952">
      <c r="A952" s="15"/>
      <c r="B952" s="15"/>
      <c r="C952" s="15"/>
      <c r="D952" s="15"/>
      <c r="E952" s="15"/>
      <c r="F952" s="15"/>
      <c r="G952" s="15"/>
      <c r="H952" s="15"/>
      <c r="I952" s="15"/>
      <c r="J952" s="15"/>
      <c r="K952" s="15"/>
      <c r="L952" s="15"/>
      <c r="N952" s="15"/>
    </row>
    <row r="953">
      <c r="A953" s="15"/>
      <c r="B953" s="15"/>
      <c r="C953" s="15"/>
      <c r="D953" s="15"/>
      <c r="E953" s="15"/>
      <c r="F953" s="15"/>
      <c r="G953" s="15"/>
      <c r="H953" s="15"/>
      <c r="I953" s="15"/>
      <c r="J953" s="15"/>
      <c r="K953" s="15"/>
      <c r="L953" s="15"/>
      <c r="N953" s="15"/>
    </row>
    <row r="954">
      <c r="A954" s="15"/>
      <c r="B954" s="15"/>
      <c r="C954" s="15"/>
      <c r="D954" s="15"/>
      <c r="E954" s="15"/>
      <c r="F954" s="15"/>
      <c r="G954" s="15"/>
      <c r="H954" s="15"/>
      <c r="I954" s="15"/>
      <c r="J954" s="15"/>
      <c r="K954" s="15"/>
      <c r="L954" s="15"/>
      <c r="N954" s="15"/>
    </row>
    <row r="955">
      <c r="A955" s="15"/>
      <c r="B955" s="15"/>
      <c r="C955" s="15"/>
      <c r="D955" s="15"/>
      <c r="E955" s="15"/>
      <c r="F955" s="15"/>
      <c r="G955" s="15"/>
      <c r="H955" s="15"/>
      <c r="I955" s="15"/>
      <c r="J955" s="15"/>
      <c r="K955" s="15"/>
      <c r="L955" s="15"/>
      <c r="N955" s="15"/>
    </row>
    <row r="956">
      <c r="A956" s="15"/>
      <c r="B956" s="15"/>
      <c r="C956" s="15"/>
      <c r="D956" s="15"/>
      <c r="E956" s="15"/>
      <c r="F956" s="15"/>
      <c r="G956" s="15"/>
      <c r="H956" s="15"/>
      <c r="I956" s="15"/>
      <c r="J956" s="15"/>
      <c r="K956" s="15"/>
      <c r="L956" s="15"/>
      <c r="N956" s="15"/>
    </row>
    <row r="957">
      <c r="A957" s="15"/>
      <c r="B957" s="15"/>
      <c r="C957" s="15"/>
      <c r="D957" s="15"/>
      <c r="E957" s="15"/>
      <c r="F957" s="15"/>
      <c r="G957" s="15"/>
      <c r="H957" s="15"/>
      <c r="I957" s="15"/>
      <c r="J957" s="15"/>
      <c r="K957" s="15"/>
      <c r="L957" s="15"/>
      <c r="N957" s="15"/>
    </row>
    <row r="958">
      <c r="A958" s="15"/>
      <c r="B958" s="15"/>
      <c r="C958" s="15"/>
      <c r="D958" s="15"/>
      <c r="E958" s="15"/>
      <c r="F958" s="15"/>
      <c r="G958" s="15"/>
      <c r="H958" s="15"/>
      <c r="I958" s="15"/>
      <c r="J958" s="15"/>
      <c r="K958" s="15"/>
      <c r="L958" s="15"/>
      <c r="N958" s="15"/>
    </row>
    <row r="959">
      <c r="A959" s="15"/>
      <c r="B959" s="15"/>
      <c r="C959" s="15"/>
      <c r="D959" s="15"/>
      <c r="E959" s="15"/>
      <c r="F959" s="15"/>
      <c r="G959" s="15"/>
      <c r="H959" s="15"/>
      <c r="I959" s="15"/>
      <c r="J959" s="15"/>
      <c r="K959" s="15"/>
      <c r="L959" s="15"/>
      <c r="N959" s="15"/>
    </row>
    <row r="960">
      <c r="A960" s="15"/>
      <c r="B960" s="15"/>
      <c r="C960" s="15"/>
      <c r="D960" s="15"/>
      <c r="E960" s="15"/>
      <c r="F960" s="15"/>
      <c r="G960" s="15"/>
      <c r="H960" s="15"/>
      <c r="I960" s="15"/>
      <c r="J960" s="15"/>
      <c r="K960" s="15"/>
      <c r="L960" s="15"/>
      <c r="N960" s="15"/>
    </row>
    <row r="961">
      <c r="A961" s="15"/>
      <c r="B961" s="15"/>
      <c r="C961" s="15"/>
      <c r="D961" s="15"/>
      <c r="E961" s="15"/>
      <c r="F961" s="15"/>
      <c r="G961" s="15"/>
      <c r="H961" s="15"/>
      <c r="I961" s="15"/>
      <c r="J961" s="15"/>
      <c r="K961" s="15"/>
      <c r="L961" s="15"/>
      <c r="N961" s="15"/>
    </row>
    <row r="962">
      <c r="A962" s="15"/>
      <c r="B962" s="15"/>
      <c r="C962" s="15"/>
      <c r="D962" s="15"/>
      <c r="E962" s="15"/>
      <c r="F962" s="15"/>
      <c r="G962" s="15"/>
      <c r="H962" s="15"/>
      <c r="I962" s="15"/>
      <c r="J962" s="15"/>
      <c r="K962" s="15"/>
      <c r="L962" s="15"/>
      <c r="N962" s="15"/>
    </row>
    <row r="963">
      <c r="A963" s="15"/>
      <c r="B963" s="15"/>
      <c r="C963" s="15"/>
      <c r="D963" s="15"/>
      <c r="E963" s="15"/>
      <c r="F963" s="15"/>
      <c r="G963" s="15"/>
      <c r="H963" s="15"/>
      <c r="I963" s="15"/>
      <c r="J963" s="15"/>
      <c r="K963" s="15"/>
      <c r="L963" s="15"/>
      <c r="N963" s="15"/>
    </row>
    <row r="964">
      <c r="A964" s="15"/>
      <c r="B964" s="15"/>
      <c r="C964" s="15"/>
      <c r="D964" s="15"/>
      <c r="E964" s="15"/>
      <c r="F964" s="15"/>
      <c r="G964" s="15"/>
      <c r="H964" s="15"/>
      <c r="I964" s="15"/>
      <c r="J964" s="15"/>
      <c r="K964" s="15"/>
      <c r="L964" s="15"/>
      <c r="N964" s="15"/>
    </row>
    <row r="965">
      <c r="A965" s="15"/>
      <c r="B965" s="15"/>
      <c r="C965" s="15"/>
      <c r="D965" s="15"/>
      <c r="E965" s="15"/>
      <c r="F965" s="15"/>
      <c r="G965" s="15"/>
      <c r="H965" s="15"/>
      <c r="I965" s="15"/>
      <c r="J965" s="15"/>
      <c r="K965" s="15"/>
      <c r="L965" s="15"/>
      <c r="N965" s="15"/>
    </row>
    <row r="966">
      <c r="A966" s="15"/>
      <c r="B966" s="15"/>
      <c r="C966" s="15"/>
      <c r="D966" s="15"/>
      <c r="E966" s="15"/>
      <c r="F966" s="15"/>
      <c r="G966" s="15"/>
      <c r="H966" s="15"/>
      <c r="I966" s="15"/>
      <c r="J966" s="15"/>
      <c r="K966" s="15"/>
      <c r="L966" s="15"/>
      <c r="N966" s="15"/>
    </row>
    <row r="967">
      <c r="A967" s="15"/>
      <c r="B967" s="15"/>
      <c r="C967" s="15"/>
      <c r="D967" s="15"/>
      <c r="E967" s="15"/>
      <c r="F967" s="15"/>
      <c r="G967" s="15"/>
      <c r="H967" s="15"/>
      <c r="I967" s="15"/>
      <c r="J967" s="15"/>
      <c r="K967" s="15"/>
      <c r="L967" s="15"/>
      <c r="N967" s="15"/>
    </row>
    <row r="968">
      <c r="A968" s="15"/>
      <c r="B968" s="15"/>
      <c r="C968" s="15"/>
      <c r="D968" s="15"/>
      <c r="E968" s="15"/>
      <c r="F968" s="15"/>
      <c r="G968" s="15"/>
      <c r="H968" s="15"/>
      <c r="I968" s="15"/>
      <c r="J968" s="15"/>
      <c r="K968" s="15"/>
      <c r="L968" s="15"/>
      <c r="N968" s="15"/>
    </row>
    <row r="969">
      <c r="A969" s="15"/>
      <c r="B969" s="15"/>
      <c r="C969" s="15"/>
      <c r="D969" s="15"/>
      <c r="E969" s="15"/>
      <c r="F969" s="15"/>
      <c r="G969" s="15"/>
      <c r="H969" s="15"/>
      <c r="I969" s="15"/>
      <c r="J969" s="15"/>
      <c r="K969" s="15"/>
      <c r="L969" s="15"/>
      <c r="N969" s="15"/>
    </row>
    <row r="970">
      <c r="A970" s="15"/>
      <c r="B970" s="15"/>
      <c r="C970" s="15"/>
      <c r="D970" s="15"/>
      <c r="E970" s="15"/>
      <c r="F970" s="15"/>
      <c r="G970" s="15"/>
      <c r="H970" s="15"/>
      <c r="I970" s="15"/>
      <c r="J970" s="15"/>
      <c r="K970" s="15"/>
      <c r="L970" s="15"/>
      <c r="N970" s="15"/>
    </row>
    <row r="971">
      <c r="A971" s="15"/>
      <c r="B971" s="15"/>
      <c r="C971" s="15"/>
      <c r="D971" s="15"/>
      <c r="E971" s="15"/>
      <c r="F971" s="15"/>
      <c r="G971" s="15"/>
      <c r="H971" s="15"/>
      <c r="I971" s="15"/>
      <c r="J971" s="15"/>
      <c r="K971" s="15"/>
      <c r="L971" s="15"/>
      <c r="N971" s="15"/>
    </row>
    <row r="972">
      <c r="A972" s="15"/>
      <c r="B972" s="15"/>
      <c r="C972" s="15"/>
      <c r="D972" s="15"/>
      <c r="E972" s="15"/>
      <c r="F972" s="15"/>
      <c r="G972" s="15"/>
      <c r="H972" s="15"/>
      <c r="I972" s="15"/>
      <c r="J972" s="15"/>
      <c r="K972" s="15"/>
      <c r="L972" s="15"/>
      <c r="N972" s="15"/>
    </row>
    <row r="973">
      <c r="A973" s="15"/>
      <c r="B973" s="15"/>
      <c r="C973" s="15"/>
      <c r="D973" s="15"/>
      <c r="E973" s="15"/>
      <c r="F973" s="15"/>
      <c r="G973" s="15"/>
      <c r="H973" s="15"/>
      <c r="I973" s="15"/>
      <c r="J973" s="15"/>
      <c r="K973" s="15"/>
      <c r="L973" s="15"/>
      <c r="N973" s="15"/>
    </row>
    <row r="974">
      <c r="A974" s="15"/>
      <c r="B974" s="15"/>
      <c r="C974" s="15"/>
      <c r="D974" s="15"/>
      <c r="E974" s="15"/>
      <c r="F974" s="15"/>
      <c r="G974" s="15"/>
      <c r="H974" s="15"/>
      <c r="I974" s="15"/>
      <c r="J974" s="15"/>
      <c r="K974" s="15"/>
      <c r="L974" s="15"/>
      <c r="N974" s="15"/>
    </row>
    <row r="975">
      <c r="A975" s="15"/>
      <c r="B975" s="15"/>
      <c r="C975" s="15"/>
      <c r="D975" s="15"/>
      <c r="E975" s="15"/>
      <c r="F975" s="15"/>
      <c r="G975" s="15"/>
      <c r="H975" s="15"/>
      <c r="I975" s="15"/>
      <c r="J975" s="15"/>
      <c r="K975" s="15"/>
      <c r="L975" s="15"/>
      <c r="N975" s="15"/>
    </row>
    <row r="976">
      <c r="A976" s="15"/>
      <c r="B976" s="15"/>
      <c r="C976" s="15"/>
      <c r="D976" s="15"/>
      <c r="E976" s="15"/>
      <c r="F976" s="15"/>
      <c r="G976" s="15"/>
      <c r="H976" s="15"/>
      <c r="I976" s="15"/>
      <c r="J976" s="15"/>
      <c r="K976" s="15"/>
      <c r="L976" s="15"/>
      <c r="N976" s="15"/>
    </row>
    <row r="977">
      <c r="A977" s="15"/>
      <c r="B977" s="15"/>
      <c r="C977" s="15"/>
      <c r="D977" s="15"/>
      <c r="E977" s="15"/>
      <c r="F977" s="15"/>
      <c r="G977" s="15"/>
      <c r="H977" s="15"/>
      <c r="I977" s="15"/>
      <c r="J977" s="15"/>
      <c r="K977" s="15"/>
      <c r="L977" s="15"/>
      <c r="N977" s="15"/>
    </row>
    <row r="978">
      <c r="A978" s="15"/>
      <c r="B978" s="15"/>
      <c r="C978" s="15"/>
      <c r="D978" s="15"/>
      <c r="E978" s="15"/>
      <c r="F978" s="15"/>
      <c r="G978" s="15"/>
      <c r="H978" s="15"/>
      <c r="I978" s="15"/>
      <c r="J978" s="15"/>
      <c r="K978" s="15"/>
      <c r="L978" s="15"/>
      <c r="N978" s="15"/>
    </row>
    <row r="979">
      <c r="A979" s="15"/>
      <c r="B979" s="15"/>
      <c r="C979" s="15"/>
      <c r="D979" s="15"/>
      <c r="E979" s="15"/>
      <c r="F979" s="15"/>
      <c r="G979" s="15"/>
      <c r="H979" s="15"/>
      <c r="I979" s="15"/>
      <c r="J979" s="15"/>
      <c r="K979" s="15"/>
      <c r="L979" s="15"/>
      <c r="N979" s="15"/>
    </row>
    <row r="980">
      <c r="A980" s="15"/>
      <c r="B980" s="15"/>
      <c r="C980" s="15"/>
      <c r="D980" s="15"/>
      <c r="E980" s="15"/>
      <c r="F980" s="15"/>
      <c r="G980" s="15"/>
      <c r="H980" s="15"/>
      <c r="I980" s="15"/>
      <c r="J980" s="15"/>
      <c r="K980" s="15"/>
      <c r="L980" s="15"/>
      <c r="N980" s="15"/>
    </row>
    <row r="981">
      <c r="A981" s="15"/>
      <c r="B981" s="15"/>
      <c r="C981" s="15"/>
      <c r="D981" s="15"/>
      <c r="E981" s="15"/>
      <c r="F981" s="15"/>
      <c r="G981" s="15"/>
      <c r="H981" s="15"/>
      <c r="I981" s="15"/>
      <c r="J981" s="15"/>
      <c r="K981" s="15"/>
      <c r="L981" s="15"/>
      <c r="N981" s="15"/>
    </row>
    <row r="982">
      <c r="A982" s="15"/>
      <c r="B982" s="15"/>
      <c r="C982" s="15"/>
      <c r="D982" s="15"/>
      <c r="E982" s="15"/>
      <c r="F982" s="15"/>
      <c r="G982" s="15"/>
      <c r="H982" s="15"/>
      <c r="I982" s="15"/>
      <c r="J982" s="15"/>
      <c r="K982" s="15"/>
      <c r="L982" s="15"/>
      <c r="N982" s="15"/>
    </row>
    <row r="983">
      <c r="A983" s="15"/>
      <c r="B983" s="15"/>
      <c r="C983" s="15"/>
      <c r="D983" s="15"/>
      <c r="E983" s="15"/>
      <c r="F983" s="15"/>
      <c r="G983" s="15"/>
      <c r="H983" s="15"/>
      <c r="I983" s="15"/>
      <c r="J983" s="15"/>
      <c r="K983" s="15"/>
      <c r="L983" s="15"/>
      <c r="N983" s="15"/>
    </row>
    <row r="984">
      <c r="A984" s="15"/>
      <c r="B984" s="15"/>
      <c r="C984" s="15"/>
      <c r="D984" s="15"/>
      <c r="E984" s="15"/>
      <c r="F984" s="15"/>
      <c r="G984" s="15"/>
      <c r="H984" s="15"/>
      <c r="I984" s="15"/>
      <c r="J984" s="15"/>
      <c r="K984" s="15"/>
      <c r="L984" s="15"/>
      <c r="N984" s="15"/>
    </row>
    <row r="985">
      <c r="A985" s="15"/>
      <c r="B985" s="15"/>
      <c r="C985" s="15"/>
      <c r="D985" s="15"/>
      <c r="E985" s="15"/>
      <c r="F985" s="15"/>
      <c r="G985" s="15"/>
      <c r="H985" s="15"/>
      <c r="I985" s="15"/>
      <c r="J985" s="15"/>
      <c r="K985" s="15"/>
      <c r="L985" s="15"/>
      <c r="N985" s="15"/>
    </row>
    <row r="986">
      <c r="A986" s="15"/>
      <c r="B986" s="15"/>
      <c r="C986" s="15"/>
      <c r="D986" s="15"/>
      <c r="E986" s="15"/>
      <c r="F986" s="15"/>
      <c r="G986" s="15"/>
      <c r="H986" s="15"/>
      <c r="I986" s="15"/>
      <c r="J986" s="15"/>
      <c r="K986" s="15"/>
      <c r="L986" s="15"/>
      <c r="N986" s="15"/>
    </row>
    <row r="987">
      <c r="A987" s="15"/>
      <c r="B987" s="15"/>
      <c r="C987" s="15"/>
      <c r="D987" s="15"/>
      <c r="E987" s="15"/>
      <c r="F987" s="15"/>
      <c r="G987" s="15"/>
      <c r="H987" s="15"/>
      <c r="I987" s="15"/>
      <c r="J987" s="15"/>
      <c r="K987" s="15"/>
      <c r="L987" s="15"/>
      <c r="N987" s="15"/>
    </row>
    <row r="988">
      <c r="A988" s="15"/>
      <c r="B988" s="15"/>
      <c r="C988" s="15"/>
      <c r="D988" s="15"/>
      <c r="E988" s="15"/>
      <c r="F988" s="15"/>
      <c r="G988" s="15"/>
      <c r="H988" s="15"/>
      <c r="I988" s="15"/>
      <c r="J988" s="15"/>
      <c r="K988" s="15"/>
      <c r="L988" s="15"/>
      <c r="N988" s="15"/>
    </row>
    <row r="989">
      <c r="A989" s="15"/>
      <c r="B989" s="15"/>
      <c r="C989" s="15"/>
      <c r="D989" s="15"/>
      <c r="E989" s="15"/>
      <c r="F989" s="15"/>
      <c r="G989" s="15"/>
      <c r="H989" s="15"/>
      <c r="I989" s="15"/>
      <c r="J989" s="15"/>
      <c r="K989" s="15"/>
      <c r="L989" s="15"/>
      <c r="N989" s="15"/>
    </row>
    <row r="990">
      <c r="A990" s="15"/>
      <c r="B990" s="15"/>
      <c r="C990" s="15"/>
      <c r="D990" s="15"/>
      <c r="E990" s="15"/>
      <c r="F990" s="15"/>
      <c r="G990" s="15"/>
      <c r="H990" s="15"/>
      <c r="I990" s="15"/>
      <c r="J990" s="15"/>
      <c r="K990" s="15"/>
      <c r="L990" s="15"/>
      <c r="N990" s="15"/>
    </row>
    <row r="991">
      <c r="A991" s="15"/>
      <c r="B991" s="15"/>
      <c r="C991" s="15"/>
      <c r="D991" s="15"/>
      <c r="E991" s="15"/>
      <c r="F991" s="15"/>
      <c r="G991" s="15"/>
      <c r="H991" s="15"/>
      <c r="I991" s="15"/>
      <c r="J991" s="15"/>
      <c r="K991" s="15"/>
      <c r="L991" s="15"/>
      <c r="N991" s="15"/>
    </row>
    <row r="992">
      <c r="A992" s="15"/>
      <c r="B992" s="15"/>
      <c r="C992" s="15"/>
      <c r="D992" s="15"/>
      <c r="E992" s="15"/>
      <c r="F992" s="15"/>
      <c r="G992" s="15"/>
      <c r="H992" s="15"/>
      <c r="I992" s="15"/>
      <c r="J992" s="15"/>
      <c r="K992" s="15"/>
      <c r="L992" s="15"/>
      <c r="N992" s="15"/>
    </row>
    <row r="993">
      <c r="A993" s="15"/>
      <c r="B993" s="15"/>
      <c r="C993" s="15"/>
      <c r="D993" s="15"/>
      <c r="E993" s="15"/>
      <c r="F993" s="15"/>
      <c r="G993" s="15"/>
      <c r="H993" s="15"/>
      <c r="I993" s="15"/>
      <c r="J993" s="15"/>
      <c r="K993" s="15"/>
      <c r="L993" s="15"/>
      <c r="N993" s="15"/>
    </row>
    <row r="994">
      <c r="A994" s="15"/>
      <c r="B994" s="15"/>
      <c r="C994" s="15"/>
      <c r="D994" s="15"/>
      <c r="E994" s="15"/>
      <c r="F994" s="15"/>
      <c r="G994" s="15"/>
      <c r="H994" s="15"/>
      <c r="I994" s="15"/>
      <c r="J994" s="15"/>
      <c r="K994" s="15"/>
      <c r="L994" s="15"/>
      <c r="N994" s="15"/>
    </row>
    <row r="995">
      <c r="A995" s="15"/>
      <c r="B995" s="15"/>
      <c r="C995" s="15"/>
      <c r="D995" s="15"/>
      <c r="E995" s="15"/>
      <c r="F995" s="15"/>
      <c r="G995" s="15"/>
      <c r="H995" s="15"/>
      <c r="I995" s="15"/>
      <c r="J995" s="15"/>
      <c r="K995" s="15"/>
      <c r="L995" s="15"/>
      <c r="N995" s="15"/>
    </row>
    <row r="996">
      <c r="A996" s="15"/>
      <c r="B996" s="15"/>
      <c r="C996" s="15"/>
      <c r="D996" s="15"/>
      <c r="E996" s="15"/>
      <c r="F996" s="15"/>
      <c r="G996" s="15"/>
      <c r="H996" s="15"/>
      <c r="I996" s="15"/>
      <c r="J996" s="15"/>
      <c r="K996" s="15"/>
      <c r="L996" s="15"/>
      <c r="N996" s="15"/>
    </row>
    <row r="997">
      <c r="A997" s="15"/>
      <c r="B997" s="15"/>
      <c r="C997" s="15"/>
      <c r="D997" s="15"/>
      <c r="E997" s="15"/>
      <c r="F997" s="15"/>
      <c r="G997" s="15"/>
      <c r="H997" s="15"/>
      <c r="I997" s="15"/>
      <c r="J997" s="15"/>
      <c r="K997" s="15"/>
      <c r="L997" s="15"/>
      <c r="N997" s="15"/>
    </row>
    <row r="998">
      <c r="A998" s="15"/>
      <c r="B998" s="15"/>
      <c r="C998" s="15"/>
      <c r="D998" s="15"/>
      <c r="E998" s="15"/>
      <c r="F998" s="15"/>
      <c r="G998" s="15"/>
      <c r="H998" s="15"/>
      <c r="I998" s="15"/>
      <c r="J998" s="15"/>
      <c r="K998" s="15"/>
      <c r="L998" s="15"/>
      <c r="N998" s="15"/>
    </row>
    <row r="999">
      <c r="A999" s="15"/>
      <c r="B999" s="15"/>
      <c r="C999" s="15"/>
      <c r="D999" s="15"/>
      <c r="E999" s="15"/>
      <c r="F999" s="15"/>
      <c r="G999" s="15"/>
      <c r="H999" s="15"/>
      <c r="I999" s="15"/>
      <c r="J999" s="15"/>
      <c r="K999" s="15"/>
      <c r="L999" s="15"/>
      <c r="N999" s="15"/>
    </row>
    <row r="1000">
      <c r="A1000" s="15"/>
      <c r="B1000" s="15"/>
      <c r="C1000" s="15"/>
      <c r="D1000" s="15"/>
      <c r="E1000" s="15"/>
      <c r="F1000" s="15"/>
      <c r="G1000" s="15"/>
      <c r="H1000" s="15"/>
      <c r="I1000" s="15"/>
      <c r="J1000" s="15"/>
      <c r="K1000" s="15"/>
      <c r="L1000" s="15"/>
      <c r="N1000" s="15"/>
    </row>
    <row r="1001">
      <c r="A1001" s="15"/>
      <c r="B1001" s="15"/>
      <c r="C1001" s="15"/>
      <c r="D1001" s="15"/>
      <c r="E1001" s="15"/>
      <c r="F1001" s="15"/>
      <c r="G1001" s="15"/>
      <c r="H1001" s="15"/>
      <c r="I1001" s="15"/>
      <c r="J1001" s="15"/>
      <c r="K1001" s="15"/>
      <c r="L1001" s="15"/>
      <c r="N1001" s="15"/>
    </row>
    <row r="1002">
      <c r="A1002" s="15"/>
      <c r="B1002" s="15"/>
      <c r="C1002" s="15"/>
      <c r="D1002" s="15"/>
      <c r="E1002" s="15"/>
      <c r="F1002" s="15"/>
      <c r="G1002" s="15"/>
      <c r="H1002" s="15"/>
      <c r="I1002" s="15"/>
      <c r="J1002" s="15"/>
      <c r="K1002" s="15"/>
      <c r="L1002" s="15"/>
      <c r="N1002" s="15"/>
    </row>
    <row r="1003">
      <c r="A1003" s="15"/>
      <c r="B1003" s="15"/>
      <c r="C1003" s="15"/>
      <c r="D1003" s="15"/>
      <c r="E1003" s="15"/>
      <c r="F1003" s="15"/>
      <c r="G1003" s="15"/>
      <c r="H1003" s="15"/>
      <c r="I1003" s="15"/>
      <c r="J1003" s="15"/>
      <c r="K1003" s="15"/>
      <c r="L1003" s="15"/>
      <c r="N1003" s="15"/>
    </row>
    <row r="1004">
      <c r="A1004" s="15"/>
      <c r="B1004" s="15"/>
      <c r="C1004" s="15"/>
      <c r="D1004" s="15"/>
      <c r="E1004" s="15"/>
      <c r="F1004" s="15"/>
      <c r="G1004" s="15"/>
      <c r="H1004" s="15"/>
      <c r="I1004" s="15"/>
      <c r="J1004" s="15"/>
      <c r="K1004" s="15"/>
      <c r="L1004" s="15"/>
      <c r="N1004" s="15"/>
    </row>
    <row r="1005">
      <c r="A1005" s="15"/>
      <c r="B1005" s="15"/>
      <c r="C1005" s="15"/>
      <c r="D1005" s="15"/>
      <c r="E1005" s="15"/>
      <c r="F1005" s="15"/>
      <c r="G1005" s="15"/>
      <c r="H1005" s="15"/>
      <c r="I1005" s="15"/>
      <c r="J1005" s="15"/>
      <c r="K1005" s="15"/>
      <c r="L1005" s="15"/>
      <c r="N1005" s="15"/>
    </row>
    <row r="1006">
      <c r="A1006" s="15"/>
      <c r="B1006" s="15"/>
      <c r="C1006" s="15"/>
      <c r="D1006" s="15"/>
      <c r="E1006" s="15"/>
      <c r="F1006" s="15"/>
      <c r="G1006" s="15"/>
      <c r="H1006" s="15"/>
      <c r="I1006" s="15"/>
      <c r="J1006" s="15"/>
      <c r="K1006" s="15"/>
      <c r="L1006" s="15"/>
      <c r="N1006" s="15"/>
    </row>
    <row r="1007">
      <c r="A1007" s="15"/>
      <c r="B1007" s="15"/>
      <c r="C1007" s="15"/>
      <c r="D1007" s="15"/>
      <c r="E1007" s="15"/>
      <c r="F1007" s="15"/>
      <c r="G1007" s="15"/>
      <c r="H1007" s="15"/>
      <c r="I1007" s="15"/>
      <c r="J1007" s="15"/>
      <c r="K1007" s="15"/>
      <c r="L1007" s="15"/>
      <c r="N1007" s="15"/>
    </row>
  </sheetData>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1.25"/>
  </cols>
  <sheetData>
    <row r="3">
      <c r="A3" s="174"/>
    </row>
    <row r="4">
      <c r="A4" s="174"/>
    </row>
    <row r="5">
      <c r="A5" s="174" t="s">
        <v>8557</v>
      </c>
      <c r="B5" s="48"/>
      <c r="C5" s="50"/>
      <c r="D5" s="50"/>
      <c r="E5" s="50"/>
      <c r="F5" s="50"/>
      <c r="G5" s="50"/>
      <c r="H5" s="50"/>
      <c r="I5" s="50"/>
      <c r="J5" s="50"/>
      <c r="K5" s="50"/>
      <c r="L5" s="50"/>
      <c r="M5" s="50"/>
      <c r="N5" s="50"/>
      <c r="O5" s="50"/>
      <c r="P5" s="50"/>
      <c r="Q5" s="50"/>
      <c r="R5" s="50"/>
      <c r="S5" s="50"/>
      <c r="T5" s="50"/>
      <c r="U5" s="50"/>
      <c r="V5" s="50"/>
      <c r="W5" s="50"/>
      <c r="X5" s="50"/>
      <c r="Y5" s="50"/>
      <c r="Z5" s="50"/>
    </row>
    <row r="6">
      <c r="A6" s="174" t="s">
        <v>8546</v>
      </c>
      <c r="B6" s="13" t="s">
        <v>8558</v>
      </c>
    </row>
    <row r="7">
      <c r="A7" s="174"/>
    </row>
  </sheetData>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8.0"/>
    <col customWidth="1" min="3" max="3" width="37.38"/>
    <col customWidth="1" min="5" max="5" width="27.13"/>
    <col customWidth="1" min="6" max="6" width="38.75"/>
  </cols>
  <sheetData>
    <row r="1">
      <c r="A1" s="179" t="s">
        <v>8559</v>
      </c>
      <c r="B1" s="180" t="s">
        <v>8560</v>
      </c>
      <c r="C1" s="181" t="s">
        <v>8561</v>
      </c>
      <c r="D1" s="1" t="str">
        <f> "Last Column " &amp; Checks!$D$6</f>
        <v>Last Column D</v>
      </c>
      <c r="E1" s="180" t="s">
        <v>8562</v>
      </c>
      <c r="F1" s="181" t="s">
        <v>8563</v>
      </c>
    </row>
    <row r="2">
      <c r="A2" s="179">
        <f>IFERROR(__xludf.DUMMYFUNCTION("importrange('Data Master Location'!$B$1,""Delivery Weeks!A:A"")"),1.0)</f>
        <v>1</v>
      </c>
      <c r="B2" s="180" t="str">
        <f>IFERROR(__xludf.DUMMYFUNCTION("importrange('Data Master Location'!$B$1,""Delivery Weeks!C:C"")"),"8-12")</f>
        <v>8-12</v>
      </c>
      <c r="C2" s="182" t="str">
        <f>IFERROR(__xludf.DUMMYFUNCTION("importrange('Data Master Location'!$B$1,""Delivery Weeks!B:B"")"),"Estimated Delivery Time: 8-12 Weeks, Initials")</f>
        <v>Estimated Delivery Time: 8-12 Weeks, Initials</v>
      </c>
      <c r="D2" s="50"/>
      <c r="E2" s="180" t="str">
        <f>IFERROR(__xludf.DUMMYFUNCTION("importrange('Data Master Location'!$B$1,""Delivery Weeks!F:F"")"),"3-4")</f>
        <v>3-4</v>
      </c>
      <c r="F2" s="182">
        <f>IFERROR(__xludf.DUMMYFUNCTION("importrange('Data Master Location'!$B$1,""Delivery Weeks!E:E"")"),1.0)</f>
        <v>1</v>
      </c>
    </row>
    <row r="3">
      <c r="A3" s="179">
        <f>IFERROR(__xludf.DUMMYFUNCTION("""COMPUTED_VALUE"""),2.0)</f>
        <v>2</v>
      </c>
      <c r="B3" s="180" t="str">
        <f>IFERROR(__xludf.DUMMYFUNCTION("""COMPUTED_VALUE"""),"8-12")</f>
        <v>8-12</v>
      </c>
      <c r="C3" s="182" t="str">
        <f>IFERROR(__xludf.DUMMYFUNCTION("""COMPUTED_VALUE"""),"Estimated Delivery Time: 8-12 Weeks, Initials")</f>
        <v>Estimated Delivery Time: 8-12 Weeks, Initials</v>
      </c>
      <c r="E3" s="180" t="str">
        <f>IFERROR(__xludf.DUMMYFUNCTION("""COMPUTED_VALUE"""),"4-6")</f>
        <v>4-6</v>
      </c>
      <c r="F3" s="182">
        <f>IFERROR(__xludf.DUMMYFUNCTION("""COMPUTED_VALUE"""),2.0)</f>
        <v>2</v>
      </c>
    </row>
    <row r="4">
      <c r="A4" s="179">
        <f>IFERROR(__xludf.DUMMYFUNCTION("""COMPUTED_VALUE"""),3.0)</f>
        <v>3</v>
      </c>
      <c r="B4" s="180" t="str">
        <f>IFERROR(__xludf.DUMMYFUNCTION("""COMPUTED_VALUE"""),"10-14")</f>
        <v>10-14</v>
      </c>
      <c r="C4" s="182" t="str">
        <f>IFERROR(__xludf.DUMMYFUNCTION("""COMPUTED_VALUE"""),"Estimated Delivery Time: 10-14 Weeks, Initials")</f>
        <v>Estimated Delivery Time: 10-14 Weeks, Initials</v>
      </c>
      <c r="E4" s="180" t="str">
        <f>IFERROR(__xludf.DUMMYFUNCTION("""COMPUTED_VALUE"""),"4-8")</f>
        <v>4-8</v>
      </c>
      <c r="F4" s="182">
        <f>IFERROR(__xludf.DUMMYFUNCTION("""COMPUTED_VALUE"""),3.0)</f>
        <v>3</v>
      </c>
    </row>
    <row r="5">
      <c r="A5" s="179">
        <f>IFERROR(__xludf.DUMMYFUNCTION("""COMPUTED_VALUE"""),4.0)</f>
        <v>4</v>
      </c>
      <c r="B5" s="180" t="str">
        <f>IFERROR(__xludf.DUMMYFUNCTION("""COMPUTED_VALUE"""),"8-12")</f>
        <v>8-12</v>
      </c>
      <c r="C5" s="182" t="str">
        <f>IFERROR(__xludf.DUMMYFUNCTION("""COMPUTED_VALUE"""),"Estimated Delivery Time: 8-12 Weeks, Initials")</f>
        <v>Estimated Delivery Time: 8-12 Weeks, Initials</v>
      </c>
      <c r="E5" s="180" t="str">
        <f>IFERROR(__xludf.DUMMYFUNCTION("""COMPUTED_VALUE"""),"6-8")</f>
        <v>6-8</v>
      </c>
      <c r="F5" s="182">
        <f>IFERROR(__xludf.DUMMYFUNCTION("""COMPUTED_VALUE"""),4.0)</f>
        <v>4</v>
      </c>
    </row>
    <row r="6">
      <c r="A6" s="179">
        <f>IFERROR(__xludf.DUMMYFUNCTION("""COMPUTED_VALUE"""),5.0)</f>
        <v>5</v>
      </c>
      <c r="B6" s="180" t="str">
        <f>IFERROR(__xludf.DUMMYFUNCTION("""COMPUTED_VALUE"""),"8-12")</f>
        <v>8-12</v>
      </c>
      <c r="C6" s="182" t="str">
        <f>IFERROR(__xludf.DUMMYFUNCTION("""COMPUTED_VALUE"""),"Estimated Delivery Time: 8-12 Weeks, Initials")</f>
        <v>Estimated Delivery Time: 8-12 Weeks, Initials</v>
      </c>
      <c r="E6" s="180" t="str">
        <f>IFERROR(__xludf.DUMMYFUNCTION("""COMPUTED_VALUE"""),"8-12")</f>
        <v>8-12</v>
      </c>
      <c r="F6" s="182">
        <f>IFERROR(__xludf.DUMMYFUNCTION("""COMPUTED_VALUE"""),5.0)</f>
        <v>5</v>
      </c>
    </row>
    <row r="7">
      <c r="A7" s="179">
        <f>IFERROR(__xludf.DUMMYFUNCTION("""COMPUTED_VALUE"""),6.0)</f>
        <v>6</v>
      </c>
      <c r="B7" s="180" t="str">
        <f>IFERROR(__xludf.DUMMYFUNCTION("""COMPUTED_VALUE"""),"8-12")</f>
        <v>8-12</v>
      </c>
      <c r="C7" s="182" t="str">
        <f>IFERROR(__xludf.DUMMYFUNCTION("""COMPUTED_VALUE"""),"Estimated Delivery Time: 8-12 Weeks, Initials")</f>
        <v>Estimated Delivery Time: 8-12 Weeks, Initials</v>
      </c>
      <c r="E7" s="180" t="str">
        <f>IFERROR(__xludf.DUMMYFUNCTION("""COMPUTED_VALUE"""),"10-14")</f>
        <v>10-14</v>
      </c>
      <c r="F7" s="182">
        <f>IFERROR(__xludf.DUMMYFUNCTION("""COMPUTED_VALUE"""),6.0)</f>
        <v>6</v>
      </c>
    </row>
    <row r="8">
      <c r="A8" s="179">
        <f>IFERROR(__xludf.DUMMYFUNCTION("""COMPUTED_VALUE"""),7.0)</f>
        <v>7</v>
      </c>
      <c r="B8" s="180" t="str">
        <f>IFERROR(__xludf.DUMMYFUNCTION("""COMPUTED_VALUE"""),"12-16")</f>
        <v>12-16</v>
      </c>
      <c r="C8" s="182" t="str">
        <f>IFERROR(__xludf.DUMMYFUNCTION("""COMPUTED_VALUE"""),"Estimated Delivery Time: 12-16 Weeks, Initials")</f>
        <v>Estimated Delivery Time: 12-16 Weeks, Initials</v>
      </c>
      <c r="E8" s="180" t="str">
        <f>IFERROR(__xludf.DUMMYFUNCTION("""COMPUTED_VALUE"""),"12-16")</f>
        <v>12-16</v>
      </c>
      <c r="F8" s="182">
        <f>IFERROR(__xludf.DUMMYFUNCTION("""COMPUTED_VALUE"""),7.0)</f>
        <v>7</v>
      </c>
    </row>
    <row r="9">
      <c r="A9" s="179">
        <f>IFERROR(__xludf.DUMMYFUNCTION("""COMPUTED_VALUE"""),8.0)</f>
        <v>8</v>
      </c>
      <c r="B9" s="180" t="str">
        <f>IFERROR(__xludf.DUMMYFUNCTION("""COMPUTED_VALUE"""),"10-14")</f>
        <v>10-14</v>
      </c>
      <c r="C9" s="182" t="str">
        <f>IFERROR(__xludf.DUMMYFUNCTION("""COMPUTED_VALUE"""),"Estimated Delivery Time: 10-14 Weeks, Initials")</f>
        <v>Estimated Delivery Time: 10-14 Weeks, Initials</v>
      </c>
      <c r="E9" s="180" t="str">
        <f>IFERROR(__xludf.DUMMYFUNCTION("""COMPUTED_VALUE"""),"16-20")</f>
        <v>16-20</v>
      </c>
      <c r="F9" s="182">
        <f>IFERROR(__xludf.DUMMYFUNCTION("""COMPUTED_VALUE"""),8.0)</f>
        <v>8</v>
      </c>
    </row>
    <row r="10">
      <c r="A10" s="179">
        <f>IFERROR(__xludf.DUMMYFUNCTION("""COMPUTED_VALUE"""),9.0)</f>
        <v>9</v>
      </c>
      <c r="B10" s="180" t="str">
        <f>IFERROR(__xludf.DUMMYFUNCTION("""COMPUTED_VALUE"""),"8-12")</f>
        <v>8-12</v>
      </c>
      <c r="C10" s="182" t="str">
        <f>IFERROR(__xludf.DUMMYFUNCTION("""COMPUTED_VALUE"""),"Estimated Delivery Time: 8-12 Weeks, Initials")</f>
        <v>Estimated Delivery Time: 8-12 Weeks, Initials</v>
      </c>
      <c r="E10" s="180"/>
      <c r="F10" s="182"/>
    </row>
    <row r="11">
      <c r="A11" s="179">
        <f>IFERROR(__xludf.DUMMYFUNCTION("""COMPUTED_VALUE"""),10.0)</f>
        <v>10</v>
      </c>
      <c r="B11" s="180" t="str">
        <f>IFERROR(__xludf.DUMMYFUNCTION("""COMPUTED_VALUE"""),"8-12")</f>
        <v>8-12</v>
      </c>
      <c r="C11" s="182" t="str">
        <f>IFERROR(__xludf.DUMMYFUNCTION("""COMPUTED_VALUE"""),"Estimated Delivery Time: 8-12 Weeks, Initials")</f>
        <v>Estimated Delivery Time: 8-12 Weeks, Initials</v>
      </c>
      <c r="E11" s="180"/>
      <c r="F11" s="182"/>
    </row>
    <row r="12">
      <c r="A12" s="179">
        <f>IFERROR(__xludf.DUMMYFUNCTION("""COMPUTED_VALUE"""),11.0)</f>
        <v>11</v>
      </c>
      <c r="B12" s="180" t="str">
        <f>IFERROR(__xludf.DUMMYFUNCTION("""COMPUTED_VALUE"""),"12-16")</f>
        <v>12-16</v>
      </c>
      <c r="C12" s="182" t="str">
        <f>IFERROR(__xludf.DUMMYFUNCTION("""COMPUTED_VALUE"""),"Estimated Delivery Time: 12-16 Weeks, Initials")</f>
        <v>Estimated Delivery Time: 12-16 Weeks, Initials</v>
      </c>
      <c r="E12" s="180"/>
      <c r="F12" s="182"/>
    </row>
    <row r="13">
      <c r="A13" s="179">
        <f>IFERROR(__xludf.DUMMYFUNCTION("""COMPUTED_VALUE"""),12.0)</f>
        <v>12</v>
      </c>
      <c r="B13" s="180" t="str">
        <f>IFERROR(__xludf.DUMMYFUNCTION("""COMPUTED_VALUE"""),"8-12")</f>
        <v>8-12</v>
      </c>
      <c r="C13" s="182" t="str">
        <f>IFERROR(__xludf.DUMMYFUNCTION("""COMPUTED_VALUE"""),"Estimated Delivery Time: 8-12 Weeks, Initials")</f>
        <v>Estimated Delivery Time: 8-12 Weeks, Initials</v>
      </c>
      <c r="E13" s="180"/>
      <c r="F13" s="182"/>
    </row>
    <row r="14">
      <c r="A14" s="179">
        <f>IFERROR(__xludf.DUMMYFUNCTION("""COMPUTED_VALUE"""),13.0)</f>
        <v>13</v>
      </c>
      <c r="B14" s="180" t="str">
        <f>IFERROR(__xludf.DUMMYFUNCTION("""COMPUTED_VALUE"""),"10-14")</f>
        <v>10-14</v>
      </c>
      <c r="C14" s="182" t="str">
        <f>IFERROR(__xludf.DUMMYFUNCTION("""COMPUTED_VALUE"""),"Estimated Delivery Time: 10-14 Weeks, Initials")</f>
        <v>Estimated Delivery Time: 10-14 Weeks, Initials</v>
      </c>
      <c r="E14" s="180"/>
      <c r="F14" s="182"/>
    </row>
    <row r="15">
      <c r="A15" s="179">
        <f>IFERROR(__xludf.DUMMYFUNCTION("""COMPUTED_VALUE"""),14.0)</f>
        <v>14</v>
      </c>
      <c r="B15" s="180" t="str">
        <f>IFERROR(__xludf.DUMMYFUNCTION("""COMPUTED_VALUE"""),"12-16")</f>
        <v>12-16</v>
      </c>
      <c r="C15" s="182" t="str">
        <f>IFERROR(__xludf.DUMMYFUNCTION("""COMPUTED_VALUE"""),"Estimated Delivery Time: 12-16 Weeks, Initials")</f>
        <v>Estimated Delivery Time: 12-16 Weeks, Initials</v>
      </c>
      <c r="E15" s="180"/>
      <c r="F15" s="182"/>
    </row>
    <row r="16">
      <c r="A16" s="179">
        <f>IFERROR(__xludf.DUMMYFUNCTION("""COMPUTED_VALUE"""),15.0)</f>
        <v>15</v>
      </c>
      <c r="B16" s="180" t="str">
        <f>IFERROR(__xludf.DUMMYFUNCTION("""COMPUTED_VALUE"""),"8-12")</f>
        <v>8-12</v>
      </c>
      <c r="C16" s="182" t="str">
        <f>IFERROR(__xludf.DUMMYFUNCTION("""COMPUTED_VALUE"""),"Estimated Delivery Time: 8-12 Weeks, Initials")</f>
        <v>Estimated Delivery Time: 8-12 Weeks, Initials</v>
      </c>
      <c r="E16" s="180"/>
      <c r="F16" s="182"/>
    </row>
    <row r="17">
      <c r="A17" s="179">
        <f>IFERROR(__xludf.DUMMYFUNCTION("""COMPUTED_VALUE"""),16.0)</f>
        <v>16</v>
      </c>
      <c r="B17" s="180" t="str">
        <f>IFERROR(__xludf.DUMMYFUNCTION("""COMPUTED_VALUE"""),"12-16")</f>
        <v>12-16</v>
      </c>
      <c r="C17" s="182" t="str">
        <f>IFERROR(__xludf.DUMMYFUNCTION("""COMPUTED_VALUE"""),"Estimated Delivery Time: 12-16 Weeks, Initials")</f>
        <v>Estimated Delivery Time: 12-16 Weeks, Initials</v>
      </c>
      <c r="E17" s="180"/>
      <c r="F17" s="182"/>
    </row>
    <row r="18">
      <c r="A18" s="179">
        <f>IFERROR(__xludf.DUMMYFUNCTION("""COMPUTED_VALUE"""),17.0)</f>
        <v>17</v>
      </c>
      <c r="B18" s="180" t="str">
        <f>IFERROR(__xludf.DUMMYFUNCTION("""COMPUTED_VALUE"""),"12-16")</f>
        <v>12-16</v>
      </c>
      <c r="C18" s="182" t="str">
        <f>IFERROR(__xludf.DUMMYFUNCTION("""COMPUTED_VALUE"""),"Estimated Delivery Time: 12-16 Weeks, Initials")</f>
        <v>Estimated Delivery Time: 12-16 Weeks, Initials</v>
      </c>
      <c r="E18" s="180"/>
      <c r="F18" s="182"/>
    </row>
    <row r="19">
      <c r="A19" s="179">
        <f>IFERROR(__xludf.DUMMYFUNCTION("""COMPUTED_VALUE"""),18.0)</f>
        <v>18</v>
      </c>
      <c r="B19" s="180" t="str">
        <f>IFERROR(__xludf.DUMMYFUNCTION("""COMPUTED_VALUE"""),"8-12")</f>
        <v>8-12</v>
      </c>
      <c r="C19" s="182" t="str">
        <f>IFERROR(__xludf.DUMMYFUNCTION("""COMPUTED_VALUE"""),"Estimated Delivery Time: 8-12 Weeks, Initials")</f>
        <v>Estimated Delivery Time: 8-12 Weeks, Initials</v>
      </c>
      <c r="E19" s="180"/>
      <c r="F19" s="182"/>
    </row>
    <row r="20">
      <c r="A20" s="179">
        <f>IFERROR(__xludf.DUMMYFUNCTION("""COMPUTED_VALUE"""),19.0)</f>
        <v>19</v>
      </c>
      <c r="B20" s="180" t="str">
        <f>IFERROR(__xludf.DUMMYFUNCTION("""COMPUTED_VALUE"""),"6-8")</f>
        <v>6-8</v>
      </c>
      <c r="C20" s="182" t="str">
        <f>IFERROR(__xludf.DUMMYFUNCTION("""COMPUTED_VALUE"""),"Estimated Delivery Time: 6-8 Weeks, Initials")</f>
        <v>Estimated Delivery Time: 6-8 Weeks, Initials</v>
      </c>
      <c r="E20" s="180"/>
      <c r="F20" s="182"/>
    </row>
    <row r="21">
      <c r="A21" s="179">
        <f>IFERROR(__xludf.DUMMYFUNCTION("""COMPUTED_VALUE"""),20.0)</f>
        <v>20</v>
      </c>
      <c r="B21" s="180" t="str">
        <f>IFERROR(__xludf.DUMMYFUNCTION("""COMPUTED_VALUE"""),"8-12")</f>
        <v>8-12</v>
      </c>
      <c r="C21" s="182" t="str">
        <f>IFERROR(__xludf.DUMMYFUNCTION("""COMPUTED_VALUE"""),"Estimated Delivery Time: 8-12 Weeks, Initials")</f>
        <v>Estimated Delivery Time: 8-12 Weeks, Initials</v>
      </c>
      <c r="E21" s="180"/>
      <c r="F21" s="182"/>
    </row>
    <row r="22">
      <c r="A22" s="179">
        <f>IFERROR(__xludf.DUMMYFUNCTION("""COMPUTED_VALUE"""),21.0)</f>
        <v>21</v>
      </c>
      <c r="B22" s="180" t="str">
        <f>IFERROR(__xludf.DUMMYFUNCTION("""COMPUTED_VALUE"""),"16-20")</f>
        <v>16-20</v>
      </c>
      <c r="C22" s="182" t="str">
        <f>IFERROR(__xludf.DUMMYFUNCTION("""COMPUTED_VALUE"""),"Estimated Delivery Time: 16-20 Weeks, Initials")</f>
        <v>Estimated Delivery Time: 16-20 Weeks, Initials</v>
      </c>
      <c r="E22" s="180"/>
      <c r="F22" s="182"/>
    </row>
    <row r="23">
      <c r="A23" s="179">
        <f>IFERROR(__xludf.DUMMYFUNCTION("""COMPUTED_VALUE"""),22.0)</f>
        <v>22</v>
      </c>
      <c r="B23" s="180" t="str">
        <f>IFERROR(__xludf.DUMMYFUNCTION("""COMPUTED_VALUE"""),"8-12")</f>
        <v>8-12</v>
      </c>
      <c r="C23" s="182" t="str">
        <f>IFERROR(__xludf.DUMMYFUNCTION("""COMPUTED_VALUE"""),"Estimated Delivery Time: 8-12 Weeks, Initials")</f>
        <v>Estimated Delivery Time: 8-12 Weeks, Initials</v>
      </c>
      <c r="E23" s="180"/>
      <c r="F23" s="182"/>
    </row>
    <row r="24">
      <c r="A24" s="179">
        <f>IFERROR(__xludf.DUMMYFUNCTION("""COMPUTED_VALUE"""),23.0)</f>
        <v>23</v>
      </c>
      <c r="B24" s="180" t="str">
        <f>IFERROR(__xludf.DUMMYFUNCTION("""COMPUTED_VALUE"""),"8-12")</f>
        <v>8-12</v>
      </c>
      <c r="C24" s="182" t="str">
        <f>IFERROR(__xludf.DUMMYFUNCTION("""COMPUTED_VALUE"""),"Estimated Delivery Time: 8-12 Weeks, Initials")</f>
        <v>Estimated Delivery Time: 8-12 Weeks, Initials</v>
      </c>
      <c r="E24" s="180"/>
      <c r="F24" s="182"/>
    </row>
    <row r="25">
      <c r="A25" s="179">
        <f>IFERROR(__xludf.DUMMYFUNCTION("""COMPUTED_VALUE"""),24.0)</f>
        <v>24</v>
      </c>
      <c r="B25" s="180" t="str">
        <f>IFERROR(__xludf.DUMMYFUNCTION("""COMPUTED_VALUE"""),"10-14")</f>
        <v>10-14</v>
      </c>
      <c r="C25" s="182" t="str">
        <f>IFERROR(__xludf.DUMMYFUNCTION("""COMPUTED_VALUE"""),"Estimated Delivery Time: 10-14 Weeks, Initials")</f>
        <v>Estimated Delivery Time: 10-14 Weeks, Initials</v>
      </c>
      <c r="E25" s="180"/>
      <c r="F25" s="182"/>
    </row>
    <row r="26">
      <c r="A26" s="179">
        <f>IFERROR(__xludf.DUMMYFUNCTION("""COMPUTED_VALUE"""),25.0)</f>
        <v>25</v>
      </c>
      <c r="B26" s="180" t="str">
        <f>IFERROR(__xludf.DUMMYFUNCTION("""COMPUTED_VALUE"""),"10-14")</f>
        <v>10-14</v>
      </c>
      <c r="C26" s="182" t="str">
        <f>IFERROR(__xludf.DUMMYFUNCTION("""COMPUTED_VALUE"""),"Estimated Delivery Time: 10-14 Weeks, Initials")</f>
        <v>Estimated Delivery Time: 10-14 Weeks, Initials</v>
      </c>
      <c r="E26" s="180"/>
      <c r="F26" s="182"/>
    </row>
    <row r="27">
      <c r="A27" s="179">
        <f>IFERROR(__xludf.DUMMYFUNCTION("""COMPUTED_VALUE"""),26.0)</f>
        <v>26</v>
      </c>
      <c r="B27" s="180" t="str">
        <f>IFERROR(__xludf.DUMMYFUNCTION("""COMPUTED_VALUE"""),"10-14")</f>
        <v>10-14</v>
      </c>
      <c r="C27" s="182" t="str">
        <f>IFERROR(__xludf.DUMMYFUNCTION("""COMPUTED_VALUE"""),"Estimated Delivery Time: 10-14 Weeks, Initials")</f>
        <v>Estimated Delivery Time: 10-14 Weeks, Initials</v>
      </c>
      <c r="E27" s="180"/>
      <c r="F27" s="182"/>
    </row>
    <row r="28">
      <c r="A28" s="179">
        <f>IFERROR(__xludf.DUMMYFUNCTION("""COMPUTED_VALUE"""),27.0)</f>
        <v>27</v>
      </c>
      <c r="B28" s="180" t="str">
        <f>IFERROR(__xludf.DUMMYFUNCTION("""COMPUTED_VALUE"""),"8-12")</f>
        <v>8-12</v>
      </c>
      <c r="C28" s="182" t="str">
        <f>IFERROR(__xludf.DUMMYFUNCTION("""COMPUTED_VALUE"""),"Estimated Delivery Time: 8-12 Weeks, Initials")</f>
        <v>Estimated Delivery Time: 8-12 Weeks, Initials</v>
      </c>
      <c r="E28" s="180"/>
      <c r="F28" s="182"/>
    </row>
    <row r="29">
      <c r="A29" s="179">
        <f>IFERROR(__xludf.DUMMYFUNCTION("""COMPUTED_VALUE"""),28.0)</f>
        <v>28</v>
      </c>
      <c r="B29" s="180" t="str">
        <f>IFERROR(__xludf.DUMMYFUNCTION("""COMPUTED_VALUE"""),"8-12")</f>
        <v>8-12</v>
      </c>
      <c r="C29" s="182" t="str">
        <f>IFERROR(__xludf.DUMMYFUNCTION("""COMPUTED_VALUE"""),"Estimated Delivery Time: 8-12 Weeks, Initials")</f>
        <v>Estimated Delivery Time: 8-12 Weeks, Initials</v>
      </c>
      <c r="E29" s="180"/>
      <c r="F29" s="182"/>
    </row>
    <row r="30">
      <c r="A30" s="179">
        <f>IFERROR(__xludf.DUMMYFUNCTION("""COMPUTED_VALUE"""),29.0)</f>
        <v>29</v>
      </c>
      <c r="B30" s="180" t="str">
        <f>IFERROR(__xludf.DUMMYFUNCTION("""COMPUTED_VALUE"""),"16-20")</f>
        <v>16-20</v>
      </c>
      <c r="C30" s="182" t="str">
        <f>IFERROR(__xludf.DUMMYFUNCTION("""COMPUTED_VALUE"""),"Estimated Delivery Time: 16-20 Weeks, Initials")</f>
        <v>Estimated Delivery Time: 16-20 Weeks, Initials</v>
      </c>
      <c r="E30" s="180"/>
      <c r="F30" s="182"/>
    </row>
    <row r="31">
      <c r="A31" s="179">
        <f>IFERROR(__xludf.DUMMYFUNCTION("""COMPUTED_VALUE"""),30.0)</f>
        <v>30</v>
      </c>
      <c r="B31" s="180" t="str">
        <f>IFERROR(__xludf.DUMMYFUNCTION("""COMPUTED_VALUE"""),"10-14")</f>
        <v>10-14</v>
      </c>
      <c r="C31" s="182" t="str">
        <f>IFERROR(__xludf.DUMMYFUNCTION("""COMPUTED_VALUE"""),"Estimated Delivery Time: 10-14 Weeks, Initials")</f>
        <v>Estimated Delivery Time: 10-14 Weeks, Initials</v>
      </c>
      <c r="E31" s="180"/>
      <c r="F31" s="182"/>
    </row>
    <row r="32">
      <c r="A32" s="179">
        <f>IFERROR(__xludf.DUMMYFUNCTION("""COMPUTED_VALUE"""),31.0)</f>
        <v>31</v>
      </c>
      <c r="B32" s="180" t="str">
        <f>IFERROR(__xludf.DUMMYFUNCTION("""COMPUTED_VALUE"""),"8-12")</f>
        <v>8-12</v>
      </c>
      <c r="C32" s="182" t="str">
        <f>IFERROR(__xludf.DUMMYFUNCTION("""COMPUTED_VALUE"""),"Estimated Delivery Time: 8-12 Weeks, Initials")</f>
        <v>Estimated Delivery Time: 8-12 Weeks, Initials</v>
      </c>
      <c r="E32" s="180"/>
      <c r="F32" s="182"/>
    </row>
    <row r="33">
      <c r="A33" s="179">
        <f>IFERROR(__xludf.DUMMYFUNCTION("""COMPUTED_VALUE"""),32.0)</f>
        <v>32</v>
      </c>
      <c r="B33" s="180" t="str">
        <f>IFERROR(__xludf.DUMMYFUNCTION("""COMPUTED_VALUE"""),"10-14")</f>
        <v>10-14</v>
      </c>
      <c r="C33" s="182" t="str">
        <f>IFERROR(__xludf.DUMMYFUNCTION("""COMPUTED_VALUE"""),"Estimated Delivery Time: 10-14 Weeks, Initials")</f>
        <v>Estimated Delivery Time: 10-14 Weeks, Initials</v>
      </c>
      <c r="E33" s="180"/>
      <c r="F33" s="182"/>
    </row>
    <row r="34">
      <c r="A34" s="179">
        <f>IFERROR(__xludf.DUMMYFUNCTION("""COMPUTED_VALUE"""),33.0)</f>
        <v>33</v>
      </c>
      <c r="B34" s="180" t="str">
        <f>IFERROR(__xludf.DUMMYFUNCTION("""COMPUTED_VALUE"""),"10-14")</f>
        <v>10-14</v>
      </c>
      <c r="C34" s="182" t="str">
        <f>IFERROR(__xludf.DUMMYFUNCTION("""COMPUTED_VALUE"""),"Estimated Delivery Time: 10-14 Weeks, Initials")</f>
        <v>Estimated Delivery Time: 10-14 Weeks, Initials</v>
      </c>
      <c r="E34" s="180"/>
      <c r="F34" s="182"/>
    </row>
    <row r="35">
      <c r="A35" s="179">
        <f>IFERROR(__xludf.DUMMYFUNCTION("""COMPUTED_VALUE"""),34.0)</f>
        <v>34</v>
      </c>
      <c r="B35" s="180" t="str">
        <f>IFERROR(__xludf.DUMMYFUNCTION("""COMPUTED_VALUE"""),"6-8")</f>
        <v>6-8</v>
      </c>
      <c r="C35" s="182" t="str">
        <f>IFERROR(__xludf.DUMMYFUNCTION("""COMPUTED_VALUE"""),"Estimated Delivery Time: 6-8 Weeks, Initials")</f>
        <v>Estimated Delivery Time: 6-8 Weeks, Initials</v>
      </c>
      <c r="E35" s="180"/>
      <c r="F35" s="182"/>
    </row>
    <row r="36">
      <c r="A36" s="179">
        <f>IFERROR(__xludf.DUMMYFUNCTION("""COMPUTED_VALUE"""),35.0)</f>
        <v>35</v>
      </c>
      <c r="B36" s="180" t="str">
        <f>IFERROR(__xludf.DUMMYFUNCTION("""COMPUTED_VALUE"""),"4-6")</f>
        <v>4-6</v>
      </c>
      <c r="C36" s="182" t="str">
        <f>IFERROR(__xludf.DUMMYFUNCTION("""COMPUTED_VALUE"""),"Estimated Delivery Time: 4-6 Weeks, Initials")</f>
        <v>Estimated Delivery Time: 4-6 Weeks, Initials</v>
      </c>
      <c r="E36" s="180"/>
      <c r="F36" s="182"/>
    </row>
    <row r="37">
      <c r="A37" s="179">
        <f>IFERROR(__xludf.DUMMYFUNCTION("""COMPUTED_VALUE"""),36.0)</f>
        <v>36</v>
      </c>
      <c r="B37" s="180" t="str">
        <f>IFERROR(__xludf.DUMMYFUNCTION("""COMPUTED_VALUE"""),"8-12")</f>
        <v>8-12</v>
      </c>
      <c r="C37" s="182" t="str">
        <f>IFERROR(__xludf.DUMMYFUNCTION("""COMPUTED_VALUE"""),"Estimated Delivery Time: 8-12 Weeks, Initials")</f>
        <v>Estimated Delivery Time: 8-12 Weeks, Initials</v>
      </c>
      <c r="E37" s="180"/>
      <c r="F37" s="182"/>
    </row>
    <row r="38">
      <c r="A38" s="179">
        <f>IFERROR(__xludf.DUMMYFUNCTION("""COMPUTED_VALUE"""),37.0)</f>
        <v>37</v>
      </c>
      <c r="B38" s="180" t="str">
        <f>IFERROR(__xludf.DUMMYFUNCTION("""COMPUTED_VALUE"""),"8-12")</f>
        <v>8-12</v>
      </c>
      <c r="C38" s="182" t="str">
        <f>IFERROR(__xludf.DUMMYFUNCTION("""COMPUTED_VALUE"""),"Estimated Delivery Time: 8-12 Weeks, Initials")</f>
        <v>Estimated Delivery Time: 8-12 Weeks, Initials</v>
      </c>
      <c r="E38" s="180"/>
      <c r="F38" s="182"/>
    </row>
    <row r="39">
      <c r="A39" s="179">
        <f>IFERROR(__xludf.DUMMYFUNCTION("""COMPUTED_VALUE"""),38.0)</f>
        <v>38</v>
      </c>
      <c r="B39" s="180" t="str">
        <f>IFERROR(__xludf.DUMMYFUNCTION("""COMPUTED_VALUE"""),"16-20")</f>
        <v>16-20</v>
      </c>
      <c r="C39" s="182" t="str">
        <f>IFERROR(__xludf.DUMMYFUNCTION("""COMPUTED_VALUE"""),"Estimated Delivery Time: 16-20 Weeks, Initials")</f>
        <v>Estimated Delivery Time: 16-20 Weeks, Initials</v>
      </c>
      <c r="E39" s="180"/>
      <c r="F39" s="182"/>
    </row>
    <row r="40">
      <c r="A40" s="179">
        <f>IFERROR(__xludf.DUMMYFUNCTION("""COMPUTED_VALUE"""),39.0)</f>
        <v>39</v>
      </c>
      <c r="B40" s="180" t="str">
        <f>IFERROR(__xludf.DUMMYFUNCTION("""COMPUTED_VALUE"""),"8-12")</f>
        <v>8-12</v>
      </c>
      <c r="C40" s="182" t="str">
        <f>IFERROR(__xludf.DUMMYFUNCTION("""COMPUTED_VALUE"""),"Estimated Delivery Time: 8-12 Weeks, Initials")</f>
        <v>Estimated Delivery Time: 8-12 Weeks, Initials</v>
      </c>
      <c r="E40" s="180"/>
      <c r="F40" s="182"/>
    </row>
    <row r="41">
      <c r="A41" s="179">
        <f>IFERROR(__xludf.DUMMYFUNCTION("""COMPUTED_VALUE"""),40.0)</f>
        <v>40</v>
      </c>
      <c r="B41" s="180" t="str">
        <f>IFERROR(__xludf.DUMMYFUNCTION("""COMPUTED_VALUE"""),"8-12")</f>
        <v>8-12</v>
      </c>
      <c r="C41" s="182" t="str">
        <f>IFERROR(__xludf.DUMMYFUNCTION("""COMPUTED_VALUE"""),"Estimated Delivery Time: 8-12 Weeks, Initials")</f>
        <v>Estimated Delivery Time: 8-12 Weeks, Initials</v>
      </c>
      <c r="E41" s="180"/>
      <c r="F41" s="182"/>
    </row>
    <row r="42">
      <c r="A42" s="179">
        <f>IFERROR(__xludf.DUMMYFUNCTION("""COMPUTED_VALUE"""),41.0)</f>
        <v>41</v>
      </c>
      <c r="B42" s="180" t="str">
        <f>IFERROR(__xludf.DUMMYFUNCTION("""COMPUTED_VALUE"""),"8-12")</f>
        <v>8-12</v>
      </c>
      <c r="C42" s="182" t="str">
        <f>IFERROR(__xludf.DUMMYFUNCTION("""COMPUTED_VALUE"""),"Estimated Delivery Time: 8-12 Weeks, Initials")</f>
        <v>Estimated Delivery Time: 8-12 Weeks, Initials</v>
      </c>
      <c r="E42" s="180"/>
      <c r="F42" s="182"/>
    </row>
    <row r="43">
      <c r="A43" s="179">
        <f>IFERROR(__xludf.DUMMYFUNCTION("""COMPUTED_VALUE"""),42.0)</f>
        <v>42</v>
      </c>
      <c r="B43" s="180" t="str">
        <f>IFERROR(__xludf.DUMMYFUNCTION("""COMPUTED_VALUE"""),"8-12")</f>
        <v>8-12</v>
      </c>
      <c r="C43" s="182" t="str">
        <f>IFERROR(__xludf.DUMMYFUNCTION("""COMPUTED_VALUE"""),"Estimated Delivery Time: 8-12 Weeks, Initials")</f>
        <v>Estimated Delivery Time: 8-12 Weeks, Initials</v>
      </c>
      <c r="E43" s="180"/>
      <c r="F43" s="182"/>
    </row>
    <row r="44">
      <c r="A44" s="179">
        <f>IFERROR(__xludf.DUMMYFUNCTION("""COMPUTED_VALUE"""),43.0)</f>
        <v>43</v>
      </c>
      <c r="B44" s="180" t="str">
        <f>IFERROR(__xludf.DUMMYFUNCTION("""COMPUTED_VALUE"""),"8-12")</f>
        <v>8-12</v>
      </c>
      <c r="C44" s="182" t="str">
        <f>IFERROR(__xludf.DUMMYFUNCTION("""COMPUTED_VALUE"""),"Estimated Delivery Time: 8-12 Weeks, Initials")</f>
        <v>Estimated Delivery Time: 8-12 Weeks, Initials</v>
      </c>
      <c r="E44" s="180"/>
      <c r="F44" s="182"/>
    </row>
    <row r="45">
      <c r="A45" s="179">
        <f>IFERROR(__xludf.DUMMYFUNCTION("""COMPUTED_VALUE"""),44.0)</f>
        <v>44</v>
      </c>
      <c r="B45" s="180" t="str">
        <f>IFERROR(__xludf.DUMMYFUNCTION("""COMPUTED_VALUE"""),"8-12")</f>
        <v>8-12</v>
      </c>
      <c r="C45" s="182" t="str">
        <f>IFERROR(__xludf.DUMMYFUNCTION("""COMPUTED_VALUE"""),"Estimated Delivery Time: 8-12 Weeks, Initials")</f>
        <v>Estimated Delivery Time: 8-12 Weeks, Initials</v>
      </c>
      <c r="E45" s="180"/>
      <c r="F45" s="182"/>
    </row>
    <row r="46">
      <c r="A46" s="179">
        <f>IFERROR(__xludf.DUMMYFUNCTION("""COMPUTED_VALUE"""),45.0)</f>
        <v>45</v>
      </c>
      <c r="B46" s="180" t="str">
        <f>IFERROR(__xludf.DUMMYFUNCTION("""COMPUTED_VALUE"""),"8-12")</f>
        <v>8-12</v>
      </c>
      <c r="C46" s="182" t="str">
        <f>IFERROR(__xludf.DUMMYFUNCTION("""COMPUTED_VALUE"""),"Estimated Delivery Time: 8-12 Weeks, Initials")</f>
        <v>Estimated Delivery Time: 8-12 Weeks, Initials</v>
      </c>
      <c r="E46" s="180"/>
      <c r="F46" s="182"/>
    </row>
    <row r="47">
      <c r="A47" s="179">
        <f>IFERROR(__xludf.DUMMYFUNCTION("""COMPUTED_VALUE"""),46.0)</f>
        <v>46</v>
      </c>
      <c r="B47" s="180" t="str">
        <f>IFERROR(__xludf.DUMMYFUNCTION("""COMPUTED_VALUE"""),"8-12")</f>
        <v>8-12</v>
      </c>
      <c r="C47" s="182" t="str">
        <f>IFERROR(__xludf.DUMMYFUNCTION("""COMPUTED_VALUE"""),"Estimated Delivery Time: 8-12 Weeks, Initials")</f>
        <v>Estimated Delivery Time: 8-12 Weeks, Initials</v>
      </c>
      <c r="E47" s="180"/>
      <c r="F47" s="182"/>
    </row>
    <row r="48">
      <c r="A48" s="179">
        <f>IFERROR(__xludf.DUMMYFUNCTION("""COMPUTED_VALUE"""),47.0)</f>
        <v>47</v>
      </c>
      <c r="B48" s="180" t="str">
        <f>IFERROR(__xludf.DUMMYFUNCTION("""COMPUTED_VALUE"""),"8-12")</f>
        <v>8-12</v>
      </c>
      <c r="C48" s="182" t="str">
        <f>IFERROR(__xludf.DUMMYFUNCTION("""COMPUTED_VALUE"""),"Estimated Delivery Time: 8-12 Weeks, Initials")</f>
        <v>Estimated Delivery Time: 8-12 Weeks, Initials</v>
      </c>
      <c r="E48" s="180"/>
      <c r="F48" s="182"/>
    </row>
    <row r="49">
      <c r="A49" s="179">
        <f>IFERROR(__xludf.DUMMYFUNCTION("""COMPUTED_VALUE"""),48.0)</f>
        <v>48</v>
      </c>
      <c r="B49" s="180" t="str">
        <f>IFERROR(__xludf.DUMMYFUNCTION("""COMPUTED_VALUE"""),"8-12")</f>
        <v>8-12</v>
      </c>
      <c r="C49" s="182" t="str">
        <f>IFERROR(__xludf.DUMMYFUNCTION("""COMPUTED_VALUE"""),"Estimated Delivery Time: 8-12 Weeks, Initials")</f>
        <v>Estimated Delivery Time: 8-12 Weeks, Initials</v>
      </c>
      <c r="E49" s="180"/>
      <c r="F49" s="182"/>
    </row>
    <row r="50">
      <c r="A50" s="179">
        <f>IFERROR(__xludf.DUMMYFUNCTION("""COMPUTED_VALUE"""),49.0)</f>
        <v>49</v>
      </c>
      <c r="B50" s="180" t="str">
        <f>IFERROR(__xludf.DUMMYFUNCTION("""COMPUTED_VALUE"""),"8-12")</f>
        <v>8-12</v>
      </c>
      <c r="C50" s="182" t="str">
        <f>IFERROR(__xludf.DUMMYFUNCTION("""COMPUTED_VALUE"""),"Estimated Delivery Time: 8-12 Weeks, Initials")</f>
        <v>Estimated Delivery Time: 8-12 Weeks, Initials</v>
      </c>
      <c r="E50" s="180"/>
      <c r="F50" s="182"/>
    </row>
    <row r="51">
      <c r="A51" s="179">
        <f>IFERROR(__xludf.DUMMYFUNCTION("""COMPUTED_VALUE"""),50.0)</f>
        <v>50</v>
      </c>
      <c r="B51" s="180" t="str">
        <f>IFERROR(__xludf.DUMMYFUNCTION("""COMPUTED_VALUE"""),"8-12")</f>
        <v>8-12</v>
      </c>
      <c r="C51" s="182" t="str">
        <f>IFERROR(__xludf.DUMMYFUNCTION("""COMPUTED_VALUE"""),"Estimated Delivery Time: 8-12 Weeks, Initials")</f>
        <v>Estimated Delivery Time: 8-12 Weeks, Initials</v>
      </c>
      <c r="E51" s="180"/>
      <c r="F51" s="182"/>
    </row>
    <row r="52">
      <c r="A52" s="179">
        <f>IFERROR(__xludf.DUMMYFUNCTION("""COMPUTED_VALUE"""),51.0)</f>
        <v>51</v>
      </c>
      <c r="B52" s="180" t="str">
        <f>IFERROR(__xludf.DUMMYFUNCTION("""COMPUTED_VALUE"""),"8-12")</f>
        <v>8-12</v>
      </c>
      <c r="C52" s="182" t="str">
        <f>IFERROR(__xludf.DUMMYFUNCTION("""COMPUTED_VALUE"""),"Estimated Delivery Time: 8-12 Weeks, Initials")</f>
        <v>Estimated Delivery Time: 8-12 Weeks, Initials</v>
      </c>
      <c r="E52" s="180"/>
      <c r="F52" s="182"/>
    </row>
    <row r="53">
      <c r="A53" s="179">
        <f>IFERROR(__xludf.DUMMYFUNCTION("""COMPUTED_VALUE"""),52.0)</f>
        <v>52</v>
      </c>
      <c r="B53" s="180" t="str">
        <f>IFERROR(__xludf.DUMMYFUNCTION("""COMPUTED_VALUE"""),"16-20")</f>
        <v>16-20</v>
      </c>
      <c r="C53" s="182" t="str">
        <f>IFERROR(__xludf.DUMMYFUNCTION("""COMPUTED_VALUE"""),"Estimated Delivery Time: 16-20 Weeks, Initials")</f>
        <v>Estimated Delivery Time: 16-20 Weeks, Initials</v>
      </c>
      <c r="E53" s="180"/>
      <c r="F53" s="182"/>
    </row>
    <row r="54">
      <c r="A54" s="179">
        <f>IFERROR(__xludf.DUMMYFUNCTION("""COMPUTED_VALUE"""),53.0)</f>
        <v>53</v>
      </c>
      <c r="B54" s="180" t="str">
        <f>IFERROR(__xludf.DUMMYFUNCTION("""COMPUTED_VALUE"""),"12-16")</f>
        <v>12-16</v>
      </c>
      <c r="C54" s="182" t="str">
        <f>IFERROR(__xludf.DUMMYFUNCTION("""COMPUTED_VALUE"""),"Estimated Delivery Time: 12-16 Weeks, Initials")</f>
        <v>Estimated Delivery Time: 12-16 Weeks, Initials</v>
      </c>
      <c r="E54" s="180"/>
      <c r="F54" s="182"/>
    </row>
    <row r="55">
      <c r="A55" s="179">
        <f>IFERROR(__xludf.DUMMYFUNCTION("""COMPUTED_VALUE"""),54.0)</f>
        <v>54</v>
      </c>
      <c r="B55" s="180" t="str">
        <f>IFERROR(__xludf.DUMMYFUNCTION("""COMPUTED_VALUE"""),"8-12")</f>
        <v>8-12</v>
      </c>
      <c r="C55" s="182" t="str">
        <f>IFERROR(__xludf.DUMMYFUNCTION("""COMPUTED_VALUE"""),"Estimated Delivery Time: 8-12 Weeks, Initials")</f>
        <v>Estimated Delivery Time: 8-12 Weeks, Initials</v>
      </c>
      <c r="E55" s="180"/>
      <c r="F55" s="182"/>
    </row>
    <row r="56">
      <c r="A56" s="179">
        <f>IFERROR(__xludf.DUMMYFUNCTION("""COMPUTED_VALUE"""),55.0)</f>
        <v>55</v>
      </c>
      <c r="B56" s="180" t="str">
        <f>IFERROR(__xludf.DUMMYFUNCTION("""COMPUTED_VALUE"""),"8-12")</f>
        <v>8-12</v>
      </c>
      <c r="C56" s="182" t="str">
        <f>IFERROR(__xludf.DUMMYFUNCTION("""COMPUTED_VALUE"""),"Estimated Delivery Time: 8-12 Weeks, Initials")</f>
        <v>Estimated Delivery Time: 8-12 Weeks, Initials</v>
      </c>
      <c r="E56" s="180"/>
      <c r="F56" s="182"/>
    </row>
    <row r="57">
      <c r="A57" s="179">
        <f>IFERROR(__xludf.DUMMYFUNCTION("""COMPUTED_VALUE"""),56.0)</f>
        <v>56</v>
      </c>
      <c r="B57" s="180" t="str">
        <f>IFERROR(__xludf.DUMMYFUNCTION("""COMPUTED_VALUE"""),"8-12")</f>
        <v>8-12</v>
      </c>
      <c r="C57" s="182" t="str">
        <f>IFERROR(__xludf.DUMMYFUNCTION("""COMPUTED_VALUE"""),"Estimated Delivery Time: 8-12 Weeks, Initials")</f>
        <v>Estimated Delivery Time: 8-12 Weeks, Initials</v>
      </c>
      <c r="E57" s="180"/>
      <c r="F57" s="182"/>
    </row>
    <row r="58">
      <c r="A58" s="179">
        <f>IFERROR(__xludf.DUMMYFUNCTION("""COMPUTED_VALUE"""),57.0)</f>
        <v>57</v>
      </c>
      <c r="B58" s="180" t="str">
        <f>IFERROR(__xludf.DUMMYFUNCTION("""COMPUTED_VALUE"""),"8-12")</f>
        <v>8-12</v>
      </c>
      <c r="C58" s="182" t="str">
        <f>IFERROR(__xludf.DUMMYFUNCTION("""COMPUTED_VALUE"""),"Estimated Delivery Time: 8-12 Weeks, Initials")</f>
        <v>Estimated Delivery Time: 8-12 Weeks, Initials</v>
      </c>
      <c r="E58" s="180"/>
      <c r="F58" s="182"/>
    </row>
    <row r="59">
      <c r="A59" s="179">
        <f>IFERROR(__xludf.DUMMYFUNCTION("""COMPUTED_VALUE"""),58.0)</f>
        <v>58</v>
      </c>
      <c r="B59" s="180" t="str">
        <f>IFERROR(__xludf.DUMMYFUNCTION("""COMPUTED_VALUE"""),"3-4")</f>
        <v>3-4</v>
      </c>
      <c r="C59" s="182" t="str">
        <f>IFERROR(__xludf.DUMMYFUNCTION("""COMPUTED_VALUE"""),"Estimated Delivery Time: 3-4 Weeks, Initials")</f>
        <v>Estimated Delivery Time: 3-4 Weeks, Initials</v>
      </c>
      <c r="E59" s="180"/>
      <c r="F59" s="182"/>
    </row>
    <row r="60">
      <c r="A60" s="179">
        <f>IFERROR(__xludf.DUMMYFUNCTION("""COMPUTED_VALUE"""),59.0)</f>
        <v>59</v>
      </c>
      <c r="B60" s="180" t="str">
        <f>IFERROR(__xludf.DUMMYFUNCTION("""COMPUTED_VALUE"""),"8-12")</f>
        <v>8-12</v>
      </c>
      <c r="C60" s="182" t="str">
        <f>IFERROR(__xludf.DUMMYFUNCTION("""COMPUTED_VALUE"""),"Estimated Delivery Time: 8-12 Weeks, Initials")</f>
        <v>Estimated Delivery Time: 8-12 Weeks, Initials</v>
      </c>
      <c r="E60" s="180"/>
      <c r="F60" s="182"/>
    </row>
    <row r="61">
      <c r="A61" s="179">
        <f>IFERROR(__xludf.DUMMYFUNCTION("""COMPUTED_VALUE"""),60.0)</f>
        <v>60</v>
      </c>
      <c r="B61" s="180" t="str">
        <f>IFERROR(__xludf.DUMMYFUNCTION("""COMPUTED_VALUE"""),"8-12")</f>
        <v>8-12</v>
      </c>
      <c r="C61" s="182" t="str">
        <f>IFERROR(__xludf.DUMMYFUNCTION("""COMPUTED_VALUE"""),"Estimated Delivery Time: 8-12 Weeks, Initials")</f>
        <v>Estimated Delivery Time: 8-12 Weeks, Initials</v>
      </c>
      <c r="E61" s="180"/>
      <c r="F61" s="182"/>
    </row>
    <row r="62">
      <c r="A62" s="179">
        <f>IFERROR(__xludf.DUMMYFUNCTION("""COMPUTED_VALUE"""),61.0)</f>
        <v>61</v>
      </c>
      <c r="B62" s="180" t="str">
        <f>IFERROR(__xludf.DUMMYFUNCTION("""COMPUTED_VALUE"""),"8-12")</f>
        <v>8-12</v>
      </c>
      <c r="C62" s="182" t="str">
        <f>IFERROR(__xludf.DUMMYFUNCTION("""COMPUTED_VALUE"""),"Estimated Delivery Time: 8-12 Weeks, Initials")</f>
        <v>Estimated Delivery Time: 8-12 Weeks, Initials</v>
      </c>
      <c r="E62" s="180"/>
      <c r="F62" s="182"/>
    </row>
    <row r="63">
      <c r="A63" s="179">
        <f>IFERROR(__xludf.DUMMYFUNCTION("""COMPUTED_VALUE"""),62.0)</f>
        <v>62</v>
      </c>
      <c r="B63" s="180" t="str">
        <f>IFERROR(__xludf.DUMMYFUNCTION("""COMPUTED_VALUE"""),"12-16")</f>
        <v>12-16</v>
      </c>
      <c r="C63" s="182" t="str">
        <f>IFERROR(__xludf.DUMMYFUNCTION("""COMPUTED_VALUE"""),"Estimated Delivery Time: 12-16 Weeks, Initials")</f>
        <v>Estimated Delivery Time: 12-16 Weeks, Initials</v>
      </c>
      <c r="E63" s="180"/>
      <c r="F63" s="182"/>
    </row>
    <row r="64">
      <c r="A64" s="179">
        <f>IFERROR(__xludf.DUMMYFUNCTION("""COMPUTED_VALUE"""),63.0)</f>
        <v>63</v>
      </c>
      <c r="B64" s="180" t="str">
        <f>IFERROR(__xludf.DUMMYFUNCTION("""COMPUTED_VALUE"""),"8-12")</f>
        <v>8-12</v>
      </c>
      <c r="C64" s="182" t="str">
        <f>IFERROR(__xludf.DUMMYFUNCTION("""COMPUTED_VALUE"""),"Estimated Delivery Time: 8-12 Weeks, Initials")</f>
        <v>Estimated Delivery Time: 8-12 Weeks, Initials</v>
      </c>
      <c r="E64" s="180"/>
      <c r="F64" s="182"/>
    </row>
    <row r="65">
      <c r="A65" s="179">
        <f>IFERROR(__xludf.DUMMYFUNCTION("""COMPUTED_VALUE"""),64.0)</f>
        <v>64</v>
      </c>
      <c r="B65" s="180" t="str">
        <f>IFERROR(__xludf.DUMMYFUNCTION("""COMPUTED_VALUE"""),"8-12")</f>
        <v>8-12</v>
      </c>
      <c r="C65" s="182" t="str">
        <f>IFERROR(__xludf.DUMMYFUNCTION("""COMPUTED_VALUE"""),"Estimated Delivery Time: 8-12 Weeks, Initials")</f>
        <v>Estimated Delivery Time: 8-12 Weeks, Initials</v>
      </c>
      <c r="E65" s="180"/>
      <c r="F65" s="182"/>
    </row>
    <row r="66">
      <c r="A66" s="179">
        <f>IFERROR(__xludf.DUMMYFUNCTION("""COMPUTED_VALUE"""),65.0)</f>
        <v>65</v>
      </c>
      <c r="B66" s="180" t="str">
        <f>IFERROR(__xludf.DUMMYFUNCTION("""COMPUTED_VALUE"""),"12-16")</f>
        <v>12-16</v>
      </c>
      <c r="C66" s="182" t="str">
        <f>IFERROR(__xludf.DUMMYFUNCTION("""COMPUTED_VALUE"""),"Estimated Delivery Time: 12-16 Weeks, Initials")</f>
        <v>Estimated Delivery Time: 12-16 Weeks, Initials</v>
      </c>
      <c r="E66" s="180"/>
      <c r="F66" s="182"/>
    </row>
    <row r="67">
      <c r="A67" s="179">
        <f>IFERROR(__xludf.DUMMYFUNCTION("""COMPUTED_VALUE"""),66.0)</f>
        <v>66</v>
      </c>
      <c r="B67" s="180" t="str">
        <f>IFERROR(__xludf.DUMMYFUNCTION("""COMPUTED_VALUE"""),"8-12")</f>
        <v>8-12</v>
      </c>
      <c r="C67" s="182" t="str">
        <f>IFERROR(__xludf.DUMMYFUNCTION("""COMPUTED_VALUE"""),"Estimated Delivery Time: 8-12 Weeks, Initials")</f>
        <v>Estimated Delivery Time: 8-12 Weeks, Initials</v>
      </c>
      <c r="E67" s="180"/>
      <c r="F67" s="182"/>
    </row>
    <row r="68">
      <c r="A68" s="179">
        <f>IFERROR(__xludf.DUMMYFUNCTION("""COMPUTED_VALUE"""),67.0)</f>
        <v>67</v>
      </c>
      <c r="B68" s="180" t="str">
        <f>IFERROR(__xludf.DUMMYFUNCTION("""COMPUTED_VALUE"""),"10-14")</f>
        <v>10-14</v>
      </c>
      <c r="C68" s="182" t="str">
        <f>IFERROR(__xludf.DUMMYFUNCTION("""COMPUTED_VALUE"""),"Estimated Delivery Time: 10-14 Weeks, Initials")</f>
        <v>Estimated Delivery Time: 10-14 Weeks, Initials</v>
      </c>
      <c r="E68" s="180"/>
      <c r="F68" s="182"/>
    </row>
    <row r="69">
      <c r="A69" s="179">
        <f>IFERROR(__xludf.DUMMYFUNCTION("""COMPUTED_VALUE"""),68.0)</f>
        <v>68</v>
      </c>
      <c r="B69" s="180" t="str">
        <f>IFERROR(__xludf.DUMMYFUNCTION("""COMPUTED_VALUE"""),"8-12")</f>
        <v>8-12</v>
      </c>
      <c r="C69" s="182" t="str">
        <f>IFERROR(__xludf.DUMMYFUNCTION("""COMPUTED_VALUE"""),"Estimated Delivery Time: 8-12 Weeks, Initials")</f>
        <v>Estimated Delivery Time: 8-12 Weeks, Initials</v>
      </c>
      <c r="E69" s="180"/>
      <c r="F69" s="182"/>
    </row>
    <row r="70">
      <c r="A70" s="179">
        <f>IFERROR(__xludf.DUMMYFUNCTION("""COMPUTED_VALUE"""),69.0)</f>
        <v>69</v>
      </c>
      <c r="B70" s="180" t="str">
        <f>IFERROR(__xludf.DUMMYFUNCTION("""COMPUTED_VALUE"""),"8-12")</f>
        <v>8-12</v>
      </c>
      <c r="C70" s="182" t="str">
        <f>IFERROR(__xludf.DUMMYFUNCTION("""COMPUTED_VALUE"""),"Estimated Delivery Time: 8-12 Weeks, Initials")</f>
        <v>Estimated Delivery Time: 8-12 Weeks, Initials</v>
      </c>
      <c r="E70" s="180"/>
      <c r="F70" s="182"/>
    </row>
    <row r="71">
      <c r="A71" s="179">
        <f>IFERROR(__xludf.DUMMYFUNCTION("""COMPUTED_VALUE"""),70.0)</f>
        <v>70</v>
      </c>
      <c r="B71" s="180" t="str">
        <f>IFERROR(__xludf.DUMMYFUNCTION("""COMPUTED_VALUE"""),"8-12")</f>
        <v>8-12</v>
      </c>
      <c r="C71" s="182" t="str">
        <f>IFERROR(__xludf.DUMMYFUNCTION("""COMPUTED_VALUE"""),"Estimated Delivery Time: 8-12 Weeks, Initials")</f>
        <v>Estimated Delivery Time: 8-12 Weeks, Initials</v>
      </c>
      <c r="E71" s="180"/>
      <c r="F71" s="182"/>
    </row>
    <row r="72">
      <c r="A72" s="179">
        <f>IFERROR(__xludf.DUMMYFUNCTION("""COMPUTED_VALUE"""),71.0)</f>
        <v>71</v>
      </c>
      <c r="B72" s="180" t="str">
        <f>IFERROR(__xludf.DUMMYFUNCTION("""COMPUTED_VALUE"""),"8-12")</f>
        <v>8-12</v>
      </c>
      <c r="C72" s="182" t="str">
        <f>IFERROR(__xludf.DUMMYFUNCTION("""COMPUTED_VALUE"""),"Estimated Delivery Time: 8-12 Weeks, Initials")</f>
        <v>Estimated Delivery Time: 8-12 Weeks, Initials</v>
      </c>
      <c r="E72" s="180"/>
      <c r="F72" s="182"/>
    </row>
    <row r="73">
      <c r="A73" s="179">
        <f>IFERROR(__xludf.DUMMYFUNCTION("""COMPUTED_VALUE"""),72.0)</f>
        <v>72</v>
      </c>
      <c r="B73" s="180" t="str">
        <f>IFERROR(__xludf.DUMMYFUNCTION("""COMPUTED_VALUE"""),"12-16")</f>
        <v>12-16</v>
      </c>
      <c r="C73" s="182" t="str">
        <f>IFERROR(__xludf.DUMMYFUNCTION("""COMPUTED_VALUE"""),"Estimated Delivery Time: 12-16 Weeks, Initials")</f>
        <v>Estimated Delivery Time: 12-16 Weeks, Initials</v>
      </c>
      <c r="E73" s="180"/>
      <c r="F73" s="182"/>
    </row>
    <row r="74">
      <c r="A74" s="179">
        <f>IFERROR(__xludf.DUMMYFUNCTION("""COMPUTED_VALUE"""),73.0)</f>
        <v>73</v>
      </c>
      <c r="B74" s="180" t="str">
        <f>IFERROR(__xludf.DUMMYFUNCTION("""COMPUTED_VALUE"""),"8-12")</f>
        <v>8-12</v>
      </c>
      <c r="C74" s="182" t="str">
        <f>IFERROR(__xludf.DUMMYFUNCTION("""COMPUTED_VALUE"""),"Estimated Delivery Time: 8-12 Weeks, Initials")</f>
        <v>Estimated Delivery Time: 8-12 Weeks, Initials</v>
      </c>
      <c r="E74" s="180"/>
      <c r="F74" s="182"/>
    </row>
    <row r="75">
      <c r="A75" s="179">
        <f>IFERROR(__xludf.DUMMYFUNCTION("""COMPUTED_VALUE"""),74.0)</f>
        <v>74</v>
      </c>
      <c r="B75" s="180" t="str">
        <f>IFERROR(__xludf.DUMMYFUNCTION("""COMPUTED_VALUE"""),"8-12")</f>
        <v>8-12</v>
      </c>
      <c r="C75" s="182" t="str">
        <f>IFERROR(__xludf.DUMMYFUNCTION("""COMPUTED_VALUE"""),"Estimated Delivery Time: 8-12 Weeks, Initials")</f>
        <v>Estimated Delivery Time: 8-12 Weeks, Initials</v>
      </c>
      <c r="E75" s="180"/>
      <c r="F75" s="182"/>
    </row>
    <row r="76">
      <c r="A76" s="179">
        <f>IFERROR(__xludf.DUMMYFUNCTION("""COMPUTED_VALUE"""),75.0)</f>
        <v>75</v>
      </c>
      <c r="B76" s="180" t="str">
        <f>IFERROR(__xludf.DUMMYFUNCTION("""COMPUTED_VALUE"""),"8-12")</f>
        <v>8-12</v>
      </c>
      <c r="C76" s="182" t="str">
        <f>IFERROR(__xludf.DUMMYFUNCTION("""COMPUTED_VALUE"""),"Estimated Delivery Time: 8-12 Weeks, Initials")</f>
        <v>Estimated Delivery Time: 8-12 Weeks, Initials</v>
      </c>
      <c r="E76" s="180"/>
      <c r="F76" s="182"/>
    </row>
    <row r="77">
      <c r="A77" s="179">
        <f>IFERROR(__xludf.DUMMYFUNCTION("""COMPUTED_VALUE"""),76.0)</f>
        <v>76</v>
      </c>
      <c r="B77" s="180" t="str">
        <f>IFERROR(__xludf.DUMMYFUNCTION("""COMPUTED_VALUE"""),"8-12")</f>
        <v>8-12</v>
      </c>
      <c r="C77" s="182" t="str">
        <f>IFERROR(__xludf.DUMMYFUNCTION("""COMPUTED_VALUE"""),"Estimated Delivery Time: 8-12 Weeks, Initials")</f>
        <v>Estimated Delivery Time: 8-12 Weeks, Initials</v>
      </c>
      <c r="E77" s="180"/>
      <c r="F77" s="182"/>
    </row>
    <row r="78">
      <c r="A78" s="179">
        <f>IFERROR(__xludf.DUMMYFUNCTION("""COMPUTED_VALUE"""),77.0)</f>
        <v>77</v>
      </c>
      <c r="B78" s="180" t="str">
        <f>IFERROR(__xludf.DUMMYFUNCTION("""COMPUTED_VALUE"""),"8-12")</f>
        <v>8-12</v>
      </c>
      <c r="C78" s="182" t="str">
        <f>IFERROR(__xludf.DUMMYFUNCTION("""COMPUTED_VALUE"""),"Estimated Delivery Time: 8-12 Weeks, Initials")</f>
        <v>Estimated Delivery Time: 8-12 Weeks, Initials</v>
      </c>
      <c r="E78" s="180"/>
      <c r="F78" s="182"/>
    </row>
    <row r="79">
      <c r="A79" s="179">
        <f>IFERROR(__xludf.DUMMYFUNCTION("""COMPUTED_VALUE"""),78.0)</f>
        <v>78</v>
      </c>
      <c r="B79" s="180" t="str">
        <f>IFERROR(__xludf.DUMMYFUNCTION("""COMPUTED_VALUE"""),"8-12")</f>
        <v>8-12</v>
      </c>
      <c r="C79" s="182" t="str">
        <f>IFERROR(__xludf.DUMMYFUNCTION("""COMPUTED_VALUE"""),"Estimated Delivery Time: 8-12 Weeks, Initials")</f>
        <v>Estimated Delivery Time: 8-12 Weeks, Initials</v>
      </c>
      <c r="E79" s="180"/>
      <c r="F79" s="182"/>
    </row>
    <row r="80">
      <c r="A80" s="179">
        <f>IFERROR(__xludf.DUMMYFUNCTION("""COMPUTED_VALUE"""),79.0)</f>
        <v>79</v>
      </c>
      <c r="B80" s="180" t="str">
        <f>IFERROR(__xludf.DUMMYFUNCTION("""COMPUTED_VALUE"""),"8-12")</f>
        <v>8-12</v>
      </c>
      <c r="C80" s="182" t="str">
        <f>IFERROR(__xludf.DUMMYFUNCTION("""COMPUTED_VALUE"""),"Estimated Delivery Time: 8-12 Weeks, Initials")</f>
        <v>Estimated Delivery Time: 8-12 Weeks, Initials</v>
      </c>
      <c r="E80" s="180"/>
      <c r="F80" s="182"/>
    </row>
    <row r="81">
      <c r="A81" s="179">
        <f>IFERROR(__xludf.DUMMYFUNCTION("""COMPUTED_VALUE"""),80.0)</f>
        <v>80</v>
      </c>
      <c r="B81" s="180" t="str">
        <f>IFERROR(__xludf.DUMMYFUNCTION("""COMPUTED_VALUE"""),"8-12")</f>
        <v>8-12</v>
      </c>
      <c r="C81" s="182" t="str">
        <f>IFERROR(__xludf.DUMMYFUNCTION("""COMPUTED_VALUE"""),"Estimated Delivery Time: 8-12 Weeks, Initials")</f>
        <v>Estimated Delivery Time: 8-12 Weeks, Initials</v>
      </c>
      <c r="E81" s="180"/>
      <c r="F81" s="182"/>
    </row>
    <row r="82">
      <c r="A82" s="179">
        <f>IFERROR(__xludf.DUMMYFUNCTION("""COMPUTED_VALUE"""),81.0)</f>
        <v>81</v>
      </c>
      <c r="B82" s="180" t="str">
        <f>IFERROR(__xludf.DUMMYFUNCTION("""COMPUTED_VALUE"""),"8-12")</f>
        <v>8-12</v>
      </c>
      <c r="C82" s="182" t="str">
        <f>IFERROR(__xludf.DUMMYFUNCTION("""COMPUTED_VALUE"""),"Estimated Delivery Time: 8-12 Weeks, Initials")</f>
        <v>Estimated Delivery Time: 8-12 Weeks, Initials</v>
      </c>
      <c r="E82" s="180"/>
      <c r="F82" s="182"/>
    </row>
    <row r="83">
      <c r="A83" s="179">
        <f>IFERROR(__xludf.DUMMYFUNCTION("""COMPUTED_VALUE"""),82.0)</f>
        <v>82</v>
      </c>
      <c r="B83" s="180" t="str">
        <f>IFERROR(__xludf.DUMMYFUNCTION("""COMPUTED_VALUE"""),"10-14")</f>
        <v>10-14</v>
      </c>
      <c r="C83" s="182" t="str">
        <f>IFERROR(__xludf.DUMMYFUNCTION("""COMPUTED_VALUE"""),"Estimated Delivery Time: 10-14 Weeks, Initials")</f>
        <v>Estimated Delivery Time: 10-14 Weeks, Initials</v>
      </c>
      <c r="E83" s="180"/>
      <c r="F83" s="182"/>
    </row>
    <row r="84">
      <c r="A84" s="179">
        <f>IFERROR(__xludf.DUMMYFUNCTION("""COMPUTED_VALUE"""),83.0)</f>
        <v>83</v>
      </c>
      <c r="B84" s="180" t="str">
        <f>IFERROR(__xludf.DUMMYFUNCTION("""COMPUTED_VALUE"""),"8-12")</f>
        <v>8-12</v>
      </c>
      <c r="C84" s="182" t="str">
        <f>IFERROR(__xludf.DUMMYFUNCTION("""COMPUTED_VALUE"""),"Estimated Delivery Time: 8-12 Weeks, Initials")</f>
        <v>Estimated Delivery Time: 8-12 Weeks, Initials</v>
      </c>
      <c r="E84" s="180"/>
      <c r="F84" s="182"/>
    </row>
    <row r="85">
      <c r="A85" s="179">
        <f>IFERROR(__xludf.DUMMYFUNCTION("""COMPUTED_VALUE"""),84.0)</f>
        <v>84</v>
      </c>
      <c r="B85" s="180" t="str">
        <f>IFERROR(__xludf.DUMMYFUNCTION("""COMPUTED_VALUE"""),"8-12")</f>
        <v>8-12</v>
      </c>
      <c r="C85" s="182" t="str">
        <f>IFERROR(__xludf.DUMMYFUNCTION("""COMPUTED_VALUE"""),"Estimated Delivery Time: 8-12 Weeks, Initials")</f>
        <v>Estimated Delivery Time: 8-12 Weeks, Initials</v>
      </c>
      <c r="E85" s="180"/>
      <c r="F85" s="182"/>
    </row>
    <row r="86">
      <c r="A86" s="179">
        <f>IFERROR(__xludf.DUMMYFUNCTION("""COMPUTED_VALUE"""),85.0)</f>
        <v>85</v>
      </c>
      <c r="B86" s="180" t="str">
        <f>IFERROR(__xludf.DUMMYFUNCTION("""COMPUTED_VALUE"""),"8-12")</f>
        <v>8-12</v>
      </c>
      <c r="C86" s="182" t="str">
        <f>IFERROR(__xludf.DUMMYFUNCTION("""COMPUTED_VALUE"""),"Estimated Delivery Time: 8-12 Weeks, Initials")</f>
        <v>Estimated Delivery Time: 8-12 Weeks, Initials</v>
      </c>
      <c r="E86" s="180"/>
      <c r="F86" s="182"/>
    </row>
    <row r="87">
      <c r="A87" s="179">
        <f>IFERROR(__xludf.DUMMYFUNCTION("""COMPUTED_VALUE"""),86.0)</f>
        <v>86</v>
      </c>
      <c r="B87" s="180" t="str">
        <f>IFERROR(__xludf.DUMMYFUNCTION("""COMPUTED_VALUE"""),"8-12")</f>
        <v>8-12</v>
      </c>
      <c r="C87" s="182" t="str">
        <f>IFERROR(__xludf.DUMMYFUNCTION("""COMPUTED_VALUE"""),"Estimated Delivery Time: 8-12 Weeks, Initials")</f>
        <v>Estimated Delivery Time: 8-12 Weeks, Initials</v>
      </c>
      <c r="E87" s="180"/>
      <c r="F87" s="182"/>
    </row>
    <row r="88">
      <c r="A88" s="179">
        <f>IFERROR(__xludf.DUMMYFUNCTION("""COMPUTED_VALUE"""),87.0)</f>
        <v>87</v>
      </c>
      <c r="B88" s="180" t="str">
        <f>IFERROR(__xludf.DUMMYFUNCTION("""COMPUTED_VALUE"""),"8-12")</f>
        <v>8-12</v>
      </c>
      <c r="C88" s="182" t="str">
        <f>IFERROR(__xludf.DUMMYFUNCTION("""COMPUTED_VALUE"""),"Estimated Delivery Time: 8-12 Weeks, Initials")</f>
        <v>Estimated Delivery Time: 8-12 Weeks, Initials</v>
      </c>
      <c r="E88" s="180"/>
      <c r="F88" s="182"/>
    </row>
    <row r="89">
      <c r="A89" s="179">
        <f>IFERROR(__xludf.DUMMYFUNCTION("""COMPUTED_VALUE"""),88.0)</f>
        <v>88</v>
      </c>
      <c r="B89" s="180" t="str">
        <f>IFERROR(__xludf.DUMMYFUNCTION("""COMPUTED_VALUE"""),"6-8")</f>
        <v>6-8</v>
      </c>
      <c r="C89" s="182" t="str">
        <f>IFERROR(__xludf.DUMMYFUNCTION("""COMPUTED_VALUE"""),"Estimated Delivery Time: 6-8 Weeks, Initials")</f>
        <v>Estimated Delivery Time: 6-8 Weeks, Initials</v>
      </c>
      <c r="E89" s="180"/>
      <c r="F89" s="182"/>
    </row>
    <row r="90">
      <c r="A90" s="179">
        <f>IFERROR(__xludf.DUMMYFUNCTION("""COMPUTED_VALUE"""),89.0)</f>
        <v>89</v>
      </c>
      <c r="B90" s="180" t="str">
        <f>IFERROR(__xludf.DUMMYFUNCTION("""COMPUTED_VALUE"""),"8-12")</f>
        <v>8-12</v>
      </c>
      <c r="C90" s="182" t="str">
        <f>IFERROR(__xludf.DUMMYFUNCTION("""COMPUTED_VALUE"""),"Estimated Delivery Time: 8-12 Weeks, Initials")</f>
        <v>Estimated Delivery Time: 8-12 Weeks, Initials</v>
      </c>
      <c r="E90" s="180"/>
      <c r="F90" s="182"/>
    </row>
    <row r="91">
      <c r="A91" s="179">
        <f>IFERROR(__xludf.DUMMYFUNCTION("""COMPUTED_VALUE"""),90.0)</f>
        <v>90</v>
      </c>
      <c r="B91" s="180" t="str">
        <f>IFERROR(__xludf.DUMMYFUNCTION("""COMPUTED_VALUE"""),"8-12")</f>
        <v>8-12</v>
      </c>
      <c r="C91" s="182" t="str">
        <f>IFERROR(__xludf.DUMMYFUNCTION("""COMPUTED_VALUE"""),"Estimated Delivery Time: 8-12 Weeks, Initials")</f>
        <v>Estimated Delivery Time: 8-12 Weeks, Initials</v>
      </c>
      <c r="E91" s="180"/>
      <c r="F91" s="182"/>
    </row>
    <row r="92">
      <c r="A92" s="179">
        <f>IFERROR(__xludf.DUMMYFUNCTION("""COMPUTED_VALUE"""),91.0)</f>
        <v>91</v>
      </c>
      <c r="B92" s="180" t="str">
        <f>IFERROR(__xludf.DUMMYFUNCTION("""COMPUTED_VALUE"""),"12-16")</f>
        <v>12-16</v>
      </c>
      <c r="C92" s="182" t="str">
        <f>IFERROR(__xludf.DUMMYFUNCTION("""COMPUTED_VALUE"""),"Estimated Delivery Time: 12-16 Weeks, Initials")</f>
        <v>Estimated Delivery Time: 12-16 Weeks, Initials</v>
      </c>
      <c r="E92" s="180"/>
      <c r="F92" s="182"/>
    </row>
    <row r="93">
      <c r="A93" s="179">
        <f>IFERROR(__xludf.DUMMYFUNCTION("""COMPUTED_VALUE"""),92.0)</f>
        <v>92</v>
      </c>
      <c r="B93" s="180" t="str">
        <f>IFERROR(__xludf.DUMMYFUNCTION("""COMPUTED_VALUE"""),"8-12")</f>
        <v>8-12</v>
      </c>
      <c r="C93" s="182" t="str">
        <f>IFERROR(__xludf.DUMMYFUNCTION("""COMPUTED_VALUE"""),"Estimated Delivery Time: 8-12 Weeks, Initials")</f>
        <v>Estimated Delivery Time: 8-12 Weeks, Initials</v>
      </c>
      <c r="E93" s="180"/>
      <c r="F93" s="182"/>
    </row>
    <row r="94">
      <c r="A94" s="179">
        <f>IFERROR(__xludf.DUMMYFUNCTION("""COMPUTED_VALUE"""),93.0)</f>
        <v>93</v>
      </c>
      <c r="B94" s="180" t="str">
        <f>IFERROR(__xludf.DUMMYFUNCTION("""COMPUTED_VALUE"""),"12-16")</f>
        <v>12-16</v>
      </c>
      <c r="C94" s="182" t="str">
        <f>IFERROR(__xludf.DUMMYFUNCTION("""COMPUTED_VALUE"""),"Estimated Delivery Time: 12-16 Weeks, Initials")</f>
        <v>Estimated Delivery Time: 12-16 Weeks, Initials</v>
      </c>
      <c r="E94" s="180"/>
      <c r="F94" s="182"/>
    </row>
    <row r="95">
      <c r="A95" s="179">
        <f>IFERROR(__xludf.DUMMYFUNCTION("""COMPUTED_VALUE"""),94.0)</f>
        <v>94</v>
      </c>
      <c r="B95" s="180" t="str">
        <f>IFERROR(__xludf.DUMMYFUNCTION("""COMPUTED_VALUE"""),"8-12")</f>
        <v>8-12</v>
      </c>
      <c r="C95" s="182" t="str">
        <f>IFERROR(__xludf.DUMMYFUNCTION("""COMPUTED_VALUE"""),"Estimated Delivery Time: 8-12 Weeks, Initials")</f>
        <v>Estimated Delivery Time: 8-12 Weeks, Initials</v>
      </c>
      <c r="E95" s="180"/>
      <c r="F95" s="182"/>
    </row>
    <row r="96">
      <c r="A96" s="179">
        <f>IFERROR(__xludf.DUMMYFUNCTION("""COMPUTED_VALUE"""),95.0)</f>
        <v>95</v>
      </c>
      <c r="B96" s="180" t="str">
        <f>IFERROR(__xludf.DUMMYFUNCTION("""COMPUTED_VALUE"""),"8-12")</f>
        <v>8-12</v>
      </c>
      <c r="C96" s="182" t="str">
        <f>IFERROR(__xludf.DUMMYFUNCTION("""COMPUTED_VALUE"""),"Estimated Delivery Time: 8-12 Weeks, Initials")</f>
        <v>Estimated Delivery Time: 8-12 Weeks, Initials</v>
      </c>
      <c r="E96" s="180"/>
      <c r="F96" s="182"/>
    </row>
    <row r="97">
      <c r="A97" s="179">
        <f>IFERROR(__xludf.DUMMYFUNCTION("""COMPUTED_VALUE"""),96.0)</f>
        <v>96</v>
      </c>
      <c r="B97" s="180" t="str">
        <f>IFERROR(__xludf.DUMMYFUNCTION("""COMPUTED_VALUE"""),"8-12")</f>
        <v>8-12</v>
      </c>
      <c r="C97" s="182" t="str">
        <f>IFERROR(__xludf.DUMMYFUNCTION("""COMPUTED_VALUE"""),"Estimated Delivery Time: 8-12 Weeks, Initials")</f>
        <v>Estimated Delivery Time: 8-12 Weeks, Initials</v>
      </c>
      <c r="E97" s="180"/>
      <c r="F97" s="182"/>
    </row>
    <row r="98">
      <c r="A98" s="179">
        <f>IFERROR(__xludf.DUMMYFUNCTION("""COMPUTED_VALUE"""),97.0)</f>
        <v>97</v>
      </c>
      <c r="B98" s="180" t="str">
        <f>IFERROR(__xludf.DUMMYFUNCTION("""COMPUTED_VALUE"""),"8-12")</f>
        <v>8-12</v>
      </c>
      <c r="C98" s="182" t="str">
        <f>IFERROR(__xludf.DUMMYFUNCTION("""COMPUTED_VALUE"""),"Estimated Delivery Time: 8-12 Weeks, Initials")</f>
        <v>Estimated Delivery Time: 8-12 Weeks, Initials</v>
      </c>
      <c r="E98" s="180"/>
      <c r="F98" s="182"/>
    </row>
    <row r="99">
      <c r="A99" s="179">
        <f>IFERROR(__xludf.DUMMYFUNCTION("""COMPUTED_VALUE"""),98.0)</f>
        <v>98</v>
      </c>
      <c r="B99" s="180" t="str">
        <f>IFERROR(__xludf.DUMMYFUNCTION("""COMPUTED_VALUE"""),"8-12")</f>
        <v>8-12</v>
      </c>
      <c r="C99" s="182" t="str">
        <f>IFERROR(__xludf.DUMMYFUNCTION("""COMPUTED_VALUE"""),"Estimated Delivery Time: 8-12 Weeks, Initials")</f>
        <v>Estimated Delivery Time: 8-12 Weeks, Initials</v>
      </c>
      <c r="E99" s="180"/>
      <c r="F99" s="182"/>
    </row>
    <row r="100">
      <c r="A100" s="179">
        <f>IFERROR(__xludf.DUMMYFUNCTION("""COMPUTED_VALUE"""),99.0)</f>
        <v>99</v>
      </c>
      <c r="B100" s="180" t="str">
        <f>IFERROR(__xludf.DUMMYFUNCTION("""COMPUTED_VALUE"""),"8-12")</f>
        <v>8-12</v>
      </c>
      <c r="C100" s="182" t="str">
        <f>IFERROR(__xludf.DUMMYFUNCTION("""COMPUTED_VALUE"""),"Estimated Delivery Time: 8-12 Weeks, Initials")</f>
        <v>Estimated Delivery Time: 8-12 Weeks, Initials</v>
      </c>
      <c r="E100" s="180"/>
      <c r="F100" s="182"/>
    </row>
    <row r="101">
      <c r="A101" s="179">
        <f>IFERROR(__xludf.DUMMYFUNCTION("""COMPUTED_VALUE"""),100.0)</f>
        <v>100</v>
      </c>
      <c r="B101" s="180" t="str">
        <f>IFERROR(__xludf.DUMMYFUNCTION("""COMPUTED_VALUE"""),"8-12")</f>
        <v>8-12</v>
      </c>
      <c r="C101" s="182" t="str">
        <f>IFERROR(__xludf.DUMMYFUNCTION("""COMPUTED_VALUE"""),"Estimated Delivery Time: 8-12 Weeks, Initials")</f>
        <v>Estimated Delivery Time: 8-12 Weeks, Initials</v>
      </c>
      <c r="E101" s="180"/>
      <c r="F101" s="182"/>
    </row>
    <row r="102">
      <c r="A102" s="179">
        <f>IFERROR(__xludf.DUMMYFUNCTION("""COMPUTED_VALUE"""),101.0)</f>
        <v>101</v>
      </c>
      <c r="B102" s="180" t="str">
        <f>IFERROR(__xludf.DUMMYFUNCTION("""COMPUTED_VALUE"""),"8-12")</f>
        <v>8-12</v>
      </c>
      <c r="C102" s="182" t="str">
        <f>IFERROR(__xludf.DUMMYFUNCTION("""COMPUTED_VALUE"""),"Estimated Delivery Time: 8-12 Weeks, Initials")</f>
        <v>Estimated Delivery Time: 8-12 Weeks, Initials</v>
      </c>
      <c r="E102" s="180"/>
      <c r="F102" s="182"/>
    </row>
    <row r="103">
      <c r="A103" s="179">
        <f>IFERROR(__xludf.DUMMYFUNCTION("""COMPUTED_VALUE"""),102.0)</f>
        <v>102</v>
      </c>
      <c r="B103" s="180" t="str">
        <f>IFERROR(__xludf.DUMMYFUNCTION("""COMPUTED_VALUE"""),"8-12")</f>
        <v>8-12</v>
      </c>
      <c r="C103" s="182" t="str">
        <f>IFERROR(__xludf.DUMMYFUNCTION("""COMPUTED_VALUE"""),"Estimated Delivery Time: 8-12 Weeks, Initials")</f>
        <v>Estimated Delivery Time: 8-12 Weeks, Initials</v>
      </c>
      <c r="E103" s="180"/>
      <c r="F103" s="182"/>
    </row>
    <row r="104">
      <c r="A104" s="179">
        <f>IFERROR(__xludf.DUMMYFUNCTION("""COMPUTED_VALUE"""),103.0)</f>
        <v>103</v>
      </c>
      <c r="B104" s="180" t="str">
        <f>IFERROR(__xludf.DUMMYFUNCTION("""COMPUTED_VALUE"""),"8-12")</f>
        <v>8-12</v>
      </c>
      <c r="C104" s="182" t="str">
        <f>IFERROR(__xludf.DUMMYFUNCTION("""COMPUTED_VALUE"""),"Estimated Delivery Time: 8-12 Weeks, Initials")</f>
        <v>Estimated Delivery Time: 8-12 Weeks, Initials</v>
      </c>
      <c r="E104" s="180"/>
      <c r="F104" s="182"/>
    </row>
    <row r="105">
      <c r="A105" s="179">
        <f>IFERROR(__xludf.DUMMYFUNCTION("""COMPUTED_VALUE"""),104.0)</f>
        <v>104</v>
      </c>
      <c r="B105" s="180" t="str">
        <f>IFERROR(__xludf.DUMMYFUNCTION("""COMPUTED_VALUE"""),"8-12")</f>
        <v>8-12</v>
      </c>
      <c r="C105" s="182" t="str">
        <f>IFERROR(__xludf.DUMMYFUNCTION("""COMPUTED_VALUE"""),"Estimated Delivery Time: 8-12 Weeks, Initials")</f>
        <v>Estimated Delivery Time: 8-12 Weeks, Initials</v>
      </c>
      <c r="E105" s="180"/>
      <c r="F105" s="182"/>
    </row>
    <row r="106">
      <c r="A106" s="179">
        <f>IFERROR(__xludf.DUMMYFUNCTION("""COMPUTED_VALUE"""),105.0)</f>
        <v>105</v>
      </c>
      <c r="B106" s="180" t="str">
        <f>IFERROR(__xludf.DUMMYFUNCTION("""COMPUTED_VALUE"""),"12-16")</f>
        <v>12-16</v>
      </c>
      <c r="C106" s="182" t="str">
        <f>IFERROR(__xludf.DUMMYFUNCTION("""COMPUTED_VALUE"""),"Estimated Delivery Time: 12-16 Weeks, Initials")</f>
        <v>Estimated Delivery Time: 12-16 Weeks, Initials</v>
      </c>
      <c r="E106" s="180"/>
      <c r="F106" s="182"/>
    </row>
    <row r="107">
      <c r="A107" s="179">
        <f>IFERROR(__xludf.DUMMYFUNCTION("""COMPUTED_VALUE"""),106.0)</f>
        <v>106</v>
      </c>
      <c r="B107" s="180" t="str">
        <f>IFERROR(__xludf.DUMMYFUNCTION("""COMPUTED_VALUE"""),"8-12")</f>
        <v>8-12</v>
      </c>
      <c r="C107" s="182" t="str">
        <f>IFERROR(__xludf.DUMMYFUNCTION("""COMPUTED_VALUE"""),"Estimated Delivery Time: 8-12 Weeks, Initials")</f>
        <v>Estimated Delivery Time: 8-12 Weeks, Initials</v>
      </c>
      <c r="E107" s="180"/>
      <c r="F107" s="182"/>
    </row>
    <row r="108">
      <c r="A108" s="179">
        <f>IFERROR(__xludf.DUMMYFUNCTION("""COMPUTED_VALUE"""),107.0)</f>
        <v>107</v>
      </c>
      <c r="B108" s="180" t="str">
        <f>IFERROR(__xludf.DUMMYFUNCTION("""COMPUTED_VALUE"""),"8-12")</f>
        <v>8-12</v>
      </c>
      <c r="C108" s="182" t="str">
        <f>IFERROR(__xludf.DUMMYFUNCTION("""COMPUTED_VALUE"""),"Estimated Delivery Time: 8-12 Weeks, Initials")</f>
        <v>Estimated Delivery Time: 8-12 Weeks, Initials</v>
      </c>
      <c r="E108" s="180"/>
      <c r="F108" s="182"/>
    </row>
    <row r="109">
      <c r="A109" s="179">
        <f>IFERROR(__xludf.DUMMYFUNCTION("""COMPUTED_VALUE"""),108.0)</f>
        <v>108</v>
      </c>
      <c r="B109" s="180" t="str">
        <f>IFERROR(__xludf.DUMMYFUNCTION("""COMPUTED_VALUE"""),"8-12")</f>
        <v>8-12</v>
      </c>
      <c r="C109" s="182" t="str">
        <f>IFERROR(__xludf.DUMMYFUNCTION("""COMPUTED_VALUE"""),"Estimated Delivery Time: 8-12 Weeks, Initials")</f>
        <v>Estimated Delivery Time: 8-12 Weeks, Initials</v>
      </c>
      <c r="E109" s="180"/>
      <c r="F109" s="182"/>
    </row>
    <row r="110">
      <c r="A110" s="179">
        <f>IFERROR(__xludf.DUMMYFUNCTION("""COMPUTED_VALUE"""),109.0)</f>
        <v>109</v>
      </c>
      <c r="B110" s="180" t="str">
        <f>IFERROR(__xludf.DUMMYFUNCTION("""COMPUTED_VALUE"""),"8-12")</f>
        <v>8-12</v>
      </c>
      <c r="C110" s="182" t="str">
        <f>IFERROR(__xludf.DUMMYFUNCTION("""COMPUTED_VALUE"""),"Estimated Delivery Time: 8-12 Weeks, Initials")</f>
        <v>Estimated Delivery Time: 8-12 Weeks, Initials</v>
      </c>
      <c r="E110" s="180"/>
      <c r="F110" s="182"/>
    </row>
    <row r="111">
      <c r="A111" s="179">
        <f>IFERROR(__xludf.DUMMYFUNCTION("""COMPUTED_VALUE"""),110.0)</f>
        <v>110</v>
      </c>
      <c r="B111" s="180" t="str">
        <f>IFERROR(__xludf.DUMMYFUNCTION("""COMPUTED_VALUE"""),"8-12")</f>
        <v>8-12</v>
      </c>
      <c r="C111" s="182" t="str">
        <f>IFERROR(__xludf.DUMMYFUNCTION("""COMPUTED_VALUE"""),"Estimated Delivery Time: 8-12 Weeks, Initials")</f>
        <v>Estimated Delivery Time: 8-12 Weeks, Initials</v>
      </c>
      <c r="E111" s="180"/>
      <c r="F111" s="182"/>
    </row>
    <row r="112">
      <c r="A112" s="179">
        <f>IFERROR(__xludf.DUMMYFUNCTION("""COMPUTED_VALUE"""),111.0)</f>
        <v>111</v>
      </c>
      <c r="B112" s="180" t="str">
        <f>IFERROR(__xludf.DUMMYFUNCTION("""COMPUTED_VALUE"""),"8-12")</f>
        <v>8-12</v>
      </c>
      <c r="C112" s="182" t="str">
        <f>IFERROR(__xludf.DUMMYFUNCTION("""COMPUTED_VALUE"""),"Estimated Delivery Time: 8-12 Weeks, Initials")</f>
        <v>Estimated Delivery Time: 8-12 Weeks, Initials</v>
      </c>
      <c r="E112" s="180"/>
      <c r="F112" s="182"/>
    </row>
    <row r="113">
      <c r="A113" s="179">
        <f>IFERROR(__xludf.DUMMYFUNCTION("""COMPUTED_VALUE"""),112.0)</f>
        <v>112</v>
      </c>
      <c r="B113" s="180" t="str">
        <f>IFERROR(__xludf.DUMMYFUNCTION("""COMPUTED_VALUE"""),"8-12")</f>
        <v>8-12</v>
      </c>
      <c r="C113" s="182" t="str">
        <f>IFERROR(__xludf.DUMMYFUNCTION("""COMPUTED_VALUE"""),"Estimated Delivery Time: 8-12 Weeks, Initials")</f>
        <v>Estimated Delivery Time: 8-12 Weeks, Initials</v>
      </c>
      <c r="E113" s="180"/>
      <c r="F113" s="182"/>
    </row>
    <row r="114">
      <c r="A114" s="179">
        <f>IFERROR(__xludf.DUMMYFUNCTION("""COMPUTED_VALUE"""),113.0)</f>
        <v>113</v>
      </c>
      <c r="B114" s="180" t="str">
        <f>IFERROR(__xludf.DUMMYFUNCTION("""COMPUTED_VALUE"""),"8-12")</f>
        <v>8-12</v>
      </c>
      <c r="C114" s="182" t="str">
        <f>IFERROR(__xludf.DUMMYFUNCTION("""COMPUTED_VALUE"""),"Estimated Delivery Time: 8-12 Weeks, Initials")</f>
        <v>Estimated Delivery Time: 8-12 Weeks, Initials</v>
      </c>
      <c r="E114" s="180"/>
      <c r="F114" s="182"/>
    </row>
    <row r="115">
      <c r="A115" s="179">
        <f>IFERROR(__xludf.DUMMYFUNCTION("""COMPUTED_VALUE"""),114.0)</f>
        <v>114</v>
      </c>
      <c r="B115" s="180" t="str">
        <f>IFERROR(__xludf.DUMMYFUNCTION("""COMPUTED_VALUE"""),"8-12")</f>
        <v>8-12</v>
      </c>
      <c r="C115" s="182" t="str">
        <f>IFERROR(__xludf.DUMMYFUNCTION("""COMPUTED_VALUE"""),"Estimated Delivery Time: 8-12 Weeks, Initials")</f>
        <v>Estimated Delivery Time: 8-12 Weeks, Initials</v>
      </c>
      <c r="E115" s="180"/>
      <c r="F115" s="182"/>
    </row>
    <row r="116">
      <c r="A116" s="179">
        <f>IFERROR(__xludf.DUMMYFUNCTION("""COMPUTED_VALUE"""),115.0)</f>
        <v>115</v>
      </c>
      <c r="B116" s="180" t="str">
        <f>IFERROR(__xludf.DUMMYFUNCTION("""COMPUTED_VALUE"""),"8-12")</f>
        <v>8-12</v>
      </c>
      <c r="C116" s="182" t="str">
        <f>IFERROR(__xludf.DUMMYFUNCTION("""COMPUTED_VALUE"""),"Estimated Delivery Time: 8-12 Weeks, Initials")</f>
        <v>Estimated Delivery Time: 8-12 Weeks, Initials</v>
      </c>
      <c r="E116" s="180"/>
      <c r="F116" s="182"/>
    </row>
    <row r="117">
      <c r="A117" s="179">
        <f>IFERROR(__xludf.DUMMYFUNCTION("""COMPUTED_VALUE"""),116.0)</f>
        <v>116</v>
      </c>
      <c r="B117" s="180" t="str">
        <f>IFERROR(__xludf.DUMMYFUNCTION("""COMPUTED_VALUE"""),"8-12")</f>
        <v>8-12</v>
      </c>
      <c r="C117" s="182" t="str">
        <f>IFERROR(__xludf.DUMMYFUNCTION("""COMPUTED_VALUE"""),"Estimated Delivery Time: 8-12 Weeks, Initials")</f>
        <v>Estimated Delivery Time: 8-12 Weeks, Initials</v>
      </c>
      <c r="E117" s="180"/>
      <c r="F117" s="182"/>
    </row>
    <row r="118">
      <c r="A118" s="179">
        <f>IFERROR(__xludf.DUMMYFUNCTION("""COMPUTED_VALUE"""),117.0)</f>
        <v>117</v>
      </c>
      <c r="B118" s="180" t="str">
        <f>IFERROR(__xludf.DUMMYFUNCTION("""COMPUTED_VALUE"""),"8-12")</f>
        <v>8-12</v>
      </c>
      <c r="C118" s="182" t="str">
        <f>IFERROR(__xludf.DUMMYFUNCTION("""COMPUTED_VALUE"""),"Estimated Delivery Time: 8-12 Weeks, Initials")</f>
        <v>Estimated Delivery Time: 8-12 Weeks, Initials</v>
      </c>
      <c r="E118" s="180"/>
      <c r="F118" s="182"/>
    </row>
    <row r="119">
      <c r="A119" s="179">
        <f>IFERROR(__xludf.DUMMYFUNCTION("""COMPUTED_VALUE"""),118.0)</f>
        <v>118</v>
      </c>
      <c r="B119" s="180" t="str">
        <f>IFERROR(__xludf.DUMMYFUNCTION("""COMPUTED_VALUE"""),"12-16")</f>
        <v>12-16</v>
      </c>
      <c r="C119" s="182" t="str">
        <f>IFERROR(__xludf.DUMMYFUNCTION("""COMPUTED_VALUE"""),"Estimated Delivery Time: 12-16 Weeks, Initials")</f>
        <v>Estimated Delivery Time: 12-16 Weeks, Initials</v>
      </c>
      <c r="E119" s="180"/>
      <c r="F119" s="182"/>
    </row>
    <row r="120">
      <c r="A120" s="179">
        <f>IFERROR(__xludf.DUMMYFUNCTION("""COMPUTED_VALUE"""),119.0)</f>
        <v>119</v>
      </c>
      <c r="B120" s="180" t="str">
        <f>IFERROR(__xludf.DUMMYFUNCTION("""COMPUTED_VALUE"""),"8-12")</f>
        <v>8-12</v>
      </c>
      <c r="C120" s="182" t="str">
        <f>IFERROR(__xludf.DUMMYFUNCTION("""COMPUTED_VALUE"""),"Estimated Delivery Time: 8-12 Weeks, Initials")</f>
        <v>Estimated Delivery Time: 8-12 Weeks, Initials</v>
      </c>
      <c r="E120" s="180"/>
      <c r="F120" s="182"/>
    </row>
    <row r="121">
      <c r="A121" s="179">
        <f>IFERROR(__xludf.DUMMYFUNCTION("""COMPUTED_VALUE"""),120.0)</f>
        <v>120</v>
      </c>
      <c r="B121" s="180" t="str">
        <f>IFERROR(__xludf.DUMMYFUNCTION("""COMPUTED_VALUE"""),"8-12")</f>
        <v>8-12</v>
      </c>
      <c r="C121" s="182" t="str">
        <f>IFERROR(__xludf.DUMMYFUNCTION("""COMPUTED_VALUE"""),"Estimated Delivery Time: 8-12 Weeks, Initials")</f>
        <v>Estimated Delivery Time: 8-12 Weeks, Initials</v>
      </c>
      <c r="E121" s="180"/>
      <c r="F121" s="182"/>
    </row>
    <row r="122">
      <c r="A122" s="179">
        <f>IFERROR(__xludf.DUMMYFUNCTION("""COMPUTED_VALUE"""),121.0)</f>
        <v>121</v>
      </c>
      <c r="B122" s="180" t="str">
        <f>IFERROR(__xludf.DUMMYFUNCTION("""COMPUTED_VALUE"""),"8-12")</f>
        <v>8-12</v>
      </c>
      <c r="C122" s="182" t="str">
        <f>IFERROR(__xludf.DUMMYFUNCTION("""COMPUTED_VALUE"""),"Estimated Delivery Time: 8-12 Weeks, Initials")</f>
        <v>Estimated Delivery Time: 8-12 Weeks, Initials</v>
      </c>
      <c r="E122" s="180"/>
      <c r="F122" s="182"/>
    </row>
    <row r="123">
      <c r="A123" s="179">
        <f>IFERROR(__xludf.DUMMYFUNCTION("""COMPUTED_VALUE"""),122.0)</f>
        <v>122</v>
      </c>
      <c r="B123" s="180" t="str">
        <f>IFERROR(__xludf.DUMMYFUNCTION("""COMPUTED_VALUE"""),"8-12")</f>
        <v>8-12</v>
      </c>
      <c r="C123" s="182" t="str">
        <f>IFERROR(__xludf.DUMMYFUNCTION("""COMPUTED_VALUE"""),"Estimated Delivery Time: 8-12 Weeks, Initials")</f>
        <v>Estimated Delivery Time: 8-12 Weeks, Initials</v>
      </c>
      <c r="E123" s="180"/>
      <c r="F123" s="182"/>
    </row>
    <row r="124">
      <c r="A124" s="179">
        <f>IFERROR(__xludf.DUMMYFUNCTION("""COMPUTED_VALUE"""),123.0)</f>
        <v>123</v>
      </c>
      <c r="B124" s="180" t="str">
        <f>IFERROR(__xludf.DUMMYFUNCTION("""COMPUTED_VALUE"""),"8-12")</f>
        <v>8-12</v>
      </c>
      <c r="C124" s="182" t="str">
        <f>IFERROR(__xludf.DUMMYFUNCTION("""COMPUTED_VALUE"""),"Estimated Delivery Time: 8-12 Weeks, Initials")</f>
        <v>Estimated Delivery Time: 8-12 Weeks, Initials</v>
      </c>
      <c r="E124" s="180"/>
      <c r="F124" s="182"/>
    </row>
    <row r="125">
      <c r="A125" s="179">
        <f>IFERROR(__xludf.DUMMYFUNCTION("""COMPUTED_VALUE"""),124.0)</f>
        <v>124</v>
      </c>
      <c r="B125" s="180" t="str">
        <f>IFERROR(__xludf.DUMMYFUNCTION("""COMPUTED_VALUE"""),"8-12")</f>
        <v>8-12</v>
      </c>
      <c r="C125" s="182" t="str">
        <f>IFERROR(__xludf.DUMMYFUNCTION("""COMPUTED_VALUE"""),"Estimated Delivery Time: 8-12 Weeks, Initials")</f>
        <v>Estimated Delivery Time: 8-12 Weeks, Initials</v>
      </c>
      <c r="E125" s="180"/>
      <c r="F125" s="182"/>
    </row>
    <row r="126">
      <c r="A126" s="179">
        <f>IFERROR(__xludf.DUMMYFUNCTION("""COMPUTED_VALUE"""),125.0)</f>
        <v>125</v>
      </c>
      <c r="B126" s="180" t="str">
        <f>IFERROR(__xludf.DUMMYFUNCTION("""COMPUTED_VALUE"""),"8-12")</f>
        <v>8-12</v>
      </c>
      <c r="C126" s="182" t="str">
        <f>IFERROR(__xludf.DUMMYFUNCTION("""COMPUTED_VALUE"""),"Estimated Delivery Time: 8-12 Weeks, Initials")</f>
        <v>Estimated Delivery Time: 8-12 Weeks, Initials</v>
      </c>
      <c r="E126" s="180"/>
      <c r="F126" s="182"/>
    </row>
    <row r="127">
      <c r="A127" s="179">
        <f>IFERROR(__xludf.DUMMYFUNCTION("""COMPUTED_VALUE"""),126.0)</f>
        <v>126</v>
      </c>
      <c r="B127" s="180" t="str">
        <f>IFERROR(__xludf.DUMMYFUNCTION("""COMPUTED_VALUE"""),"8-12")</f>
        <v>8-12</v>
      </c>
      <c r="C127" s="182" t="str">
        <f>IFERROR(__xludf.DUMMYFUNCTION("""COMPUTED_VALUE"""),"Estimated Delivery Time: 8-12 Weeks, Initials")</f>
        <v>Estimated Delivery Time: 8-12 Weeks, Initials</v>
      </c>
      <c r="E127" s="180"/>
      <c r="F127" s="182"/>
    </row>
    <row r="128">
      <c r="A128" s="179">
        <f>IFERROR(__xludf.DUMMYFUNCTION("""COMPUTED_VALUE"""),127.0)</f>
        <v>127</v>
      </c>
      <c r="B128" s="180" t="str">
        <f>IFERROR(__xludf.DUMMYFUNCTION("""COMPUTED_VALUE"""),"8-12")</f>
        <v>8-12</v>
      </c>
      <c r="C128" s="182" t="str">
        <f>IFERROR(__xludf.DUMMYFUNCTION("""COMPUTED_VALUE"""),"Estimated Delivery Time: 8-12 Weeks, Initials")</f>
        <v>Estimated Delivery Time: 8-12 Weeks, Initials</v>
      </c>
      <c r="E128" s="180"/>
      <c r="F128" s="182"/>
    </row>
    <row r="129">
      <c r="A129" s="179">
        <f>IFERROR(__xludf.DUMMYFUNCTION("""COMPUTED_VALUE"""),128.0)</f>
        <v>128</v>
      </c>
      <c r="B129" s="180" t="str">
        <f>IFERROR(__xludf.DUMMYFUNCTION("""COMPUTED_VALUE"""),"8-12")</f>
        <v>8-12</v>
      </c>
      <c r="C129" s="182" t="str">
        <f>IFERROR(__xludf.DUMMYFUNCTION("""COMPUTED_VALUE"""),"Estimated Delivery Time: 8-12 Weeks, Initials")</f>
        <v>Estimated Delivery Time: 8-12 Weeks, Initials</v>
      </c>
      <c r="E129" s="180"/>
      <c r="F129" s="182"/>
    </row>
    <row r="130">
      <c r="A130" s="179">
        <f>IFERROR(__xludf.DUMMYFUNCTION("""COMPUTED_VALUE"""),129.0)</f>
        <v>129</v>
      </c>
      <c r="B130" s="180" t="str">
        <f>IFERROR(__xludf.DUMMYFUNCTION("""COMPUTED_VALUE"""),"12-16")</f>
        <v>12-16</v>
      </c>
      <c r="C130" s="182" t="str">
        <f>IFERROR(__xludf.DUMMYFUNCTION("""COMPUTED_VALUE"""),"Estimated Delivery Time: 12-16 Weeks, Initials")</f>
        <v>Estimated Delivery Time: 12-16 Weeks, Initials</v>
      </c>
      <c r="E130" s="180"/>
      <c r="F130" s="182"/>
    </row>
    <row r="131">
      <c r="A131" s="179">
        <f>IFERROR(__xludf.DUMMYFUNCTION("""COMPUTED_VALUE"""),130.0)</f>
        <v>130</v>
      </c>
      <c r="B131" s="180" t="str">
        <f>IFERROR(__xludf.DUMMYFUNCTION("""COMPUTED_VALUE"""),"8-12")</f>
        <v>8-12</v>
      </c>
      <c r="C131" s="182" t="str">
        <f>IFERROR(__xludf.DUMMYFUNCTION("""COMPUTED_VALUE"""),"Estimated Delivery Time: 8-12 Weeks, Initials")</f>
        <v>Estimated Delivery Time: 8-12 Weeks, Initials</v>
      </c>
      <c r="E131" s="180"/>
      <c r="F131" s="182"/>
    </row>
    <row r="132">
      <c r="A132" s="179">
        <f>IFERROR(__xludf.DUMMYFUNCTION("""COMPUTED_VALUE"""),131.0)</f>
        <v>131</v>
      </c>
      <c r="B132" s="180" t="str">
        <f>IFERROR(__xludf.DUMMYFUNCTION("""COMPUTED_VALUE"""),"8-12")</f>
        <v>8-12</v>
      </c>
      <c r="C132" s="182" t="str">
        <f>IFERROR(__xludf.DUMMYFUNCTION("""COMPUTED_VALUE"""),"Estimated Delivery Time: 8-12 Weeks, Initials")</f>
        <v>Estimated Delivery Time: 8-12 Weeks, Initials</v>
      </c>
      <c r="E132" s="180"/>
      <c r="F132" s="182"/>
    </row>
    <row r="133">
      <c r="A133" s="179">
        <f>IFERROR(__xludf.DUMMYFUNCTION("""COMPUTED_VALUE"""),132.0)</f>
        <v>132</v>
      </c>
      <c r="B133" s="180" t="str">
        <f>IFERROR(__xludf.DUMMYFUNCTION("""COMPUTED_VALUE"""),"8-12")</f>
        <v>8-12</v>
      </c>
      <c r="C133" s="182" t="str">
        <f>IFERROR(__xludf.DUMMYFUNCTION("""COMPUTED_VALUE"""),"Estimated Delivery Time: 8-12 Weeks, Initials")</f>
        <v>Estimated Delivery Time: 8-12 Weeks, Initials</v>
      </c>
      <c r="E133" s="180"/>
      <c r="F133" s="182"/>
    </row>
    <row r="134">
      <c r="A134" s="179">
        <f>IFERROR(__xludf.DUMMYFUNCTION("""COMPUTED_VALUE"""),133.0)</f>
        <v>133</v>
      </c>
      <c r="B134" s="180" t="str">
        <f>IFERROR(__xludf.DUMMYFUNCTION("""COMPUTED_VALUE"""),"8-12")</f>
        <v>8-12</v>
      </c>
      <c r="C134" s="182" t="str">
        <f>IFERROR(__xludf.DUMMYFUNCTION("""COMPUTED_VALUE"""),"Estimated Delivery Time: 8-12 Weeks, Initials")</f>
        <v>Estimated Delivery Time: 8-12 Weeks, Initials</v>
      </c>
      <c r="E134" s="180"/>
      <c r="F134" s="182"/>
    </row>
    <row r="135">
      <c r="A135" s="179">
        <f>IFERROR(__xludf.DUMMYFUNCTION("""COMPUTED_VALUE"""),134.0)</f>
        <v>134</v>
      </c>
      <c r="B135" s="180" t="str">
        <f>IFERROR(__xludf.DUMMYFUNCTION("""COMPUTED_VALUE"""),"8-12")</f>
        <v>8-12</v>
      </c>
      <c r="C135" s="182" t="str">
        <f>IFERROR(__xludf.DUMMYFUNCTION("""COMPUTED_VALUE"""),"Estimated Delivery Time: 8-12 Weeks, Initials")</f>
        <v>Estimated Delivery Time: 8-12 Weeks, Initials</v>
      </c>
      <c r="E135" s="180"/>
      <c r="F135" s="182"/>
    </row>
    <row r="136">
      <c r="A136" s="179">
        <f>IFERROR(__xludf.DUMMYFUNCTION("""COMPUTED_VALUE"""),135.0)</f>
        <v>135</v>
      </c>
      <c r="B136" s="180" t="str">
        <f>IFERROR(__xludf.DUMMYFUNCTION("""COMPUTED_VALUE"""),"8-12")</f>
        <v>8-12</v>
      </c>
      <c r="C136" s="182" t="str">
        <f>IFERROR(__xludf.DUMMYFUNCTION("""COMPUTED_VALUE"""),"Estimated Delivery Time: 8-12 Weeks, Initials")</f>
        <v>Estimated Delivery Time: 8-12 Weeks, Initials</v>
      </c>
      <c r="E136" s="180"/>
      <c r="F136" s="182"/>
    </row>
    <row r="137">
      <c r="A137" s="179">
        <f>IFERROR(__xludf.DUMMYFUNCTION("""COMPUTED_VALUE"""),136.0)</f>
        <v>136</v>
      </c>
      <c r="B137" s="180" t="str">
        <f>IFERROR(__xludf.DUMMYFUNCTION("""COMPUTED_VALUE"""),"8-12")</f>
        <v>8-12</v>
      </c>
      <c r="C137" s="182" t="str">
        <f>IFERROR(__xludf.DUMMYFUNCTION("""COMPUTED_VALUE"""),"Estimated Delivery Time: 8-12 Weeks, Initials")</f>
        <v>Estimated Delivery Time: 8-12 Weeks, Initials</v>
      </c>
      <c r="E137" s="180"/>
      <c r="F137" s="182"/>
    </row>
    <row r="138">
      <c r="A138" s="179">
        <f>IFERROR(__xludf.DUMMYFUNCTION("""COMPUTED_VALUE"""),137.0)</f>
        <v>137</v>
      </c>
      <c r="B138" s="180" t="str">
        <f>IFERROR(__xludf.DUMMYFUNCTION("""COMPUTED_VALUE"""),"16-20")</f>
        <v>16-20</v>
      </c>
      <c r="C138" s="182" t="str">
        <f>IFERROR(__xludf.DUMMYFUNCTION("""COMPUTED_VALUE"""),"Estimated Delivery Time: 16-20 Weeks, Initials")</f>
        <v>Estimated Delivery Time: 16-20 Weeks, Initials</v>
      </c>
      <c r="E138" s="180"/>
      <c r="F138" s="182"/>
    </row>
    <row r="139">
      <c r="A139" s="179">
        <f>IFERROR(__xludf.DUMMYFUNCTION("""COMPUTED_VALUE"""),138.0)</f>
        <v>138</v>
      </c>
      <c r="B139" s="180" t="str">
        <f>IFERROR(__xludf.DUMMYFUNCTION("""COMPUTED_VALUE"""),"8-12")</f>
        <v>8-12</v>
      </c>
      <c r="C139" s="182" t="str">
        <f>IFERROR(__xludf.DUMMYFUNCTION("""COMPUTED_VALUE"""),"Estimated Delivery Time: 8-12 Weeks, Initials")</f>
        <v>Estimated Delivery Time: 8-12 Weeks, Initials</v>
      </c>
      <c r="E139" s="180"/>
      <c r="F139" s="182"/>
    </row>
    <row r="140">
      <c r="A140" s="179">
        <f>IFERROR(__xludf.DUMMYFUNCTION("""COMPUTED_VALUE"""),139.0)</f>
        <v>139</v>
      </c>
      <c r="B140" s="180" t="str">
        <f>IFERROR(__xludf.DUMMYFUNCTION("""COMPUTED_VALUE"""),"8-12")</f>
        <v>8-12</v>
      </c>
      <c r="C140" s="182" t="str">
        <f>IFERROR(__xludf.DUMMYFUNCTION("""COMPUTED_VALUE"""),"Estimated Delivery Time: 8-12 Weeks, Initials")</f>
        <v>Estimated Delivery Time: 8-12 Weeks, Initials</v>
      </c>
      <c r="E140" s="180"/>
      <c r="F140" s="182"/>
    </row>
    <row r="141">
      <c r="A141" s="179">
        <f>IFERROR(__xludf.DUMMYFUNCTION("""COMPUTED_VALUE"""),140.0)</f>
        <v>140</v>
      </c>
      <c r="B141" s="180" t="str">
        <f>IFERROR(__xludf.DUMMYFUNCTION("""COMPUTED_VALUE"""),"8-12")</f>
        <v>8-12</v>
      </c>
      <c r="C141" s="182" t="str">
        <f>IFERROR(__xludf.DUMMYFUNCTION("""COMPUTED_VALUE"""),"Estimated Delivery Time: 8-12 Weeks, Initials")</f>
        <v>Estimated Delivery Time: 8-12 Weeks, Initials</v>
      </c>
      <c r="E141" s="180"/>
      <c r="F141" s="182"/>
    </row>
    <row r="142">
      <c r="A142" s="179">
        <f>IFERROR(__xludf.DUMMYFUNCTION("""COMPUTED_VALUE"""),141.0)</f>
        <v>141</v>
      </c>
      <c r="B142" s="180" t="str">
        <f>IFERROR(__xludf.DUMMYFUNCTION("""COMPUTED_VALUE"""),"8-12")</f>
        <v>8-12</v>
      </c>
      <c r="C142" s="182" t="str">
        <f>IFERROR(__xludf.DUMMYFUNCTION("""COMPUTED_VALUE"""),"Estimated Delivery Time: 8-12 Weeks, Initials")</f>
        <v>Estimated Delivery Time: 8-12 Weeks, Initials</v>
      </c>
      <c r="E142" s="180"/>
      <c r="F142" s="182"/>
    </row>
    <row r="143">
      <c r="A143" s="179">
        <f>IFERROR(__xludf.DUMMYFUNCTION("""COMPUTED_VALUE"""),142.0)</f>
        <v>142</v>
      </c>
      <c r="B143" s="180" t="str">
        <f>IFERROR(__xludf.DUMMYFUNCTION("""COMPUTED_VALUE"""),"8-12")</f>
        <v>8-12</v>
      </c>
      <c r="C143" s="182" t="str">
        <f>IFERROR(__xludf.DUMMYFUNCTION("""COMPUTED_VALUE"""),"Estimated Delivery Time: 8-12 Weeks, Initials")</f>
        <v>Estimated Delivery Time: 8-12 Weeks, Initials</v>
      </c>
      <c r="E143" s="180"/>
      <c r="F143" s="182"/>
    </row>
    <row r="144">
      <c r="A144" s="179">
        <f>IFERROR(__xludf.DUMMYFUNCTION("""COMPUTED_VALUE"""),143.0)</f>
        <v>143</v>
      </c>
      <c r="B144" s="180" t="str">
        <f>IFERROR(__xludf.DUMMYFUNCTION("""COMPUTED_VALUE"""),"8-12")</f>
        <v>8-12</v>
      </c>
      <c r="C144" s="182" t="str">
        <f>IFERROR(__xludf.DUMMYFUNCTION("""COMPUTED_VALUE"""),"Estimated Delivery Time: 8-12 Weeks, Initials")</f>
        <v>Estimated Delivery Time: 8-12 Weeks, Initials</v>
      </c>
      <c r="E144" s="180"/>
      <c r="F144" s="182"/>
    </row>
    <row r="145">
      <c r="A145" s="179">
        <f>IFERROR(__xludf.DUMMYFUNCTION("""COMPUTED_VALUE"""),144.0)</f>
        <v>144</v>
      </c>
      <c r="B145" s="180" t="str">
        <f>IFERROR(__xludf.DUMMYFUNCTION("""COMPUTED_VALUE"""),"12-16")</f>
        <v>12-16</v>
      </c>
      <c r="C145" s="182" t="str">
        <f>IFERROR(__xludf.DUMMYFUNCTION("""COMPUTED_VALUE"""),"Estimated Delivery Time: 12-16 Weeks, Initials")</f>
        <v>Estimated Delivery Time: 12-16 Weeks, Initials</v>
      </c>
      <c r="E145" s="180"/>
      <c r="F145" s="182"/>
    </row>
    <row r="146">
      <c r="A146" s="179">
        <f>IFERROR(__xludf.DUMMYFUNCTION("""COMPUTED_VALUE"""),145.0)</f>
        <v>145</v>
      </c>
      <c r="B146" s="180" t="str">
        <f>IFERROR(__xludf.DUMMYFUNCTION("""COMPUTED_VALUE"""),"8-12")</f>
        <v>8-12</v>
      </c>
      <c r="C146" s="182" t="str">
        <f>IFERROR(__xludf.DUMMYFUNCTION("""COMPUTED_VALUE"""),"Estimated Delivery Time: 8-12 Weeks, Initials")</f>
        <v>Estimated Delivery Time: 8-12 Weeks, Initials</v>
      </c>
      <c r="E146" s="180"/>
      <c r="F146" s="182"/>
    </row>
    <row r="147">
      <c r="A147" s="179">
        <f>IFERROR(__xludf.DUMMYFUNCTION("""COMPUTED_VALUE"""),146.0)</f>
        <v>146</v>
      </c>
      <c r="B147" s="180" t="str">
        <f>IFERROR(__xludf.DUMMYFUNCTION("""COMPUTED_VALUE"""),"12-16")</f>
        <v>12-16</v>
      </c>
      <c r="C147" s="182" t="str">
        <f>IFERROR(__xludf.DUMMYFUNCTION("""COMPUTED_VALUE"""),"Estimated Delivery Time: 12-16 Weeks, Initials")</f>
        <v>Estimated Delivery Time: 12-16 Weeks, Initials</v>
      </c>
      <c r="E147" s="180"/>
      <c r="F147" s="182"/>
    </row>
    <row r="148">
      <c r="A148" s="179">
        <f>IFERROR(__xludf.DUMMYFUNCTION("""COMPUTED_VALUE"""),147.0)</f>
        <v>147</v>
      </c>
      <c r="B148" s="180" t="str">
        <f>IFERROR(__xludf.DUMMYFUNCTION("""COMPUTED_VALUE"""),"12-16")</f>
        <v>12-16</v>
      </c>
      <c r="C148" s="182" t="str">
        <f>IFERROR(__xludf.DUMMYFUNCTION("""COMPUTED_VALUE"""),"Estimated Delivery Time: 12-16 Weeks, Initials")</f>
        <v>Estimated Delivery Time: 12-16 Weeks, Initials</v>
      </c>
      <c r="E148" s="180"/>
      <c r="F148" s="182"/>
    </row>
    <row r="149">
      <c r="A149" s="179">
        <f>IFERROR(__xludf.DUMMYFUNCTION("""COMPUTED_VALUE"""),148.0)</f>
        <v>148</v>
      </c>
      <c r="B149" s="180" t="str">
        <f>IFERROR(__xludf.DUMMYFUNCTION("""COMPUTED_VALUE"""),"8-12")</f>
        <v>8-12</v>
      </c>
      <c r="C149" s="182" t="str">
        <f>IFERROR(__xludf.DUMMYFUNCTION("""COMPUTED_VALUE"""),"Estimated Delivery Time: 8-12 Weeks, Initials")</f>
        <v>Estimated Delivery Time: 8-12 Weeks, Initials</v>
      </c>
      <c r="E149" s="180"/>
      <c r="F149" s="182"/>
    </row>
    <row r="150">
      <c r="A150" s="179">
        <f>IFERROR(__xludf.DUMMYFUNCTION("""COMPUTED_VALUE"""),149.0)</f>
        <v>149</v>
      </c>
      <c r="B150" s="180" t="str">
        <f>IFERROR(__xludf.DUMMYFUNCTION("""COMPUTED_VALUE"""),"8-12")</f>
        <v>8-12</v>
      </c>
      <c r="C150" s="182" t="str">
        <f>IFERROR(__xludf.DUMMYFUNCTION("""COMPUTED_VALUE"""),"Estimated Delivery Time: 8-12 Weeks, Initials")</f>
        <v>Estimated Delivery Time: 8-12 Weeks, Initials</v>
      </c>
      <c r="E150" s="180"/>
      <c r="F150" s="182"/>
    </row>
    <row r="151">
      <c r="A151" s="179">
        <f>IFERROR(__xludf.DUMMYFUNCTION("""COMPUTED_VALUE"""),150.0)</f>
        <v>150</v>
      </c>
      <c r="B151" s="180" t="str">
        <f>IFERROR(__xludf.DUMMYFUNCTION("""COMPUTED_VALUE"""),"8-12")</f>
        <v>8-12</v>
      </c>
      <c r="C151" s="182" t="str">
        <f>IFERROR(__xludf.DUMMYFUNCTION("""COMPUTED_VALUE"""),"Estimated Delivery Time: 8-12 Weeks, Initials")</f>
        <v>Estimated Delivery Time: 8-12 Weeks, Initials</v>
      </c>
      <c r="E151" s="180"/>
      <c r="F151" s="182"/>
    </row>
    <row r="152">
      <c r="A152" s="179">
        <f>IFERROR(__xludf.DUMMYFUNCTION("""COMPUTED_VALUE"""),151.0)</f>
        <v>151</v>
      </c>
      <c r="B152" s="180" t="str">
        <f>IFERROR(__xludf.DUMMYFUNCTION("""COMPUTED_VALUE"""),"8-12")</f>
        <v>8-12</v>
      </c>
      <c r="C152" s="182" t="str">
        <f>IFERROR(__xludf.DUMMYFUNCTION("""COMPUTED_VALUE"""),"Estimated Delivery Time: 8-12 Weeks, Initials")</f>
        <v>Estimated Delivery Time: 8-12 Weeks, Initials</v>
      </c>
      <c r="E152" s="180"/>
      <c r="F152" s="182"/>
    </row>
    <row r="153">
      <c r="A153" s="179">
        <f>IFERROR(__xludf.DUMMYFUNCTION("""COMPUTED_VALUE"""),152.0)</f>
        <v>152</v>
      </c>
      <c r="B153" s="180" t="str">
        <f>IFERROR(__xludf.DUMMYFUNCTION("""COMPUTED_VALUE"""),"8-12")</f>
        <v>8-12</v>
      </c>
      <c r="C153" s="182" t="str">
        <f>IFERROR(__xludf.DUMMYFUNCTION("""COMPUTED_VALUE"""),"Estimated Delivery Time: 8-12 Weeks, Initials")</f>
        <v>Estimated Delivery Time: 8-12 Weeks, Initials</v>
      </c>
      <c r="E153" s="180"/>
      <c r="F153" s="182"/>
    </row>
    <row r="154">
      <c r="A154" s="179">
        <f>IFERROR(__xludf.DUMMYFUNCTION("""COMPUTED_VALUE"""),153.0)</f>
        <v>153</v>
      </c>
      <c r="B154" s="180" t="str">
        <f>IFERROR(__xludf.DUMMYFUNCTION("""COMPUTED_VALUE"""),"8-12")</f>
        <v>8-12</v>
      </c>
      <c r="C154" s="182" t="str">
        <f>IFERROR(__xludf.DUMMYFUNCTION("""COMPUTED_VALUE"""),"Estimated Delivery Time: 8-12 Weeks, Initials")</f>
        <v>Estimated Delivery Time: 8-12 Weeks, Initials</v>
      </c>
      <c r="E154" s="180"/>
      <c r="F154" s="182"/>
    </row>
    <row r="155">
      <c r="A155" s="179">
        <f>IFERROR(__xludf.DUMMYFUNCTION("""COMPUTED_VALUE"""),154.0)</f>
        <v>154</v>
      </c>
      <c r="B155" s="180" t="str">
        <f>IFERROR(__xludf.DUMMYFUNCTION("""COMPUTED_VALUE"""),"8-12")</f>
        <v>8-12</v>
      </c>
      <c r="C155" s="182" t="str">
        <f>IFERROR(__xludf.DUMMYFUNCTION("""COMPUTED_VALUE"""),"Estimated Delivery Time: 8-12 Weeks, Initials")</f>
        <v>Estimated Delivery Time: 8-12 Weeks, Initials</v>
      </c>
      <c r="E155" s="180"/>
      <c r="F155" s="182"/>
    </row>
    <row r="156">
      <c r="A156" s="179">
        <f>IFERROR(__xludf.DUMMYFUNCTION("""COMPUTED_VALUE"""),155.0)</f>
        <v>155</v>
      </c>
      <c r="B156" s="180" t="str">
        <f>IFERROR(__xludf.DUMMYFUNCTION("""COMPUTED_VALUE"""),"8-12")</f>
        <v>8-12</v>
      </c>
      <c r="C156" s="182" t="str">
        <f>IFERROR(__xludf.DUMMYFUNCTION("""COMPUTED_VALUE"""),"Estimated Delivery Time: 8-12 Weeks, Initials")</f>
        <v>Estimated Delivery Time: 8-12 Weeks, Initials</v>
      </c>
      <c r="E156" s="180"/>
      <c r="F156" s="182"/>
    </row>
    <row r="157">
      <c r="A157" s="179">
        <f>IFERROR(__xludf.DUMMYFUNCTION("""COMPUTED_VALUE"""),156.0)</f>
        <v>156</v>
      </c>
      <c r="B157" s="180" t="str">
        <f>IFERROR(__xludf.DUMMYFUNCTION("""COMPUTED_VALUE"""),"8-12")</f>
        <v>8-12</v>
      </c>
      <c r="C157" s="182" t="str">
        <f>IFERROR(__xludf.DUMMYFUNCTION("""COMPUTED_VALUE"""),"Estimated Delivery Time: 8-12 Weeks, Initials")</f>
        <v>Estimated Delivery Time: 8-12 Weeks, Initials</v>
      </c>
      <c r="E157" s="180"/>
      <c r="F157" s="182"/>
    </row>
    <row r="158">
      <c r="A158" s="179">
        <f>IFERROR(__xludf.DUMMYFUNCTION("""COMPUTED_VALUE"""),157.0)</f>
        <v>157</v>
      </c>
      <c r="B158" s="180" t="str">
        <f>IFERROR(__xludf.DUMMYFUNCTION("""COMPUTED_VALUE"""),"10-14")</f>
        <v>10-14</v>
      </c>
      <c r="C158" s="182" t="str">
        <f>IFERROR(__xludf.DUMMYFUNCTION("""COMPUTED_VALUE"""),"Estimated Delivery Time: 10-14 Weeks, Initials")</f>
        <v>Estimated Delivery Time: 10-14 Weeks, Initials</v>
      </c>
      <c r="E158" s="180"/>
      <c r="F158" s="182"/>
    </row>
    <row r="159">
      <c r="A159" s="179">
        <f>IFERROR(__xludf.DUMMYFUNCTION("""COMPUTED_VALUE"""),158.0)</f>
        <v>158</v>
      </c>
      <c r="B159" s="180" t="str">
        <f>IFERROR(__xludf.DUMMYFUNCTION("""COMPUTED_VALUE"""),"8-12")</f>
        <v>8-12</v>
      </c>
      <c r="C159" s="182" t="str">
        <f>IFERROR(__xludf.DUMMYFUNCTION("""COMPUTED_VALUE"""),"Estimated Delivery Time: 8-12 Weeks, Initials")</f>
        <v>Estimated Delivery Time: 8-12 Weeks, Initials</v>
      </c>
      <c r="E159" s="180"/>
      <c r="F159" s="182"/>
    </row>
    <row r="160">
      <c r="A160" s="179">
        <f>IFERROR(__xludf.DUMMYFUNCTION("""COMPUTED_VALUE"""),159.0)</f>
        <v>159</v>
      </c>
      <c r="B160" s="180" t="str">
        <f>IFERROR(__xludf.DUMMYFUNCTION("""COMPUTED_VALUE"""),"8-12")</f>
        <v>8-12</v>
      </c>
      <c r="C160" s="182" t="str">
        <f>IFERROR(__xludf.DUMMYFUNCTION("""COMPUTED_VALUE"""),"Estimated Delivery Time: 8-12 Weeks, Initials")</f>
        <v>Estimated Delivery Time: 8-12 Weeks, Initials</v>
      </c>
      <c r="E160" s="180"/>
      <c r="F160" s="182"/>
    </row>
    <row r="161">
      <c r="A161" s="179">
        <f>IFERROR(__xludf.DUMMYFUNCTION("""COMPUTED_VALUE"""),160.0)</f>
        <v>160</v>
      </c>
      <c r="B161" s="180" t="str">
        <f>IFERROR(__xludf.DUMMYFUNCTION("""COMPUTED_VALUE"""),"8-12")</f>
        <v>8-12</v>
      </c>
      <c r="C161" s="182" t="str">
        <f>IFERROR(__xludf.DUMMYFUNCTION("""COMPUTED_VALUE"""),"Estimated Delivery Time: 8-12 Weeks, Initials")</f>
        <v>Estimated Delivery Time: 8-12 Weeks, Initials</v>
      </c>
      <c r="E161" s="180"/>
      <c r="F161" s="182"/>
    </row>
    <row r="162">
      <c r="A162" s="179">
        <f>IFERROR(__xludf.DUMMYFUNCTION("""COMPUTED_VALUE"""),161.0)</f>
        <v>161</v>
      </c>
      <c r="B162" s="180" t="str">
        <f>IFERROR(__xludf.DUMMYFUNCTION("""COMPUTED_VALUE"""),"8-12")</f>
        <v>8-12</v>
      </c>
      <c r="C162" s="182" t="str">
        <f>IFERROR(__xludf.DUMMYFUNCTION("""COMPUTED_VALUE"""),"Estimated Delivery Time: 8-12 Weeks, Initials")</f>
        <v>Estimated Delivery Time: 8-12 Weeks, Initials</v>
      </c>
      <c r="E162" s="180"/>
      <c r="F162" s="182"/>
    </row>
    <row r="163">
      <c r="A163" s="179">
        <f>IFERROR(__xludf.DUMMYFUNCTION("""COMPUTED_VALUE"""),162.0)</f>
        <v>162</v>
      </c>
      <c r="B163" s="180" t="str">
        <f>IFERROR(__xludf.DUMMYFUNCTION("""COMPUTED_VALUE"""),"8-12")</f>
        <v>8-12</v>
      </c>
      <c r="C163" s="182" t="str">
        <f>IFERROR(__xludf.DUMMYFUNCTION("""COMPUTED_VALUE"""),"Estimated Delivery Time: 8-12 Weeks, Initials")</f>
        <v>Estimated Delivery Time: 8-12 Weeks, Initials</v>
      </c>
      <c r="E163" s="180"/>
      <c r="F163" s="182"/>
    </row>
    <row r="164">
      <c r="A164" s="179">
        <f>IFERROR(__xludf.DUMMYFUNCTION("""COMPUTED_VALUE"""),163.0)</f>
        <v>163</v>
      </c>
      <c r="B164" s="180" t="str">
        <f>IFERROR(__xludf.DUMMYFUNCTION("""COMPUTED_VALUE"""),"8-12")</f>
        <v>8-12</v>
      </c>
      <c r="C164" s="182" t="str">
        <f>IFERROR(__xludf.DUMMYFUNCTION("""COMPUTED_VALUE"""),"Estimated Delivery Time: 8-12 Weeks, Initials")</f>
        <v>Estimated Delivery Time: 8-12 Weeks, Initials</v>
      </c>
      <c r="E164" s="180"/>
      <c r="F164" s="182"/>
    </row>
    <row r="165">
      <c r="A165" s="179">
        <f>IFERROR(__xludf.DUMMYFUNCTION("""COMPUTED_VALUE"""),164.0)</f>
        <v>164</v>
      </c>
      <c r="B165" s="180" t="str">
        <f>IFERROR(__xludf.DUMMYFUNCTION("""COMPUTED_VALUE"""),"8-12")</f>
        <v>8-12</v>
      </c>
      <c r="C165" s="182" t="str">
        <f>IFERROR(__xludf.DUMMYFUNCTION("""COMPUTED_VALUE"""),"Estimated Delivery Time: 8-12 Weeks, Initials")</f>
        <v>Estimated Delivery Time: 8-12 Weeks, Initials</v>
      </c>
      <c r="E165" s="180"/>
      <c r="F165" s="182"/>
    </row>
    <row r="166">
      <c r="A166" s="179">
        <f>IFERROR(__xludf.DUMMYFUNCTION("""COMPUTED_VALUE"""),165.0)</f>
        <v>165</v>
      </c>
      <c r="B166" s="180" t="str">
        <f>IFERROR(__xludf.DUMMYFUNCTION("""COMPUTED_VALUE"""),"12-16")</f>
        <v>12-16</v>
      </c>
      <c r="C166" s="182" t="str">
        <f>IFERROR(__xludf.DUMMYFUNCTION("""COMPUTED_VALUE"""),"Estimated Delivery Time: 12-16 Weeks, Initials")</f>
        <v>Estimated Delivery Time: 12-16 Weeks, Initials</v>
      </c>
      <c r="E166" s="180"/>
      <c r="F166" s="182"/>
    </row>
    <row r="167">
      <c r="A167" s="179">
        <f>IFERROR(__xludf.DUMMYFUNCTION("""COMPUTED_VALUE"""),166.0)</f>
        <v>166</v>
      </c>
      <c r="B167" s="180" t="str">
        <f>IFERROR(__xludf.DUMMYFUNCTION("""COMPUTED_VALUE"""),"8-12")</f>
        <v>8-12</v>
      </c>
      <c r="C167" s="182" t="str">
        <f>IFERROR(__xludf.DUMMYFUNCTION("""COMPUTED_VALUE"""),"Estimated Delivery Time: 8-12 Weeks, Initials")</f>
        <v>Estimated Delivery Time: 8-12 Weeks, Initials</v>
      </c>
      <c r="E167" s="180"/>
      <c r="F167" s="182"/>
    </row>
    <row r="168">
      <c r="A168" s="179">
        <f>IFERROR(__xludf.DUMMYFUNCTION("""COMPUTED_VALUE"""),167.0)</f>
        <v>167</v>
      </c>
      <c r="B168" s="180" t="str">
        <f>IFERROR(__xludf.DUMMYFUNCTION("""COMPUTED_VALUE"""),"10-14")</f>
        <v>10-14</v>
      </c>
      <c r="C168" s="182" t="str">
        <f>IFERROR(__xludf.DUMMYFUNCTION("""COMPUTED_VALUE"""),"Estimated Delivery Time: 10-14 Weeks, Initials")</f>
        <v>Estimated Delivery Time: 10-14 Weeks, Initials</v>
      </c>
      <c r="E168" s="180"/>
      <c r="F168" s="182"/>
    </row>
    <row r="169">
      <c r="A169" s="179">
        <f>IFERROR(__xludf.DUMMYFUNCTION("""COMPUTED_VALUE"""),168.0)</f>
        <v>168</v>
      </c>
      <c r="B169" s="180" t="str">
        <f>IFERROR(__xludf.DUMMYFUNCTION("""COMPUTED_VALUE"""),"16-20")</f>
        <v>16-20</v>
      </c>
      <c r="C169" s="182" t="str">
        <f>IFERROR(__xludf.DUMMYFUNCTION("""COMPUTED_VALUE"""),"Estimated Delivery Time: 16-20 Weeks, Initials")</f>
        <v>Estimated Delivery Time: 16-20 Weeks, Initials</v>
      </c>
      <c r="E169" s="180"/>
      <c r="F169" s="182"/>
    </row>
    <row r="170">
      <c r="A170" s="179">
        <f>IFERROR(__xludf.DUMMYFUNCTION("""COMPUTED_VALUE"""),169.0)</f>
        <v>169</v>
      </c>
      <c r="B170" s="180" t="str">
        <f>IFERROR(__xludf.DUMMYFUNCTION("""COMPUTED_VALUE"""),"8-12")</f>
        <v>8-12</v>
      </c>
      <c r="C170" s="182" t="str">
        <f>IFERROR(__xludf.DUMMYFUNCTION("""COMPUTED_VALUE"""),"Estimated Delivery Time: 8-12 Weeks, Initials")</f>
        <v>Estimated Delivery Time: 8-12 Weeks, Initials</v>
      </c>
      <c r="E170" s="180"/>
      <c r="F170" s="182"/>
    </row>
    <row r="171">
      <c r="A171" s="179">
        <f>IFERROR(__xludf.DUMMYFUNCTION("""COMPUTED_VALUE"""),170.0)</f>
        <v>170</v>
      </c>
      <c r="B171" s="180" t="str">
        <f>IFERROR(__xludf.DUMMYFUNCTION("""COMPUTED_VALUE"""),"8-12")</f>
        <v>8-12</v>
      </c>
      <c r="C171" s="182" t="str">
        <f>IFERROR(__xludf.DUMMYFUNCTION("""COMPUTED_VALUE"""),"Estimated Delivery Time: 8-12 Weeks, Initials")</f>
        <v>Estimated Delivery Time: 8-12 Weeks, Initials</v>
      </c>
      <c r="E171" s="180"/>
      <c r="F171" s="182"/>
    </row>
    <row r="172">
      <c r="A172" s="179">
        <f>IFERROR(__xludf.DUMMYFUNCTION("""COMPUTED_VALUE"""),171.0)</f>
        <v>171</v>
      </c>
      <c r="B172" s="180" t="str">
        <f>IFERROR(__xludf.DUMMYFUNCTION("""COMPUTED_VALUE"""),"8-12")</f>
        <v>8-12</v>
      </c>
      <c r="C172" s="182" t="str">
        <f>IFERROR(__xludf.DUMMYFUNCTION("""COMPUTED_VALUE"""),"Estimated Delivery Time: 8-12 Weeks, Initials")</f>
        <v>Estimated Delivery Time: 8-12 Weeks, Initials</v>
      </c>
      <c r="E172" s="180"/>
      <c r="F172" s="182"/>
    </row>
    <row r="173">
      <c r="A173" s="179">
        <f>IFERROR(__xludf.DUMMYFUNCTION("""COMPUTED_VALUE"""),172.0)</f>
        <v>172</v>
      </c>
      <c r="B173" s="180" t="str">
        <f>IFERROR(__xludf.DUMMYFUNCTION("""COMPUTED_VALUE"""),"8-12")</f>
        <v>8-12</v>
      </c>
      <c r="C173" s="182" t="str">
        <f>IFERROR(__xludf.DUMMYFUNCTION("""COMPUTED_VALUE"""),"Estimated Delivery Time: 8-12 Weeks, Initials")</f>
        <v>Estimated Delivery Time: 8-12 Weeks, Initials</v>
      </c>
      <c r="E173" s="180"/>
      <c r="F173" s="182"/>
    </row>
    <row r="174">
      <c r="A174" s="179">
        <f>IFERROR(__xludf.DUMMYFUNCTION("""COMPUTED_VALUE"""),173.0)</f>
        <v>173</v>
      </c>
      <c r="B174" s="180" t="str">
        <f>IFERROR(__xludf.DUMMYFUNCTION("""COMPUTED_VALUE"""),"8-12")</f>
        <v>8-12</v>
      </c>
      <c r="C174" s="182" t="str">
        <f>IFERROR(__xludf.DUMMYFUNCTION("""COMPUTED_VALUE"""),"Estimated Delivery Time: 8-12 Weeks, Initials")</f>
        <v>Estimated Delivery Time: 8-12 Weeks, Initials</v>
      </c>
      <c r="E174" s="180"/>
      <c r="F174" s="182"/>
    </row>
    <row r="175">
      <c r="A175" s="179">
        <f>IFERROR(__xludf.DUMMYFUNCTION("""COMPUTED_VALUE"""),174.0)</f>
        <v>174</v>
      </c>
      <c r="B175" s="180" t="str">
        <f>IFERROR(__xludf.DUMMYFUNCTION("""COMPUTED_VALUE"""),"8-12")</f>
        <v>8-12</v>
      </c>
      <c r="C175" s="182" t="str">
        <f>IFERROR(__xludf.DUMMYFUNCTION("""COMPUTED_VALUE"""),"Estimated Delivery Time: 8-12 Weeks, Initials")</f>
        <v>Estimated Delivery Time: 8-12 Weeks, Initials</v>
      </c>
      <c r="E175" s="180"/>
      <c r="F175" s="182"/>
    </row>
    <row r="176">
      <c r="A176" s="179">
        <f>IFERROR(__xludf.DUMMYFUNCTION("""COMPUTED_VALUE"""),175.0)</f>
        <v>175</v>
      </c>
      <c r="B176" s="180" t="str">
        <f>IFERROR(__xludf.DUMMYFUNCTION("""COMPUTED_VALUE"""),"8-12")</f>
        <v>8-12</v>
      </c>
      <c r="C176" s="182" t="str">
        <f>IFERROR(__xludf.DUMMYFUNCTION("""COMPUTED_VALUE"""),"Estimated Delivery Time: 8-12 Weeks, Initials")</f>
        <v>Estimated Delivery Time: 8-12 Weeks, Initials</v>
      </c>
      <c r="E176" s="180"/>
      <c r="F176" s="182"/>
    </row>
    <row r="177">
      <c r="A177" s="179">
        <f>IFERROR(__xludf.DUMMYFUNCTION("""COMPUTED_VALUE"""),176.0)</f>
        <v>176</v>
      </c>
      <c r="B177" s="180" t="str">
        <f>IFERROR(__xludf.DUMMYFUNCTION("""COMPUTED_VALUE"""),"8-12")</f>
        <v>8-12</v>
      </c>
      <c r="C177" s="182" t="str">
        <f>IFERROR(__xludf.DUMMYFUNCTION("""COMPUTED_VALUE"""),"Estimated Delivery Time: 8-12 Weeks, Initials")</f>
        <v>Estimated Delivery Time: 8-12 Weeks, Initials</v>
      </c>
      <c r="E177" s="180"/>
      <c r="F177" s="182"/>
    </row>
    <row r="178">
      <c r="A178" s="179">
        <f>IFERROR(__xludf.DUMMYFUNCTION("""COMPUTED_VALUE"""),177.0)</f>
        <v>177</v>
      </c>
      <c r="B178" s="180" t="str">
        <f>IFERROR(__xludf.DUMMYFUNCTION("""COMPUTED_VALUE"""),"8-12")</f>
        <v>8-12</v>
      </c>
      <c r="C178" s="182" t="str">
        <f>IFERROR(__xludf.DUMMYFUNCTION("""COMPUTED_VALUE"""),"Estimated Delivery Time: 8-12 Weeks, Initials")</f>
        <v>Estimated Delivery Time: 8-12 Weeks, Initials</v>
      </c>
      <c r="E178" s="180"/>
      <c r="F178" s="182"/>
    </row>
    <row r="179">
      <c r="A179" s="179">
        <f>IFERROR(__xludf.DUMMYFUNCTION("""COMPUTED_VALUE"""),178.0)</f>
        <v>178</v>
      </c>
      <c r="B179" s="180" t="str">
        <f>IFERROR(__xludf.DUMMYFUNCTION("""COMPUTED_VALUE"""),"8-12")</f>
        <v>8-12</v>
      </c>
      <c r="C179" s="182" t="str">
        <f>IFERROR(__xludf.DUMMYFUNCTION("""COMPUTED_VALUE"""),"Estimated Delivery Time: 8-12 Weeks, Initials")</f>
        <v>Estimated Delivery Time: 8-12 Weeks, Initials</v>
      </c>
      <c r="E179" s="180"/>
      <c r="F179" s="182"/>
    </row>
    <row r="180">
      <c r="A180" s="179">
        <f>IFERROR(__xludf.DUMMYFUNCTION("""COMPUTED_VALUE"""),179.0)</f>
        <v>179</v>
      </c>
      <c r="B180" s="180" t="str">
        <f>IFERROR(__xludf.DUMMYFUNCTION("""COMPUTED_VALUE"""),"8-12")</f>
        <v>8-12</v>
      </c>
      <c r="C180" s="182" t="str">
        <f>IFERROR(__xludf.DUMMYFUNCTION("""COMPUTED_VALUE"""),"Estimated Delivery Time: 8-12 Weeks, Initials")</f>
        <v>Estimated Delivery Time: 8-12 Weeks, Initials</v>
      </c>
      <c r="E180" s="180"/>
      <c r="F180" s="182"/>
    </row>
    <row r="181">
      <c r="A181" s="179">
        <f>IFERROR(__xludf.DUMMYFUNCTION("""COMPUTED_VALUE"""),180.0)</f>
        <v>180</v>
      </c>
      <c r="B181" s="180" t="str">
        <f>IFERROR(__xludf.DUMMYFUNCTION("""COMPUTED_VALUE"""),"8-12")</f>
        <v>8-12</v>
      </c>
      <c r="C181" s="182" t="str">
        <f>IFERROR(__xludf.DUMMYFUNCTION("""COMPUTED_VALUE"""),"Estimated Delivery Time: 8-12 Weeks, Initials")</f>
        <v>Estimated Delivery Time: 8-12 Weeks, Initials</v>
      </c>
      <c r="E181" s="180"/>
      <c r="F181" s="182"/>
    </row>
    <row r="182">
      <c r="A182" s="179">
        <f>IFERROR(__xludf.DUMMYFUNCTION("""COMPUTED_VALUE"""),181.0)</f>
        <v>181</v>
      </c>
      <c r="B182" s="180" t="str">
        <f>IFERROR(__xludf.DUMMYFUNCTION("""COMPUTED_VALUE"""),"8-12")</f>
        <v>8-12</v>
      </c>
      <c r="C182" s="182" t="str">
        <f>IFERROR(__xludf.DUMMYFUNCTION("""COMPUTED_VALUE"""),"Estimated Delivery Time: 8-12 Weeks, Initials")</f>
        <v>Estimated Delivery Time: 8-12 Weeks, Initials</v>
      </c>
      <c r="E182" s="180"/>
      <c r="F182" s="182"/>
    </row>
    <row r="183">
      <c r="A183" s="179">
        <f>IFERROR(__xludf.DUMMYFUNCTION("""COMPUTED_VALUE"""),182.0)</f>
        <v>182</v>
      </c>
      <c r="B183" s="180" t="str">
        <f>IFERROR(__xludf.DUMMYFUNCTION("""COMPUTED_VALUE"""),"8-12")</f>
        <v>8-12</v>
      </c>
      <c r="C183" s="182" t="str">
        <f>IFERROR(__xludf.DUMMYFUNCTION("""COMPUTED_VALUE"""),"Estimated Delivery Time: 8-12 Weeks, Initials")</f>
        <v>Estimated Delivery Time: 8-12 Weeks, Initials</v>
      </c>
      <c r="E183" s="180"/>
      <c r="F183" s="182"/>
    </row>
    <row r="184">
      <c r="A184" s="179">
        <f>IFERROR(__xludf.DUMMYFUNCTION("""COMPUTED_VALUE"""),183.0)</f>
        <v>183</v>
      </c>
      <c r="B184" s="180" t="str">
        <f>IFERROR(__xludf.DUMMYFUNCTION("""COMPUTED_VALUE"""),"8-12")</f>
        <v>8-12</v>
      </c>
      <c r="C184" s="182" t="str">
        <f>IFERROR(__xludf.DUMMYFUNCTION("""COMPUTED_VALUE"""),"Estimated Delivery Time: 8-12 Weeks, Initials")</f>
        <v>Estimated Delivery Time: 8-12 Weeks, Initials</v>
      </c>
      <c r="E184" s="180"/>
      <c r="F184" s="182"/>
    </row>
    <row r="185">
      <c r="A185" s="179">
        <f>IFERROR(__xludf.DUMMYFUNCTION("""COMPUTED_VALUE"""),184.0)</f>
        <v>184</v>
      </c>
      <c r="B185" s="180" t="str">
        <f>IFERROR(__xludf.DUMMYFUNCTION("""COMPUTED_VALUE"""),"8-12")</f>
        <v>8-12</v>
      </c>
      <c r="C185" s="182" t="str">
        <f>IFERROR(__xludf.DUMMYFUNCTION("""COMPUTED_VALUE"""),"Estimated Delivery Time: 8-12 Weeks, Initials")</f>
        <v>Estimated Delivery Time: 8-12 Weeks, Initials</v>
      </c>
      <c r="E185" s="180"/>
      <c r="F185" s="182"/>
    </row>
    <row r="186">
      <c r="A186" s="179">
        <f>IFERROR(__xludf.DUMMYFUNCTION("""COMPUTED_VALUE"""),185.0)</f>
        <v>185</v>
      </c>
      <c r="B186" s="180" t="str">
        <f>IFERROR(__xludf.DUMMYFUNCTION("""COMPUTED_VALUE"""),"8-12")</f>
        <v>8-12</v>
      </c>
      <c r="C186" s="182" t="str">
        <f>IFERROR(__xludf.DUMMYFUNCTION("""COMPUTED_VALUE"""),"Estimated Delivery Time: 8-12 Weeks, Initials")</f>
        <v>Estimated Delivery Time: 8-12 Weeks, Initials</v>
      </c>
      <c r="E186" s="180"/>
      <c r="F186" s="182"/>
    </row>
    <row r="187">
      <c r="A187" s="179">
        <f>IFERROR(__xludf.DUMMYFUNCTION("""COMPUTED_VALUE"""),186.0)</f>
        <v>186</v>
      </c>
      <c r="B187" s="180" t="str">
        <f>IFERROR(__xludf.DUMMYFUNCTION("""COMPUTED_VALUE"""),"8-12")</f>
        <v>8-12</v>
      </c>
      <c r="C187" s="182" t="str">
        <f>IFERROR(__xludf.DUMMYFUNCTION("""COMPUTED_VALUE"""),"Estimated Delivery Time: 8-12 Weeks, Initials")</f>
        <v>Estimated Delivery Time: 8-12 Weeks, Initials</v>
      </c>
      <c r="E187" s="180"/>
      <c r="F187" s="182"/>
    </row>
    <row r="188">
      <c r="A188" s="179">
        <f>IFERROR(__xludf.DUMMYFUNCTION("""COMPUTED_VALUE"""),187.0)</f>
        <v>187</v>
      </c>
      <c r="B188" s="180" t="str">
        <f>IFERROR(__xludf.DUMMYFUNCTION("""COMPUTED_VALUE"""),"8-12")</f>
        <v>8-12</v>
      </c>
      <c r="C188" s="182" t="str">
        <f>IFERROR(__xludf.DUMMYFUNCTION("""COMPUTED_VALUE"""),"Estimated Delivery Time: 8-12 Weeks, Initials")</f>
        <v>Estimated Delivery Time: 8-12 Weeks, Initials</v>
      </c>
      <c r="E188" s="180"/>
      <c r="F188" s="182"/>
    </row>
    <row r="189">
      <c r="A189" s="179">
        <f>IFERROR(__xludf.DUMMYFUNCTION("""COMPUTED_VALUE"""),188.0)</f>
        <v>188</v>
      </c>
      <c r="B189" s="180" t="str">
        <f>IFERROR(__xludf.DUMMYFUNCTION("""COMPUTED_VALUE"""),"12-16")</f>
        <v>12-16</v>
      </c>
      <c r="C189" s="182" t="str">
        <f>IFERROR(__xludf.DUMMYFUNCTION("""COMPUTED_VALUE"""),"Estimated Delivery Time: 12-16 Weeks, Initials")</f>
        <v>Estimated Delivery Time: 12-16 Weeks, Initials</v>
      </c>
      <c r="E189" s="180"/>
      <c r="F189" s="182"/>
    </row>
    <row r="190">
      <c r="A190" s="179">
        <f>IFERROR(__xludf.DUMMYFUNCTION("""COMPUTED_VALUE"""),189.0)</f>
        <v>189</v>
      </c>
      <c r="B190" s="180" t="str">
        <f>IFERROR(__xludf.DUMMYFUNCTION("""COMPUTED_VALUE"""),"12-16")</f>
        <v>12-16</v>
      </c>
      <c r="C190" s="182" t="str">
        <f>IFERROR(__xludf.DUMMYFUNCTION("""COMPUTED_VALUE"""),"Estimated Delivery Time: 12-16 Weeks, Initials")</f>
        <v>Estimated Delivery Time: 12-16 Weeks, Initials</v>
      </c>
      <c r="E190" s="180"/>
      <c r="F190" s="182"/>
    </row>
    <row r="191">
      <c r="A191" s="179">
        <f>IFERROR(__xludf.DUMMYFUNCTION("""COMPUTED_VALUE"""),190.0)</f>
        <v>190</v>
      </c>
      <c r="B191" s="180" t="str">
        <f>IFERROR(__xludf.DUMMYFUNCTION("""COMPUTED_VALUE"""),"8-12")</f>
        <v>8-12</v>
      </c>
      <c r="C191" s="182" t="str">
        <f>IFERROR(__xludf.DUMMYFUNCTION("""COMPUTED_VALUE"""),"Estimated Delivery Time: 8-12 Weeks, Initials")</f>
        <v>Estimated Delivery Time: 8-12 Weeks, Initials</v>
      </c>
      <c r="E191" s="180"/>
      <c r="F191" s="182"/>
    </row>
    <row r="192">
      <c r="A192" s="179">
        <f>IFERROR(__xludf.DUMMYFUNCTION("""COMPUTED_VALUE"""),191.0)</f>
        <v>191</v>
      </c>
      <c r="B192" s="180" t="str">
        <f>IFERROR(__xludf.DUMMYFUNCTION("""COMPUTED_VALUE"""),"6-8")</f>
        <v>6-8</v>
      </c>
      <c r="C192" s="182" t="str">
        <f>IFERROR(__xludf.DUMMYFUNCTION("""COMPUTED_VALUE"""),"Estimated Delivery Time: 6-8 Weeks, Initials")</f>
        <v>Estimated Delivery Time: 6-8 Weeks, Initials</v>
      </c>
      <c r="E192" s="180"/>
      <c r="F192" s="182"/>
    </row>
    <row r="193">
      <c r="A193" s="179">
        <f>IFERROR(__xludf.DUMMYFUNCTION("""COMPUTED_VALUE"""),192.0)</f>
        <v>192</v>
      </c>
      <c r="B193" s="180" t="str">
        <f>IFERROR(__xludf.DUMMYFUNCTION("""COMPUTED_VALUE"""),"8-12")</f>
        <v>8-12</v>
      </c>
      <c r="C193" s="182" t="str">
        <f>IFERROR(__xludf.DUMMYFUNCTION("""COMPUTED_VALUE"""),"Estimated Delivery Time: 8-12 Weeks, Initials")</f>
        <v>Estimated Delivery Time: 8-12 Weeks, Initials</v>
      </c>
      <c r="E193" s="180"/>
      <c r="F193" s="182"/>
    </row>
    <row r="194">
      <c r="A194" s="179">
        <f>IFERROR(__xludf.DUMMYFUNCTION("""COMPUTED_VALUE"""),193.0)</f>
        <v>193</v>
      </c>
      <c r="B194" s="180" t="str">
        <f>IFERROR(__xludf.DUMMYFUNCTION("""COMPUTED_VALUE"""),"8-12")</f>
        <v>8-12</v>
      </c>
      <c r="C194" s="182" t="str">
        <f>IFERROR(__xludf.DUMMYFUNCTION("""COMPUTED_VALUE"""),"Estimated Delivery Time: 8-12 Weeks, Initials")</f>
        <v>Estimated Delivery Time: 8-12 Weeks, Initials</v>
      </c>
      <c r="E194" s="180"/>
      <c r="F194" s="182"/>
    </row>
    <row r="195">
      <c r="A195" s="179">
        <f>IFERROR(__xludf.DUMMYFUNCTION("""COMPUTED_VALUE"""),194.0)</f>
        <v>194</v>
      </c>
      <c r="B195" s="180" t="str">
        <f>IFERROR(__xludf.DUMMYFUNCTION("""COMPUTED_VALUE"""),"8-12")</f>
        <v>8-12</v>
      </c>
      <c r="C195" s="182" t="str">
        <f>IFERROR(__xludf.DUMMYFUNCTION("""COMPUTED_VALUE"""),"Estimated Delivery Time: 8-12 Weeks, Initials")</f>
        <v>Estimated Delivery Time: 8-12 Weeks, Initials</v>
      </c>
      <c r="E195" s="180"/>
      <c r="F195" s="182"/>
    </row>
    <row r="196">
      <c r="A196" s="179">
        <f>IFERROR(__xludf.DUMMYFUNCTION("""COMPUTED_VALUE"""),195.0)</f>
        <v>195</v>
      </c>
      <c r="B196" s="180" t="str">
        <f>IFERROR(__xludf.DUMMYFUNCTION("""COMPUTED_VALUE"""),"8-12")</f>
        <v>8-12</v>
      </c>
      <c r="C196" s="182" t="str">
        <f>IFERROR(__xludf.DUMMYFUNCTION("""COMPUTED_VALUE"""),"Estimated Delivery Time: 8-12 Weeks, Initials")</f>
        <v>Estimated Delivery Time: 8-12 Weeks, Initials</v>
      </c>
      <c r="E196" s="180"/>
      <c r="F196" s="182"/>
    </row>
    <row r="197">
      <c r="A197" s="179">
        <f>IFERROR(__xludf.DUMMYFUNCTION("""COMPUTED_VALUE"""),196.0)</f>
        <v>196</v>
      </c>
      <c r="B197" s="180" t="str">
        <f>IFERROR(__xludf.DUMMYFUNCTION("""COMPUTED_VALUE"""),"10-14")</f>
        <v>10-14</v>
      </c>
      <c r="C197" s="182" t="str">
        <f>IFERROR(__xludf.DUMMYFUNCTION("""COMPUTED_VALUE"""),"Estimated Delivery Time: 10-14 Weeks, Initials")</f>
        <v>Estimated Delivery Time: 10-14 Weeks, Initials</v>
      </c>
      <c r="E197" s="180"/>
      <c r="F197" s="182"/>
    </row>
    <row r="198">
      <c r="A198" s="179">
        <f>IFERROR(__xludf.DUMMYFUNCTION("""COMPUTED_VALUE"""),197.0)</f>
        <v>197</v>
      </c>
      <c r="B198" s="180" t="str">
        <f>IFERROR(__xludf.DUMMYFUNCTION("""COMPUTED_VALUE"""),"10-14")</f>
        <v>10-14</v>
      </c>
      <c r="C198" s="182" t="str">
        <f>IFERROR(__xludf.DUMMYFUNCTION("""COMPUTED_VALUE"""),"Estimated Delivery Time: 10-14 Weeks, Initials")</f>
        <v>Estimated Delivery Time: 10-14 Weeks, Initials</v>
      </c>
      <c r="E198" s="180"/>
      <c r="F198" s="182"/>
    </row>
    <row r="199">
      <c r="A199" s="179">
        <f>IFERROR(__xludf.DUMMYFUNCTION("""COMPUTED_VALUE"""),198.0)</f>
        <v>198</v>
      </c>
      <c r="B199" s="180" t="str">
        <f>IFERROR(__xludf.DUMMYFUNCTION("""COMPUTED_VALUE"""),"6-8")</f>
        <v>6-8</v>
      </c>
      <c r="C199" s="182" t="str">
        <f>IFERROR(__xludf.DUMMYFUNCTION("""COMPUTED_VALUE"""),"Estimated Delivery Time: 6-8 Weeks, Initials")</f>
        <v>Estimated Delivery Time: 6-8 Weeks, Initials</v>
      </c>
      <c r="E199" s="180"/>
      <c r="F199" s="182"/>
    </row>
    <row r="200">
      <c r="A200" s="179">
        <f>IFERROR(__xludf.DUMMYFUNCTION("""COMPUTED_VALUE"""),199.0)</f>
        <v>199</v>
      </c>
      <c r="B200" s="180" t="str">
        <f>IFERROR(__xludf.DUMMYFUNCTION("""COMPUTED_VALUE"""),"8-12")</f>
        <v>8-12</v>
      </c>
      <c r="C200" s="182" t="str">
        <f>IFERROR(__xludf.DUMMYFUNCTION("""COMPUTED_VALUE"""),"Estimated Delivery Time: 8-12 Weeks, Initials")</f>
        <v>Estimated Delivery Time: 8-12 Weeks, Initials</v>
      </c>
      <c r="E200" s="180"/>
      <c r="F200" s="182"/>
    </row>
    <row r="201">
      <c r="A201" s="179">
        <f>IFERROR(__xludf.DUMMYFUNCTION("""COMPUTED_VALUE"""),200.0)</f>
        <v>200</v>
      </c>
      <c r="B201" s="180" t="str">
        <f>IFERROR(__xludf.DUMMYFUNCTION("""COMPUTED_VALUE"""),"8-12")</f>
        <v>8-12</v>
      </c>
      <c r="C201" s="182" t="str">
        <f>IFERROR(__xludf.DUMMYFUNCTION("""COMPUTED_VALUE"""),"Estimated Delivery Time: 8-12 Weeks, Initials")</f>
        <v>Estimated Delivery Time: 8-12 Weeks, Initials</v>
      </c>
      <c r="E201" s="180"/>
      <c r="F201" s="182"/>
    </row>
    <row r="202">
      <c r="A202" s="179">
        <f>IFERROR(__xludf.DUMMYFUNCTION("""COMPUTED_VALUE"""),201.0)</f>
        <v>201</v>
      </c>
      <c r="B202" s="180" t="str">
        <f>IFERROR(__xludf.DUMMYFUNCTION("""COMPUTED_VALUE"""),"8-12")</f>
        <v>8-12</v>
      </c>
      <c r="C202" s="182" t="str">
        <f>IFERROR(__xludf.DUMMYFUNCTION("""COMPUTED_VALUE"""),"Estimated Delivery Time: 8-12 Weeks, Initials")</f>
        <v>Estimated Delivery Time: 8-12 Weeks, Initials</v>
      </c>
      <c r="E202" s="180"/>
      <c r="F202" s="182"/>
    </row>
    <row r="203">
      <c r="A203" s="179">
        <f>IFERROR(__xludf.DUMMYFUNCTION("""COMPUTED_VALUE"""),202.0)</f>
        <v>202</v>
      </c>
      <c r="B203" s="180" t="str">
        <f>IFERROR(__xludf.DUMMYFUNCTION("""COMPUTED_VALUE"""),"8-12")</f>
        <v>8-12</v>
      </c>
      <c r="C203" s="182" t="str">
        <f>IFERROR(__xludf.DUMMYFUNCTION("""COMPUTED_VALUE"""),"Estimated Delivery Time: 8-12 Weeks, Initials")</f>
        <v>Estimated Delivery Time: 8-12 Weeks, Initials</v>
      </c>
      <c r="E203" s="180"/>
      <c r="F203" s="182"/>
    </row>
    <row r="204">
      <c r="A204" s="179">
        <f>IFERROR(__xludf.DUMMYFUNCTION("""COMPUTED_VALUE"""),203.0)</f>
        <v>203</v>
      </c>
      <c r="B204" s="180" t="str">
        <f>IFERROR(__xludf.DUMMYFUNCTION("""COMPUTED_VALUE"""),"8-12")</f>
        <v>8-12</v>
      </c>
      <c r="C204" s="182" t="str">
        <f>IFERROR(__xludf.DUMMYFUNCTION("""COMPUTED_VALUE"""),"Estimated Delivery Time: 8-12 Weeks, Initials")</f>
        <v>Estimated Delivery Time: 8-12 Weeks, Initials</v>
      </c>
      <c r="E204" s="180"/>
      <c r="F204" s="182"/>
    </row>
    <row r="205">
      <c r="A205" s="179">
        <f>IFERROR(__xludf.DUMMYFUNCTION("""COMPUTED_VALUE"""),204.0)</f>
        <v>204</v>
      </c>
      <c r="B205" s="180" t="str">
        <f>IFERROR(__xludf.DUMMYFUNCTION("""COMPUTED_VALUE"""),"8-12")</f>
        <v>8-12</v>
      </c>
      <c r="C205" s="182" t="str">
        <f>IFERROR(__xludf.DUMMYFUNCTION("""COMPUTED_VALUE"""),"Estimated Delivery Time: 8-12 Weeks, Initials")</f>
        <v>Estimated Delivery Time: 8-12 Weeks, Initials</v>
      </c>
      <c r="E205" s="180"/>
      <c r="F205" s="182"/>
    </row>
    <row r="206">
      <c r="A206" s="179">
        <f>IFERROR(__xludf.DUMMYFUNCTION("""COMPUTED_VALUE"""),205.0)</f>
        <v>205</v>
      </c>
      <c r="B206" s="180" t="str">
        <f>IFERROR(__xludf.DUMMYFUNCTION("""COMPUTED_VALUE"""),"8-12")</f>
        <v>8-12</v>
      </c>
      <c r="C206" s="182" t="str">
        <f>IFERROR(__xludf.DUMMYFUNCTION("""COMPUTED_VALUE"""),"Estimated Delivery Time: 8-12 Weeks, Initials")</f>
        <v>Estimated Delivery Time: 8-12 Weeks, Initials</v>
      </c>
      <c r="E206" s="180"/>
      <c r="F206" s="182"/>
    </row>
    <row r="207">
      <c r="A207" s="179">
        <f>IFERROR(__xludf.DUMMYFUNCTION("""COMPUTED_VALUE"""),206.0)</f>
        <v>206</v>
      </c>
      <c r="B207" s="180" t="str">
        <f>IFERROR(__xludf.DUMMYFUNCTION("""COMPUTED_VALUE"""),"8-12")</f>
        <v>8-12</v>
      </c>
      <c r="C207" s="182" t="str">
        <f>IFERROR(__xludf.DUMMYFUNCTION("""COMPUTED_VALUE"""),"Estimated Delivery Time: 8-12 Weeks, Initials")</f>
        <v>Estimated Delivery Time: 8-12 Weeks, Initials</v>
      </c>
      <c r="E207" s="180"/>
      <c r="F207" s="182"/>
    </row>
    <row r="208">
      <c r="A208" s="179">
        <f>IFERROR(__xludf.DUMMYFUNCTION("""COMPUTED_VALUE"""),207.0)</f>
        <v>207</v>
      </c>
      <c r="B208" s="180" t="str">
        <f>IFERROR(__xludf.DUMMYFUNCTION("""COMPUTED_VALUE"""),"8-12")</f>
        <v>8-12</v>
      </c>
      <c r="C208" s="182" t="str">
        <f>IFERROR(__xludf.DUMMYFUNCTION("""COMPUTED_VALUE"""),"Estimated Delivery Time: 8-12 Weeks, Initials")</f>
        <v>Estimated Delivery Time: 8-12 Weeks, Initials</v>
      </c>
      <c r="E208" s="180"/>
      <c r="F208" s="182"/>
    </row>
    <row r="209">
      <c r="A209" s="179">
        <f>IFERROR(__xludf.DUMMYFUNCTION("""COMPUTED_VALUE"""),208.0)</f>
        <v>208</v>
      </c>
      <c r="B209" s="180" t="str">
        <f>IFERROR(__xludf.DUMMYFUNCTION("""COMPUTED_VALUE"""),"8-12")</f>
        <v>8-12</v>
      </c>
      <c r="C209" s="182" t="str">
        <f>IFERROR(__xludf.DUMMYFUNCTION("""COMPUTED_VALUE"""),"Estimated Delivery Time: 8-12 Weeks, Initials")</f>
        <v>Estimated Delivery Time: 8-12 Weeks, Initials</v>
      </c>
      <c r="E209" s="180"/>
      <c r="F209" s="182"/>
    </row>
    <row r="210">
      <c r="A210" s="179">
        <f>IFERROR(__xludf.DUMMYFUNCTION("""COMPUTED_VALUE"""),209.0)</f>
        <v>209</v>
      </c>
      <c r="B210" s="180" t="str">
        <f>IFERROR(__xludf.DUMMYFUNCTION("""COMPUTED_VALUE"""),"8-12")</f>
        <v>8-12</v>
      </c>
      <c r="C210" s="182" t="str">
        <f>IFERROR(__xludf.DUMMYFUNCTION("""COMPUTED_VALUE"""),"Estimated Delivery Time: 8-12 Weeks, Initials")</f>
        <v>Estimated Delivery Time: 8-12 Weeks, Initials</v>
      </c>
      <c r="E210" s="180"/>
      <c r="F210" s="182"/>
    </row>
    <row r="211">
      <c r="A211" s="179">
        <f>IFERROR(__xludf.DUMMYFUNCTION("""COMPUTED_VALUE"""),210.0)</f>
        <v>210</v>
      </c>
      <c r="B211" s="180" t="str">
        <f>IFERROR(__xludf.DUMMYFUNCTION("""COMPUTED_VALUE"""),"8-12")</f>
        <v>8-12</v>
      </c>
      <c r="C211" s="182" t="str">
        <f>IFERROR(__xludf.DUMMYFUNCTION("""COMPUTED_VALUE"""),"Estimated Delivery Time: 8-12 Weeks, Initials")</f>
        <v>Estimated Delivery Time: 8-12 Weeks, Initials</v>
      </c>
      <c r="E211" s="180"/>
      <c r="F211" s="182"/>
    </row>
    <row r="212">
      <c r="A212" s="179">
        <f>IFERROR(__xludf.DUMMYFUNCTION("""COMPUTED_VALUE"""),211.0)</f>
        <v>211</v>
      </c>
      <c r="B212" s="180" t="str">
        <f>IFERROR(__xludf.DUMMYFUNCTION("""COMPUTED_VALUE"""),"8-12")</f>
        <v>8-12</v>
      </c>
      <c r="C212" s="182" t="str">
        <f>IFERROR(__xludf.DUMMYFUNCTION("""COMPUTED_VALUE"""),"Estimated Delivery Time: 8-12 Weeks, Initials")</f>
        <v>Estimated Delivery Time: 8-12 Weeks, Initials</v>
      </c>
      <c r="E212" s="180"/>
      <c r="F212" s="182"/>
    </row>
    <row r="213">
      <c r="A213" s="179">
        <f>IFERROR(__xludf.DUMMYFUNCTION("""COMPUTED_VALUE"""),212.0)</f>
        <v>212</v>
      </c>
      <c r="B213" s="180" t="str">
        <f>IFERROR(__xludf.DUMMYFUNCTION("""COMPUTED_VALUE"""),"16-20")</f>
        <v>16-20</v>
      </c>
      <c r="C213" s="182" t="str">
        <f>IFERROR(__xludf.DUMMYFUNCTION("""COMPUTED_VALUE"""),"Estimated Delivery Time: 16-20 Weeks, Initials")</f>
        <v>Estimated Delivery Time: 16-20 Weeks, Initials</v>
      </c>
      <c r="E213" s="180"/>
      <c r="F213" s="182"/>
    </row>
    <row r="214">
      <c r="A214" s="179">
        <f>IFERROR(__xludf.DUMMYFUNCTION("""COMPUTED_VALUE"""),213.0)</f>
        <v>213</v>
      </c>
      <c r="B214" s="180" t="str">
        <f>IFERROR(__xludf.DUMMYFUNCTION("""COMPUTED_VALUE"""),"8-12")</f>
        <v>8-12</v>
      </c>
      <c r="C214" s="182" t="str">
        <f>IFERROR(__xludf.DUMMYFUNCTION("""COMPUTED_VALUE"""),"Estimated Delivery Time: 8-12 Weeks, Initials")</f>
        <v>Estimated Delivery Time: 8-12 Weeks, Initials</v>
      </c>
      <c r="E214" s="180"/>
      <c r="F214" s="182"/>
    </row>
    <row r="215">
      <c r="A215" s="179">
        <f>IFERROR(__xludf.DUMMYFUNCTION("""COMPUTED_VALUE"""),214.0)</f>
        <v>214</v>
      </c>
      <c r="B215" s="180" t="str">
        <f>IFERROR(__xludf.DUMMYFUNCTION("""COMPUTED_VALUE"""),"10-14")</f>
        <v>10-14</v>
      </c>
      <c r="C215" s="182" t="str">
        <f>IFERROR(__xludf.DUMMYFUNCTION("""COMPUTED_VALUE"""),"Estimated Delivery Time: 10-14 Weeks, Initials")</f>
        <v>Estimated Delivery Time: 10-14 Weeks, Initials</v>
      </c>
      <c r="E215" s="180"/>
      <c r="F215" s="182"/>
    </row>
    <row r="216">
      <c r="A216" s="179">
        <f>IFERROR(__xludf.DUMMYFUNCTION("""COMPUTED_VALUE"""),215.0)</f>
        <v>215</v>
      </c>
      <c r="B216" s="180" t="str">
        <f>IFERROR(__xludf.DUMMYFUNCTION("""COMPUTED_VALUE"""),"8-12")</f>
        <v>8-12</v>
      </c>
      <c r="C216" s="182" t="str">
        <f>IFERROR(__xludf.DUMMYFUNCTION("""COMPUTED_VALUE"""),"Estimated Delivery Time: 8-12 Weeks, Initials")</f>
        <v>Estimated Delivery Time: 8-12 Weeks, Initials</v>
      </c>
      <c r="E216" s="180"/>
      <c r="F216" s="182"/>
    </row>
    <row r="217">
      <c r="A217" s="179">
        <f>IFERROR(__xludf.DUMMYFUNCTION("""COMPUTED_VALUE"""),216.0)</f>
        <v>216</v>
      </c>
      <c r="B217" s="180" t="str">
        <f>IFERROR(__xludf.DUMMYFUNCTION("""COMPUTED_VALUE"""),"8-12")</f>
        <v>8-12</v>
      </c>
      <c r="C217" s="182" t="str">
        <f>IFERROR(__xludf.DUMMYFUNCTION("""COMPUTED_VALUE"""),"Estimated Delivery Time: 8-12 Weeks, Initials")</f>
        <v>Estimated Delivery Time: 8-12 Weeks, Initials</v>
      </c>
      <c r="E217" s="180"/>
      <c r="F217" s="182"/>
    </row>
    <row r="218">
      <c r="A218" s="179">
        <f>IFERROR(__xludf.DUMMYFUNCTION("""COMPUTED_VALUE"""),217.0)</f>
        <v>217</v>
      </c>
      <c r="B218" s="180" t="str">
        <f>IFERROR(__xludf.DUMMYFUNCTION("""COMPUTED_VALUE"""),"8-12")</f>
        <v>8-12</v>
      </c>
      <c r="C218" s="182" t="str">
        <f>IFERROR(__xludf.DUMMYFUNCTION("""COMPUTED_VALUE"""),"Estimated Delivery Time: 8-12 Weeks, Initials")</f>
        <v>Estimated Delivery Time: 8-12 Weeks, Initials</v>
      </c>
      <c r="E218" s="180"/>
      <c r="F218" s="182"/>
    </row>
    <row r="219">
      <c r="A219" s="179">
        <f>IFERROR(__xludf.DUMMYFUNCTION("""COMPUTED_VALUE"""),218.0)</f>
        <v>218</v>
      </c>
      <c r="B219" s="180" t="str">
        <f>IFERROR(__xludf.DUMMYFUNCTION("""COMPUTED_VALUE"""),"8-12")</f>
        <v>8-12</v>
      </c>
      <c r="C219" s="182" t="str">
        <f>IFERROR(__xludf.DUMMYFUNCTION("""COMPUTED_VALUE"""),"Estimated Delivery Time: 8-12 Weeks, Initials")</f>
        <v>Estimated Delivery Time: 8-12 Weeks, Initials</v>
      </c>
      <c r="E219" s="180"/>
      <c r="F219" s="182"/>
    </row>
    <row r="220">
      <c r="A220" s="179">
        <f>IFERROR(__xludf.DUMMYFUNCTION("""COMPUTED_VALUE"""),219.0)</f>
        <v>219</v>
      </c>
      <c r="B220" s="180" t="str">
        <f>IFERROR(__xludf.DUMMYFUNCTION("""COMPUTED_VALUE"""),"8-12")</f>
        <v>8-12</v>
      </c>
      <c r="C220" s="182" t="str">
        <f>IFERROR(__xludf.DUMMYFUNCTION("""COMPUTED_VALUE"""),"Estimated Delivery Time: 8-12 Weeks, Initials")</f>
        <v>Estimated Delivery Time: 8-12 Weeks, Initials</v>
      </c>
      <c r="E220" s="180"/>
      <c r="F220" s="182"/>
    </row>
    <row r="221">
      <c r="A221" s="179">
        <f>IFERROR(__xludf.DUMMYFUNCTION("""COMPUTED_VALUE"""),220.0)</f>
        <v>220</v>
      </c>
      <c r="B221" s="180" t="str">
        <f>IFERROR(__xludf.DUMMYFUNCTION("""COMPUTED_VALUE"""),"16-20")</f>
        <v>16-20</v>
      </c>
      <c r="C221" s="182" t="str">
        <f>IFERROR(__xludf.DUMMYFUNCTION("""COMPUTED_VALUE"""),"Estimated Delivery Time: 16-20 Weeks, Initials")</f>
        <v>Estimated Delivery Time: 16-20 Weeks, Initials</v>
      </c>
      <c r="E221" s="180"/>
      <c r="F221" s="182"/>
    </row>
    <row r="222">
      <c r="A222" s="179">
        <f>IFERROR(__xludf.DUMMYFUNCTION("""COMPUTED_VALUE"""),221.0)</f>
        <v>221</v>
      </c>
      <c r="B222" s="180" t="str">
        <f>IFERROR(__xludf.DUMMYFUNCTION("""COMPUTED_VALUE"""),"8-12")</f>
        <v>8-12</v>
      </c>
      <c r="C222" s="182" t="str">
        <f>IFERROR(__xludf.DUMMYFUNCTION("""COMPUTED_VALUE"""),"Estimated Delivery Time: 8-12 Weeks, Initials")</f>
        <v>Estimated Delivery Time: 8-12 Weeks, Initials</v>
      </c>
      <c r="E222" s="180"/>
      <c r="F222" s="182"/>
    </row>
    <row r="223">
      <c r="A223" s="179">
        <f>IFERROR(__xludf.DUMMYFUNCTION("""COMPUTED_VALUE"""),222.0)</f>
        <v>222</v>
      </c>
      <c r="B223" s="180" t="str">
        <f>IFERROR(__xludf.DUMMYFUNCTION("""COMPUTED_VALUE"""),"8-12")</f>
        <v>8-12</v>
      </c>
      <c r="C223" s="182" t="str">
        <f>IFERROR(__xludf.DUMMYFUNCTION("""COMPUTED_VALUE"""),"Estimated Delivery Time: 8-12 Weeks, Initials")</f>
        <v>Estimated Delivery Time: 8-12 Weeks, Initials</v>
      </c>
      <c r="E223" s="180"/>
      <c r="F223" s="182"/>
    </row>
    <row r="224">
      <c r="A224" s="179">
        <f>IFERROR(__xludf.DUMMYFUNCTION("""COMPUTED_VALUE"""),223.0)</f>
        <v>223</v>
      </c>
      <c r="B224" s="180" t="str">
        <f>IFERROR(__xludf.DUMMYFUNCTION("""COMPUTED_VALUE"""),"8-12")</f>
        <v>8-12</v>
      </c>
      <c r="C224" s="182" t="str">
        <f>IFERROR(__xludf.DUMMYFUNCTION("""COMPUTED_VALUE"""),"Estimated Delivery Time: 8-12 Weeks, Initials")</f>
        <v>Estimated Delivery Time: 8-12 Weeks, Initials</v>
      </c>
      <c r="E224" s="180"/>
      <c r="F224" s="182"/>
    </row>
    <row r="225">
      <c r="A225" s="179">
        <f>IFERROR(__xludf.DUMMYFUNCTION("""COMPUTED_VALUE"""),224.0)</f>
        <v>224</v>
      </c>
      <c r="B225" s="180" t="str">
        <f>IFERROR(__xludf.DUMMYFUNCTION("""COMPUTED_VALUE"""),"8-12")</f>
        <v>8-12</v>
      </c>
      <c r="C225" s="182" t="str">
        <f>IFERROR(__xludf.DUMMYFUNCTION("""COMPUTED_VALUE"""),"Estimated Delivery Time: 8-12 Weeks, Initials")</f>
        <v>Estimated Delivery Time: 8-12 Weeks, Initials</v>
      </c>
      <c r="E225" s="180"/>
      <c r="F225" s="182"/>
    </row>
    <row r="226">
      <c r="A226" s="179">
        <f>IFERROR(__xludf.DUMMYFUNCTION("""COMPUTED_VALUE"""),225.0)</f>
        <v>225</v>
      </c>
      <c r="B226" s="180" t="str">
        <f>IFERROR(__xludf.DUMMYFUNCTION("""COMPUTED_VALUE"""),"8-12")</f>
        <v>8-12</v>
      </c>
      <c r="C226" s="182" t="str">
        <f>IFERROR(__xludf.DUMMYFUNCTION("""COMPUTED_VALUE"""),"Estimated Delivery Time: 8-12 Weeks, Initials")</f>
        <v>Estimated Delivery Time: 8-12 Weeks, Initials</v>
      </c>
      <c r="E226" s="180"/>
      <c r="F226" s="182"/>
    </row>
    <row r="227">
      <c r="A227" s="179">
        <f>IFERROR(__xludf.DUMMYFUNCTION("""COMPUTED_VALUE"""),226.0)</f>
        <v>226</v>
      </c>
      <c r="B227" s="180" t="str">
        <f>IFERROR(__xludf.DUMMYFUNCTION("""COMPUTED_VALUE"""),"8-12")</f>
        <v>8-12</v>
      </c>
      <c r="C227" s="182" t="str">
        <f>IFERROR(__xludf.DUMMYFUNCTION("""COMPUTED_VALUE"""),"Estimated Delivery Time: 8-12 Weeks, Initials")</f>
        <v>Estimated Delivery Time: 8-12 Weeks, Initials</v>
      </c>
      <c r="E227" s="180"/>
      <c r="F227" s="182"/>
    </row>
    <row r="228">
      <c r="A228" s="179">
        <f>IFERROR(__xludf.DUMMYFUNCTION("""COMPUTED_VALUE"""),227.0)</f>
        <v>227</v>
      </c>
      <c r="B228" s="180" t="str">
        <f>IFERROR(__xludf.DUMMYFUNCTION("""COMPUTED_VALUE"""),"8-12")</f>
        <v>8-12</v>
      </c>
      <c r="C228" s="182" t="str">
        <f>IFERROR(__xludf.DUMMYFUNCTION("""COMPUTED_VALUE"""),"Estimated Delivery Time: 8-12 Weeks, Initials")</f>
        <v>Estimated Delivery Time: 8-12 Weeks, Initials</v>
      </c>
      <c r="E228" s="180"/>
      <c r="F228" s="182"/>
    </row>
    <row r="229">
      <c r="A229" s="179">
        <f>IFERROR(__xludf.DUMMYFUNCTION("""COMPUTED_VALUE"""),228.0)</f>
        <v>228</v>
      </c>
      <c r="B229" s="180" t="str">
        <f>IFERROR(__xludf.DUMMYFUNCTION("""COMPUTED_VALUE"""),"10-14")</f>
        <v>10-14</v>
      </c>
      <c r="C229" s="182" t="str">
        <f>IFERROR(__xludf.DUMMYFUNCTION("""COMPUTED_VALUE"""),"Estimated Delivery Time: 10-14 Weeks, Initials")</f>
        <v>Estimated Delivery Time: 10-14 Weeks, Initials</v>
      </c>
      <c r="E229" s="180"/>
      <c r="F229" s="182"/>
    </row>
    <row r="230">
      <c r="A230" s="179">
        <f>IFERROR(__xludf.DUMMYFUNCTION("""COMPUTED_VALUE"""),229.0)</f>
        <v>229</v>
      </c>
      <c r="B230" s="180" t="str">
        <f>IFERROR(__xludf.DUMMYFUNCTION("""COMPUTED_VALUE"""),"8-12")</f>
        <v>8-12</v>
      </c>
      <c r="C230" s="182" t="str">
        <f>IFERROR(__xludf.DUMMYFUNCTION("""COMPUTED_VALUE"""),"Estimated Delivery Time: 8-12 Weeks, Initials")</f>
        <v>Estimated Delivery Time: 8-12 Weeks, Initials</v>
      </c>
      <c r="E230" s="180"/>
      <c r="F230" s="182"/>
    </row>
    <row r="231">
      <c r="A231" s="179">
        <f>IFERROR(__xludf.DUMMYFUNCTION("""COMPUTED_VALUE"""),230.0)</f>
        <v>230</v>
      </c>
      <c r="B231" s="180" t="str">
        <f>IFERROR(__xludf.DUMMYFUNCTION("""COMPUTED_VALUE"""),"8-12")</f>
        <v>8-12</v>
      </c>
      <c r="C231" s="182" t="str">
        <f>IFERROR(__xludf.DUMMYFUNCTION("""COMPUTED_VALUE"""),"Estimated Delivery Time: 8-12 Weeks, Initials")</f>
        <v>Estimated Delivery Time: 8-12 Weeks, Initials</v>
      </c>
      <c r="E231" s="180"/>
      <c r="F231" s="182"/>
    </row>
    <row r="232">
      <c r="A232" s="179">
        <f>IFERROR(__xludf.DUMMYFUNCTION("""COMPUTED_VALUE"""),231.0)</f>
        <v>231</v>
      </c>
      <c r="B232" s="180" t="str">
        <f>IFERROR(__xludf.DUMMYFUNCTION("""COMPUTED_VALUE"""),"8-12")</f>
        <v>8-12</v>
      </c>
      <c r="C232" s="182" t="str">
        <f>IFERROR(__xludf.DUMMYFUNCTION("""COMPUTED_VALUE"""),"Estimated Delivery Time: 8-12 Weeks, Initials")</f>
        <v>Estimated Delivery Time: 8-12 Weeks, Initials</v>
      </c>
      <c r="E232" s="180"/>
      <c r="F232" s="182"/>
    </row>
    <row r="233">
      <c r="A233" s="179">
        <f>IFERROR(__xludf.DUMMYFUNCTION("""COMPUTED_VALUE"""),232.0)</f>
        <v>232</v>
      </c>
      <c r="B233" s="180" t="str">
        <f>IFERROR(__xludf.DUMMYFUNCTION("""COMPUTED_VALUE"""),"10-14")</f>
        <v>10-14</v>
      </c>
      <c r="C233" s="182" t="str">
        <f>IFERROR(__xludf.DUMMYFUNCTION("""COMPUTED_VALUE"""),"Estimated Delivery Time: 10-14 Weeks, Initials")</f>
        <v>Estimated Delivery Time: 10-14 Weeks, Initials</v>
      </c>
      <c r="E233" s="180"/>
      <c r="F233" s="182"/>
    </row>
    <row r="234">
      <c r="A234" s="179">
        <f>IFERROR(__xludf.DUMMYFUNCTION("""COMPUTED_VALUE"""),233.0)</f>
        <v>233</v>
      </c>
      <c r="B234" s="180" t="str">
        <f>IFERROR(__xludf.DUMMYFUNCTION("""COMPUTED_VALUE"""),"8-12")</f>
        <v>8-12</v>
      </c>
      <c r="C234" s="182" t="str">
        <f>IFERROR(__xludf.DUMMYFUNCTION("""COMPUTED_VALUE"""),"Estimated Delivery Time: 8-12 Weeks, Initials")</f>
        <v>Estimated Delivery Time: 8-12 Weeks, Initials</v>
      </c>
      <c r="E234" s="180"/>
      <c r="F234" s="182"/>
    </row>
    <row r="235">
      <c r="A235" s="179">
        <f>IFERROR(__xludf.DUMMYFUNCTION("""COMPUTED_VALUE"""),234.0)</f>
        <v>234</v>
      </c>
      <c r="B235" s="180" t="str">
        <f>IFERROR(__xludf.DUMMYFUNCTION("""COMPUTED_VALUE"""),"8-12")</f>
        <v>8-12</v>
      </c>
      <c r="C235" s="182" t="str">
        <f>IFERROR(__xludf.DUMMYFUNCTION("""COMPUTED_VALUE"""),"Estimated Delivery Time: 8-12 Weeks, Initials")</f>
        <v>Estimated Delivery Time: 8-12 Weeks, Initials</v>
      </c>
      <c r="E235" s="180"/>
      <c r="F235" s="182"/>
    </row>
    <row r="236">
      <c r="A236" s="179">
        <f>IFERROR(__xludf.DUMMYFUNCTION("""COMPUTED_VALUE"""),235.0)</f>
        <v>235</v>
      </c>
      <c r="B236" s="180" t="str">
        <f>IFERROR(__xludf.DUMMYFUNCTION("""COMPUTED_VALUE"""),"6-8")</f>
        <v>6-8</v>
      </c>
      <c r="C236" s="182" t="str">
        <f>IFERROR(__xludf.DUMMYFUNCTION("""COMPUTED_VALUE"""),"Estimated Delivery Time: 6-8 Weeks, Initials")</f>
        <v>Estimated Delivery Time: 6-8 Weeks, Initials</v>
      </c>
      <c r="E236" s="180"/>
      <c r="F236" s="182"/>
    </row>
    <row r="237">
      <c r="A237" s="179">
        <f>IFERROR(__xludf.DUMMYFUNCTION("""COMPUTED_VALUE"""),236.0)</f>
        <v>236</v>
      </c>
      <c r="B237" s="180" t="str">
        <f>IFERROR(__xludf.DUMMYFUNCTION("""COMPUTED_VALUE"""),"8-12")</f>
        <v>8-12</v>
      </c>
      <c r="C237" s="182" t="str">
        <f>IFERROR(__xludf.DUMMYFUNCTION("""COMPUTED_VALUE"""),"Estimated Delivery Time: 8-12 Weeks, Initials")</f>
        <v>Estimated Delivery Time: 8-12 Weeks, Initials</v>
      </c>
      <c r="E237" s="180"/>
      <c r="F237" s="182"/>
    </row>
    <row r="238">
      <c r="A238" s="179">
        <f>IFERROR(__xludf.DUMMYFUNCTION("""COMPUTED_VALUE"""),237.0)</f>
        <v>237</v>
      </c>
      <c r="B238" s="180" t="str">
        <f>IFERROR(__xludf.DUMMYFUNCTION("""COMPUTED_VALUE"""),"8-12")</f>
        <v>8-12</v>
      </c>
      <c r="C238" s="182" t="str">
        <f>IFERROR(__xludf.DUMMYFUNCTION("""COMPUTED_VALUE"""),"Estimated Delivery Time: 8-12 Weeks, Initials")</f>
        <v>Estimated Delivery Time: 8-12 Weeks, Initials</v>
      </c>
      <c r="E238" s="180"/>
      <c r="F238" s="182"/>
    </row>
    <row r="239">
      <c r="A239" s="179">
        <f>IFERROR(__xludf.DUMMYFUNCTION("""COMPUTED_VALUE"""),238.0)</f>
        <v>238</v>
      </c>
      <c r="B239" s="180" t="str">
        <f>IFERROR(__xludf.DUMMYFUNCTION("""COMPUTED_VALUE"""),"8-12")</f>
        <v>8-12</v>
      </c>
      <c r="C239" s="182" t="str">
        <f>IFERROR(__xludf.DUMMYFUNCTION("""COMPUTED_VALUE"""),"Estimated Delivery Time: 8-12 Weeks, Initials")</f>
        <v>Estimated Delivery Time: 8-12 Weeks, Initials</v>
      </c>
      <c r="E239" s="180"/>
      <c r="F239" s="182"/>
    </row>
    <row r="240">
      <c r="A240" s="179">
        <f>IFERROR(__xludf.DUMMYFUNCTION("""COMPUTED_VALUE"""),239.0)</f>
        <v>239</v>
      </c>
      <c r="B240" s="180" t="str">
        <f>IFERROR(__xludf.DUMMYFUNCTION("""COMPUTED_VALUE"""),"8-12")</f>
        <v>8-12</v>
      </c>
      <c r="C240" s="182" t="str">
        <f>IFERROR(__xludf.DUMMYFUNCTION("""COMPUTED_VALUE"""),"Estimated Delivery Time: 8-12 Weeks, Initials")</f>
        <v>Estimated Delivery Time: 8-12 Weeks, Initials</v>
      </c>
      <c r="E240" s="180"/>
      <c r="F240" s="182"/>
    </row>
    <row r="241">
      <c r="A241" s="179">
        <f>IFERROR(__xludf.DUMMYFUNCTION("""COMPUTED_VALUE"""),240.0)</f>
        <v>240</v>
      </c>
      <c r="B241" s="180" t="str">
        <f>IFERROR(__xludf.DUMMYFUNCTION("""COMPUTED_VALUE"""),"8-12")</f>
        <v>8-12</v>
      </c>
      <c r="C241" s="182" t="str">
        <f>IFERROR(__xludf.DUMMYFUNCTION("""COMPUTED_VALUE"""),"Estimated Delivery Time: 8-12 Weeks, Initials")</f>
        <v>Estimated Delivery Time: 8-12 Weeks, Initials</v>
      </c>
      <c r="E241" s="180"/>
      <c r="F241" s="182"/>
    </row>
    <row r="242">
      <c r="A242" s="179">
        <f>IFERROR(__xludf.DUMMYFUNCTION("""COMPUTED_VALUE"""),241.0)</f>
        <v>241</v>
      </c>
      <c r="B242" s="180" t="str">
        <f>IFERROR(__xludf.DUMMYFUNCTION("""COMPUTED_VALUE"""),"16-20")</f>
        <v>16-20</v>
      </c>
      <c r="C242" s="182" t="str">
        <f>IFERROR(__xludf.DUMMYFUNCTION("""COMPUTED_VALUE"""),"Estimated Delivery Time: 16-20 Weeks, Initials")</f>
        <v>Estimated Delivery Time: 16-20 Weeks, Initials</v>
      </c>
      <c r="E242" s="180"/>
      <c r="F242" s="182"/>
    </row>
    <row r="243">
      <c r="A243" s="179">
        <f>IFERROR(__xludf.DUMMYFUNCTION("""COMPUTED_VALUE"""),242.0)</f>
        <v>242</v>
      </c>
      <c r="B243" s="180" t="str">
        <f>IFERROR(__xludf.DUMMYFUNCTION("""COMPUTED_VALUE"""),"8-12")</f>
        <v>8-12</v>
      </c>
      <c r="C243" s="182" t="str">
        <f>IFERROR(__xludf.DUMMYFUNCTION("""COMPUTED_VALUE"""),"Estimated Delivery Time: 8-12 Weeks, Initials")</f>
        <v>Estimated Delivery Time: 8-12 Weeks, Initials</v>
      </c>
      <c r="E243" s="180"/>
      <c r="F243" s="182"/>
    </row>
    <row r="244">
      <c r="A244" s="179">
        <f>IFERROR(__xludf.DUMMYFUNCTION("""COMPUTED_VALUE"""),243.0)</f>
        <v>243</v>
      </c>
      <c r="B244" s="180" t="str">
        <f>IFERROR(__xludf.DUMMYFUNCTION("""COMPUTED_VALUE"""),"4-8")</f>
        <v>4-8</v>
      </c>
      <c r="C244" s="182" t="str">
        <f>IFERROR(__xludf.DUMMYFUNCTION("""COMPUTED_VALUE"""),"Estimated Delivery Time: 4-8 Weeks, Initials")</f>
        <v>Estimated Delivery Time: 4-8 Weeks, Initials</v>
      </c>
      <c r="E244" s="180"/>
      <c r="F244" s="182"/>
    </row>
    <row r="245">
      <c r="A245" s="179">
        <f>IFERROR(__xludf.DUMMYFUNCTION("""COMPUTED_VALUE"""),244.0)</f>
        <v>244</v>
      </c>
      <c r="B245" s="180" t="str">
        <f>IFERROR(__xludf.DUMMYFUNCTION("""COMPUTED_VALUE"""),"12-16")</f>
        <v>12-16</v>
      </c>
      <c r="C245" s="182" t="str">
        <f>IFERROR(__xludf.DUMMYFUNCTION("""COMPUTED_VALUE"""),"Estimated Delivery Time: 12-16 Weeks, Initials")</f>
        <v>Estimated Delivery Time: 12-16 Weeks, Initials</v>
      </c>
      <c r="E245" s="180"/>
      <c r="F245" s="182"/>
    </row>
    <row r="246">
      <c r="A246" s="179">
        <f>IFERROR(__xludf.DUMMYFUNCTION("""COMPUTED_VALUE"""),245.0)</f>
        <v>245</v>
      </c>
      <c r="B246" s="180" t="str">
        <f>IFERROR(__xludf.DUMMYFUNCTION("""COMPUTED_VALUE"""),"12-16")</f>
        <v>12-16</v>
      </c>
      <c r="C246" s="182" t="str">
        <f>IFERROR(__xludf.DUMMYFUNCTION("""COMPUTED_VALUE"""),"Estimated Delivery Time: 12-16 Weeks, Initials")</f>
        <v>Estimated Delivery Time: 12-16 Weeks, Initials</v>
      </c>
      <c r="E246" s="180"/>
      <c r="F246" s="182"/>
    </row>
    <row r="247">
      <c r="A247" s="179">
        <f>IFERROR(__xludf.DUMMYFUNCTION("""COMPUTED_VALUE"""),246.0)</f>
        <v>246</v>
      </c>
      <c r="B247" s="180" t="str">
        <f>IFERROR(__xludf.DUMMYFUNCTION("""COMPUTED_VALUE"""),"8-12")</f>
        <v>8-12</v>
      </c>
      <c r="C247" s="182" t="str">
        <f>IFERROR(__xludf.DUMMYFUNCTION("""COMPUTED_VALUE"""),"Estimated Delivery Time: 8-12 Weeks, Initials")</f>
        <v>Estimated Delivery Time: 8-12 Weeks, Initials</v>
      </c>
      <c r="E247" s="180"/>
      <c r="F247" s="182"/>
    </row>
    <row r="248">
      <c r="A248" s="179">
        <f>IFERROR(__xludf.DUMMYFUNCTION("""COMPUTED_VALUE"""),247.0)</f>
        <v>247</v>
      </c>
      <c r="B248" s="180" t="str">
        <f>IFERROR(__xludf.DUMMYFUNCTION("""COMPUTED_VALUE"""),"8-12")</f>
        <v>8-12</v>
      </c>
      <c r="C248" s="182" t="str">
        <f>IFERROR(__xludf.DUMMYFUNCTION("""COMPUTED_VALUE"""),"Estimated Delivery Time: 8-12 Weeks, Initials")</f>
        <v>Estimated Delivery Time: 8-12 Weeks, Initials</v>
      </c>
      <c r="E248" s="180"/>
      <c r="F248" s="182"/>
    </row>
    <row r="249">
      <c r="A249" s="179">
        <f>IFERROR(__xludf.DUMMYFUNCTION("""COMPUTED_VALUE"""),248.0)</f>
        <v>248</v>
      </c>
      <c r="B249" s="180" t="str">
        <f>IFERROR(__xludf.DUMMYFUNCTION("""COMPUTED_VALUE"""),"10-14")</f>
        <v>10-14</v>
      </c>
      <c r="C249" s="182" t="str">
        <f>IFERROR(__xludf.DUMMYFUNCTION("""COMPUTED_VALUE"""),"Estimated Delivery Time: 10-14 Weeks, Initials")</f>
        <v>Estimated Delivery Time: 10-14 Weeks, Initials</v>
      </c>
      <c r="E249" s="180"/>
      <c r="F249" s="182"/>
    </row>
    <row r="250">
      <c r="A250" s="179">
        <f>IFERROR(__xludf.DUMMYFUNCTION("""COMPUTED_VALUE"""),249.0)</f>
        <v>249</v>
      </c>
      <c r="B250" s="180" t="str">
        <f>IFERROR(__xludf.DUMMYFUNCTION("""COMPUTED_VALUE"""),"8-12")</f>
        <v>8-12</v>
      </c>
      <c r="C250" s="182" t="str">
        <f>IFERROR(__xludf.DUMMYFUNCTION("""COMPUTED_VALUE"""),"Estimated Delivery Time: 8-12 Weeks, Initials")</f>
        <v>Estimated Delivery Time: 8-12 Weeks, Initials</v>
      </c>
      <c r="E250" s="180"/>
      <c r="F250" s="182"/>
    </row>
    <row r="251">
      <c r="A251" s="179">
        <f>IFERROR(__xludf.DUMMYFUNCTION("""COMPUTED_VALUE"""),250.0)</f>
        <v>250</v>
      </c>
      <c r="B251" s="180" t="str">
        <f>IFERROR(__xludf.DUMMYFUNCTION("""COMPUTED_VALUE"""),"8-12")</f>
        <v>8-12</v>
      </c>
      <c r="C251" s="182" t="str">
        <f>IFERROR(__xludf.DUMMYFUNCTION("""COMPUTED_VALUE"""),"Estimated Delivery Time: 8-12 Weeks, Initials")</f>
        <v>Estimated Delivery Time: 8-12 Weeks, Initials</v>
      </c>
      <c r="E251" s="180"/>
      <c r="F251" s="182"/>
    </row>
    <row r="252">
      <c r="A252" s="179">
        <f>IFERROR(__xludf.DUMMYFUNCTION("""COMPUTED_VALUE"""),251.0)</f>
        <v>251</v>
      </c>
      <c r="B252" s="180" t="str">
        <f>IFERROR(__xludf.DUMMYFUNCTION("""COMPUTED_VALUE"""),"8-12")</f>
        <v>8-12</v>
      </c>
      <c r="C252" s="182" t="str">
        <f>IFERROR(__xludf.DUMMYFUNCTION("""COMPUTED_VALUE"""),"Estimated Delivery Time: 8-12 Weeks, Initials")</f>
        <v>Estimated Delivery Time: 8-12 Weeks, Initials</v>
      </c>
      <c r="E252" s="180"/>
      <c r="F252" s="182"/>
    </row>
    <row r="253">
      <c r="A253" s="179">
        <f>IFERROR(__xludf.DUMMYFUNCTION("""COMPUTED_VALUE"""),252.0)</f>
        <v>252</v>
      </c>
      <c r="B253" s="180" t="str">
        <f>IFERROR(__xludf.DUMMYFUNCTION("""COMPUTED_VALUE"""),"8-12")</f>
        <v>8-12</v>
      </c>
      <c r="C253" s="182" t="str">
        <f>IFERROR(__xludf.DUMMYFUNCTION("""COMPUTED_VALUE"""),"Estimated Delivery Time: 8-12 Weeks, Initials")</f>
        <v>Estimated Delivery Time: 8-12 Weeks, Initials</v>
      </c>
      <c r="E253" s="180"/>
      <c r="F253" s="182"/>
    </row>
    <row r="254">
      <c r="A254" s="179">
        <f>IFERROR(__xludf.DUMMYFUNCTION("""COMPUTED_VALUE"""),253.0)</f>
        <v>253</v>
      </c>
      <c r="B254" s="180" t="str">
        <f>IFERROR(__xludf.DUMMYFUNCTION("""COMPUTED_VALUE"""),"8-12")</f>
        <v>8-12</v>
      </c>
      <c r="C254" s="182" t="str">
        <f>IFERROR(__xludf.DUMMYFUNCTION("""COMPUTED_VALUE"""),"Estimated Delivery Time: 8-12 Weeks, Initials")</f>
        <v>Estimated Delivery Time: 8-12 Weeks, Initials</v>
      </c>
      <c r="E254" s="180"/>
      <c r="F254" s="182"/>
    </row>
    <row r="255">
      <c r="A255" s="179">
        <f>IFERROR(__xludf.DUMMYFUNCTION("""COMPUTED_VALUE"""),254.0)</f>
        <v>254</v>
      </c>
      <c r="B255" s="180" t="str">
        <f>IFERROR(__xludf.DUMMYFUNCTION("""COMPUTED_VALUE"""),"8-12")</f>
        <v>8-12</v>
      </c>
      <c r="C255" s="182" t="str">
        <f>IFERROR(__xludf.DUMMYFUNCTION("""COMPUTED_VALUE"""),"Estimated Delivery Time: 8-12 Weeks, Initials")</f>
        <v>Estimated Delivery Time: 8-12 Weeks, Initials</v>
      </c>
      <c r="E255" s="180"/>
      <c r="F255" s="182"/>
    </row>
    <row r="256">
      <c r="A256" s="179">
        <f>IFERROR(__xludf.DUMMYFUNCTION("""COMPUTED_VALUE"""),255.0)</f>
        <v>255</v>
      </c>
      <c r="B256" s="180" t="str">
        <f>IFERROR(__xludf.DUMMYFUNCTION("""COMPUTED_VALUE"""),"8-12")</f>
        <v>8-12</v>
      </c>
      <c r="C256" s="182" t="str">
        <f>IFERROR(__xludf.DUMMYFUNCTION("""COMPUTED_VALUE"""),"Estimated Delivery Time: 8-12 Weeks, Initials")</f>
        <v>Estimated Delivery Time: 8-12 Weeks, Initials</v>
      </c>
      <c r="E256" s="180"/>
      <c r="F256" s="182"/>
    </row>
    <row r="257">
      <c r="A257" s="179">
        <f>IFERROR(__xludf.DUMMYFUNCTION("""COMPUTED_VALUE"""),256.0)</f>
        <v>256</v>
      </c>
      <c r="B257" s="180" t="str">
        <f>IFERROR(__xludf.DUMMYFUNCTION("""COMPUTED_VALUE"""),"8-12")</f>
        <v>8-12</v>
      </c>
      <c r="C257" s="182" t="str">
        <f>IFERROR(__xludf.DUMMYFUNCTION("""COMPUTED_VALUE"""),"Estimated Delivery Time: 8-12 Weeks, Initials")</f>
        <v>Estimated Delivery Time: 8-12 Weeks, Initials</v>
      </c>
      <c r="E257" s="180"/>
      <c r="F257" s="182"/>
    </row>
    <row r="258">
      <c r="A258" s="179">
        <f>IFERROR(__xludf.DUMMYFUNCTION("""COMPUTED_VALUE"""),257.0)</f>
        <v>257</v>
      </c>
      <c r="B258" s="180" t="str">
        <f>IFERROR(__xludf.DUMMYFUNCTION("""COMPUTED_VALUE"""),"8-12")</f>
        <v>8-12</v>
      </c>
      <c r="C258" s="182" t="str">
        <f>IFERROR(__xludf.DUMMYFUNCTION("""COMPUTED_VALUE"""),"Estimated Delivery Time: 8-12 Weeks, Initials")</f>
        <v>Estimated Delivery Time: 8-12 Weeks, Initials</v>
      </c>
      <c r="E258" s="180"/>
      <c r="F258" s="182"/>
    </row>
    <row r="259">
      <c r="A259" s="179">
        <f>IFERROR(__xludf.DUMMYFUNCTION("""COMPUTED_VALUE"""),258.0)</f>
        <v>258</v>
      </c>
      <c r="B259" s="180" t="str">
        <f>IFERROR(__xludf.DUMMYFUNCTION("""COMPUTED_VALUE"""),"8-12")</f>
        <v>8-12</v>
      </c>
      <c r="C259" s="182" t="str">
        <f>IFERROR(__xludf.DUMMYFUNCTION("""COMPUTED_VALUE"""),"Estimated Delivery Time: 8-12 Weeks, Initials")</f>
        <v>Estimated Delivery Time: 8-12 Weeks, Initials</v>
      </c>
      <c r="E259" s="180"/>
      <c r="F259" s="182"/>
    </row>
    <row r="260">
      <c r="A260" s="179">
        <f>IFERROR(__xludf.DUMMYFUNCTION("""COMPUTED_VALUE"""),259.0)</f>
        <v>259</v>
      </c>
      <c r="B260" s="180" t="str">
        <f>IFERROR(__xludf.DUMMYFUNCTION("""COMPUTED_VALUE"""),"8-12")</f>
        <v>8-12</v>
      </c>
      <c r="C260" s="182" t="str">
        <f>IFERROR(__xludf.DUMMYFUNCTION("""COMPUTED_VALUE"""),"Estimated Delivery Time: 8-12 Weeks, Initials")</f>
        <v>Estimated Delivery Time: 8-12 Weeks, Initials</v>
      </c>
      <c r="E260" s="180"/>
      <c r="F260" s="182"/>
    </row>
    <row r="261">
      <c r="A261" s="179">
        <f>IFERROR(__xludf.DUMMYFUNCTION("""COMPUTED_VALUE"""),260.0)</f>
        <v>260</v>
      </c>
      <c r="B261" s="180" t="str">
        <f>IFERROR(__xludf.DUMMYFUNCTION("""COMPUTED_VALUE"""),"8-12")</f>
        <v>8-12</v>
      </c>
      <c r="C261" s="182" t="str">
        <f>IFERROR(__xludf.DUMMYFUNCTION("""COMPUTED_VALUE"""),"Estimated Delivery Time: 8-12 Weeks, Initials")</f>
        <v>Estimated Delivery Time: 8-12 Weeks, Initials</v>
      </c>
      <c r="E261" s="180"/>
      <c r="F261" s="182"/>
    </row>
    <row r="262">
      <c r="A262" s="179">
        <f>IFERROR(__xludf.DUMMYFUNCTION("""COMPUTED_VALUE"""),261.0)</f>
        <v>261</v>
      </c>
      <c r="B262" s="180" t="str">
        <f>IFERROR(__xludf.DUMMYFUNCTION("""COMPUTED_VALUE"""),"8-12")</f>
        <v>8-12</v>
      </c>
      <c r="C262" s="182" t="str">
        <f>IFERROR(__xludf.DUMMYFUNCTION("""COMPUTED_VALUE"""),"Estimated Delivery Time: 8-12 Weeks, Initials")</f>
        <v>Estimated Delivery Time: 8-12 Weeks, Initials</v>
      </c>
      <c r="E262" s="180"/>
      <c r="F262" s="182"/>
    </row>
    <row r="263">
      <c r="A263" s="179">
        <f>IFERROR(__xludf.DUMMYFUNCTION("""COMPUTED_VALUE"""),262.0)</f>
        <v>262</v>
      </c>
      <c r="B263" s="180" t="str">
        <f>IFERROR(__xludf.DUMMYFUNCTION("""COMPUTED_VALUE"""),"8-12")</f>
        <v>8-12</v>
      </c>
      <c r="C263" s="182" t="str">
        <f>IFERROR(__xludf.DUMMYFUNCTION("""COMPUTED_VALUE"""),"Estimated Delivery Time: 8-12 Weeks, Initials")</f>
        <v>Estimated Delivery Time: 8-12 Weeks, Initials</v>
      </c>
      <c r="E263" s="180"/>
      <c r="F263" s="182"/>
    </row>
    <row r="264">
      <c r="A264" s="179">
        <f>IFERROR(__xludf.DUMMYFUNCTION("""COMPUTED_VALUE"""),263.0)</f>
        <v>263</v>
      </c>
      <c r="B264" s="180" t="str">
        <f>IFERROR(__xludf.DUMMYFUNCTION("""COMPUTED_VALUE"""),"8-12")</f>
        <v>8-12</v>
      </c>
      <c r="C264" s="182" t="str">
        <f>IFERROR(__xludf.DUMMYFUNCTION("""COMPUTED_VALUE"""),"Estimated Delivery Time: 8-12 Weeks, Initials")</f>
        <v>Estimated Delivery Time: 8-12 Weeks, Initials</v>
      </c>
      <c r="E264" s="180"/>
      <c r="F264" s="182"/>
    </row>
    <row r="265">
      <c r="A265" s="179">
        <f>IFERROR(__xludf.DUMMYFUNCTION("""COMPUTED_VALUE"""),264.0)</f>
        <v>264</v>
      </c>
      <c r="B265" s="180" t="str">
        <f>IFERROR(__xludf.DUMMYFUNCTION("""COMPUTED_VALUE"""),"8-12")</f>
        <v>8-12</v>
      </c>
      <c r="C265" s="182" t="str">
        <f>IFERROR(__xludf.DUMMYFUNCTION("""COMPUTED_VALUE"""),"Estimated Delivery Time: 8-12 Weeks, Initials")</f>
        <v>Estimated Delivery Time: 8-12 Weeks, Initials</v>
      </c>
      <c r="E265" s="180"/>
      <c r="F265" s="182"/>
    </row>
    <row r="266">
      <c r="A266" s="179">
        <f>IFERROR(__xludf.DUMMYFUNCTION("""COMPUTED_VALUE"""),265.0)</f>
        <v>265</v>
      </c>
      <c r="B266" s="180" t="str">
        <f>IFERROR(__xludf.DUMMYFUNCTION("""COMPUTED_VALUE"""),"8-12")</f>
        <v>8-12</v>
      </c>
      <c r="C266" s="182" t="str">
        <f>IFERROR(__xludf.DUMMYFUNCTION("""COMPUTED_VALUE"""),"Estimated Delivery Time: 8-12 Weeks, Initials")</f>
        <v>Estimated Delivery Time: 8-12 Weeks, Initials</v>
      </c>
      <c r="E266" s="180"/>
      <c r="F266" s="182"/>
    </row>
    <row r="267">
      <c r="A267" s="179">
        <f>IFERROR(__xludf.DUMMYFUNCTION("""COMPUTED_VALUE"""),266.0)</f>
        <v>266</v>
      </c>
      <c r="B267" s="180" t="str">
        <f>IFERROR(__xludf.DUMMYFUNCTION("""COMPUTED_VALUE"""),"8-12")</f>
        <v>8-12</v>
      </c>
      <c r="C267" s="182" t="str">
        <f>IFERROR(__xludf.DUMMYFUNCTION("""COMPUTED_VALUE"""),"Estimated Delivery Time: 8-12 Weeks, Initials")</f>
        <v>Estimated Delivery Time: 8-12 Weeks, Initials</v>
      </c>
      <c r="E267" s="180"/>
      <c r="F267" s="182"/>
    </row>
    <row r="268">
      <c r="A268" s="179">
        <f>IFERROR(__xludf.DUMMYFUNCTION("""COMPUTED_VALUE"""),267.0)</f>
        <v>267</v>
      </c>
      <c r="B268" s="180" t="str">
        <f>IFERROR(__xludf.DUMMYFUNCTION("""COMPUTED_VALUE"""),"8-12")</f>
        <v>8-12</v>
      </c>
      <c r="C268" s="182" t="str">
        <f>IFERROR(__xludf.DUMMYFUNCTION("""COMPUTED_VALUE"""),"Estimated Delivery Time: 8-12 Weeks, Initials")</f>
        <v>Estimated Delivery Time: 8-12 Weeks, Initials</v>
      </c>
      <c r="E268" s="180"/>
      <c r="F268" s="182"/>
    </row>
    <row r="269">
      <c r="A269" s="179">
        <f>IFERROR(__xludf.DUMMYFUNCTION("""COMPUTED_VALUE"""),268.0)</f>
        <v>268</v>
      </c>
      <c r="B269" s="180" t="str">
        <f>IFERROR(__xludf.DUMMYFUNCTION("""COMPUTED_VALUE"""),"8-12")</f>
        <v>8-12</v>
      </c>
      <c r="C269" s="182" t="str">
        <f>IFERROR(__xludf.DUMMYFUNCTION("""COMPUTED_VALUE"""),"Estimated Delivery Time: 8-12 Weeks, Initials")</f>
        <v>Estimated Delivery Time: 8-12 Weeks, Initials</v>
      </c>
      <c r="E269" s="180"/>
      <c r="F269" s="182"/>
    </row>
    <row r="270">
      <c r="A270" s="179">
        <f>IFERROR(__xludf.DUMMYFUNCTION("""COMPUTED_VALUE"""),269.0)</f>
        <v>269</v>
      </c>
      <c r="B270" s="180" t="str">
        <f>IFERROR(__xludf.DUMMYFUNCTION("""COMPUTED_VALUE"""),"8-12")</f>
        <v>8-12</v>
      </c>
      <c r="C270" s="182" t="str">
        <f>IFERROR(__xludf.DUMMYFUNCTION("""COMPUTED_VALUE"""),"Estimated Delivery Time: 8-12 Weeks, Initials")</f>
        <v>Estimated Delivery Time: 8-12 Weeks, Initials</v>
      </c>
      <c r="E270" s="180"/>
      <c r="F270" s="182"/>
    </row>
    <row r="271">
      <c r="A271" s="179">
        <f>IFERROR(__xludf.DUMMYFUNCTION("""COMPUTED_VALUE"""),270.0)</f>
        <v>270</v>
      </c>
      <c r="B271" s="180" t="str">
        <f>IFERROR(__xludf.DUMMYFUNCTION("""COMPUTED_VALUE"""),"8-12")</f>
        <v>8-12</v>
      </c>
      <c r="C271" s="182" t="str">
        <f>IFERROR(__xludf.DUMMYFUNCTION("""COMPUTED_VALUE"""),"Estimated Delivery Time: 8-12 Weeks, Initials")</f>
        <v>Estimated Delivery Time: 8-12 Weeks, Initials</v>
      </c>
      <c r="E271" s="180"/>
      <c r="F271" s="182"/>
    </row>
    <row r="272">
      <c r="A272" s="179">
        <f>IFERROR(__xludf.DUMMYFUNCTION("""COMPUTED_VALUE"""),271.0)</f>
        <v>271</v>
      </c>
      <c r="B272" s="180" t="str">
        <f>IFERROR(__xludf.DUMMYFUNCTION("""COMPUTED_VALUE"""),"8-12")</f>
        <v>8-12</v>
      </c>
      <c r="C272" s="182" t="str">
        <f>IFERROR(__xludf.DUMMYFUNCTION("""COMPUTED_VALUE"""),"Estimated Delivery Time: 8-12 Weeks, Initials")</f>
        <v>Estimated Delivery Time: 8-12 Weeks, Initials</v>
      </c>
      <c r="E272" s="180"/>
      <c r="F272" s="182"/>
    </row>
    <row r="273">
      <c r="A273" s="179">
        <f>IFERROR(__xludf.DUMMYFUNCTION("""COMPUTED_VALUE"""),272.0)</f>
        <v>272</v>
      </c>
      <c r="B273" s="180" t="str">
        <f>IFERROR(__xludf.DUMMYFUNCTION("""COMPUTED_VALUE"""),"8-12")</f>
        <v>8-12</v>
      </c>
      <c r="C273" s="182" t="str">
        <f>IFERROR(__xludf.DUMMYFUNCTION("""COMPUTED_VALUE"""),"Estimated Delivery Time: 8-12 Weeks, Initials")</f>
        <v>Estimated Delivery Time: 8-12 Weeks, Initials</v>
      </c>
      <c r="E273" s="180"/>
      <c r="F273" s="182"/>
    </row>
    <row r="274">
      <c r="A274" s="179">
        <f>IFERROR(__xludf.DUMMYFUNCTION("""COMPUTED_VALUE"""),273.0)</f>
        <v>273</v>
      </c>
      <c r="B274" s="180" t="str">
        <f>IFERROR(__xludf.DUMMYFUNCTION("""COMPUTED_VALUE"""),"8-12")</f>
        <v>8-12</v>
      </c>
      <c r="C274" s="182" t="str">
        <f>IFERROR(__xludf.DUMMYFUNCTION("""COMPUTED_VALUE"""),"Estimated Delivery Time: 8-12 Weeks, Initials")</f>
        <v>Estimated Delivery Time: 8-12 Weeks, Initials</v>
      </c>
      <c r="E274" s="180"/>
      <c r="F274" s="182"/>
    </row>
    <row r="275">
      <c r="A275" s="179">
        <f>IFERROR(__xludf.DUMMYFUNCTION("""COMPUTED_VALUE"""),274.0)</f>
        <v>274</v>
      </c>
      <c r="B275" s="180" t="str">
        <f>IFERROR(__xludf.DUMMYFUNCTION("""COMPUTED_VALUE"""),"8-12")</f>
        <v>8-12</v>
      </c>
      <c r="C275" s="182" t="str">
        <f>IFERROR(__xludf.DUMMYFUNCTION("""COMPUTED_VALUE"""),"Estimated Delivery Time: 8-12 Weeks, Initials")</f>
        <v>Estimated Delivery Time: 8-12 Weeks, Initials</v>
      </c>
      <c r="E275" s="180"/>
      <c r="F275" s="182"/>
    </row>
    <row r="276">
      <c r="A276" s="179">
        <f>IFERROR(__xludf.DUMMYFUNCTION("""COMPUTED_VALUE"""),275.0)</f>
        <v>275</v>
      </c>
      <c r="B276" s="180" t="str">
        <f>IFERROR(__xludf.DUMMYFUNCTION("""COMPUTED_VALUE"""),"8-12")</f>
        <v>8-12</v>
      </c>
      <c r="C276" s="182" t="str">
        <f>IFERROR(__xludf.DUMMYFUNCTION("""COMPUTED_VALUE"""),"Estimated Delivery Time: 8-12 Weeks, Initials")</f>
        <v>Estimated Delivery Time: 8-12 Weeks, Initials</v>
      </c>
      <c r="E276" s="180"/>
      <c r="F276" s="182"/>
    </row>
    <row r="277">
      <c r="A277" s="179">
        <f>IFERROR(__xludf.DUMMYFUNCTION("""COMPUTED_VALUE"""),276.0)</f>
        <v>276</v>
      </c>
      <c r="B277" s="180" t="str">
        <f>IFERROR(__xludf.DUMMYFUNCTION("""COMPUTED_VALUE"""),"8-12")</f>
        <v>8-12</v>
      </c>
      <c r="C277" s="182" t="str">
        <f>IFERROR(__xludf.DUMMYFUNCTION("""COMPUTED_VALUE"""),"Estimated Delivery Time: 8-12 Weeks, Initials")</f>
        <v>Estimated Delivery Time: 8-12 Weeks, Initials</v>
      </c>
      <c r="E277" s="180"/>
      <c r="F277" s="182"/>
    </row>
    <row r="278">
      <c r="A278" s="179">
        <f>IFERROR(__xludf.DUMMYFUNCTION("""COMPUTED_VALUE"""),277.0)</f>
        <v>277</v>
      </c>
      <c r="B278" s="180" t="str">
        <f>IFERROR(__xludf.DUMMYFUNCTION("""COMPUTED_VALUE"""),"8-12")</f>
        <v>8-12</v>
      </c>
      <c r="C278" s="182" t="str">
        <f>IFERROR(__xludf.DUMMYFUNCTION("""COMPUTED_VALUE"""),"Estimated Delivery Time: 8-12 Weeks, Initials")</f>
        <v>Estimated Delivery Time: 8-12 Weeks, Initials</v>
      </c>
      <c r="E278" s="180"/>
      <c r="F278" s="182"/>
    </row>
    <row r="279">
      <c r="A279" s="179">
        <f>IFERROR(__xludf.DUMMYFUNCTION("""COMPUTED_VALUE"""),278.0)</f>
        <v>278</v>
      </c>
      <c r="B279" s="180" t="str">
        <f>IFERROR(__xludf.DUMMYFUNCTION("""COMPUTED_VALUE"""),"8-12")</f>
        <v>8-12</v>
      </c>
      <c r="C279" s="182" t="str">
        <f>IFERROR(__xludf.DUMMYFUNCTION("""COMPUTED_VALUE"""),"Estimated Delivery Time: 8-12 Weeks, Initials")</f>
        <v>Estimated Delivery Time: 8-12 Weeks, Initials</v>
      </c>
      <c r="E279" s="180"/>
      <c r="F279" s="182"/>
    </row>
    <row r="280">
      <c r="A280" s="179">
        <f>IFERROR(__xludf.DUMMYFUNCTION("""COMPUTED_VALUE"""),279.0)</f>
        <v>279</v>
      </c>
      <c r="B280" s="180" t="str">
        <f>IFERROR(__xludf.DUMMYFUNCTION("""COMPUTED_VALUE"""),"8-12")</f>
        <v>8-12</v>
      </c>
      <c r="C280" s="182" t="str">
        <f>IFERROR(__xludf.DUMMYFUNCTION("""COMPUTED_VALUE"""),"Estimated Delivery Time: 8-12 Weeks, Initials")</f>
        <v>Estimated Delivery Time: 8-12 Weeks, Initials</v>
      </c>
      <c r="E280" s="180"/>
      <c r="F280" s="182"/>
    </row>
    <row r="281">
      <c r="A281" s="179">
        <f>IFERROR(__xludf.DUMMYFUNCTION("""COMPUTED_VALUE"""),280.0)</f>
        <v>280</v>
      </c>
      <c r="B281" s="180" t="str">
        <f>IFERROR(__xludf.DUMMYFUNCTION("""COMPUTED_VALUE"""),"8-12")</f>
        <v>8-12</v>
      </c>
      <c r="C281" s="182" t="str">
        <f>IFERROR(__xludf.DUMMYFUNCTION("""COMPUTED_VALUE"""),"Estimated Delivery Time: 8-12 Weeks, Initials")</f>
        <v>Estimated Delivery Time: 8-12 Weeks, Initials</v>
      </c>
      <c r="E281" s="180"/>
      <c r="F281" s="182"/>
    </row>
    <row r="282">
      <c r="A282" s="179">
        <f>IFERROR(__xludf.DUMMYFUNCTION("""COMPUTED_VALUE"""),281.0)</f>
        <v>281</v>
      </c>
      <c r="B282" s="180" t="str">
        <f>IFERROR(__xludf.DUMMYFUNCTION("""COMPUTED_VALUE"""),"8-12")</f>
        <v>8-12</v>
      </c>
      <c r="C282" s="182" t="str">
        <f>IFERROR(__xludf.DUMMYFUNCTION("""COMPUTED_VALUE"""),"Estimated Delivery Time: 8-12 Weeks, Initials")</f>
        <v>Estimated Delivery Time: 8-12 Weeks, Initials</v>
      </c>
      <c r="E282" s="180"/>
      <c r="F282" s="182"/>
    </row>
    <row r="283">
      <c r="A283" s="179">
        <f>IFERROR(__xludf.DUMMYFUNCTION("""COMPUTED_VALUE"""),282.0)</f>
        <v>282</v>
      </c>
      <c r="B283" s="180" t="str">
        <f>IFERROR(__xludf.DUMMYFUNCTION("""COMPUTED_VALUE"""),"8-12")</f>
        <v>8-12</v>
      </c>
      <c r="C283" s="182" t="str">
        <f>IFERROR(__xludf.DUMMYFUNCTION("""COMPUTED_VALUE"""),"Estimated Delivery Time: 8-12 Weeks, Initials")</f>
        <v>Estimated Delivery Time: 8-12 Weeks, Initials</v>
      </c>
      <c r="E283" s="180"/>
      <c r="F283" s="182"/>
    </row>
    <row r="284">
      <c r="A284" s="179">
        <f>IFERROR(__xludf.DUMMYFUNCTION("""COMPUTED_VALUE"""),283.0)</f>
        <v>283</v>
      </c>
      <c r="B284" s="180" t="str">
        <f>IFERROR(__xludf.DUMMYFUNCTION("""COMPUTED_VALUE"""),"8-12")</f>
        <v>8-12</v>
      </c>
      <c r="C284" s="182" t="str">
        <f>IFERROR(__xludf.DUMMYFUNCTION("""COMPUTED_VALUE"""),"Estimated Delivery Time: 8-12 Weeks, Initials")</f>
        <v>Estimated Delivery Time: 8-12 Weeks, Initials</v>
      </c>
      <c r="E284" s="180"/>
      <c r="F284" s="182"/>
    </row>
    <row r="285">
      <c r="A285" s="179">
        <f>IFERROR(__xludf.DUMMYFUNCTION("""COMPUTED_VALUE"""),284.0)</f>
        <v>284</v>
      </c>
      <c r="B285" s="180" t="str">
        <f>IFERROR(__xludf.DUMMYFUNCTION("""COMPUTED_VALUE"""),"8-12")</f>
        <v>8-12</v>
      </c>
      <c r="C285" s="182" t="str">
        <f>IFERROR(__xludf.DUMMYFUNCTION("""COMPUTED_VALUE"""),"Estimated Delivery Time: 8-12 Weeks, Initials")</f>
        <v>Estimated Delivery Time: 8-12 Weeks, Initials</v>
      </c>
      <c r="E285" s="180"/>
      <c r="F285" s="182"/>
    </row>
    <row r="286">
      <c r="A286" s="179">
        <f>IFERROR(__xludf.DUMMYFUNCTION("""COMPUTED_VALUE"""),285.0)</f>
        <v>285</v>
      </c>
      <c r="B286" s="180" t="str">
        <f>IFERROR(__xludf.DUMMYFUNCTION("""COMPUTED_VALUE"""),"8-12")</f>
        <v>8-12</v>
      </c>
      <c r="C286" s="182" t="str">
        <f>IFERROR(__xludf.DUMMYFUNCTION("""COMPUTED_VALUE"""),"Estimated Delivery Time: 8-12 Weeks, Initials")</f>
        <v>Estimated Delivery Time: 8-12 Weeks, Initials</v>
      </c>
      <c r="E286" s="180"/>
      <c r="F286" s="182"/>
    </row>
    <row r="287">
      <c r="A287" s="179">
        <f>IFERROR(__xludf.DUMMYFUNCTION("""COMPUTED_VALUE"""),286.0)</f>
        <v>286</v>
      </c>
      <c r="B287" s="180" t="str">
        <f>IFERROR(__xludf.DUMMYFUNCTION("""COMPUTED_VALUE"""),"8-12")</f>
        <v>8-12</v>
      </c>
      <c r="C287" s="182" t="str">
        <f>IFERROR(__xludf.DUMMYFUNCTION("""COMPUTED_VALUE"""),"Estimated Delivery Time: 8-12 Weeks, Initials")</f>
        <v>Estimated Delivery Time: 8-12 Weeks, Initials</v>
      </c>
      <c r="E287" s="180"/>
      <c r="F287" s="182"/>
    </row>
    <row r="288">
      <c r="A288" s="179">
        <f>IFERROR(__xludf.DUMMYFUNCTION("""COMPUTED_VALUE"""),287.0)</f>
        <v>287</v>
      </c>
      <c r="B288" s="180" t="str">
        <f>IFERROR(__xludf.DUMMYFUNCTION("""COMPUTED_VALUE"""),"8-12")</f>
        <v>8-12</v>
      </c>
      <c r="C288" s="182" t="str">
        <f>IFERROR(__xludf.DUMMYFUNCTION("""COMPUTED_VALUE"""),"Estimated Delivery Time: 8-12 Weeks, Initials")</f>
        <v>Estimated Delivery Time: 8-12 Weeks, Initials</v>
      </c>
      <c r="E288" s="180"/>
      <c r="F288" s="182"/>
    </row>
    <row r="289">
      <c r="A289" s="179">
        <f>IFERROR(__xludf.DUMMYFUNCTION("""COMPUTED_VALUE"""),288.0)</f>
        <v>288</v>
      </c>
      <c r="B289" s="180" t="str">
        <f>IFERROR(__xludf.DUMMYFUNCTION("""COMPUTED_VALUE"""),"8-12")</f>
        <v>8-12</v>
      </c>
      <c r="C289" s="182" t="str">
        <f>IFERROR(__xludf.DUMMYFUNCTION("""COMPUTED_VALUE"""),"Estimated Delivery Time: 8-12 Weeks, Initials")</f>
        <v>Estimated Delivery Time: 8-12 Weeks, Initials</v>
      </c>
      <c r="E289" s="180"/>
      <c r="F289" s="182"/>
    </row>
    <row r="290">
      <c r="A290" s="179">
        <f>IFERROR(__xludf.DUMMYFUNCTION("""COMPUTED_VALUE"""),289.0)</f>
        <v>289</v>
      </c>
      <c r="B290" s="180" t="str">
        <f>IFERROR(__xludf.DUMMYFUNCTION("""COMPUTED_VALUE"""),"8-12")</f>
        <v>8-12</v>
      </c>
      <c r="C290" s="182" t="str">
        <f>IFERROR(__xludf.DUMMYFUNCTION("""COMPUTED_VALUE"""),"Estimated Delivery Time: 8-12 Weeks, Initials")</f>
        <v>Estimated Delivery Time: 8-12 Weeks, Initials</v>
      </c>
      <c r="E290" s="180"/>
      <c r="F290" s="182"/>
    </row>
    <row r="291">
      <c r="A291" s="179">
        <f>IFERROR(__xludf.DUMMYFUNCTION("""COMPUTED_VALUE"""),290.0)</f>
        <v>290</v>
      </c>
      <c r="B291" s="180" t="str">
        <f>IFERROR(__xludf.DUMMYFUNCTION("""COMPUTED_VALUE"""),"8-12")</f>
        <v>8-12</v>
      </c>
      <c r="C291" s="182" t="str">
        <f>IFERROR(__xludf.DUMMYFUNCTION("""COMPUTED_VALUE"""),"Estimated Delivery Time: 8-12 Weeks, Initials")</f>
        <v>Estimated Delivery Time: 8-12 Weeks, Initials</v>
      </c>
      <c r="E291" s="180"/>
      <c r="F291" s="182"/>
    </row>
    <row r="292">
      <c r="A292" s="179">
        <f>IFERROR(__xludf.DUMMYFUNCTION("""COMPUTED_VALUE"""),291.0)</f>
        <v>291</v>
      </c>
      <c r="B292" s="180" t="str">
        <f>IFERROR(__xludf.DUMMYFUNCTION("""COMPUTED_VALUE"""),"8-12")</f>
        <v>8-12</v>
      </c>
      <c r="C292" s="182" t="str">
        <f>IFERROR(__xludf.DUMMYFUNCTION("""COMPUTED_VALUE"""),"Estimated Delivery Time: 8-12 Weeks, Initials")</f>
        <v>Estimated Delivery Time: 8-12 Weeks, Initials</v>
      </c>
      <c r="E292" s="180"/>
      <c r="F292" s="182"/>
    </row>
    <row r="293">
      <c r="A293" s="179">
        <f>IFERROR(__xludf.DUMMYFUNCTION("""COMPUTED_VALUE"""),292.0)</f>
        <v>292</v>
      </c>
      <c r="B293" s="180" t="str">
        <f>IFERROR(__xludf.DUMMYFUNCTION("""COMPUTED_VALUE"""),"8-12")</f>
        <v>8-12</v>
      </c>
      <c r="C293" s="182" t="str">
        <f>IFERROR(__xludf.DUMMYFUNCTION("""COMPUTED_VALUE"""),"Estimated Delivery Time: 8-12 Weeks, Initials")</f>
        <v>Estimated Delivery Time: 8-12 Weeks, Initials</v>
      </c>
      <c r="E293" s="180"/>
      <c r="F293" s="182"/>
    </row>
    <row r="294">
      <c r="A294" s="179">
        <f>IFERROR(__xludf.DUMMYFUNCTION("""COMPUTED_VALUE"""),293.0)</f>
        <v>293</v>
      </c>
      <c r="B294" s="180" t="str">
        <f>IFERROR(__xludf.DUMMYFUNCTION("""COMPUTED_VALUE"""),"8-12")</f>
        <v>8-12</v>
      </c>
      <c r="C294" s="182" t="str">
        <f>IFERROR(__xludf.DUMMYFUNCTION("""COMPUTED_VALUE"""),"Estimated Delivery Time: 8-12 Weeks, Initials")</f>
        <v>Estimated Delivery Time: 8-12 Weeks, Initials</v>
      </c>
      <c r="E294" s="180"/>
      <c r="F294" s="182"/>
    </row>
    <row r="295">
      <c r="A295" s="179">
        <f>IFERROR(__xludf.DUMMYFUNCTION("""COMPUTED_VALUE"""),294.0)</f>
        <v>294</v>
      </c>
      <c r="B295" s="180" t="str">
        <f>IFERROR(__xludf.DUMMYFUNCTION("""COMPUTED_VALUE"""),"8-12")</f>
        <v>8-12</v>
      </c>
      <c r="C295" s="182" t="str">
        <f>IFERROR(__xludf.DUMMYFUNCTION("""COMPUTED_VALUE"""),"Estimated Delivery Time: 8-12 Weeks, Initials")</f>
        <v>Estimated Delivery Time: 8-12 Weeks, Initials</v>
      </c>
      <c r="E295" s="180"/>
      <c r="F295" s="182"/>
    </row>
    <row r="296">
      <c r="A296" s="179">
        <f>IFERROR(__xludf.DUMMYFUNCTION("""COMPUTED_VALUE"""),295.0)</f>
        <v>295</v>
      </c>
      <c r="B296" s="180" t="str">
        <f>IFERROR(__xludf.DUMMYFUNCTION("""COMPUTED_VALUE"""),"8-12")</f>
        <v>8-12</v>
      </c>
      <c r="C296" s="182" t="str">
        <f>IFERROR(__xludf.DUMMYFUNCTION("""COMPUTED_VALUE"""),"Estimated Delivery Time: 8-12 Weeks, Initials")</f>
        <v>Estimated Delivery Time: 8-12 Weeks, Initials</v>
      </c>
      <c r="E296" s="180"/>
      <c r="F296" s="182"/>
    </row>
    <row r="297">
      <c r="A297" s="179">
        <f>IFERROR(__xludf.DUMMYFUNCTION("""COMPUTED_VALUE"""),296.0)</f>
        <v>296</v>
      </c>
      <c r="B297" s="180" t="str">
        <f>IFERROR(__xludf.DUMMYFUNCTION("""COMPUTED_VALUE"""),"8-12")</f>
        <v>8-12</v>
      </c>
      <c r="C297" s="182" t="str">
        <f>IFERROR(__xludf.DUMMYFUNCTION("""COMPUTED_VALUE"""),"Estimated Delivery Time: 8-12 Weeks, Initials")</f>
        <v>Estimated Delivery Time: 8-12 Weeks, Initials</v>
      </c>
      <c r="E297" s="180"/>
      <c r="F297" s="182"/>
    </row>
    <row r="298">
      <c r="A298" s="179">
        <f>IFERROR(__xludf.DUMMYFUNCTION("""COMPUTED_VALUE"""),297.0)</f>
        <v>297</v>
      </c>
      <c r="B298" s="180" t="str">
        <f>IFERROR(__xludf.DUMMYFUNCTION("""COMPUTED_VALUE"""),"8-12")</f>
        <v>8-12</v>
      </c>
      <c r="C298" s="182" t="str">
        <f>IFERROR(__xludf.DUMMYFUNCTION("""COMPUTED_VALUE"""),"Estimated Delivery Time: 8-12 Weeks, Initials")</f>
        <v>Estimated Delivery Time: 8-12 Weeks, Initials</v>
      </c>
      <c r="E298" s="180"/>
      <c r="F298" s="182"/>
    </row>
    <row r="299">
      <c r="A299" s="179">
        <f>IFERROR(__xludf.DUMMYFUNCTION("""COMPUTED_VALUE"""),298.0)</f>
        <v>298</v>
      </c>
      <c r="B299" s="180" t="str">
        <f>IFERROR(__xludf.DUMMYFUNCTION("""COMPUTED_VALUE"""),"8-12")</f>
        <v>8-12</v>
      </c>
      <c r="C299" s="182" t="str">
        <f>IFERROR(__xludf.DUMMYFUNCTION("""COMPUTED_VALUE"""),"Estimated Delivery Time: 8-12 Weeks, Initials")</f>
        <v>Estimated Delivery Time: 8-12 Weeks, Initials</v>
      </c>
      <c r="E299" s="180"/>
      <c r="F299" s="182"/>
    </row>
    <row r="300">
      <c r="A300" s="179">
        <f>IFERROR(__xludf.DUMMYFUNCTION("""COMPUTED_VALUE"""),299.0)</f>
        <v>299</v>
      </c>
      <c r="B300" s="180" t="str">
        <f>IFERROR(__xludf.DUMMYFUNCTION("""COMPUTED_VALUE"""),"8-12")</f>
        <v>8-12</v>
      </c>
      <c r="C300" s="182" t="str">
        <f>IFERROR(__xludf.DUMMYFUNCTION("""COMPUTED_VALUE"""),"Estimated Delivery Time: 8-12 Weeks, Initials")</f>
        <v>Estimated Delivery Time: 8-12 Weeks, Initials</v>
      </c>
      <c r="E300" s="180"/>
      <c r="F300" s="182"/>
    </row>
    <row r="301">
      <c r="A301" s="179">
        <f>IFERROR(__xludf.DUMMYFUNCTION("""COMPUTED_VALUE"""),300.0)</f>
        <v>300</v>
      </c>
      <c r="B301" s="180" t="str">
        <f>IFERROR(__xludf.DUMMYFUNCTION("""COMPUTED_VALUE"""),"8-12")</f>
        <v>8-12</v>
      </c>
      <c r="C301" s="182" t="str">
        <f>IFERROR(__xludf.DUMMYFUNCTION("""COMPUTED_VALUE"""),"Estimated Delivery Time: 8-12 Weeks, Initials")</f>
        <v>Estimated Delivery Time: 8-12 Weeks, Initials</v>
      </c>
      <c r="E301" s="180"/>
      <c r="F301" s="182"/>
    </row>
    <row r="302">
      <c r="A302" s="179">
        <f>IFERROR(__xludf.DUMMYFUNCTION("""COMPUTED_VALUE"""),301.0)</f>
        <v>301</v>
      </c>
      <c r="B302" s="180" t="str">
        <f>IFERROR(__xludf.DUMMYFUNCTION("""COMPUTED_VALUE"""),"8-12")</f>
        <v>8-12</v>
      </c>
      <c r="C302" s="182" t="str">
        <f>IFERROR(__xludf.DUMMYFUNCTION("""COMPUTED_VALUE"""),"Estimated Delivery Time: 8-12 Weeks, Initials")</f>
        <v>Estimated Delivery Time: 8-12 Weeks, Initials</v>
      </c>
      <c r="E302" s="180"/>
      <c r="F302" s="182"/>
    </row>
    <row r="303">
      <c r="A303" s="179">
        <f>IFERROR(__xludf.DUMMYFUNCTION("""COMPUTED_VALUE"""),302.0)</f>
        <v>302</v>
      </c>
      <c r="B303" s="180" t="str">
        <f>IFERROR(__xludf.DUMMYFUNCTION("""COMPUTED_VALUE"""),"8-12")</f>
        <v>8-12</v>
      </c>
      <c r="C303" s="182" t="str">
        <f>IFERROR(__xludf.DUMMYFUNCTION("""COMPUTED_VALUE"""),"Estimated Delivery Time: 8-12 Weeks, Initials")</f>
        <v>Estimated Delivery Time: 8-12 Weeks, Initials</v>
      </c>
      <c r="E303" s="180"/>
      <c r="F303" s="182"/>
    </row>
    <row r="304">
      <c r="A304" s="179">
        <f>IFERROR(__xludf.DUMMYFUNCTION("""COMPUTED_VALUE"""),303.0)</f>
        <v>303</v>
      </c>
      <c r="B304" s="180" t="str">
        <f>IFERROR(__xludf.DUMMYFUNCTION("""COMPUTED_VALUE"""),"8-12")</f>
        <v>8-12</v>
      </c>
      <c r="C304" s="182" t="str">
        <f>IFERROR(__xludf.DUMMYFUNCTION("""COMPUTED_VALUE"""),"Estimated Delivery Time: 8-12 Weeks, Initials")</f>
        <v>Estimated Delivery Time: 8-12 Weeks, Initials</v>
      </c>
      <c r="E304" s="180"/>
      <c r="F304" s="182"/>
    </row>
    <row r="305">
      <c r="A305" s="179">
        <f>IFERROR(__xludf.DUMMYFUNCTION("""COMPUTED_VALUE"""),304.0)</f>
        <v>304</v>
      </c>
      <c r="B305" s="180" t="str">
        <f>IFERROR(__xludf.DUMMYFUNCTION("""COMPUTED_VALUE"""),"8-12")</f>
        <v>8-12</v>
      </c>
      <c r="C305" s="182" t="str">
        <f>IFERROR(__xludf.DUMMYFUNCTION("""COMPUTED_VALUE"""),"Estimated Delivery Time: 8-12 Weeks, Initials")</f>
        <v>Estimated Delivery Time: 8-12 Weeks, Initials</v>
      </c>
      <c r="E305" s="180"/>
      <c r="F305" s="182"/>
    </row>
    <row r="306">
      <c r="A306" s="179">
        <f>IFERROR(__xludf.DUMMYFUNCTION("""COMPUTED_VALUE"""),305.0)</f>
        <v>305</v>
      </c>
      <c r="B306" s="180" t="str">
        <f>IFERROR(__xludf.DUMMYFUNCTION("""COMPUTED_VALUE"""),"8-12")</f>
        <v>8-12</v>
      </c>
      <c r="C306" s="182" t="str">
        <f>IFERROR(__xludf.DUMMYFUNCTION("""COMPUTED_VALUE"""),"Estimated Delivery Time: 8-12 Weeks, Initials")</f>
        <v>Estimated Delivery Time: 8-12 Weeks, Initials</v>
      </c>
      <c r="E306" s="180"/>
      <c r="F306" s="182"/>
    </row>
    <row r="307">
      <c r="A307" s="179">
        <f>IFERROR(__xludf.DUMMYFUNCTION("""COMPUTED_VALUE"""),306.0)</f>
        <v>306</v>
      </c>
      <c r="B307" s="180" t="str">
        <f>IFERROR(__xludf.DUMMYFUNCTION("""COMPUTED_VALUE"""),"8-12")</f>
        <v>8-12</v>
      </c>
      <c r="C307" s="182" t="str">
        <f>IFERROR(__xludf.DUMMYFUNCTION("""COMPUTED_VALUE"""),"Estimated Delivery Time: 8-12 Weeks, Initials")</f>
        <v>Estimated Delivery Time: 8-12 Weeks, Initials</v>
      </c>
      <c r="E307" s="180"/>
      <c r="F307" s="182"/>
    </row>
    <row r="308">
      <c r="A308" s="179">
        <f>IFERROR(__xludf.DUMMYFUNCTION("""COMPUTED_VALUE"""),307.0)</f>
        <v>307</v>
      </c>
      <c r="B308" s="180" t="str">
        <f>IFERROR(__xludf.DUMMYFUNCTION("""COMPUTED_VALUE"""),"8-12")</f>
        <v>8-12</v>
      </c>
      <c r="C308" s="182" t="str">
        <f>IFERROR(__xludf.DUMMYFUNCTION("""COMPUTED_VALUE"""),"Estimated Delivery Time: 8-12 Weeks, Initials")</f>
        <v>Estimated Delivery Time: 8-12 Weeks, Initials</v>
      </c>
      <c r="E308" s="180"/>
      <c r="F308" s="182"/>
    </row>
    <row r="309">
      <c r="A309" s="179">
        <f>IFERROR(__xludf.DUMMYFUNCTION("""COMPUTED_VALUE"""),308.0)</f>
        <v>308</v>
      </c>
      <c r="B309" s="180" t="str">
        <f>IFERROR(__xludf.DUMMYFUNCTION("""COMPUTED_VALUE"""),"8-12")</f>
        <v>8-12</v>
      </c>
      <c r="C309" s="182" t="str">
        <f>IFERROR(__xludf.DUMMYFUNCTION("""COMPUTED_VALUE"""),"Estimated Delivery Time: 8-12 Weeks, Initials")</f>
        <v>Estimated Delivery Time: 8-12 Weeks, Initials</v>
      </c>
      <c r="E309" s="180"/>
      <c r="F309" s="182"/>
    </row>
    <row r="310">
      <c r="A310" s="179">
        <f>IFERROR(__xludf.DUMMYFUNCTION("""COMPUTED_VALUE"""),309.0)</f>
        <v>309</v>
      </c>
      <c r="B310" s="180" t="str">
        <f>IFERROR(__xludf.DUMMYFUNCTION("""COMPUTED_VALUE"""),"8-12")</f>
        <v>8-12</v>
      </c>
      <c r="C310" s="182" t="str">
        <f>IFERROR(__xludf.DUMMYFUNCTION("""COMPUTED_VALUE"""),"Estimated Delivery Time: 8-12 Weeks, Initials")</f>
        <v>Estimated Delivery Time: 8-12 Weeks, Initials</v>
      </c>
      <c r="E310" s="180"/>
      <c r="F310" s="182"/>
    </row>
    <row r="311">
      <c r="A311" s="179">
        <f>IFERROR(__xludf.DUMMYFUNCTION("""COMPUTED_VALUE"""),310.0)</f>
        <v>310</v>
      </c>
      <c r="B311" s="180" t="str">
        <f>IFERROR(__xludf.DUMMYFUNCTION("""COMPUTED_VALUE"""),"10-14")</f>
        <v>10-14</v>
      </c>
      <c r="C311" s="182" t="str">
        <f>IFERROR(__xludf.DUMMYFUNCTION("""COMPUTED_VALUE"""),"Estimated Delivery Time: 10-14 Weeks, Initials")</f>
        <v>Estimated Delivery Time: 10-14 Weeks, Initials</v>
      </c>
      <c r="E311" s="180"/>
      <c r="F311" s="182"/>
    </row>
    <row r="312">
      <c r="A312" s="179">
        <f>IFERROR(__xludf.DUMMYFUNCTION("""COMPUTED_VALUE"""),311.0)</f>
        <v>311</v>
      </c>
      <c r="B312" s="180" t="str">
        <f>IFERROR(__xludf.DUMMYFUNCTION("""COMPUTED_VALUE"""),"8-12")</f>
        <v>8-12</v>
      </c>
      <c r="C312" s="182" t="str">
        <f>IFERROR(__xludf.DUMMYFUNCTION("""COMPUTED_VALUE"""),"Estimated Delivery Time: 8-12 Weeks, Initials")</f>
        <v>Estimated Delivery Time: 8-12 Weeks, Initials</v>
      </c>
      <c r="E312" s="180"/>
      <c r="F312" s="182"/>
    </row>
    <row r="313">
      <c r="A313" s="179">
        <f>IFERROR(__xludf.DUMMYFUNCTION("""COMPUTED_VALUE"""),312.0)</f>
        <v>312</v>
      </c>
      <c r="B313" s="180" t="str">
        <f>IFERROR(__xludf.DUMMYFUNCTION("""COMPUTED_VALUE"""),"8-12")</f>
        <v>8-12</v>
      </c>
      <c r="C313" s="182" t="str">
        <f>IFERROR(__xludf.DUMMYFUNCTION("""COMPUTED_VALUE"""),"Estimated Delivery Time: 8-12 Weeks, Initials")</f>
        <v>Estimated Delivery Time: 8-12 Weeks, Initials</v>
      </c>
      <c r="E313" s="180"/>
      <c r="F313" s="182"/>
    </row>
    <row r="314">
      <c r="A314" s="179">
        <f>IFERROR(__xludf.DUMMYFUNCTION("""COMPUTED_VALUE"""),313.0)</f>
        <v>313</v>
      </c>
      <c r="B314" s="180" t="str">
        <f>IFERROR(__xludf.DUMMYFUNCTION("""COMPUTED_VALUE"""),"10-14")</f>
        <v>10-14</v>
      </c>
      <c r="C314" s="182" t="str">
        <f>IFERROR(__xludf.DUMMYFUNCTION("""COMPUTED_VALUE"""),"Estimated Delivery Time: 10-14 Weeks, Initials")</f>
        <v>Estimated Delivery Time: 10-14 Weeks, Initials</v>
      </c>
      <c r="E314" s="180"/>
      <c r="F314" s="182"/>
    </row>
    <row r="315">
      <c r="A315" s="179">
        <f>IFERROR(__xludf.DUMMYFUNCTION("""COMPUTED_VALUE"""),314.0)</f>
        <v>314</v>
      </c>
      <c r="B315" s="180" t="str">
        <f>IFERROR(__xludf.DUMMYFUNCTION("""COMPUTED_VALUE"""),"8-12")</f>
        <v>8-12</v>
      </c>
      <c r="C315" s="182" t="str">
        <f>IFERROR(__xludf.DUMMYFUNCTION("""COMPUTED_VALUE"""),"Estimated Delivery Time: 8-12 Weeks, Initials")</f>
        <v>Estimated Delivery Time: 8-12 Weeks, Initials</v>
      </c>
      <c r="E315" s="180"/>
      <c r="F315" s="182"/>
    </row>
    <row r="316">
      <c r="A316" s="179">
        <f>IFERROR(__xludf.DUMMYFUNCTION("""COMPUTED_VALUE"""),315.0)</f>
        <v>315</v>
      </c>
      <c r="B316" s="180" t="str">
        <f>IFERROR(__xludf.DUMMYFUNCTION("""COMPUTED_VALUE"""),"16-20")</f>
        <v>16-20</v>
      </c>
      <c r="C316" s="182" t="str">
        <f>IFERROR(__xludf.DUMMYFUNCTION("""COMPUTED_VALUE"""),"Estimated Delivery Time: 16-20 Weeks, Initials")</f>
        <v>Estimated Delivery Time: 16-20 Weeks, Initials</v>
      </c>
      <c r="E316" s="180"/>
      <c r="F316" s="182"/>
    </row>
    <row r="317">
      <c r="A317" s="179">
        <f>IFERROR(__xludf.DUMMYFUNCTION("""COMPUTED_VALUE"""),316.0)</f>
        <v>316</v>
      </c>
      <c r="B317" s="180" t="str">
        <f>IFERROR(__xludf.DUMMYFUNCTION("""COMPUTED_VALUE"""),"4-8")</f>
        <v>4-8</v>
      </c>
      <c r="C317" s="182" t="str">
        <f>IFERROR(__xludf.DUMMYFUNCTION("""COMPUTED_VALUE"""),"Estimated Delivery Time: 4-8 Weeks, Initials")</f>
        <v>Estimated Delivery Time: 4-8 Weeks, Initials</v>
      </c>
      <c r="E317" s="180"/>
      <c r="F317" s="182"/>
    </row>
    <row r="318">
      <c r="A318" s="179">
        <f>IFERROR(__xludf.DUMMYFUNCTION("""COMPUTED_VALUE"""),317.0)</f>
        <v>317</v>
      </c>
      <c r="B318" s="180" t="str">
        <f>IFERROR(__xludf.DUMMYFUNCTION("""COMPUTED_VALUE"""),"12-16")</f>
        <v>12-16</v>
      </c>
      <c r="C318" s="182" t="str">
        <f>IFERROR(__xludf.DUMMYFUNCTION("""COMPUTED_VALUE"""),"Estimated Delivery Time: 12-16 Weeks, Initials")</f>
        <v>Estimated Delivery Time: 12-16 Weeks, Initials</v>
      </c>
      <c r="E318" s="180"/>
      <c r="F318" s="182"/>
    </row>
    <row r="319">
      <c r="A319" s="179">
        <f>IFERROR(__xludf.DUMMYFUNCTION("""COMPUTED_VALUE"""),318.0)</f>
        <v>318</v>
      </c>
      <c r="B319" s="180" t="str">
        <f>IFERROR(__xludf.DUMMYFUNCTION("""COMPUTED_VALUE"""),"8-12")</f>
        <v>8-12</v>
      </c>
      <c r="C319" s="182" t="str">
        <f>IFERROR(__xludf.DUMMYFUNCTION("""COMPUTED_VALUE"""),"Estimated Delivery Time: 8-12 Weeks, Initials")</f>
        <v>Estimated Delivery Time: 8-12 Weeks, Initials</v>
      </c>
      <c r="E319" s="180"/>
      <c r="F319" s="182"/>
    </row>
    <row r="320">
      <c r="A320" s="179">
        <f>IFERROR(__xludf.DUMMYFUNCTION("""COMPUTED_VALUE"""),319.0)</f>
        <v>319</v>
      </c>
      <c r="B320" s="180" t="str">
        <f>IFERROR(__xludf.DUMMYFUNCTION("""COMPUTED_VALUE"""),"8-12")</f>
        <v>8-12</v>
      </c>
      <c r="C320" s="182" t="str">
        <f>IFERROR(__xludf.DUMMYFUNCTION("""COMPUTED_VALUE"""),"Estimated Delivery Time: 8-12 Weeks, Initials")</f>
        <v>Estimated Delivery Time: 8-12 Weeks, Initials</v>
      </c>
      <c r="E320" s="180"/>
      <c r="F320" s="182"/>
    </row>
    <row r="321">
      <c r="A321" s="179">
        <f>IFERROR(__xludf.DUMMYFUNCTION("""COMPUTED_VALUE"""),320.0)</f>
        <v>320</v>
      </c>
      <c r="B321" s="180" t="str">
        <f>IFERROR(__xludf.DUMMYFUNCTION("""COMPUTED_VALUE"""),"8-12")</f>
        <v>8-12</v>
      </c>
      <c r="C321" s="182" t="str">
        <f>IFERROR(__xludf.DUMMYFUNCTION("""COMPUTED_VALUE"""),"Estimated Delivery Time: 8-12 Weeks, Initials")</f>
        <v>Estimated Delivery Time: 8-12 Weeks, Initials</v>
      </c>
      <c r="E321" s="180"/>
      <c r="F321" s="182"/>
    </row>
    <row r="322">
      <c r="A322" s="179">
        <f>IFERROR(__xludf.DUMMYFUNCTION("""COMPUTED_VALUE"""),321.0)</f>
        <v>321</v>
      </c>
      <c r="B322" s="180" t="str">
        <f>IFERROR(__xludf.DUMMYFUNCTION("""COMPUTED_VALUE"""),"8-12")</f>
        <v>8-12</v>
      </c>
      <c r="C322" s="182" t="str">
        <f>IFERROR(__xludf.DUMMYFUNCTION("""COMPUTED_VALUE"""),"Estimated Delivery Time: 8-12 Weeks, Initials")</f>
        <v>Estimated Delivery Time: 8-12 Weeks, Initials</v>
      </c>
      <c r="E322" s="180"/>
      <c r="F322" s="182"/>
    </row>
    <row r="323">
      <c r="A323" s="179">
        <f>IFERROR(__xludf.DUMMYFUNCTION("""COMPUTED_VALUE"""),322.0)</f>
        <v>322</v>
      </c>
      <c r="B323" s="180" t="str">
        <f>IFERROR(__xludf.DUMMYFUNCTION("""COMPUTED_VALUE"""),"8-12")</f>
        <v>8-12</v>
      </c>
      <c r="C323" s="182" t="str">
        <f>IFERROR(__xludf.DUMMYFUNCTION("""COMPUTED_VALUE"""),"Estimated Delivery Time: 8-12 Weeks, Initials")</f>
        <v>Estimated Delivery Time: 8-12 Weeks, Initials</v>
      </c>
      <c r="E323" s="180"/>
      <c r="F323" s="182"/>
    </row>
    <row r="324">
      <c r="A324" s="179">
        <f>IFERROR(__xludf.DUMMYFUNCTION("""COMPUTED_VALUE"""),323.0)</f>
        <v>323</v>
      </c>
      <c r="B324" s="180" t="str">
        <f>IFERROR(__xludf.DUMMYFUNCTION("""COMPUTED_VALUE"""),"8-12")</f>
        <v>8-12</v>
      </c>
      <c r="C324" s="182" t="str">
        <f>IFERROR(__xludf.DUMMYFUNCTION("""COMPUTED_VALUE"""),"Estimated Delivery Time: 8-12 Weeks, Initials")</f>
        <v>Estimated Delivery Time: 8-12 Weeks, Initials</v>
      </c>
      <c r="E324" s="180"/>
      <c r="F324" s="182"/>
    </row>
    <row r="325">
      <c r="A325" s="179">
        <f>IFERROR(__xludf.DUMMYFUNCTION("""COMPUTED_VALUE"""),324.0)</f>
        <v>324</v>
      </c>
      <c r="B325" s="180" t="str">
        <f>IFERROR(__xludf.DUMMYFUNCTION("""COMPUTED_VALUE"""),"8-12")</f>
        <v>8-12</v>
      </c>
      <c r="C325" s="182" t="str">
        <f>IFERROR(__xludf.DUMMYFUNCTION("""COMPUTED_VALUE"""),"Estimated Delivery Time: 8-12 Weeks, Initials")</f>
        <v>Estimated Delivery Time: 8-12 Weeks, Initials</v>
      </c>
      <c r="E325" s="180"/>
      <c r="F325" s="182"/>
    </row>
    <row r="326">
      <c r="A326" s="179">
        <f>IFERROR(__xludf.DUMMYFUNCTION("""COMPUTED_VALUE"""),325.0)</f>
        <v>325</v>
      </c>
      <c r="B326" s="180" t="str">
        <f>IFERROR(__xludf.DUMMYFUNCTION("""COMPUTED_VALUE"""),"4-6")</f>
        <v>4-6</v>
      </c>
      <c r="C326" s="182" t="str">
        <f>IFERROR(__xludf.DUMMYFUNCTION("""COMPUTED_VALUE"""),"Estimated Delivery Time: 4-6 Weeks, Initials")</f>
        <v>Estimated Delivery Time: 4-6 Weeks, Initials</v>
      </c>
      <c r="E326" s="180"/>
      <c r="F326" s="182"/>
    </row>
    <row r="327">
      <c r="A327" s="179">
        <f>IFERROR(__xludf.DUMMYFUNCTION("""COMPUTED_VALUE"""),326.0)</f>
        <v>326</v>
      </c>
      <c r="B327" s="180" t="str">
        <f>IFERROR(__xludf.DUMMYFUNCTION("""COMPUTED_VALUE"""),"4-6")</f>
        <v>4-6</v>
      </c>
      <c r="C327" s="182" t="str">
        <f>IFERROR(__xludf.DUMMYFUNCTION("""COMPUTED_VALUE"""),"Estimated Delivery Time: 4-6 Weeks, Initials")</f>
        <v>Estimated Delivery Time: 4-6 Weeks, Initials</v>
      </c>
      <c r="E327" s="180"/>
      <c r="F327" s="182"/>
    </row>
    <row r="328">
      <c r="A328" s="179">
        <f>IFERROR(__xludf.DUMMYFUNCTION("""COMPUTED_VALUE"""),327.0)</f>
        <v>327</v>
      </c>
      <c r="B328" s="180" t="str">
        <f>IFERROR(__xludf.DUMMYFUNCTION("""COMPUTED_VALUE"""),"8-12")</f>
        <v>8-12</v>
      </c>
      <c r="C328" s="182" t="str">
        <f>IFERROR(__xludf.DUMMYFUNCTION("""COMPUTED_VALUE"""),"Estimated Delivery Time: 8-12 Weeks, Initials")</f>
        <v>Estimated Delivery Time: 8-12 Weeks, Initials</v>
      </c>
      <c r="E328" s="180"/>
      <c r="F328" s="182"/>
    </row>
    <row r="329">
      <c r="A329" s="179">
        <f>IFERROR(__xludf.DUMMYFUNCTION("""COMPUTED_VALUE"""),328.0)</f>
        <v>328</v>
      </c>
      <c r="B329" s="180" t="str">
        <f>IFERROR(__xludf.DUMMYFUNCTION("""COMPUTED_VALUE"""),"8-12")</f>
        <v>8-12</v>
      </c>
      <c r="C329" s="182" t="str">
        <f>IFERROR(__xludf.DUMMYFUNCTION("""COMPUTED_VALUE"""),"Estimated Delivery Time: 8-12 Weeks, Initials")</f>
        <v>Estimated Delivery Time: 8-12 Weeks, Initials</v>
      </c>
      <c r="E329" s="180"/>
      <c r="F329" s="182"/>
    </row>
    <row r="330">
      <c r="A330" s="179">
        <f>IFERROR(__xludf.DUMMYFUNCTION("""COMPUTED_VALUE"""),329.0)</f>
        <v>329</v>
      </c>
      <c r="B330" s="180" t="str">
        <f>IFERROR(__xludf.DUMMYFUNCTION("""COMPUTED_VALUE"""),"8-12")</f>
        <v>8-12</v>
      </c>
      <c r="C330" s="182" t="str">
        <f>IFERROR(__xludf.DUMMYFUNCTION("""COMPUTED_VALUE"""),"Estimated Delivery Time: 8-12 Weeks, Initials")</f>
        <v>Estimated Delivery Time: 8-12 Weeks, Initials</v>
      </c>
      <c r="E330" s="180"/>
      <c r="F330" s="182"/>
    </row>
    <row r="331">
      <c r="A331" s="179">
        <f>IFERROR(__xludf.DUMMYFUNCTION("""COMPUTED_VALUE"""),330.0)</f>
        <v>330</v>
      </c>
      <c r="B331" s="180" t="str">
        <f>IFERROR(__xludf.DUMMYFUNCTION("""COMPUTED_VALUE"""),"8-12")</f>
        <v>8-12</v>
      </c>
      <c r="C331" s="182" t="str">
        <f>IFERROR(__xludf.DUMMYFUNCTION("""COMPUTED_VALUE"""),"Estimated Delivery Time: 8-12 Weeks, Initials")</f>
        <v>Estimated Delivery Time: 8-12 Weeks, Initials</v>
      </c>
      <c r="E331" s="180"/>
      <c r="F331" s="182"/>
    </row>
    <row r="332">
      <c r="A332" s="179">
        <f>IFERROR(__xludf.DUMMYFUNCTION("""COMPUTED_VALUE"""),331.0)</f>
        <v>331</v>
      </c>
      <c r="B332" s="180" t="str">
        <f>IFERROR(__xludf.DUMMYFUNCTION("""COMPUTED_VALUE"""),"8-12")</f>
        <v>8-12</v>
      </c>
      <c r="C332" s="182" t="str">
        <f>IFERROR(__xludf.DUMMYFUNCTION("""COMPUTED_VALUE"""),"Estimated Delivery Time: 8-12 Weeks, Initials")</f>
        <v>Estimated Delivery Time: 8-12 Weeks, Initials</v>
      </c>
      <c r="E332" s="180"/>
      <c r="F332" s="182"/>
    </row>
    <row r="333">
      <c r="A333" s="179">
        <f>IFERROR(__xludf.DUMMYFUNCTION("""COMPUTED_VALUE"""),332.0)</f>
        <v>332</v>
      </c>
      <c r="B333" s="180" t="str">
        <f>IFERROR(__xludf.DUMMYFUNCTION("""COMPUTED_VALUE"""),"8-12")</f>
        <v>8-12</v>
      </c>
      <c r="C333" s="182" t="str">
        <f>IFERROR(__xludf.DUMMYFUNCTION("""COMPUTED_VALUE"""),"Estimated Delivery Time: 8-12 Weeks, Initials")</f>
        <v>Estimated Delivery Time: 8-12 Weeks, Initials</v>
      </c>
      <c r="E333" s="180"/>
      <c r="F333" s="182"/>
    </row>
    <row r="334">
      <c r="A334" s="179">
        <f>IFERROR(__xludf.DUMMYFUNCTION("""COMPUTED_VALUE"""),333.0)</f>
        <v>333</v>
      </c>
      <c r="B334" s="180" t="str">
        <f>IFERROR(__xludf.DUMMYFUNCTION("""COMPUTED_VALUE"""),"8-12")</f>
        <v>8-12</v>
      </c>
      <c r="C334" s="182" t="str">
        <f>IFERROR(__xludf.DUMMYFUNCTION("""COMPUTED_VALUE"""),"Estimated Delivery Time: 8-12 Weeks, Initials")</f>
        <v>Estimated Delivery Time: 8-12 Weeks, Initials</v>
      </c>
      <c r="E334" s="180"/>
      <c r="F334" s="182"/>
    </row>
    <row r="335">
      <c r="A335" s="179">
        <f>IFERROR(__xludf.DUMMYFUNCTION("""COMPUTED_VALUE"""),334.0)</f>
        <v>334</v>
      </c>
      <c r="B335" s="180" t="str">
        <f>IFERROR(__xludf.DUMMYFUNCTION("""COMPUTED_VALUE"""),"8-12")</f>
        <v>8-12</v>
      </c>
      <c r="C335" s="182" t="str">
        <f>IFERROR(__xludf.DUMMYFUNCTION("""COMPUTED_VALUE"""),"Estimated Delivery Time: 8-12 Weeks, Initials")</f>
        <v>Estimated Delivery Time: 8-12 Weeks, Initials</v>
      </c>
      <c r="E335" s="180"/>
      <c r="F335" s="182"/>
    </row>
    <row r="336">
      <c r="A336" s="179">
        <f>IFERROR(__xludf.DUMMYFUNCTION("""COMPUTED_VALUE"""),335.0)</f>
        <v>335</v>
      </c>
      <c r="B336" s="180" t="str">
        <f>IFERROR(__xludf.DUMMYFUNCTION("""COMPUTED_VALUE"""),"8-12")</f>
        <v>8-12</v>
      </c>
      <c r="C336" s="182" t="str">
        <f>IFERROR(__xludf.DUMMYFUNCTION("""COMPUTED_VALUE"""),"Estimated Delivery Time: 8-12 Weeks, Initials")</f>
        <v>Estimated Delivery Time: 8-12 Weeks, Initials</v>
      </c>
      <c r="E336" s="180"/>
      <c r="F336" s="182"/>
    </row>
    <row r="337">
      <c r="A337" s="179">
        <f>IFERROR(__xludf.DUMMYFUNCTION("""COMPUTED_VALUE"""),336.0)</f>
        <v>336</v>
      </c>
      <c r="B337" s="180" t="str">
        <f>IFERROR(__xludf.DUMMYFUNCTION("""COMPUTED_VALUE"""),"8-12")</f>
        <v>8-12</v>
      </c>
      <c r="C337" s="182" t="str">
        <f>IFERROR(__xludf.DUMMYFUNCTION("""COMPUTED_VALUE"""),"Estimated Delivery Time: 8-12 Weeks, Initials")</f>
        <v>Estimated Delivery Time: 8-12 Weeks, Initials</v>
      </c>
      <c r="E337" s="180"/>
      <c r="F337" s="182"/>
    </row>
    <row r="338">
      <c r="A338" s="179">
        <f>IFERROR(__xludf.DUMMYFUNCTION("""COMPUTED_VALUE"""),337.0)</f>
        <v>337</v>
      </c>
      <c r="B338" s="180" t="str">
        <f>IFERROR(__xludf.DUMMYFUNCTION("""COMPUTED_VALUE"""),"8-12")</f>
        <v>8-12</v>
      </c>
      <c r="C338" s="182" t="str">
        <f>IFERROR(__xludf.DUMMYFUNCTION("""COMPUTED_VALUE"""),"Estimated Delivery Time: 8-12 Weeks, Initials")</f>
        <v>Estimated Delivery Time: 8-12 Weeks, Initials</v>
      </c>
      <c r="E338" s="180"/>
      <c r="F338" s="182"/>
    </row>
    <row r="339">
      <c r="A339" s="179">
        <f>IFERROR(__xludf.DUMMYFUNCTION("""COMPUTED_VALUE"""),338.0)</f>
        <v>338</v>
      </c>
      <c r="B339" s="180" t="str">
        <f>IFERROR(__xludf.DUMMYFUNCTION("""COMPUTED_VALUE"""),"8-12")</f>
        <v>8-12</v>
      </c>
      <c r="C339" s="182" t="str">
        <f>IFERROR(__xludf.DUMMYFUNCTION("""COMPUTED_VALUE"""),"Estimated Delivery Time: 8-12 Weeks, Initials")</f>
        <v>Estimated Delivery Time: 8-12 Weeks, Initials</v>
      </c>
      <c r="E339" s="180"/>
      <c r="F339" s="182"/>
    </row>
    <row r="340">
      <c r="A340" s="179">
        <f>IFERROR(__xludf.DUMMYFUNCTION("""COMPUTED_VALUE"""),339.0)</f>
        <v>339</v>
      </c>
      <c r="B340" s="180" t="str">
        <f>IFERROR(__xludf.DUMMYFUNCTION("""COMPUTED_VALUE"""),"8-12")</f>
        <v>8-12</v>
      </c>
      <c r="C340" s="182" t="str">
        <f>IFERROR(__xludf.DUMMYFUNCTION("""COMPUTED_VALUE"""),"Estimated Delivery Time: 8-12 Weeks, Initials")</f>
        <v>Estimated Delivery Time: 8-12 Weeks, Initials</v>
      </c>
      <c r="E340" s="180"/>
      <c r="F340" s="182"/>
    </row>
    <row r="341">
      <c r="A341" s="179">
        <f>IFERROR(__xludf.DUMMYFUNCTION("""COMPUTED_VALUE"""),340.0)</f>
        <v>340</v>
      </c>
      <c r="B341" s="180" t="str">
        <f>IFERROR(__xludf.DUMMYFUNCTION("""COMPUTED_VALUE"""),"8-12")</f>
        <v>8-12</v>
      </c>
      <c r="C341" s="182" t="str">
        <f>IFERROR(__xludf.DUMMYFUNCTION("""COMPUTED_VALUE"""),"Estimated Delivery Time: 8-12 Weeks, Initials")</f>
        <v>Estimated Delivery Time: 8-12 Weeks, Initials</v>
      </c>
      <c r="E341" s="180"/>
      <c r="F341" s="182"/>
    </row>
    <row r="342">
      <c r="A342" s="179">
        <f>IFERROR(__xludf.DUMMYFUNCTION("""COMPUTED_VALUE"""),341.0)</f>
        <v>341</v>
      </c>
      <c r="B342" s="180" t="str">
        <f>IFERROR(__xludf.DUMMYFUNCTION("""COMPUTED_VALUE"""),"8-12")</f>
        <v>8-12</v>
      </c>
      <c r="C342" s="182" t="str">
        <f>IFERROR(__xludf.DUMMYFUNCTION("""COMPUTED_VALUE"""),"Estimated Delivery Time: 8-12 Weeks, Initials")</f>
        <v>Estimated Delivery Time: 8-12 Weeks, Initials</v>
      </c>
      <c r="E342" s="180"/>
      <c r="F342" s="182"/>
    </row>
    <row r="343">
      <c r="A343" s="179">
        <f>IFERROR(__xludf.DUMMYFUNCTION("""COMPUTED_VALUE"""),342.0)</f>
        <v>342</v>
      </c>
      <c r="B343" s="180" t="str">
        <f>IFERROR(__xludf.DUMMYFUNCTION("""COMPUTED_VALUE"""),"8-12")</f>
        <v>8-12</v>
      </c>
      <c r="C343" s="182" t="str">
        <f>IFERROR(__xludf.DUMMYFUNCTION("""COMPUTED_VALUE"""),"Estimated Delivery Time: 8-12 Weeks, Initials")</f>
        <v>Estimated Delivery Time: 8-12 Weeks, Initials</v>
      </c>
      <c r="E343" s="180"/>
      <c r="F343" s="182"/>
    </row>
    <row r="344">
      <c r="A344" s="179">
        <f>IFERROR(__xludf.DUMMYFUNCTION("""COMPUTED_VALUE"""),343.0)</f>
        <v>343</v>
      </c>
      <c r="B344" s="180" t="str">
        <f>IFERROR(__xludf.DUMMYFUNCTION("""COMPUTED_VALUE"""),"8-12")</f>
        <v>8-12</v>
      </c>
      <c r="C344" s="182" t="str">
        <f>IFERROR(__xludf.DUMMYFUNCTION("""COMPUTED_VALUE"""),"Estimated Delivery Time: 8-12 Weeks, Initials")</f>
        <v>Estimated Delivery Time: 8-12 Weeks, Initials</v>
      </c>
      <c r="E344" s="180"/>
      <c r="F344" s="182"/>
    </row>
    <row r="345">
      <c r="A345" s="179">
        <f>IFERROR(__xludf.DUMMYFUNCTION("""COMPUTED_VALUE"""),344.0)</f>
        <v>344</v>
      </c>
      <c r="B345" s="180" t="str">
        <f>IFERROR(__xludf.DUMMYFUNCTION("""COMPUTED_VALUE"""),"8-12")</f>
        <v>8-12</v>
      </c>
      <c r="C345" s="182" t="str">
        <f>IFERROR(__xludf.DUMMYFUNCTION("""COMPUTED_VALUE"""),"Estimated Delivery Time: 8-12 Weeks, Initials")</f>
        <v>Estimated Delivery Time: 8-12 Weeks, Initials</v>
      </c>
      <c r="E345" s="180"/>
      <c r="F345" s="182"/>
    </row>
    <row r="346">
      <c r="A346" s="179">
        <f>IFERROR(__xludf.DUMMYFUNCTION("""COMPUTED_VALUE"""),345.0)</f>
        <v>345</v>
      </c>
      <c r="B346" s="180" t="str">
        <f>IFERROR(__xludf.DUMMYFUNCTION("""COMPUTED_VALUE"""),"8-12")</f>
        <v>8-12</v>
      </c>
      <c r="C346" s="182" t="str">
        <f>IFERROR(__xludf.DUMMYFUNCTION("""COMPUTED_VALUE"""),"Estimated Delivery Time: 8-12 Weeks, Initials")</f>
        <v>Estimated Delivery Time: 8-12 Weeks, Initials</v>
      </c>
      <c r="E346" s="180"/>
      <c r="F346" s="182"/>
    </row>
    <row r="347">
      <c r="A347" s="179">
        <f>IFERROR(__xludf.DUMMYFUNCTION("""COMPUTED_VALUE"""),346.0)</f>
        <v>346</v>
      </c>
      <c r="B347" s="180" t="str">
        <f>IFERROR(__xludf.DUMMYFUNCTION("""COMPUTED_VALUE"""),"8-12")</f>
        <v>8-12</v>
      </c>
      <c r="C347" s="182" t="str">
        <f>IFERROR(__xludf.DUMMYFUNCTION("""COMPUTED_VALUE"""),"Estimated Delivery Time: 8-12 Weeks, Initials")</f>
        <v>Estimated Delivery Time: 8-12 Weeks, Initials</v>
      </c>
      <c r="E347" s="180"/>
      <c r="F347" s="182"/>
    </row>
    <row r="348">
      <c r="A348" s="179">
        <f>IFERROR(__xludf.DUMMYFUNCTION("""COMPUTED_VALUE"""),347.0)</f>
        <v>347</v>
      </c>
      <c r="B348" s="180" t="str">
        <f>IFERROR(__xludf.DUMMYFUNCTION("""COMPUTED_VALUE"""),"8-12")</f>
        <v>8-12</v>
      </c>
      <c r="C348" s="182" t="str">
        <f>IFERROR(__xludf.DUMMYFUNCTION("""COMPUTED_VALUE"""),"Estimated Delivery Time: 8-12 Weeks, Initials")</f>
        <v>Estimated Delivery Time: 8-12 Weeks, Initials</v>
      </c>
      <c r="E348" s="180"/>
      <c r="F348" s="182"/>
    </row>
    <row r="349">
      <c r="A349" s="179">
        <f>IFERROR(__xludf.DUMMYFUNCTION("""COMPUTED_VALUE"""),348.0)</f>
        <v>348</v>
      </c>
      <c r="B349" s="180" t="str">
        <f>IFERROR(__xludf.DUMMYFUNCTION("""COMPUTED_VALUE"""),"8-12")</f>
        <v>8-12</v>
      </c>
      <c r="C349" s="182" t="str">
        <f>IFERROR(__xludf.DUMMYFUNCTION("""COMPUTED_VALUE"""),"Estimated Delivery Time: 8-12 Weeks, Initials")</f>
        <v>Estimated Delivery Time: 8-12 Weeks, Initials</v>
      </c>
      <c r="E349" s="180"/>
      <c r="F349" s="182"/>
    </row>
    <row r="350">
      <c r="A350" s="179">
        <f>IFERROR(__xludf.DUMMYFUNCTION("""COMPUTED_VALUE"""),349.0)</f>
        <v>349</v>
      </c>
      <c r="B350" s="180" t="str">
        <f>IFERROR(__xludf.DUMMYFUNCTION("""COMPUTED_VALUE"""),"8-12")</f>
        <v>8-12</v>
      </c>
      <c r="C350" s="182" t="str">
        <f>IFERROR(__xludf.DUMMYFUNCTION("""COMPUTED_VALUE"""),"Estimated Delivery Time: 8-12 Weeks, Initials")</f>
        <v>Estimated Delivery Time: 8-12 Weeks, Initials</v>
      </c>
      <c r="E350" s="180"/>
      <c r="F350" s="182"/>
    </row>
    <row r="351">
      <c r="A351" s="179">
        <f>IFERROR(__xludf.DUMMYFUNCTION("""COMPUTED_VALUE"""),350.0)</f>
        <v>350</v>
      </c>
      <c r="B351" s="180" t="str">
        <f>IFERROR(__xludf.DUMMYFUNCTION("""COMPUTED_VALUE"""),"8-12")</f>
        <v>8-12</v>
      </c>
      <c r="C351" s="182" t="str">
        <f>IFERROR(__xludf.DUMMYFUNCTION("""COMPUTED_VALUE"""),"Estimated Delivery Time: 8-12 Weeks, Initials")</f>
        <v>Estimated Delivery Time: 8-12 Weeks, Initials</v>
      </c>
      <c r="E351" s="180"/>
      <c r="F351" s="182"/>
    </row>
    <row r="352">
      <c r="A352" s="179">
        <f>IFERROR(__xludf.DUMMYFUNCTION("""COMPUTED_VALUE"""),351.0)</f>
        <v>351</v>
      </c>
      <c r="B352" s="180" t="str">
        <f>IFERROR(__xludf.DUMMYFUNCTION("""COMPUTED_VALUE"""),"8-12")</f>
        <v>8-12</v>
      </c>
      <c r="C352" s="182" t="str">
        <f>IFERROR(__xludf.DUMMYFUNCTION("""COMPUTED_VALUE"""),"Estimated Delivery Time: 8-12 Weeks, Initials")</f>
        <v>Estimated Delivery Time: 8-12 Weeks, Initials</v>
      </c>
      <c r="E352" s="180"/>
      <c r="F352" s="182"/>
    </row>
    <row r="353">
      <c r="A353" s="179">
        <f>IFERROR(__xludf.DUMMYFUNCTION("""COMPUTED_VALUE"""),352.0)</f>
        <v>352</v>
      </c>
      <c r="B353" s="180" t="str">
        <f>IFERROR(__xludf.DUMMYFUNCTION("""COMPUTED_VALUE"""),"8-12")</f>
        <v>8-12</v>
      </c>
      <c r="C353" s="182" t="str">
        <f>IFERROR(__xludf.DUMMYFUNCTION("""COMPUTED_VALUE"""),"Estimated Delivery Time: 8-12 Weeks, Initials")</f>
        <v>Estimated Delivery Time: 8-12 Weeks, Initials</v>
      </c>
      <c r="E353" s="180"/>
      <c r="F353" s="182"/>
    </row>
    <row r="354">
      <c r="A354" s="179">
        <f>IFERROR(__xludf.DUMMYFUNCTION("""COMPUTED_VALUE"""),353.0)</f>
        <v>353</v>
      </c>
      <c r="B354" s="180" t="str">
        <f>IFERROR(__xludf.DUMMYFUNCTION("""COMPUTED_VALUE"""),"8-12")</f>
        <v>8-12</v>
      </c>
      <c r="C354" s="182" t="str">
        <f>IFERROR(__xludf.DUMMYFUNCTION("""COMPUTED_VALUE"""),"Estimated Delivery Time: 8-12 Weeks, Initials")</f>
        <v>Estimated Delivery Time: 8-12 Weeks, Initials</v>
      </c>
      <c r="E354" s="180"/>
      <c r="F354" s="182"/>
    </row>
    <row r="355">
      <c r="A355" s="179">
        <f>IFERROR(__xludf.DUMMYFUNCTION("""COMPUTED_VALUE"""),354.0)</f>
        <v>354</v>
      </c>
      <c r="B355" s="180" t="str">
        <f>IFERROR(__xludf.DUMMYFUNCTION("""COMPUTED_VALUE"""),"8-12")</f>
        <v>8-12</v>
      </c>
      <c r="C355" s="182" t="str">
        <f>IFERROR(__xludf.DUMMYFUNCTION("""COMPUTED_VALUE"""),"Estimated Delivery Time: 8-12 Weeks, Initials")</f>
        <v>Estimated Delivery Time: 8-12 Weeks, Initials</v>
      </c>
      <c r="E355" s="180"/>
      <c r="F355" s="182"/>
    </row>
    <row r="356">
      <c r="A356" s="179">
        <f>IFERROR(__xludf.DUMMYFUNCTION("""COMPUTED_VALUE"""),355.0)</f>
        <v>355</v>
      </c>
      <c r="B356" s="180" t="str">
        <f>IFERROR(__xludf.DUMMYFUNCTION("""COMPUTED_VALUE"""),"8-12")</f>
        <v>8-12</v>
      </c>
      <c r="C356" s="182" t="str">
        <f>IFERROR(__xludf.DUMMYFUNCTION("""COMPUTED_VALUE"""),"Estimated Delivery Time: 8-12 Weeks, Initials")</f>
        <v>Estimated Delivery Time: 8-12 Weeks, Initials</v>
      </c>
      <c r="E356" s="180"/>
      <c r="F356" s="182"/>
    </row>
    <row r="357">
      <c r="A357" s="179">
        <f>IFERROR(__xludf.DUMMYFUNCTION("""COMPUTED_VALUE"""),356.0)</f>
        <v>356</v>
      </c>
      <c r="B357" s="180" t="str">
        <f>IFERROR(__xludf.DUMMYFUNCTION("""COMPUTED_VALUE"""),"8-12")</f>
        <v>8-12</v>
      </c>
      <c r="C357" s="182" t="str">
        <f>IFERROR(__xludf.DUMMYFUNCTION("""COMPUTED_VALUE"""),"Estimated Delivery Time: 8-12 Weeks, Initials")</f>
        <v>Estimated Delivery Time: 8-12 Weeks, Initials</v>
      </c>
      <c r="E357" s="180"/>
      <c r="F357" s="182"/>
    </row>
    <row r="358">
      <c r="A358" s="179">
        <f>IFERROR(__xludf.DUMMYFUNCTION("""COMPUTED_VALUE"""),357.0)</f>
        <v>357</v>
      </c>
      <c r="B358" s="180" t="str">
        <f>IFERROR(__xludf.DUMMYFUNCTION("""COMPUTED_VALUE"""),"8-12")</f>
        <v>8-12</v>
      </c>
      <c r="C358" s="182" t="str">
        <f>IFERROR(__xludf.DUMMYFUNCTION("""COMPUTED_VALUE"""),"Estimated Delivery Time: 8-12 Weeks, Initials")</f>
        <v>Estimated Delivery Time: 8-12 Weeks, Initials</v>
      </c>
      <c r="E358" s="180"/>
      <c r="F358" s="182"/>
    </row>
    <row r="359">
      <c r="A359" s="179">
        <f>IFERROR(__xludf.DUMMYFUNCTION("""COMPUTED_VALUE"""),358.0)</f>
        <v>358</v>
      </c>
      <c r="B359" s="180" t="str">
        <f>IFERROR(__xludf.DUMMYFUNCTION("""COMPUTED_VALUE"""),"8-12")</f>
        <v>8-12</v>
      </c>
      <c r="C359" s="182" t="str">
        <f>IFERROR(__xludf.DUMMYFUNCTION("""COMPUTED_VALUE"""),"Estimated Delivery Time: 8-12 Weeks, Initials")</f>
        <v>Estimated Delivery Time: 8-12 Weeks, Initials</v>
      </c>
      <c r="E359" s="180"/>
      <c r="F359" s="182"/>
    </row>
    <row r="360">
      <c r="A360" s="179">
        <f>IFERROR(__xludf.DUMMYFUNCTION("""COMPUTED_VALUE"""),359.0)</f>
        <v>359</v>
      </c>
      <c r="B360" s="180" t="str">
        <f>IFERROR(__xludf.DUMMYFUNCTION("""COMPUTED_VALUE"""),"8-12")</f>
        <v>8-12</v>
      </c>
      <c r="C360" s="182" t="str">
        <f>IFERROR(__xludf.DUMMYFUNCTION("""COMPUTED_VALUE"""),"Estimated Delivery Time: 8-12 Weeks, Initials")</f>
        <v>Estimated Delivery Time: 8-12 Weeks, Initials</v>
      </c>
      <c r="E360" s="180"/>
      <c r="F360" s="182"/>
    </row>
    <row r="361">
      <c r="A361" s="179">
        <f>IFERROR(__xludf.DUMMYFUNCTION("""COMPUTED_VALUE"""),360.0)</f>
        <v>360</v>
      </c>
      <c r="B361" s="180" t="str">
        <f>IFERROR(__xludf.DUMMYFUNCTION("""COMPUTED_VALUE"""),"8-12")</f>
        <v>8-12</v>
      </c>
      <c r="C361" s="182" t="str">
        <f>IFERROR(__xludf.DUMMYFUNCTION("""COMPUTED_VALUE"""),"Estimated Delivery Time: 8-12 Weeks, Initials")</f>
        <v>Estimated Delivery Time: 8-12 Weeks, Initials</v>
      </c>
      <c r="E361" s="180"/>
      <c r="F361" s="182"/>
    </row>
    <row r="362">
      <c r="A362" s="179">
        <f>IFERROR(__xludf.DUMMYFUNCTION("""COMPUTED_VALUE"""),361.0)</f>
        <v>361</v>
      </c>
      <c r="B362" s="180" t="str">
        <f>IFERROR(__xludf.DUMMYFUNCTION("""COMPUTED_VALUE"""),"8-12")</f>
        <v>8-12</v>
      </c>
      <c r="C362" s="182" t="str">
        <f>IFERROR(__xludf.DUMMYFUNCTION("""COMPUTED_VALUE"""),"Estimated Delivery Time: 8-12 Weeks, Initials")</f>
        <v>Estimated Delivery Time: 8-12 Weeks, Initials</v>
      </c>
      <c r="E362" s="180"/>
      <c r="F362" s="182"/>
    </row>
    <row r="363">
      <c r="A363" s="179">
        <f>IFERROR(__xludf.DUMMYFUNCTION("""COMPUTED_VALUE"""),362.0)</f>
        <v>362</v>
      </c>
      <c r="B363" s="180" t="str">
        <f>IFERROR(__xludf.DUMMYFUNCTION("""COMPUTED_VALUE"""),"8-12")</f>
        <v>8-12</v>
      </c>
      <c r="C363" s="182" t="str">
        <f>IFERROR(__xludf.DUMMYFUNCTION("""COMPUTED_VALUE"""),"Estimated Delivery Time: 8-12 Weeks, Initials")</f>
        <v>Estimated Delivery Time: 8-12 Weeks, Initials</v>
      </c>
      <c r="E363" s="180"/>
      <c r="F363" s="182"/>
    </row>
    <row r="364">
      <c r="A364" s="179">
        <f>IFERROR(__xludf.DUMMYFUNCTION("""COMPUTED_VALUE"""),363.0)</f>
        <v>363</v>
      </c>
      <c r="B364" s="180" t="str">
        <f>IFERROR(__xludf.DUMMYFUNCTION("""COMPUTED_VALUE"""),"8-12")</f>
        <v>8-12</v>
      </c>
      <c r="C364" s="182" t="str">
        <f>IFERROR(__xludf.DUMMYFUNCTION("""COMPUTED_VALUE"""),"Estimated Delivery Time: 8-12 Weeks, Initials")</f>
        <v>Estimated Delivery Time: 8-12 Weeks, Initials</v>
      </c>
      <c r="E364" s="180"/>
      <c r="F364" s="182"/>
    </row>
    <row r="365">
      <c r="A365" s="179">
        <f>IFERROR(__xludf.DUMMYFUNCTION("""COMPUTED_VALUE"""),364.0)</f>
        <v>364</v>
      </c>
      <c r="B365" s="180" t="str">
        <f>IFERROR(__xludf.DUMMYFUNCTION("""COMPUTED_VALUE"""),"8-12")</f>
        <v>8-12</v>
      </c>
      <c r="C365" s="182" t="str">
        <f>IFERROR(__xludf.DUMMYFUNCTION("""COMPUTED_VALUE"""),"Estimated Delivery Time: 8-12 Weeks, Initials")</f>
        <v>Estimated Delivery Time: 8-12 Weeks, Initials</v>
      </c>
      <c r="E365" s="180"/>
      <c r="F365" s="182"/>
    </row>
    <row r="366">
      <c r="A366" s="179">
        <f>IFERROR(__xludf.DUMMYFUNCTION("""COMPUTED_VALUE"""),365.0)</f>
        <v>365</v>
      </c>
      <c r="B366" s="180" t="str">
        <f>IFERROR(__xludf.DUMMYFUNCTION("""COMPUTED_VALUE"""),"8-12")</f>
        <v>8-12</v>
      </c>
      <c r="C366" s="182" t="str">
        <f>IFERROR(__xludf.DUMMYFUNCTION("""COMPUTED_VALUE"""),"Estimated Delivery Time: 8-12 Weeks, Initials")</f>
        <v>Estimated Delivery Time: 8-12 Weeks, Initials</v>
      </c>
      <c r="E366" s="180"/>
      <c r="F366" s="182"/>
    </row>
    <row r="367">
      <c r="A367" s="179">
        <f>IFERROR(__xludf.DUMMYFUNCTION("""COMPUTED_VALUE"""),366.0)</f>
        <v>366</v>
      </c>
      <c r="B367" s="180" t="str">
        <f>IFERROR(__xludf.DUMMYFUNCTION("""COMPUTED_VALUE"""),"8-12")</f>
        <v>8-12</v>
      </c>
      <c r="C367" s="182" t="str">
        <f>IFERROR(__xludf.DUMMYFUNCTION("""COMPUTED_VALUE"""),"Estimated Delivery Time: 8-12 Weeks, Initials")</f>
        <v>Estimated Delivery Time: 8-12 Weeks, Initials</v>
      </c>
      <c r="E367" s="180"/>
      <c r="F367" s="182"/>
    </row>
    <row r="368">
      <c r="A368" s="179">
        <f>IFERROR(__xludf.DUMMYFUNCTION("""COMPUTED_VALUE"""),367.0)</f>
        <v>367</v>
      </c>
      <c r="B368" s="180" t="str">
        <f>IFERROR(__xludf.DUMMYFUNCTION("""COMPUTED_VALUE"""),"8-12")</f>
        <v>8-12</v>
      </c>
      <c r="C368" s="182" t="str">
        <f>IFERROR(__xludf.DUMMYFUNCTION("""COMPUTED_VALUE"""),"Estimated Delivery Time: 8-12 Weeks, Initials")</f>
        <v>Estimated Delivery Time: 8-12 Weeks, Initials</v>
      </c>
      <c r="E368" s="180"/>
      <c r="F368" s="182"/>
    </row>
    <row r="369">
      <c r="A369" s="179">
        <f>IFERROR(__xludf.DUMMYFUNCTION("""COMPUTED_VALUE"""),368.0)</f>
        <v>368</v>
      </c>
      <c r="B369" s="180" t="str">
        <f>IFERROR(__xludf.DUMMYFUNCTION("""COMPUTED_VALUE"""),"8-12")</f>
        <v>8-12</v>
      </c>
      <c r="C369" s="182" t="str">
        <f>IFERROR(__xludf.DUMMYFUNCTION("""COMPUTED_VALUE"""),"Estimated Delivery Time: 8-12 Weeks, Initials")</f>
        <v>Estimated Delivery Time: 8-12 Weeks, Initials</v>
      </c>
      <c r="E369" s="180"/>
      <c r="F369" s="182"/>
    </row>
    <row r="370">
      <c r="A370" s="179">
        <f>IFERROR(__xludf.DUMMYFUNCTION("""COMPUTED_VALUE"""),369.0)</f>
        <v>369</v>
      </c>
      <c r="B370" s="180" t="str">
        <f>IFERROR(__xludf.DUMMYFUNCTION("""COMPUTED_VALUE"""),"8-12")</f>
        <v>8-12</v>
      </c>
      <c r="C370" s="182" t="str">
        <f>IFERROR(__xludf.DUMMYFUNCTION("""COMPUTED_VALUE"""),"Estimated Delivery Time: 8-12 Weeks, Initials")</f>
        <v>Estimated Delivery Time: 8-12 Weeks, Initials</v>
      </c>
      <c r="E370" s="180"/>
      <c r="F370" s="182"/>
    </row>
    <row r="371">
      <c r="A371" s="179">
        <f>IFERROR(__xludf.DUMMYFUNCTION("""COMPUTED_VALUE"""),370.0)</f>
        <v>370</v>
      </c>
      <c r="B371" s="180" t="str">
        <f>IFERROR(__xludf.DUMMYFUNCTION("""COMPUTED_VALUE"""),"8-12")</f>
        <v>8-12</v>
      </c>
      <c r="C371" s="182" t="str">
        <f>IFERROR(__xludf.DUMMYFUNCTION("""COMPUTED_VALUE"""),"Estimated Delivery Time: 8-12 Weeks, Initials")</f>
        <v>Estimated Delivery Time: 8-12 Weeks, Initials</v>
      </c>
      <c r="E371" s="180"/>
      <c r="F371" s="182"/>
    </row>
    <row r="372">
      <c r="A372" s="179">
        <f>IFERROR(__xludf.DUMMYFUNCTION("""COMPUTED_VALUE"""),371.0)</f>
        <v>371</v>
      </c>
      <c r="B372" s="180" t="str">
        <f>IFERROR(__xludf.DUMMYFUNCTION("""COMPUTED_VALUE"""),"8-12")</f>
        <v>8-12</v>
      </c>
      <c r="C372" s="182" t="str">
        <f>IFERROR(__xludf.DUMMYFUNCTION("""COMPUTED_VALUE"""),"Estimated Delivery Time: 8-12 Weeks, Initials")</f>
        <v>Estimated Delivery Time: 8-12 Weeks, Initials</v>
      </c>
      <c r="E372" s="180"/>
      <c r="F372" s="182"/>
    </row>
    <row r="373">
      <c r="A373" s="179">
        <f>IFERROR(__xludf.DUMMYFUNCTION("""COMPUTED_VALUE"""),372.0)</f>
        <v>372</v>
      </c>
      <c r="B373" s="180" t="str">
        <f>IFERROR(__xludf.DUMMYFUNCTION("""COMPUTED_VALUE"""),"8-12")</f>
        <v>8-12</v>
      </c>
      <c r="C373" s="182" t="str">
        <f>IFERROR(__xludf.DUMMYFUNCTION("""COMPUTED_VALUE"""),"Estimated Delivery Time: 8-12 Weeks, Initials")</f>
        <v>Estimated Delivery Time: 8-12 Weeks, Initials</v>
      </c>
      <c r="E373" s="180"/>
      <c r="F373" s="182"/>
    </row>
    <row r="374">
      <c r="A374" s="179">
        <f>IFERROR(__xludf.DUMMYFUNCTION("""COMPUTED_VALUE"""),373.0)</f>
        <v>373</v>
      </c>
      <c r="B374" s="180" t="str">
        <f>IFERROR(__xludf.DUMMYFUNCTION("""COMPUTED_VALUE"""),"8-12")</f>
        <v>8-12</v>
      </c>
      <c r="C374" s="182" t="str">
        <f>IFERROR(__xludf.DUMMYFUNCTION("""COMPUTED_VALUE"""),"Estimated Delivery Time: 8-12 Weeks, Initials")</f>
        <v>Estimated Delivery Time: 8-12 Weeks, Initials</v>
      </c>
      <c r="E374" s="180"/>
      <c r="F374" s="182"/>
    </row>
    <row r="375">
      <c r="A375" s="179">
        <f>IFERROR(__xludf.DUMMYFUNCTION("""COMPUTED_VALUE"""),374.0)</f>
        <v>374</v>
      </c>
      <c r="B375" s="180" t="str">
        <f>IFERROR(__xludf.DUMMYFUNCTION("""COMPUTED_VALUE"""),"8-12")</f>
        <v>8-12</v>
      </c>
      <c r="C375" s="182" t="str">
        <f>IFERROR(__xludf.DUMMYFUNCTION("""COMPUTED_VALUE"""),"Estimated Delivery Time: 8-12 Weeks, Initials")</f>
        <v>Estimated Delivery Time: 8-12 Weeks, Initials</v>
      </c>
      <c r="E375" s="180"/>
      <c r="F375" s="182"/>
    </row>
    <row r="376">
      <c r="A376" s="179">
        <f>IFERROR(__xludf.DUMMYFUNCTION("""COMPUTED_VALUE"""),375.0)</f>
        <v>375</v>
      </c>
      <c r="B376" s="180" t="str">
        <f>IFERROR(__xludf.DUMMYFUNCTION("""COMPUTED_VALUE"""),"8-12")</f>
        <v>8-12</v>
      </c>
      <c r="C376" s="182" t="str">
        <f>IFERROR(__xludf.DUMMYFUNCTION("""COMPUTED_VALUE"""),"Estimated Delivery Time: 8-12 Weeks, Initials")</f>
        <v>Estimated Delivery Time: 8-12 Weeks, Initials</v>
      </c>
      <c r="E376" s="180"/>
      <c r="F376" s="182"/>
    </row>
    <row r="377">
      <c r="A377" s="179">
        <f>IFERROR(__xludf.DUMMYFUNCTION("""COMPUTED_VALUE"""),376.0)</f>
        <v>376</v>
      </c>
      <c r="B377" s="180" t="str">
        <f>IFERROR(__xludf.DUMMYFUNCTION("""COMPUTED_VALUE"""),"8-12")</f>
        <v>8-12</v>
      </c>
      <c r="C377" s="182" t="str">
        <f>IFERROR(__xludf.DUMMYFUNCTION("""COMPUTED_VALUE"""),"Estimated Delivery Time: 8-12 Weeks, Initials")</f>
        <v>Estimated Delivery Time: 8-12 Weeks, Initials</v>
      </c>
      <c r="E377" s="180"/>
      <c r="F377" s="182"/>
    </row>
    <row r="378">
      <c r="A378" s="179">
        <f>IFERROR(__xludf.DUMMYFUNCTION("""COMPUTED_VALUE"""),377.0)</f>
        <v>377</v>
      </c>
      <c r="B378" s="180" t="str">
        <f>IFERROR(__xludf.DUMMYFUNCTION("""COMPUTED_VALUE"""),"8-12")</f>
        <v>8-12</v>
      </c>
      <c r="C378" s="182" t="str">
        <f>IFERROR(__xludf.DUMMYFUNCTION("""COMPUTED_VALUE"""),"Estimated Delivery Time: 8-12 Weeks, Initials")</f>
        <v>Estimated Delivery Time: 8-12 Weeks, Initials</v>
      </c>
      <c r="E378" s="180"/>
      <c r="F378" s="182"/>
    </row>
    <row r="379">
      <c r="A379" s="179">
        <f>IFERROR(__xludf.DUMMYFUNCTION("""COMPUTED_VALUE"""),378.0)</f>
        <v>378</v>
      </c>
      <c r="B379" s="180" t="str">
        <f>IFERROR(__xludf.DUMMYFUNCTION("""COMPUTED_VALUE"""),"8-12")</f>
        <v>8-12</v>
      </c>
      <c r="C379" s="182" t="str">
        <f>IFERROR(__xludf.DUMMYFUNCTION("""COMPUTED_VALUE"""),"Estimated Delivery Time: 8-12 Weeks, Initials")</f>
        <v>Estimated Delivery Time: 8-12 Weeks, Initials</v>
      </c>
      <c r="E379" s="180"/>
      <c r="F379" s="182"/>
    </row>
    <row r="380">
      <c r="A380" s="179">
        <f>IFERROR(__xludf.DUMMYFUNCTION("""COMPUTED_VALUE"""),379.0)</f>
        <v>379</v>
      </c>
      <c r="B380" s="180" t="str">
        <f>IFERROR(__xludf.DUMMYFUNCTION("""COMPUTED_VALUE"""),"8-12")</f>
        <v>8-12</v>
      </c>
      <c r="C380" s="182" t="str">
        <f>IFERROR(__xludf.DUMMYFUNCTION("""COMPUTED_VALUE"""),"Estimated Delivery Time: 8-12 Weeks, Initials")</f>
        <v>Estimated Delivery Time: 8-12 Weeks, Initials</v>
      </c>
      <c r="E380" s="180"/>
      <c r="F380" s="182"/>
    </row>
    <row r="381">
      <c r="A381" s="179">
        <f>IFERROR(__xludf.DUMMYFUNCTION("""COMPUTED_VALUE"""),380.0)</f>
        <v>380</v>
      </c>
      <c r="B381" s="180" t="str">
        <f>IFERROR(__xludf.DUMMYFUNCTION("""COMPUTED_VALUE"""),"8-12")</f>
        <v>8-12</v>
      </c>
      <c r="C381" s="182" t="str">
        <f>IFERROR(__xludf.DUMMYFUNCTION("""COMPUTED_VALUE"""),"Estimated Delivery Time: 8-12 Weeks, Initials")</f>
        <v>Estimated Delivery Time: 8-12 Weeks, Initials</v>
      </c>
      <c r="E381" s="180"/>
      <c r="F381" s="182"/>
    </row>
    <row r="382">
      <c r="A382" s="179">
        <f>IFERROR(__xludf.DUMMYFUNCTION("""COMPUTED_VALUE"""),381.0)</f>
        <v>381</v>
      </c>
      <c r="B382" s="180" t="str">
        <f>IFERROR(__xludf.DUMMYFUNCTION("""COMPUTED_VALUE"""),"8-12")</f>
        <v>8-12</v>
      </c>
      <c r="C382" s="182" t="str">
        <f>IFERROR(__xludf.DUMMYFUNCTION("""COMPUTED_VALUE"""),"Estimated Delivery Time: 8-12 Weeks, Initials")</f>
        <v>Estimated Delivery Time: 8-12 Weeks, Initials</v>
      </c>
      <c r="E382" s="180"/>
      <c r="F382" s="182"/>
    </row>
    <row r="383">
      <c r="A383" s="179">
        <f>IFERROR(__xludf.DUMMYFUNCTION("""COMPUTED_VALUE"""),382.0)</f>
        <v>382</v>
      </c>
      <c r="B383" s="180" t="str">
        <f>IFERROR(__xludf.DUMMYFUNCTION("""COMPUTED_VALUE"""),"8-12")</f>
        <v>8-12</v>
      </c>
      <c r="C383" s="182" t="str">
        <f>IFERROR(__xludf.DUMMYFUNCTION("""COMPUTED_VALUE"""),"Estimated Delivery Time: 8-12 Weeks, Initials")</f>
        <v>Estimated Delivery Time: 8-12 Weeks, Initials</v>
      </c>
      <c r="E383" s="180"/>
      <c r="F383" s="182"/>
    </row>
    <row r="384">
      <c r="A384" s="179">
        <f>IFERROR(__xludf.DUMMYFUNCTION("""COMPUTED_VALUE"""),383.0)</f>
        <v>383</v>
      </c>
      <c r="B384" s="180" t="str">
        <f>IFERROR(__xludf.DUMMYFUNCTION("""COMPUTED_VALUE"""),"8-12")</f>
        <v>8-12</v>
      </c>
      <c r="C384" s="182" t="str">
        <f>IFERROR(__xludf.DUMMYFUNCTION("""COMPUTED_VALUE"""),"Estimated Delivery Time: 8-12 Weeks, Initials")</f>
        <v>Estimated Delivery Time: 8-12 Weeks, Initials</v>
      </c>
      <c r="E384" s="180"/>
      <c r="F384" s="182"/>
    </row>
    <row r="385">
      <c r="A385" s="179">
        <f>IFERROR(__xludf.DUMMYFUNCTION("""COMPUTED_VALUE"""),384.0)</f>
        <v>384</v>
      </c>
      <c r="B385" s="180" t="str">
        <f>IFERROR(__xludf.DUMMYFUNCTION("""COMPUTED_VALUE"""),"8-12")</f>
        <v>8-12</v>
      </c>
      <c r="C385" s="182" t="str">
        <f>IFERROR(__xludf.DUMMYFUNCTION("""COMPUTED_VALUE"""),"Estimated Delivery Time: 8-12 Weeks, Initials")</f>
        <v>Estimated Delivery Time: 8-12 Weeks, Initials</v>
      </c>
      <c r="E385" s="180"/>
      <c r="F385" s="182"/>
    </row>
    <row r="386">
      <c r="A386" s="179">
        <f>IFERROR(__xludf.DUMMYFUNCTION("""COMPUTED_VALUE"""),385.0)</f>
        <v>385</v>
      </c>
      <c r="B386" s="180" t="str">
        <f>IFERROR(__xludf.DUMMYFUNCTION("""COMPUTED_VALUE"""),"8-12")</f>
        <v>8-12</v>
      </c>
      <c r="C386" s="182" t="str">
        <f>IFERROR(__xludf.DUMMYFUNCTION("""COMPUTED_VALUE"""),"Estimated Delivery Time: 8-12 Weeks, Initials")</f>
        <v>Estimated Delivery Time: 8-12 Weeks, Initials</v>
      </c>
      <c r="E386" s="180"/>
      <c r="F386" s="182"/>
    </row>
    <row r="387">
      <c r="A387" s="179">
        <f>IFERROR(__xludf.DUMMYFUNCTION("""COMPUTED_VALUE"""),386.0)</f>
        <v>386</v>
      </c>
      <c r="B387" s="180" t="str">
        <f>IFERROR(__xludf.DUMMYFUNCTION("""COMPUTED_VALUE"""),"8-12")</f>
        <v>8-12</v>
      </c>
      <c r="C387" s="182" t="str">
        <f>IFERROR(__xludf.DUMMYFUNCTION("""COMPUTED_VALUE"""),"Estimated Delivery Time: 8-12 Weeks, Initials")</f>
        <v>Estimated Delivery Time: 8-12 Weeks, Initials</v>
      </c>
      <c r="E387" s="180"/>
      <c r="F387" s="182"/>
    </row>
    <row r="388">
      <c r="A388" s="179">
        <f>IFERROR(__xludf.DUMMYFUNCTION("""COMPUTED_VALUE"""),387.0)</f>
        <v>387</v>
      </c>
      <c r="B388" s="180" t="str">
        <f>IFERROR(__xludf.DUMMYFUNCTION("""COMPUTED_VALUE"""),"8-12")</f>
        <v>8-12</v>
      </c>
      <c r="C388" s="182" t="str">
        <f>IFERROR(__xludf.DUMMYFUNCTION("""COMPUTED_VALUE"""),"Estimated Delivery Time: 8-12 Weeks, Initials")</f>
        <v>Estimated Delivery Time: 8-12 Weeks, Initials</v>
      </c>
      <c r="E388" s="180"/>
      <c r="F388" s="182"/>
    </row>
    <row r="389">
      <c r="A389" s="179">
        <f>IFERROR(__xludf.DUMMYFUNCTION("""COMPUTED_VALUE"""),388.0)</f>
        <v>388</v>
      </c>
      <c r="B389" s="180" t="str">
        <f>IFERROR(__xludf.DUMMYFUNCTION("""COMPUTED_VALUE"""),"8-12")</f>
        <v>8-12</v>
      </c>
      <c r="C389" s="182" t="str">
        <f>IFERROR(__xludf.DUMMYFUNCTION("""COMPUTED_VALUE"""),"Estimated Delivery Time: 8-12 Weeks, Initials")</f>
        <v>Estimated Delivery Time: 8-12 Weeks, Initials</v>
      </c>
      <c r="E389" s="180"/>
      <c r="F389" s="182"/>
    </row>
    <row r="390">
      <c r="A390" s="179">
        <f>IFERROR(__xludf.DUMMYFUNCTION("""COMPUTED_VALUE"""),389.0)</f>
        <v>389</v>
      </c>
      <c r="B390" s="180" t="str">
        <f>IFERROR(__xludf.DUMMYFUNCTION("""COMPUTED_VALUE"""),"8-12")</f>
        <v>8-12</v>
      </c>
      <c r="C390" s="182" t="str">
        <f>IFERROR(__xludf.DUMMYFUNCTION("""COMPUTED_VALUE"""),"Estimated Delivery Time: 8-12 Weeks, Initials")</f>
        <v>Estimated Delivery Time: 8-12 Weeks, Initials</v>
      </c>
      <c r="E390" s="180"/>
      <c r="F390" s="182"/>
    </row>
    <row r="391">
      <c r="A391" s="179">
        <f>IFERROR(__xludf.DUMMYFUNCTION("""COMPUTED_VALUE"""),390.0)</f>
        <v>390</v>
      </c>
      <c r="B391" s="180" t="str">
        <f>IFERROR(__xludf.DUMMYFUNCTION("""COMPUTED_VALUE"""),"8-12")</f>
        <v>8-12</v>
      </c>
      <c r="C391" s="182" t="str">
        <f>IFERROR(__xludf.DUMMYFUNCTION("""COMPUTED_VALUE"""),"Estimated Delivery Time: 8-12 Weeks, Initials")</f>
        <v>Estimated Delivery Time: 8-12 Weeks, Initials</v>
      </c>
      <c r="E391" s="180"/>
      <c r="F391" s="182"/>
    </row>
    <row r="392">
      <c r="A392" s="179">
        <f>IFERROR(__xludf.DUMMYFUNCTION("""COMPUTED_VALUE"""),391.0)</f>
        <v>391</v>
      </c>
      <c r="B392" s="180" t="str">
        <f>IFERROR(__xludf.DUMMYFUNCTION("""COMPUTED_VALUE"""),"8-12")</f>
        <v>8-12</v>
      </c>
      <c r="C392" s="182" t="str">
        <f>IFERROR(__xludf.DUMMYFUNCTION("""COMPUTED_VALUE"""),"Estimated Delivery Time: 8-12 Weeks, Initials")</f>
        <v>Estimated Delivery Time: 8-12 Weeks, Initials</v>
      </c>
      <c r="E392" s="180"/>
      <c r="F392" s="182"/>
    </row>
    <row r="393">
      <c r="A393" s="179">
        <f>IFERROR(__xludf.DUMMYFUNCTION("""COMPUTED_VALUE"""),392.0)</f>
        <v>392</v>
      </c>
      <c r="B393" s="180" t="str">
        <f>IFERROR(__xludf.DUMMYFUNCTION("""COMPUTED_VALUE"""),"8-12")</f>
        <v>8-12</v>
      </c>
      <c r="C393" s="182" t="str">
        <f>IFERROR(__xludf.DUMMYFUNCTION("""COMPUTED_VALUE"""),"Estimated Delivery Time: 8-12 Weeks, Initials")</f>
        <v>Estimated Delivery Time: 8-12 Weeks, Initials</v>
      </c>
      <c r="E393" s="180"/>
      <c r="F393" s="182"/>
    </row>
    <row r="394">
      <c r="A394" s="179">
        <f>IFERROR(__xludf.DUMMYFUNCTION("""COMPUTED_VALUE"""),393.0)</f>
        <v>393</v>
      </c>
      <c r="B394" s="180" t="str">
        <f>IFERROR(__xludf.DUMMYFUNCTION("""COMPUTED_VALUE"""),"8-12")</f>
        <v>8-12</v>
      </c>
      <c r="C394" s="182" t="str">
        <f>IFERROR(__xludf.DUMMYFUNCTION("""COMPUTED_VALUE"""),"Estimated Delivery Time: 8-12 Weeks, Initials")</f>
        <v>Estimated Delivery Time: 8-12 Weeks, Initials</v>
      </c>
      <c r="E394" s="180"/>
      <c r="F394" s="182"/>
    </row>
    <row r="395">
      <c r="A395" s="179">
        <f>IFERROR(__xludf.DUMMYFUNCTION("""COMPUTED_VALUE"""),394.0)</f>
        <v>394</v>
      </c>
      <c r="B395" s="180" t="str">
        <f>IFERROR(__xludf.DUMMYFUNCTION("""COMPUTED_VALUE"""),"8-12")</f>
        <v>8-12</v>
      </c>
      <c r="C395" s="182" t="str">
        <f>IFERROR(__xludf.DUMMYFUNCTION("""COMPUTED_VALUE"""),"Estimated Delivery Time: 8-12 Weeks, Initials")</f>
        <v>Estimated Delivery Time: 8-12 Weeks, Initials</v>
      </c>
      <c r="E395" s="180"/>
      <c r="F395" s="182"/>
    </row>
    <row r="396">
      <c r="A396" s="179">
        <f>IFERROR(__xludf.DUMMYFUNCTION("""COMPUTED_VALUE"""),395.0)</f>
        <v>395</v>
      </c>
      <c r="B396" s="180" t="str">
        <f>IFERROR(__xludf.DUMMYFUNCTION("""COMPUTED_VALUE"""),"8-12")</f>
        <v>8-12</v>
      </c>
      <c r="C396" s="182" t="str">
        <f>IFERROR(__xludf.DUMMYFUNCTION("""COMPUTED_VALUE"""),"Estimated Delivery Time: 8-12 Weeks, Initials")</f>
        <v>Estimated Delivery Time: 8-12 Weeks, Initials</v>
      </c>
      <c r="E396" s="180"/>
      <c r="F396" s="182"/>
    </row>
    <row r="397">
      <c r="A397" s="179">
        <f>IFERROR(__xludf.DUMMYFUNCTION("""COMPUTED_VALUE"""),396.0)</f>
        <v>396</v>
      </c>
      <c r="B397" s="180" t="str">
        <f>IFERROR(__xludf.DUMMYFUNCTION("""COMPUTED_VALUE"""),"8-12")</f>
        <v>8-12</v>
      </c>
      <c r="C397" s="182" t="str">
        <f>IFERROR(__xludf.DUMMYFUNCTION("""COMPUTED_VALUE"""),"Estimated Delivery Time: 8-12 Weeks, Initials")</f>
        <v>Estimated Delivery Time: 8-12 Weeks, Initials</v>
      </c>
      <c r="E397" s="180"/>
      <c r="F397" s="182"/>
    </row>
    <row r="398">
      <c r="A398" s="179">
        <f>IFERROR(__xludf.DUMMYFUNCTION("""COMPUTED_VALUE"""),397.0)</f>
        <v>397</v>
      </c>
      <c r="B398" s="180" t="str">
        <f>IFERROR(__xludf.DUMMYFUNCTION("""COMPUTED_VALUE"""),"8-12")</f>
        <v>8-12</v>
      </c>
      <c r="C398" s="182" t="str">
        <f>IFERROR(__xludf.DUMMYFUNCTION("""COMPUTED_VALUE"""),"Estimated Delivery Time: 8-12 Weeks, Initials")</f>
        <v>Estimated Delivery Time: 8-12 Weeks, Initials</v>
      </c>
      <c r="E398" s="180"/>
      <c r="F398" s="182"/>
    </row>
    <row r="399">
      <c r="A399" s="179">
        <f>IFERROR(__xludf.DUMMYFUNCTION("""COMPUTED_VALUE"""),398.0)</f>
        <v>398</v>
      </c>
      <c r="B399" s="180" t="str">
        <f>IFERROR(__xludf.DUMMYFUNCTION("""COMPUTED_VALUE"""),"8-12")</f>
        <v>8-12</v>
      </c>
      <c r="C399" s="182" t="str">
        <f>IFERROR(__xludf.DUMMYFUNCTION("""COMPUTED_VALUE"""),"Estimated Delivery Time: 8-12 Weeks, Initials")</f>
        <v>Estimated Delivery Time: 8-12 Weeks, Initials</v>
      </c>
      <c r="E399" s="180"/>
      <c r="F399" s="182"/>
    </row>
    <row r="400">
      <c r="A400" s="179">
        <f>IFERROR(__xludf.DUMMYFUNCTION("""COMPUTED_VALUE"""),399.0)</f>
        <v>399</v>
      </c>
      <c r="B400" s="180" t="str">
        <f>IFERROR(__xludf.DUMMYFUNCTION("""COMPUTED_VALUE"""),"8-12")</f>
        <v>8-12</v>
      </c>
      <c r="C400" s="182" t="str">
        <f>IFERROR(__xludf.DUMMYFUNCTION("""COMPUTED_VALUE"""),"Estimated Delivery Time: 8-12 Weeks, Initials")</f>
        <v>Estimated Delivery Time: 8-12 Weeks, Initials</v>
      </c>
      <c r="E400" s="180"/>
      <c r="F400" s="182"/>
    </row>
    <row r="401">
      <c r="A401" s="179">
        <f>IFERROR(__xludf.DUMMYFUNCTION("""COMPUTED_VALUE"""),400.0)</f>
        <v>400</v>
      </c>
      <c r="B401" s="180" t="str">
        <f>IFERROR(__xludf.DUMMYFUNCTION("""COMPUTED_VALUE"""),"8-12")</f>
        <v>8-12</v>
      </c>
      <c r="C401" s="182" t="str">
        <f>IFERROR(__xludf.DUMMYFUNCTION("""COMPUTED_VALUE"""),"Estimated Delivery Time: 8-12 Weeks, Initials")</f>
        <v>Estimated Delivery Time: 8-12 Weeks, Initials</v>
      </c>
      <c r="E401" s="180"/>
      <c r="F401" s="182"/>
    </row>
    <row r="402">
      <c r="A402" s="179">
        <f>IFERROR(__xludf.DUMMYFUNCTION("""COMPUTED_VALUE"""),401.0)</f>
        <v>401</v>
      </c>
      <c r="B402" s="180" t="str">
        <f>IFERROR(__xludf.DUMMYFUNCTION("""COMPUTED_VALUE"""),"12-16")</f>
        <v>12-16</v>
      </c>
      <c r="C402" s="182" t="str">
        <f>IFERROR(__xludf.DUMMYFUNCTION("""COMPUTED_VALUE"""),"Estimated Delivery Time: 12-16 Weeks, Initials")</f>
        <v>Estimated Delivery Time: 12-16 Weeks, Initials</v>
      </c>
      <c r="E402" s="180"/>
      <c r="F402" s="182"/>
    </row>
    <row r="403">
      <c r="A403" s="179">
        <f>IFERROR(__xludf.DUMMYFUNCTION("""COMPUTED_VALUE"""),402.0)</f>
        <v>402</v>
      </c>
      <c r="B403" s="180" t="str">
        <f>IFERROR(__xludf.DUMMYFUNCTION("""COMPUTED_VALUE"""),"8-12")</f>
        <v>8-12</v>
      </c>
      <c r="C403" s="182" t="str">
        <f>IFERROR(__xludf.DUMMYFUNCTION("""COMPUTED_VALUE"""),"Estimated Delivery Time: 8-12 Weeks, Initials")</f>
        <v>Estimated Delivery Time: 8-12 Weeks, Initials</v>
      </c>
      <c r="E403" s="180"/>
      <c r="F403" s="182"/>
    </row>
    <row r="404">
      <c r="A404" s="179">
        <f>IFERROR(__xludf.DUMMYFUNCTION("""COMPUTED_VALUE"""),403.0)</f>
        <v>403</v>
      </c>
      <c r="B404" s="180" t="str">
        <f>IFERROR(__xludf.DUMMYFUNCTION("""COMPUTED_VALUE"""),"8-12")</f>
        <v>8-12</v>
      </c>
      <c r="C404" s="182" t="str">
        <f>IFERROR(__xludf.DUMMYFUNCTION("""COMPUTED_VALUE"""),"Estimated Delivery Time: 8-12 Weeks, Initials")</f>
        <v>Estimated Delivery Time: 8-12 Weeks, Initials</v>
      </c>
      <c r="E404" s="180"/>
      <c r="F404" s="182"/>
    </row>
    <row r="405">
      <c r="A405" s="179">
        <f>IFERROR(__xludf.DUMMYFUNCTION("""COMPUTED_VALUE"""),404.0)</f>
        <v>404</v>
      </c>
      <c r="B405" s="180" t="str">
        <f>IFERROR(__xludf.DUMMYFUNCTION("""COMPUTED_VALUE"""),"8-12")</f>
        <v>8-12</v>
      </c>
      <c r="C405" s="182" t="str">
        <f>IFERROR(__xludf.DUMMYFUNCTION("""COMPUTED_VALUE"""),"Estimated Delivery Time: 8-12 Weeks, Initials")</f>
        <v>Estimated Delivery Time: 8-12 Weeks, Initials</v>
      </c>
      <c r="E405" s="180"/>
      <c r="F405" s="182"/>
    </row>
    <row r="406">
      <c r="A406" s="179">
        <f>IFERROR(__xludf.DUMMYFUNCTION("""COMPUTED_VALUE"""),405.0)</f>
        <v>405</v>
      </c>
      <c r="B406" s="180" t="str">
        <f>IFERROR(__xludf.DUMMYFUNCTION("""COMPUTED_VALUE"""),"8-12")</f>
        <v>8-12</v>
      </c>
      <c r="C406" s="182" t="str">
        <f>IFERROR(__xludf.DUMMYFUNCTION("""COMPUTED_VALUE"""),"Estimated Delivery Time: 8-12 Weeks, Initials")</f>
        <v>Estimated Delivery Time: 8-12 Weeks, Initials</v>
      </c>
      <c r="E406" s="180"/>
      <c r="F406" s="182"/>
    </row>
    <row r="407">
      <c r="A407" s="179">
        <f>IFERROR(__xludf.DUMMYFUNCTION("""COMPUTED_VALUE"""),406.0)</f>
        <v>406</v>
      </c>
      <c r="B407" s="180" t="str">
        <f>IFERROR(__xludf.DUMMYFUNCTION("""COMPUTED_VALUE"""),"8-12")</f>
        <v>8-12</v>
      </c>
      <c r="C407" s="182" t="str">
        <f>IFERROR(__xludf.DUMMYFUNCTION("""COMPUTED_VALUE"""),"Estimated Delivery Time: 8-12 Weeks, Initials")</f>
        <v>Estimated Delivery Time: 8-12 Weeks, Initials</v>
      </c>
      <c r="E407" s="180"/>
      <c r="F407" s="182"/>
    </row>
    <row r="408">
      <c r="A408" s="179">
        <f>IFERROR(__xludf.DUMMYFUNCTION("""COMPUTED_VALUE"""),407.0)</f>
        <v>407</v>
      </c>
      <c r="B408" s="180" t="str">
        <f>IFERROR(__xludf.DUMMYFUNCTION("""COMPUTED_VALUE"""),"8-12")</f>
        <v>8-12</v>
      </c>
      <c r="C408" s="182" t="str">
        <f>IFERROR(__xludf.DUMMYFUNCTION("""COMPUTED_VALUE"""),"Estimated Delivery Time: 8-12 Weeks, Initials")</f>
        <v>Estimated Delivery Time: 8-12 Weeks, Initials</v>
      </c>
      <c r="E408" s="180"/>
      <c r="F408" s="182"/>
    </row>
    <row r="409">
      <c r="A409" s="179">
        <f>IFERROR(__xludf.DUMMYFUNCTION("""COMPUTED_VALUE"""),408.0)</f>
        <v>408</v>
      </c>
      <c r="B409" s="180" t="str">
        <f>IFERROR(__xludf.DUMMYFUNCTION("""COMPUTED_VALUE"""),"8-12")</f>
        <v>8-12</v>
      </c>
      <c r="C409" s="182" t="str">
        <f>IFERROR(__xludf.DUMMYFUNCTION("""COMPUTED_VALUE"""),"Estimated Delivery Time: 8-12 Weeks, Initials")</f>
        <v>Estimated Delivery Time: 8-12 Weeks, Initials</v>
      </c>
      <c r="E409" s="180"/>
      <c r="F409" s="182"/>
    </row>
    <row r="410">
      <c r="A410" s="179">
        <f>IFERROR(__xludf.DUMMYFUNCTION("""COMPUTED_VALUE"""),409.0)</f>
        <v>409</v>
      </c>
      <c r="B410" s="180" t="str">
        <f>IFERROR(__xludf.DUMMYFUNCTION("""COMPUTED_VALUE"""),"8-12")</f>
        <v>8-12</v>
      </c>
      <c r="C410" s="182" t="str">
        <f>IFERROR(__xludf.DUMMYFUNCTION("""COMPUTED_VALUE"""),"Estimated Delivery Time: 8-12 Weeks, Initials")</f>
        <v>Estimated Delivery Time: 8-12 Weeks, Initials</v>
      </c>
      <c r="E410" s="180"/>
      <c r="F410" s="182"/>
    </row>
    <row r="411">
      <c r="A411" s="179">
        <f>IFERROR(__xludf.DUMMYFUNCTION("""COMPUTED_VALUE"""),410.0)</f>
        <v>410</v>
      </c>
      <c r="B411" s="180" t="str">
        <f>IFERROR(__xludf.DUMMYFUNCTION("""COMPUTED_VALUE"""),"8-12")</f>
        <v>8-12</v>
      </c>
      <c r="C411" s="182" t="str">
        <f>IFERROR(__xludf.DUMMYFUNCTION("""COMPUTED_VALUE"""),"Estimated Delivery Time: 8-12 Weeks, Initials")</f>
        <v>Estimated Delivery Time: 8-12 Weeks, Initials</v>
      </c>
      <c r="E411" s="180"/>
      <c r="F411" s="182"/>
    </row>
    <row r="412">
      <c r="A412" s="179">
        <f>IFERROR(__xludf.DUMMYFUNCTION("""COMPUTED_VALUE"""),411.0)</f>
        <v>411</v>
      </c>
      <c r="B412" s="180" t="str">
        <f>IFERROR(__xludf.DUMMYFUNCTION("""COMPUTED_VALUE"""),"8-12")</f>
        <v>8-12</v>
      </c>
      <c r="C412" s="182" t="str">
        <f>IFERROR(__xludf.DUMMYFUNCTION("""COMPUTED_VALUE"""),"Estimated Delivery Time: 8-12 Weeks, Initials")</f>
        <v>Estimated Delivery Time: 8-12 Weeks, Initials</v>
      </c>
      <c r="E412" s="180"/>
      <c r="F412" s="182"/>
    </row>
    <row r="413">
      <c r="A413" s="179">
        <f>IFERROR(__xludf.DUMMYFUNCTION("""COMPUTED_VALUE"""),412.0)</f>
        <v>412</v>
      </c>
      <c r="B413" s="180" t="str">
        <f>IFERROR(__xludf.DUMMYFUNCTION("""COMPUTED_VALUE"""),"8-12")</f>
        <v>8-12</v>
      </c>
      <c r="C413" s="182" t="str">
        <f>IFERROR(__xludf.DUMMYFUNCTION("""COMPUTED_VALUE"""),"Estimated Delivery Time: 8-12 Weeks, Initials")</f>
        <v>Estimated Delivery Time: 8-12 Weeks, Initials</v>
      </c>
      <c r="E413" s="180"/>
      <c r="F413" s="182"/>
    </row>
    <row r="414">
      <c r="A414" s="179">
        <f>IFERROR(__xludf.DUMMYFUNCTION("""COMPUTED_VALUE"""),413.0)</f>
        <v>413</v>
      </c>
      <c r="B414" s="180" t="str">
        <f>IFERROR(__xludf.DUMMYFUNCTION("""COMPUTED_VALUE"""),"8-12")</f>
        <v>8-12</v>
      </c>
      <c r="C414" s="182" t="str">
        <f>IFERROR(__xludf.DUMMYFUNCTION("""COMPUTED_VALUE"""),"Estimated Delivery Time: 8-12 Weeks, Initials")</f>
        <v>Estimated Delivery Time: 8-12 Weeks, Initials</v>
      </c>
      <c r="E414" s="180"/>
      <c r="F414" s="182"/>
    </row>
    <row r="415">
      <c r="A415" s="179">
        <f>IFERROR(__xludf.DUMMYFUNCTION("""COMPUTED_VALUE"""),414.0)</f>
        <v>414</v>
      </c>
      <c r="B415" s="180" t="str">
        <f>IFERROR(__xludf.DUMMYFUNCTION("""COMPUTED_VALUE"""),"8-12")</f>
        <v>8-12</v>
      </c>
      <c r="C415" s="182" t="str">
        <f>IFERROR(__xludf.DUMMYFUNCTION("""COMPUTED_VALUE"""),"Estimated Delivery Time: 8-12 Weeks, Initials")</f>
        <v>Estimated Delivery Time: 8-12 Weeks, Initials</v>
      </c>
      <c r="E415" s="180"/>
      <c r="F415" s="182"/>
    </row>
    <row r="416">
      <c r="A416" s="179">
        <f>IFERROR(__xludf.DUMMYFUNCTION("""COMPUTED_VALUE"""),415.0)</f>
        <v>415</v>
      </c>
      <c r="B416" s="180" t="str">
        <f>IFERROR(__xludf.DUMMYFUNCTION("""COMPUTED_VALUE"""),"8-12")</f>
        <v>8-12</v>
      </c>
      <c r="C416" s="182" t="str">
        <f>IFERROR(__xludf.DUMMYFUNCTION("""COMPUTED_VALUE"""),"Estimated Delivery Time: 8-12 Weeks, Initials")</f>
        <v>Estimated Delivery Time: 8-12 Weeks, Initials</v>
      </c>
      <c r="E416" s="180"/>
      <c r="F416" s="182"/>
    </row>
    <row r="417">
      <c r="A417" s="179">
        <f>IFERROR(__xludf.DUMMYFUNCTION("""COMPUTED_VALUE"""),416.0)</f>
        <v>416</v>
      </c>
      <c r="B417" s="180" t="str">
        <f>IFERROR(__xludf.DUMMYFUNCTION("""COMPUTED_VALUE"""),"8-12")</f>
        <v>8-12</v>
      </c>
      <c r="C417" s="182" t="str">
        <f>IFERROR(__xludf.DUMMYFUNCTION("""COMPUTED_VALUE"""),"Estimated Delivery Time: 8-12 Weeks, Initials")</f>
        <v>Estimated Delivery Time: 8-12 Weeks, Initials</v>
      </c>
      <c r="E417" s="180"/>
      <c r="F417" s="182"/>
    </row>
    <row r="418">
      <c r="A418" s="179">
        <f>IFERROR(__xludf.DUMMYFUNCTION("""COMPUTED_VALUE"""),417.0)</f>
        <v>417</v>
      </c>
      <c r="B418" s="180" t="str">
        <f>IFERROR(__xludf.DUMMYFUNCTION("""COMPUTED_VALUE"""),"8-12")</f>
        <v>8-12</v>
      </c>
      <c r="C418" s="182" t="str">
        <f>IFERROR(__xludf.DUMMYFUNCTION("""COMPUTED_VALUE"""),"Estimated Delivery Time: 8-12 Weeks, Initials")</f>
        <v>Estimated Delivery Time: 8-12 Weeks, Initials</v>
      </c>
      <c r="E418" s="180"/>
      <c r="F418" s="182"/>
    </row>
    <row r="419">
      <c r="A419" s="179">
        <f>IFERROR(__xludf.DUMMYFUNCTION("""COMPUTED_VALUE"""),418.0)</f>
        <v>418</v>
      </c>
      <c r="B419" s="180" t="str">
        <f>IFERROR(__xludf.DUMMYFUNCTION("""COMPUTED_VALUE"""),"10-14")</f>
        <v>10-14</v>
      </c>
      <c r="C419" s="182" t="str">
        <f>IFERROR(__xludf.DUMMYFUNCTION("""COMPUTED_VALUE"""),"Estimated Delivery Time: 10-14 Weeks, Initials")</f>
        <v>Estimated Delivery Time: 10-14 Weeks, Initials</v>
      </c>
      <c r="E419" s="180"/>
      <c r="F419" s="182"/>
    </row>
    <row r="420">
      <c r="A420" s="179">
        <f>IFERROR(__xludf.DUMMYFUNCTION("""COMPUTED_VALUE"""),419.0)</f>
        <v>419</v>
      </c>
      <c r="B420" s="180" t="str">
        <f>IFERROR(__xludf.DUMMYFUNCTION("""COMPUTED_VALUE"""),"8-12")</f>
        <v>8-12</v>
      </c>
      <c r="C420" s="182" t="str">
        <f>IFERROR(__xludf.DUMMYFUNCTION("""COMPUTED_VALUE"""),"Estimated Delivery Time: 8-12 Weeks, Initials")</f>
        <v>Estimated Delivery Time: 8-12 Weeks, Initials</v>
      </c>
      <c r="E420" s="180"/>
      <c r="F420" s="182"/>
    </row>
    <row r="421">
      <c r="A421" s="179">
        <f>IFERROR(__xludf.DUMMYFUNCTION("""COMPUTED_VALUE"""),420.0)</f>
        <v>420</v>
      </c>
      <c r="B421" s="180" t="str">
        <f>IFERROR(__xludf.DUMMYFUNCTION("""COMPUTED_VALUE"""),"8-12")</f>
        <v>8-12</v>
      </c>
      <c r="C421" s="182" t="str">
        <f>IFERROR(__xludf.DUMMYFUNCTION("""COMPUTED_VALUE"""),"Estimated Delivery Time: 8-12 Weeks, Initials")</f>
        <v>Estimated Delivery Time: 8-12 Weeks, Initials</v>
      </c>
      <c r="E421" s="180"/>
      <c r="F421" s="182"/>
    </row>
    <row r="422">
      <c r="A422" s="179">
        <f>IFERROR(__xludf.DUMMYFUNCTION("""COMPUTED_VALUE"""),421.0)</f>
        <v>421</v>
      </c>
      <c r="B422" s="180" t="str">
        <f>IFERROR(__xludf.DUMMYFUNCTION("""COMPUTED_VALUE"""),"8-12")</f>
        <v>8-12</v>
      </c>
      <c r="C422" s="182" t="str">
        <f>IFERROR(__xludf.DUMMYFUNCTION("""COMPUTED_VALUE"""),"Estimated Delivery Time: 8-12 Weeks, Initials")</f>
        <v>Estimated Delivery Time: 8-12 Weeks, Initials</v>
      </c>
      <c r="E422" s="180"/>
      <c r="F422" s="182"/>
    </row>
    <row r="423">
      <c r="A423" s="179">
        <f>IFERROR(__xludf.DUMMYFUNCTION("""COMPUTED_VALUE"""),422.0)</f>
        <v>422</v>
      </c>
      <c r="B423" s="180" t="str">
        <f>IFERROR(__xludf.DUMMYFUNCTION("""COMPUTED_VALUE"""),"8-12")</f>
        <v>8-12</v>
      </c>
      <c r="C423" s="182" t="str">
        <f>IFERROR(__xludf.DUMMYFUNCTION("""COMPUTED_VALUE"""),"Estimated Delivery Time: 8-12 Weeks, Initials")</f>
        <v>Estimated Delivery Time: 8-12 Weeks, Initials</v>
      </c>
      <c r="E423" s="180"/>
      <c r="F423" s="182"/>
    </row>
    <row r="424">
      <c r="A424" s="179">
        <f>IFERROR(__xludf.DUMMYFUNCTION("""COMPUTED_VALUE"""),423.0)</f>
        <v>423</v>
      </c>
      <c r="B424" s="180" t="str">
        <f>IFERROR(__xludf.DUMMYFUNCTION("""COMPUTED_VALUE"""),"8-12")</f>
        <v>8-12</v>
      </c>
      <c r="C424" s="182" t="str">
        <f>IFERROR(__xludf.DUMMYFUNCTION("""COMPUTED_VALUE"""),"Estimated Delivery Time: 8-12 Weeks, Initials")</f>
        <v>Estimated Delivery Time: 8-12 Weeks, Initials</v>
      </c>
      <c r="E424" s="180"/>
      <c r="F424" s="182"/>
    </row>
    <row r="425">
      <c r="A425" s="179">
        <f>IFERROR(__xludf.DUMMYFUNCTION("""COMPUTED_VALUE"""),424.0)</f>
        <v>424</v>
      </c>
      <c r="B425" s="180" t="str">
        <f>IFERROR(__xludf.DUMMYFUNCTION("""COMPUTED_VALUE"""),"8-12")</f>
        <v>8-12</v>
      </c>
      <c r="C425" s="182" t="str">
        <f>IFERROR(__xludf.DUMMYFUNCTION("""COMPUTED_VALUE"""),"Estimated Delivery Time: 8-12 Weeks, Initials")</f>
        <v>Estimated Delivery Time: 8-12 Weeks, Initials</v>
      </c>
      <c r="E425" s="180"/>
      <c r="F425" s="182"/>
    </row>
    <row r="426">
      <c r="A426" s="179">
        <f>IFERROR(__xludf.DUMMYFUNCTION("""COMPUTED_VALUE"""),425.0)</f>
        <v>425</v>
      </c>
      <c r="B426" s="180" t="str">
        <f>IFERROR(__xludf.DUMMYFUNCTION("""COMPUTED_VALUE"""),"8-12")</f>
        <v>8-12</v>
      </c>
      <c r="C426" s="182" t="str">
        <f>IFERROR(__xludf.DUMMYFUNCTION("""COMPUTED_VALUE"""),"Estimated Delivery Time: 8-12 Weeks, Initials")</f>
        <v>Estimated Delivery Time: 8-12 Weeks, Initials</v>
      </c>
      <c r="E426" s="180"/>
      <c r="F426" s="182"/>
    </row>
    <row r="427">
      <c r="A427" s="179">
        <f>IFERROR(__xludf.DUMMYFUNCTION("""COMPUTED_VALUE"""),426.0)</f>
        <v>426</v>
      </c>
      <c r="B427" s="180" t="str">
        <f>IFERROR(__xludf.DUMMYFUNCTION("""COMPUTED_VALUE"""),"12-16")</f>
        <v>12-16</v>
      </c>
      <c r="C427" s="182" t="str">
        <f>IFERROR(__xludf.DUMMYFUNCTION("""COMPUTED_VALUE"""),"Estimated Delivery Time: 12-16 Weeks, Initials")</f>
        <v>Estimated Delivery Time: 12-16 Weeks, Initials</v>
      </c>
      <c r="E427" s="180"/>
      <c r="F427" s="182"/>
    </row>
    <row r="428">
      <c r="A428" s="179">
        <f>IFERROR(__xludf.DUMMYFUNCTION("""COMPUTED_VALUE"""),427.0)</f>
        <v>427</v>
      </c>
      <c r="B428" s="180" t="str">
        <f>IFERROR(__xludf.DUMMYFUNCTION("""COMPUTED_VALUE"""),"8-12")</f>
        <v>8-12</v>
      </c>
      <c r="C428" s="182" t="str">
        <f>IFERROR(__xludf.DUMMYFUNCTION("""COMPUTED_VALUE"""),"Estimated Delivery Time: 8-12 Weeks, Initials")</f>
        <v>Estimated Delivery Time: 8-12 Weeks, Initials</v>
      </c>
      <c r="E428" s="180"/>
      <c r="F428" s="182"/>
    </row>
    <row r="429">
      <c r="A429" s="179">
        <f>IFERROR(__xludf.DUMMYFUNCTION("""COMPUTED_VALUE"""),428.0)</f>
        <v>428</v>
      </c>
      <c r="B429" s="180" t="str">
        <f>IFERROR(__xludf.DUMMYFUNCTION("""COMPUTED_VALUE"""),"8-12")</f>
        <v>8-12</v>
      </c>
      <c r="C429" s="182" t="str">
        <f>IFERROR(__xludf.DUMMYFUNCTION("""COMPUTED_VALUE"""),"Estimated Delivery Time: 8-12 Weeks, Initials")</f>
        <v>Estimated Delivery Time: 8-12 Weeks, Initials</v>
      </c>
      <c r="E429" s="180"/>
      <c r="F429" s="182"/>
    </row>
    <row r="430">
      <c r="A430" s="179">
        <f>IFERROR(__xludf.DUMMYFUNCTION("""COMPUTED_VALUE"""),429.0)</f>
        <v>429</v>
      </c>
      <c r="B430" s="180" t="str">
        <f>IFERROR(__xludf.DUMMYFUNCTION("""COMPUTED_VALUE"""),"4-8")</f>
        <v>4-8</v>
      </c>
      <c r="C430" s="182" t="str">
        <f>IFERROR(__xludf.DUMMYFUNCTION("""COMPUTED_VALUE"""),"Estimated Delivery Time: 4-8 Weeks, Initials")</f>
        <v>Estimated Delivery Time: 4-8 Weeks, Initials</v>
      </c>
      <c r="E430" s="180"/>
      <c r="F430" s="182"/>
    </row>
    <row r="431">
      <c r="A431" s="179">
        <f>IFERROR(__xludf.DUMMYFUNCTION("""COMPUTED_VALUE"""),430.0)</f>
        <v>430</v>
      </c>
      <c r="B431" s="180" t="str">
        <f>IFERROR(__xludf.DUMMYFUNCTION("""COMPUTED_VALUE"""),"8-12")</f>
        <v>8-12</v>
      </c>
      <c r="C431" s="182" t="str">
        <f>IFERROR(__xludf.DUMMYFUNCTION("""COMPUTED_VALUE"""),"Estimated Delivery Time: 8-12 Weeks, Initials")</f>
        <v>Estimated Delivery Time: 8-12 Weeks, Initials</v>
      </c>
      <c r="E431" s="180"/>
      <c r="F431" s="182"/>
    </row>
    <row r="432">
      <c r="A432" s="179">
        <f>IFERROR(__xludf.DUMMYFUNCTION("""COMPUTED_VALUE"""),431.0)</f>
        <v>431</v>
      </c>
      <c r="B432" s="180" t="str">
        <f>IFERROR(__xludf.DUMMYFUNCTION("""COMPUTED_VALUE"""),"8-12")</f>
        <v>8-12</v>
      </c>
      <c r="C432" s="182" t="str">
        <f>IFERROR(__xludf.DUMMYFUNCTION("""COMPUTED_VALUE"""),"Estimated Delivery Time: 8-12 Weeks, Initials")</f>
        <v>Estimated Delivery Time: 8-12 Weeks, Initials</v>
      </c>
      <c r="E432" s="180"/>
      <c r="F432" s="182"/>
    </row>
    <row r="433">
      <c r="A433" s="179">
        <f>IFERROR(__xludf.DUMMYFUNCTION("""COMPUTED_VALUE"""),432.0)</f>
        <v>432</v>
      </c>
      <c r="B433" s="180" t="str">
        <f>IFERROR(__xludf.DUMMYFUNCTION("""COMPUTED_VALUE"""),"8-12")</f>
        <v>8-12</v>
      </c>
      <c r="C433" s="182" t="str">
        <f>IFERROR(__xludf.DUMMYFUNCTION("""COMPUTED_VALUE"""),"Estimated Delivery Time: 8-12 Weeks, Initials")</f>
        <v>Estimated Delivery Time: 8-12 Weeks, Initials</v>
      </c>
      <c r="E433" s="180"/>
      <c r="F433" s="182"/>
    </row>
    <row r="434">
      <c r="A434" s="179">
        <f>IFERROR(__xludf.DUMMYFUNCTION("""COMPUTED_VALUE"""),433.0)</f>
        <v>433</v>
      </c>
      <c r="B434" s="180" t="str">
        <f>IFERROR(__xludf.DUMMYFUNCTION("""COMPUTED_VALUE"""),"12-16")</f>
        <v>12-16</v>
      </c>
      <c r="C434" s="182" t="str">
        <f>IFERROR(__xludf.DUMMYFUNCTION("""COMPUTED_VALUE"""),"Estimated Delivery Time: 12-16 Weeks, Initials")</f>
        <v>Estimated Delivery Time: 12-16 Weeks, Initials</v>
      </c>
      <c r="E434" s="180"/>
      <c r="F434" s="182"/>
    </row>
    <row r="435">
      <c r="A435" s="179">
        <f>IFERROR(__xludf.DUMMYFUNCTION("""COMPUTED_VALUE"""),434.0)</f>
        <v>434</v>
      </c>
      <c r="B435" s="180" t="str">
        <f>IFERROR(__xludf.DUMMYFUNCTION("""COMPUTED_VALUE"""),"8-12")</f>
        <v>8-12</v>
      </c>
      <c r="C435" s="182" t="str">
        <f>IFERROR(__xludf.DUMMYFUNCTION("""COMPUTED_VALUE"""),"Estimated Delivery Time: 8-12 Weeks, Initials")</f>
        <v>Estimated Delivery Time: 8-12 Weeks, Initials</v>
      </c>
      <c r="E435" s="180"/>
      <c r="F435" s="182"/>
    </row>
    <row r="436">
      <c r="A436" s="179">
        <f>IFERROR(__xludf.DUMMYFUNCTION("""COMPUTED_VALUE"""),435.0)</f>
        <v>435</v>
      </c>
      <c r="B436" s="180" t="str">
        <f>IFERROR(__xludf.DUMMYFUNCTION("""COMPUTED_VALUE"""),"8-12")</f>
        <v>8-12</v>
      </c>
      <c r="C436" s="182" t="str">
        <f>IFERROR(__xludf.DUMMYFUNCTION("""COMPUTED_VALUE"""),"Estimated Delivery Time: 8-12 Weeks, Initials")</f>
        <v>Estimated Delivery Time: 8-12 Weeks, Initials</v>
      </c>
      <c r="E436" s="180"/>
      <c r="F436" s="182"/>
    </row>
    <row r="437">
      <c r="A437" s="179">
        <f>IFERROR(__xludf.DUMMYFUNCTION("""COMPUTED_VALUE"""),436.0)</f>
        <v>436</v>
      </c>
      <c r="B437" s="180" t="str">
        <f>IFERROR(__xludf.DUMMYFUNCTION("""COMPUTED_VALUE"""),"8-12")</f>
        <v>8-12</v>
      </c>
      <c r="C437" s="182" t="str">
        <f>IFERROR(__xludf.DUMMYFUNCTION("""COMPUTED_VALUE"""),"Estimated Delivery Time: 8-12 Weeks, Initials")</f>
        <v>Estimated Delivery Time: 8-12 Weeks, Initials</v>
      </c>
      <c r="E437" s="180"/>
      <c r="F437" s="182"/>
    </row>
    <row r="438">
      <c r="A438" s="179">
        <f>IFERROR(__xludf.DUMMYFUNCTION("""COMPUTED_VALUE"""),437.0)</f>
        <v>437</v>
      </c>
      <c r="B438" s="180" t="str">
        <f>IFERROR(__xludf.DUMMYFUNCTION("""COMPUTED_VALUE"""),"8-12")</f>
        <v>8-12</v>
      </c>
      <c r="C438" s="182" t="str">
        <f>IFERROR(__xludf.DUMMYFUNCTION("""COMPUTED_VALUE"""),"Estimated Delivery Time: 8-12 Weeks, Initials")</f>
        <v>Estimated Delivery Time: 8-12 Weeks, Initials</v>
      </c>
      <c r="E438" s="180"/>
      <c r="F438" s="182"/>
    </row>
    <row r="439">
      <c r="A439" s="179">
        <f>IFERROR(__xludf.DUMMYFUNCTION("""COMPUTED_VALUE"""),438.0)</f>
        <v>438</v>
      </c>
      <c r="B439" s="180" t="str">
        <f>IFERROR(__xludf.DUMMYFUNCTION("""COMPUTED_VALUE"""),"8-12")</f>
        <v>8-12</v>
      </c>
      <c r="C439" s="182" t="str">
        <f>IFERROR(__xludf.DUMMYFUNCTION("""COMPUTED_VALUE"""),"Estimated Delivery Time: 8-12 Weeks, Initials")</f>
        <v>Estimated Delivery Time: 8-12 Weeks, Initials</v>
      </c>
      <c r="E439" s="180"/>
      <c r="F439" s="182"/>
    </row>
    <row r="440">
      <c r="A440" s="179">
        <f>IFERROR(__xludf.DUMMYFUNCTION("""COMPUTED_VALUE"""),439.0)</f>
        <v>439</v>
      </c>
      <c r="B440" s="180" t="str">
        <f>IFERROR(__xludf.DUMMYFUNCTION("""COMPUTED_VALUE"""),"8-12")</f>
        <v>8-12</v>
      </c>
      <c r="C440" s="182" t="str">
        <f>IFERROR(__xludf.DUMMYFUNCTION("""COMPUTED_VALUE"""),"Estimated Delivery Time: 8-12 Weeks, Initials")</f>
        <v>Estimated Delivery Time: 8-12 Weeks, Initials</v>
      </c>
      <c r="E440" s="180"/>
      <c r="F440" s="182"/>
    </row>
    <row r="441">
      <c r="A441" s="179">
        <f>IFERROR(__xludf.DUMMYFUNCTION("""COMPUTED_VALUE"""),440.0)</f>
        <v>440</v>
      </c>
      <c r="B441" s="180" t="str">
        <f>IFERROR(__xludf.DUMMYFUNCTION("""COMPUTED_VALUE"""),"8-12")</f>
        <v>8-12</v>
      </c>
      <c r="C441" s="182" t="str">
        <f>IFERROR(__xludf.DUMMYFUNCTION("""COMPUTED_VALUE"""),"Estimated Delivery Time: 8-12 Weeks, Initials")</f>
        <v>Estimated Delivery Time: 8-12 Weeks, Initials</v>
      </c>
      <c r="E441" s="180"/>
      <c r="F441" s="182"/>
    </row>
    <row r="442">
      <c r="A442" s="179">
        <f>IFERROR(__xludf.DUMMYFUNCTION("""COMPUTED_VALUE"""),441.0)</f>
        <v>441</v>
      </c>
      <c r="B442" s="180" t="str">
        <f>IFERROR(__xludf.DUMMYFUNCTION("""COMPUTED_VALUE"""),"8-12")</f>
        <v>8-12</v>
      </c>
      <c r="C442" s="182" t="str">
        <f>IFERROR(__xludf.DUMMYFUNCTION("""COMPUTED_VALUE"""),"Estimated Delivery Time: 8-12 Weeks, Initials")</f>
        <v>Estimated Delivery Time: 8-12 Weeks, Initials</v>
      </c>
      <c r="E442" s="180"/>
      <c r="F442" s="182"/>
    </row>
    <row r="443">
      <c r="A443" s="179">
        <f>IFERROR(__xludf.DUMMYFUNCTION("""COMPUTED_VALUE"""),442.0)</f>
        <v>442</v>
      </c>
      <c r="B443" s="180" t="str">
        <f>IFERROR(__xludf.DUMMYFUNCTION("""COMPUTED_VALUE"""),"8-12")</f>
        <v>8-12</v>
      </c>
      <c r="C443" s="182" t="str">
        <f>IFERROR(__xludf.DUMMYFUNCTION("""COMPUTED_VALUE"""),"Estimated Delivery Time: 8-12 Weeks, Initials")</f>
        <v>Estimated Delivery Time: 8-12 Weeks, Initials</v>
      </c>
      <c r="E443" s="180"/>
      <c r="F443" s="182"/>
    </row>
    <row r="444">
      <c r="A444" s="179">
        <f>IFERROR(__xludf.DUMMYFUNCTION("""COMPUTED_VALUE"""),443.0)</f>
        <v>443</v>
      </c>
      <c r="B444" s="180" t="str">
        <f>IFERROR(__xludf.DUMMYFUNCTION("""COMPUTED_VALUE"""),"8-12")</f>
        <v>8-12</v>
      </c>
      <c r="C444" s="182" t="str">
        <f>IFERROR(__xludf.DUMMYFUNCTION("""COMPUTED_VALUE"""),"Estimated Delivery Time: 8-12 Weeks, Initials")</f>
        <v>Estimated Delivery Time: 8-12 Weeks, Initials</v>
      </c>
      <c r="E444" s="180"/>
      <c r="F444" s="182"/>
    </row>
    <row r="445">
      <c r="A445" s="179">
        <f>IFERROR(__xludf.DUMMYFUNCTION("""COMPUTED_VALUE"""),444.0)</f>
        <v>444</v>
      </c>
      <c r="B445" s="180" t="str">
        <f>IFERROR(__xludf.DUMMYFUNCTION("""COMPUTED_VALUE"""),"8-12")</f>
        <v>8-12</v>
      </c>
      <c r="C445" s="182" t="str">
        <f>IFERROR(__xludf.DUMMYFUNCTION("""COMPUTED_VALUE"""),"Estimated Delivery Time: 8-12 Weeks, Initials")</f>
        <v>Estimated Delivery Time: 8-12 Weeks, Initials</v>
      </c>
      <c r="E445" s="180"/>
      <c r="F445" s="182"/>
    </row>
    <row r="446">
      <c r="A446" s="179">
        <f>IFERROR(__xludf.DUMMYFUNCTION("""COMPUTED_VALUE"""),445.0)</f>
        <v>445</v>
      </c>
      <c r="B446" s="180" t="str">
        <f>IFERROR(__xludf.DUMMYFUNCTION("""COMPUTED_VALUE"""),"8-12")</f>
        <v>8-12</v>
      </c>
      <c r="C446" s="182" t="str">
        <f>IFERROR(__xludf.DUMMYFUNCTION("""COMPUTED_VALUE"""),"Estimated Delivery Time: 8-12 Weeks, Initials")</f>
        <v>Estimated Delivery Time: 8-12 Weeks, Initials</v>
      </c>
      <c r="E446" s="180"/>
      <c r="F446" s="182"/>
    </row>
    <row r="447">
      <c r="A447" s="179">
        <f>IFERROR(__xludf.DUMMYFUNCTION("""COMPUTED_VALUE"""),446.0)</f>
        <v>446</v>
      </c>
      <c r="B447" s="180" t="str">
        <f>IFERROR(__xludf.DUMMYFUNCTION("""COMPUTED_VALUE"""),"4-6")</f>
        <v>4-6</v>
      </c>
      <c r="C447" s="182" t="str">
        <f>IFERROR(__xludf.DUMMYFUNCTION("""COMPUTED_VALUE"""),"Estimated Delivery Time: 4-6 Weeks, Initials")</f>
        <v>Estimated Delivery Time: 4-6 Weeks, Initials</v>
      </c>
      <c r="E447" s="180"/>
      <c r="F447" s="182"/>
    </row>
    <row r="448">
      <c r="A448" s="179">
        <f>IFERROR(__xludf.DUMMYFUNCTION("""COMPUTED_VALUE"""),447.0)</f>
        <v>447</v>
      </c>
      <c r="B448" s="180" t="str">
        <f>IFERROR(__xludf.DUMMYFUNCTION("""COMPUTED_VALUE"""),"16-20")</f>
        <v>16-20</v>
      </c>
      <c r="C448" s="182" t="str">
        <f>IFERROR(__xludf.DUMMYFUNCTION("""COMPUTED_VALUE"""),"Estimated Delivery Time: 16-20 Weeks, Initials")</f>
        <v>Estimated Delivery Time: 16-20 Weeks, Initials</v>
      </c>
      <c r="E448" s="180"/>
      <c r="F448" s="182"/>
    </row>
    <row r="449">
      <c r="A449" s="179">
        <f>IFERROR(__xludf.DUMMYFUNCTION("""COMPUTED_VALUE"""),448.0)</f>
        <v>448</v>
      </c>
      <c r="B449" s="180" t="str">
        <f>IFERROR(__xludf.DUMMYFUNCTION("""COMPUTED_VALUE"""),"16-20")</f>
        <v>16-20</v>
      </c>
      <c r="C449" s="182" t="str">
        <f>IFERROR(__xludf.DUMMYFUNCTION("""COMPUTED_VALUE"""),"Estimated Delivery Time: 16-20 Weeks, Initials")</f>
        <v>Estimated Delivery Time: 16-20 Weeks, Initials</v>
      </c>
      <c r="E449" s="180"/>
      <c r="F449" s="182"/>
    </row>
    <row r="450">
      <c r="A450" s="179">
        <f>IFERROR(__xludf.DUMMYFUNCTION("""COMPUTED_VALUE"""),449.0)</f>
        <v>449</v>
      </c>
      <c r="B450" s="180" t="str">
        <f>IFERROR(__xludf.DUMMYFUNCTION("""COMPUTED_VALUE"""),"8-12")</f>
        <v>8-12</v>
      </c>
      <c r="C450" s="182" t="str">
        <f>IFERROR(__xludf.DUMMYFUNCTION("""COMPUTED_VALUE"""),"Estimated Delivery Time: 8-12 Weeks, Initials")</f>
        <v>Estimated Delivery Time: 8-12 Weeks, Initials</v>
      </c>
      <c r="E450" s="180"/>
      <c r="F450" s="182"/>
    </row>
    <row r="451">
      <c r="A451" s="179">
        <f>IFERROR(__xludf.DUMMYFUNCTION("""COMPUTED_VALUE"""),450.0)</f>
        <v>450</v>
      </c>
      <c r="B451" s="180" t="str">
        <f>IFERROR(__xludf.DUMMYFUNCTION("""COMPUTED_VALUE"""),"8-12")</f>
        <v>8-12</v>
      </c>
      <c r="C451" s="182" t="str">
        <f>IFERROR(__xludf.DUMMYFUNCTION("""COMPUTED_VALUE"""),"Estimated Delivery Time: 8-12 Weeks, Initials")</f>
        <v>Estimated Delivery Time: 8-12 Weeks, Initials</v>
      </c>
      <c r="E451" s="180"/>
      <c r="F451" s="182"/>
    </row>
    <row r="452">
      <c r="A452" s="179">
        <f>IFERROR(__xludf.DUMMYFUNCTION("""COMPUTED_VALUE"""),451.0)</f>
        <v>451</v>
      </c>
      <c r="B452" s="180" t="str">
        <f>IFERROR(__xludf.DUMMYFUNCTION("""COMPUTED_VALUE"""),"8-12")</f>
        <v>8-12</v>
      </c>
      <c r="C452" s="182" t="str">
        <f>IFERROR(__xludf.DUMMYFUNCTION("""COMPUTED_VALUE"""),"Estimated Delivery Time: 8-12 Weeks, Initials")</f>
        <v>Estimated Delivery Time: 8-12 Weeks, Initials</v>
      </c>
      <c r="E452" s="180"/>
      <c r="F452" s="182"/>
    </row>
    <row r="453">
      <c r="A453" s="179">
        <f>IFERROR(__xludf.DUMMYFUNCTION("""COMPUTED_VALUE"""),452.0)</f>
        <v>452</v>
      </c>
      <c r="B453" s="180" t="str">
        <f>IFERROR(__xludf.DUMMYFUNCTION("""COMPUTED_VALUE"""),"8-12")</f>
        <v>8-12</v>
      </c>
      <c r="C453" s="182" t="str">
        <f>IFERROR(__xludf.DUMMYFUNCTION("""COMPUTED_VALUE"""),"Estimated Delivery Time: 8-12 Weeks, Initials")</f>
        <v>Estimated Delivery Time: 8-12 Weeks, Initials</v>
      </c>
      <c r="E453" s="180"/>
      <c r="F453" s="182"/>
    </row>
    <row r="454">
      <c r="A454" s="179">
        <f>IFERROR(__xludf.DUMMYFUNCTION("""COMPUTED_VALUE"""),453.0)</f>
        <v>453</v>
      </c>
      <c r="B454" s="180" t="str">
        <f>IFERROR(__xludf.DUMMYFUNCTION("""COMPUTED_VALUE"""),"8-12")</f>
        <v>8-12</v>
      </c>
      <c r="C454" s="182" t="str">
        <f>IFERROR(__xludf.DUMMYFUNCTION("""COMPUTED_VALUE"""),"Estimated Delivery Time: 8-12 Weeks, Initials")</f>
        <v>Estimated Delivery Time: 8-12 Weeks, Initials</v>
      </c>
      <c r="E454" s="180"/>
      <c r="F454" s="182"/>
    </row>
    <row r="455">
      <c r="A455" s="179">
        <f>IFERROR(__xludf.DUMMYFUNCTION("""COMPUTED_VALUE"""),454.0)</f>
        <v>454</v>
      </c>
      <c r="B455" s="180" t="str">
        <f>IFERROR(__xludf.DUMMYFUNCTION("""COMPUTED_VALUE"""),"8-12")</f>
        <v>8-12</v>
      </c>
      <c r="C455" s="182" t="str">
        <f>IFERROR(__xludf.DUMMYFUNCTION("""COMPUTED_VALUE"""),"Estimated Delivery Time: 8-12 Weeks, Initials")</f>
        <v>Estimated Delivery Time: 8-12 Weeks, Initials</v>
      </c>
      <c r="E455" s="180"/>
      <c r="F455" s="182"/>
    </row>
    <row r="456">
      <c r="A456" s="179">
        <f>IFERROR(__xludf.DUMMYFUNCTION("""COMPUTED_VALUE"""),455.0)</f>
        <v>455</v>
      </c>
      <c r="B456" s="180" t="str">
        <f>IFERROR(__xludf.DUMMYFUNCTION("""COMPUTED_VALUE"""),"8-12")</f>
        <v>8-12</v>
      </c>
      <c r="C456" s="182" t="str">
        <f>IFERROR(__xludf.DUMMYFUNCTION("""COMPUTED_VALUE"""),"Estimated Delivery Time: 8-12 Weeks, Initials")</f>
        <v>Estimated Delivery Time: 8-12 Weeks, Initials</v>
      </c>
      <c r="E456" s="180"/>
      <c r="F456" s="182"/>
    </row>
    <row r="457">
      <c r="A457" s="179">
        <f>IFERROR(__xludf.DUMMYFUNCTION("""COMPUTED_VALUE"""),456.0)</f>
        <v>456</v>
      </c>
      <c r="B457" s="180" t="str">
        <f>IFERROR(__xludf.DUMMYFUNCTION("""COMPUTED_VALUE"""),"8-12")</f>
        <v>8-12</v>
      </c>
      <c r="C457" s="182" t="str">
        <f>IFERROR(__xludf.DUMMYFUNCTION("""COMPUTED_VALUE"""),"Estimated Delivery Time: 8-12 Weeks, Initials")</f>
        <v>Estimated Delivery Time: 8-12 Weeks, Initials</v>
      </c>
      <c r="E457" s="180"/>
      <c r="F457" s="182"/>
    </row>
    <row r="458">
      <c r="A458" s="179">
        <f>IFERROR(__xludf.DUMMYFUNCTION("""COMPUTED_VALUE"""),457.0)</f>
        <v>457</v>
      </c>
      <c r="B458" s="180" t="str">
        <f>IFERROR(__xludf.DUMMYFUNCTION("""COMPUTED_VALUE"""),"8-12")</f>
        <v>8-12</v>
      </c>
      <c r="C458" s="182" t="str">
        <f>IFERROR(__xludf.DUMMYFUNCTION("""COMPUTED_VALUE"""),"Estimated Delivery Time: 8-12 Weeks, Initials")</f>
        <v>Estimated Delivery Time: 8-12 Weeks, Initials</v>
      </c>
      <c r="E458" s="180"/>
      <c r="F458" s="182"/>
    </row>
    <row r="459">
      <c r="A459" s="179">
        <f>IFERROR(__xludf.DUMMYFUNCTION("""COMPUTED_VALUE"""),458.0)</f>
        <v>458</v>
      </c>
      <c r="B459" s="180" t="str">
        <f>IFERROR(__xludf.DUMMYFUNCTION("""COMPUTED_VALUE"""),"8-12")</f>
        <v>8-12</v>
      </c>
      <c r="C459" s="182" t="str">
        <f>IFERROR(__xludf.DUMMYFUNCTION("""COMPUTED_VALUE"""),"Estimated Delivery Time: 8-12 Weeks, Initials")</f>
        <v>Estimated Delivery Time: 8-12 Weeks, Initials</v>
      </c>
      <c r="E459" s="180"/>
      <c r="F459" s="182"/>
    </row>
    <row r="460">
      <c r="A460" s="179">
        <f>IFERROR(__xludf.DUMMYFUNCTION("""COMPUTED_VALUE"""),459.0)</f>
        <v>459</v>
      </c>
      <c r="B460" s="180" t="str">
        <f>IFERROR(__xludf.DUMMYFUNCTION("""COMPUTED_VALUE"""),"8-12")</f>
        <v>8-12</v>
      </c>
      <c r="C460" s="182" t="str">
        <f>IFERROR(__xludf.DUMMYFUNCTION("""COMPUTED_VALUE"""),"Estimated Delivery Time: 8-12 Weeks, Initials")</f>
        <v>Estimated Delivery Time: 8-12 Weeks, Initials</v>
      </c>
      <c r="E460" s="180"/>
      <c r="F460" s="182"/>
    </row>
    <row r="461">
      <c r="A461" s="179">
        <f>IFERROR(__xludf.DUMMYFUNCTION("""COMPUTED_VALUE"""),460.0)</f>
        <v>460</v>
      </c>
      <c r="B461" s="180" t="str">
        <f>IFERROR(__xludf.DUMMYFUNCTION("""COMPUTED_VALUE"""),"8-12")</f>
        <v>8-12</v>
      </c>
      <c r="C461" s="182" t="str">
        <f>IFERROR(__xludf.DUMMYFUNCTION("""COMPUTED_VALUE"""),"Estimated Delivery Time: 8-12 Weeks, Initials")</f>
        <v>Estimated Delivery Time: 8-12 Weeks, Initials</v>
      </c>
      <c r="E461" s="180"/>
      <c r="F461" s="182"/>
    </row>
    <row r="462">
      <c r="A462" s="179">
        <f>IFERROR(__xludf.DUMMYFUNCTION("""COMPUTED_VALUE"""),461.0)</f>
        <v>461</v>
      </c>
      <c r="B462" s="180" t="str">
        <f>IFERROR(__xludf.DUMMYFUNCTION("""COMPUTED_VALUE"""),"8-12")</f>
        <v>8-12</v>
      </c>
      <c r="C462" s="182" t="str">
        <f>IFERROR(__xludf.DUMMYFUNCTION("""COMPUTED_VALUE"""),"Estimated Delivery Time: 8-12 Weeks, Initials")</f>
        <v>Estimated Delivery Time: 8-12 Weeks, Initials</v>
      </c>
      <c r="E462" s="180"/>
      <c r="F462" s="182"/>
    </row>
    <row r="463">
      <c r="A463" s="179">
        <f>IFERROR(__xludf.DUMMYFUNCTION("""COMPUTED_VALUE"""),462.0)</f>
        <v>462</v>
      </c>
      <c r="B463" s="180" t="str">
        <f>IFERROR(__xludf.DUMMYFUNCTION("""COMPUTED_VALUE"""),"8-12")</f>
        <v>8-12</v>
      </c>
      <c r="C463" s="182" t="str">
        <f>IFERROR(__xludf.DUMMYFUNCTION("""COMPUTED_VALUE"""),"Estimated Delivery Time: 8-12 Weeks, Initials")</f>
        <v>Estimated Delivery Time: 8-12 Weeks, Initials</v>
      </c>
      <c r="E463" s="180"/>
      <c r="F463" s="182"/>
    </row>
    <row r="464">
      <c r="A464" s="179">
        <f>IFERROR(__xludf.DUMMYFUNCTION("""COMPUTED_VALUE"""),463.0)</f>
        <v>463</v>
      </c>
      <c r="B464" s="180" t="str">
        <f>IFERROR(__xludf.DUMMYFUNCTION("""COMPUTED_VALUE"""),"8-12")</f>
        <v>8-12</v>
      </c>
      <c r="C464" s="182" t="str">
        <f>IFERROR(__xludf.DUMMYFUNCTION("""COMPUTED_VALUE"""),"Estimated Delivery Time: 8-12 Weeks, Initials")</f>
        <v>Estimated Delivery Time: 8-12 Weeks, Initials</v>
      </c>
      <c r="E464" s="180"/>
      <c r="F464" s="182"/>
    </row>
    <row r="465">
      <c r="A465" s="179">
        <f>IFERROR(__xludf.DUMMYFUNCTION("""COMPUTED_VALUE"""),464.0)</f>
        <v>464</v>
      </c>
      <c r="B465" s="180" t="str">
        <f>IFERROR(__xludf.DUMMYFUNCTION("""COMPUTED_VALUE"""),"8-12")</f>
        <v>8-12</v>
      </c>
      <c r="C465" s="182" t="str">
        <f>IFERROR(__xludf.DUMMYFUNCTION("""COMPUTED_VALUE"""),"Estimated Delivery Time: 8-12 Weeks, Initials")</f>
        <v>Estimated Delivery Time: 8-12 Weeks, Initials</v>
      </c>
      <c r="E465" s="180"/>
      <c r="F465" s="182"/>
    </row>
    <row r="466">
      <c r="A466" s="179">
        <f>IFERROR(__xludf.DUMMYFUNCTION("""COMPUTED_VALUE"""),465.0)</f>
        <v>465</v>
      </c>
      <c r="B466" s="180" t="str">
        <f>IFERROR(__xludf.DUMMYFUNCTION("""COMPUTED_VALUE"""),"8-12")</f>
        <v>8-12</v>
      </c>
      <c r="C466" s="182" t="str">
        <f>IFERROR(__xludf.DUMMYFUNCTION("""COMPUTED_VALUE"""),"Estimated Delivery Time: 8-12 Weeks, Initials")</f>
        <v>Estimated Delivery Time: 8-12 Weeks, Initials</v>
      </c>
      <c r="E466" s="180"/>
      <c r="F466" s="182"/>
    </row>
    <row r="467">
      <c r="A467" s="179">
        <f>IFERROR(__xludf.DUMMYFUNCTION("""COMPUTED_VALUE"""),466.0)</f>
        <v>466</v>
      </c>
      <c r="B467" s="180" t="str">
        <f>IFERROR(__xludf.DUMMYFUNCTION("""COMPUTED_VALUE"""),"8-12")</f>
        <v>8-12</v>
      </c>
      <c r="C467" s="182" t="str">
        <f>IFERROR(__xludf.DUMMYFUNCTION("""COMPUTED_VALUE"""),"Estimated Delivery Time: 8-12 Weeks, Initials")</f>
        <v>Estimated Delivery Time: 8-12 Weeks, Initials</v>
      </c>
      <c r="E467" s="180"/>
      <c r="F467" s="182"/>
    </row>
    <row r="468">
      <c r="A468" s="179">
        <f>IFERROR(__xludf.DUMMYFUNCTION("""COMPUTED_VALUE"""),467.0)</f>
        <v>467</v>
      </c>
      <c r="B468" s="180" t="str">
        <f>IFERROR(__xludf.DUMMYFUNCTION("""COMPUTED_VALUE"""),"8-12")</f>
        <v>8-12</v>
      </c>
      <c r="C468" s="182" t="str">
        <f>IFERROR(__xludf.DUMMYFUNCTION("""COMPUTED_VALUE"""),"Estimated Delivery Time: 8-12 Weeks, Initials")</f>
        <v>Estimated Delivery Time: 8-12 Weeks, Initials</v>
      </c>
      <c r="E468" s="180"/>
      <c r="F468" s="182"/>
    </row>
    <row r="469">
      <c r="A469" s="179">
        <f>IFERROR(__xludf.DUMMYFUNCTION("""COMPUTED_VALUE"""),468.0)</f>
        <v>468</v>
      </c>
      <c r="B469" s="180" t="str">
        <f>IFERROR(__xludf.DUMMYFUNCTION("""COMPUTED_VALUE"""),"8-12")</f>
        <v>8-12</v>
      </c>
      <c r="C469" s="182" t="str">
        <f>IFERROR(__xludf.DUMMYFUNCTION("""COMPUTED_VALUE"""),"Estimated Delivery Time: 8-12 Weeks, Initials")</f>
        <v>Estimated Delivery Time: 8-12 Weeks, Initials</v>
      </c>
      <c r="E469" s="180"/>
      <c r="F469" s="182"/>
    </row>
    <row r="470">
      <c r="A470" s="179">
        <f>IFERROR(__xludf.DUMMYFUNCTION("""COMPUTED_VALUE"""),469.0)</f>
        <v>469</v>
      </c>
      <c r="B470" s="180" t="str">
        <f>IFERROR(__xludf.DUMMYFUNCTION("""COMPUTED_VALUE"""),"8-12")</f>
        <v>8-12</v>
      </c>
      <c r="C470" s="182" t="str">
        <f>IFERROR(__xludf.DUMMYFUNCTION("""COMPUTED_VALUE"""),"Estimated Delivery Time: 8-12 Weeks, Initials")</f>
        <v>Estimated Delivery Time: 8-12 Weeks, Initials</v>
      </c>
      <c r="E470" s="180"/>
      <c r="F470" s="182"/>
    </row>
    <row r="471">
      <c r="A471" s="179">
        <f>IFERROR(__xludf.DUMMYFUNCTION("""COMPUTED_VALUE"""),470.0)</f>
        <v>470</v>
      </c>
      <c r="B471" s="180" t="str">
        <f>IFERROR(__xludf.DUMMYFUNCTION("""COMPUTED_VALUE"""),"8-12")</f>
        <v>8-12</v>
      </c>
      <c r="C471" s="182" t="str">
        <f>IFERROR(__xludf.DUMMYFUNCTION("""COMPUTED_VALUE"""),"Estimated Delivery Time: 8-12 Weeks, Initials")</f>
        <v>Estimated Delivery Time: 8-12 Weeks, Initials</v>
      </c>
      <c r="E471" s="180"/>
      <c r="F471" s="182"/>
    </row>
    <row r="472">
      <c r="A472" s="179">
        <f>IFERROR(__xludf.DUMMYFUNCTION("""COMPUTED_VALUE"""),471.0)</f>
        <v>471</v>
      </c>
      <c r="B472" s="180" t="str">
        <f>IFERROR(__xludf.DUMMYFUNCTION("""COMPUTED_VALUE"""),"8-12")</f>
        <v>8-12</v>
      </c>
      <c r="C472" s="182" t="str">
        <f>IFERROR(__xludf.DUMMYFUNCTION("""COMPUTED_VALUE"""),"Estimated Delivery Time: 8-12 Weeks, Initials")</f>
        <v>Estimated Delivery Time: 8-12 Weeks, Initials</v>
      </c>
      <c r="E472" s="180"/>
      <c r="F472" s="182"/>
    </row>
    <row r="473">
      <c r="A473" s="179">
        <f>IFERROR(__xludf.DUMMYFUNCTION("""COMPUTED_VALUE"""),472.0)</f>
        <v>472</v>
      </c>
      <c r="B473" s="180" t="str">
        <f>IFERROR(__xludf.DUMMYFUNCTION("""COMPUTED_VALUE"""),"8-12")</f>
        <v>8-12</v>
      </c>
      <c r="C473" s="182" t="str">
        <f>IFERROR(__xludf.DUMMYFUNCTION("""COMPUTED_VALUE"""),"Estimated Delivery Time: 8-12 Weeks, Initials")</f>
        <v>Estimated Delivery Time: 8-12 Weeks, Initials</v>
      </c>
      <c r="E473" s="180"/>
      <c r="F473" s="182"/>
    </row>
    <row r="474">
      <c r="A474" s="179">
        <f>IFERROR(__xludf.DUMMYFUNCTION("""COMPUTED_VALUE"""),473.0)</f>
        <v>473</v>
      </c>
      <c r="B474" s="180" t="str">
        <f>IFERROR(__xludf.DUMMYFUNCTION("""COMPUTED_VALUE"""),"8-12")</f>
        <v>8-12</v>
      </c>
      <c r="C474" s="182" t="str">
        <f>IFERROR(__xludf.DUMMYFUNCTION("""COMPUTED_VALUE"""),"Estimated Delivery Time: 8-12 Weeks, Initials")</f>
        <v>Estimated Delivery Time: 8-12 Weeks, Initials</v>
      </c>
      <c r="E474" s="180"/>
      <c r="F474" s="182"/>
    </row>
    <row r="475">
      <c r="A475" s="179">
        <f>IFERROR(__xludf.DUMMYFUNCTION("""COMPUTED_VALUE"""),474.0)</f>
        <v>474</v>
      </c>
      <c r="B475" s="180" t="str">
        <f>IFERROR(__xludf.DUMMYFUNCTION("""COMPUTED_VALUE"""),"8-12")</f>
        <v>8-12</v>
      </c>
      <c r="C475" s="182" t="str">
        <f>IFERROR(__xludf.DUMMYFUNCTION("""COMPUTED_VALUE"""),"Estimated Delivery Time: 8-12 Weeks, Initials")</f>
        <v>Estimated Delivery Time: 8-12 Weeks, Initials</v>
      </c>
      <c r="E475" s="180"/>
      <c r="F475" s="182"/>
    </row>
    <row r="476">
      <c r="A476" s="179">
        <f>IFERROR(__xludf.DUMMYFUNCTION("""COMPUTED_VALUE"""),475.0)</f>
        <v>475</v>
      </c>
      <c r="B476" s="180" t="str">
        <f>IFERROR(__xludf.DUMMYFUNCTION("""COMPUTED_VALUE"""),"8-12")</f>
        <v>8-12</v>
      </c>
      <c r="C476" s="182" t="str">
        <f>IFERROR(__xludf.DUMMYFUNCTION("""COMPUTED_VALUE"""),"Estimated Delivery Time: 8-12 Weeks, Initials")</f>
        <v>Estimated Delivery Time: 8-12 Weeks, Initials</v>
      </c>
      <c r="E476" s="180"/>
      <c r="F476" s="182"/>
    </row>
    <row r="477">
      <c r="A477" s="179">
        <f>IFERROR(__xludf.DUMMYFUNCTION("""COMPUTED_VALUE"""),476.0)</f>
        <v>476</v>
      </c>
      <c r="B477" s="180" t="str">
        <f>IFERROR(__xludf.DUMMYFUNCTION("""COMPUTED_VALUE"""),"8-12")</f>
        <v>8-12</v>
      </c>
      <c r="C477" s="182" t="str">
        <f>IFERROR(__xludf.DUMMYFUNCTION("""COMPUTED_VALUE"""),"Estimated Delivery Time: 8-12 Weeks, Initials")</f>
        <v>Estimated Delivery Time: 8-12 Weeks, Initials</v>
      </c>
      <c r="E477" s="180"/>
      <c r="F477" s="182"/>
    </row>
    <row r="478">
      <c r="A478" s="179">
        <f>IFERROR(__xludf.DUMMYFUNCTION("""COMPUTED_VALUE"""),477.0)</f>
        <v>477</v>
      </c>
      <c r="B478" s="180" t="str">
        <f>IFERROR(__xludf.DUMMYFUNCTION("""COMPUTED_VALUE"""),"8-12")</f>
        <v>8-12</v>
      </c>
      <c r="C478" s="182" t="str">
        <f>IFERROR(__xludf.DUMMYFUNCTION("""COMPUTED_VALUE"""),"Estimated Delivery Time: 8-12 Weeks, Initials")</f>
        <v>Estimated Delivery Time: 8-12 Weeks, Initials</v>
      </c>
      <c r="E478" s="180"/>
      <c r="F478" s="182"/>
    </row>
    <row r="479">
      <c r="A479" s="179">
        <f>IFERROR(__xludf.DUMMYFUNCTION("""COMPUTED_VALUE"""),478.0)</f>
        <v>478</v>
      </c>
      <c r="B479" s="180" t="str">
        <f>IFERROR(__xludf.DUMMYFUNCTION("""COMPUTED_VALUE"""),"8-12")</f>
        <v>8-12</v>
      </c>
      <c r="C479" s="182" t="str">
        <f>IFERROR(__xludf.DUMMYFUNCTION("""COMPUTED_VALUE"""),"Estimated Delivery Time: 8-12 Weeks, Initials")</f>
        <v>Estimated Delivery Time: 8-12 Weeks, Initials</v>
      </c>
      <c r="E479" s="180"/>
      <c r="F479" s="182"/>
    </row>
    <row r="480">
      <c r="A480" s="179">
        <f>IFERROR(__xludf.DUMMYFUNCTION("""COMPUTED_VALUE"""),479.0)</f>
        <v>479</v>
      </c>
      <c r="B480" s="180" t="str">
        <f>IFERROR(__xludf.DUMMYFUNCTION("""COMPUTED_VALUE"""),"8-12")</f>
        <v>8-12</v>
      </c>
      <c r="C480" s="182" t="str">
        <f>IFERROR(__xludf.DUMMYFUNCTION("""COMPUTED_VALUE"""),"Estimated Delivery Time: 8-12 Weeks, Initials")</f>
        <v>Estimated Delivery Time: 8-12 Weeks, Initials</v>
      </c>
      <c r="E480" s="180"/>
      <c r="F480" s="182"/>
    </row>
    <row r="481">
      <c r="A481" s="179">
        <f>IFERROR(__xludf.DUMMYFUNCTION("""COMPUTED_VALUE"""),480.0)</f>
        <v>480</v>
      </c>
      <c r="B481" s="180" t="str">
        <f>IFERROR(__xludf.DUMMYFUNCTION("""COMPUTED_VALUE"""),"8-12")</f>
        <v>8-12</v>
      </c>
      <c r="C481" s="182" t="str">
        <f>IFERROR(__xludf.DUMMYFUNCTION("""COMPUTED_VALUE"""),"Estimated Delivery Time: 8-12 Weeks, Initials")</f>
        <v>Estimated Delivery Time: 8-12 Weeks, Initials</v>
      </c>
      <c r="E481" s="180"/>
      <c r="F481" s="182"/>
    </row>
    <row r="482">
      <c r="A482" s="179">
        <f>IFERROR(__xludf.DUMMYFUNCTION("""COMPUTED_VALUE"""),481.0)</f>
        <v>481</v>
      </c>
      <c r="B482" s="180" t="str">
        <f>IFERROR(__xludf.DUMMYFUNCTION("""COMPUTED_VALUE"""),"8-12")</f>
        <v>8-12</v>
      </c>
      <c r="C482" s="182" t="str">
        <f>IFERROR(__xludf.DUMMYFUNCTION("""COMPUTED_VALUE"""),"Estimated Delivery Time: 8-12 Weeks, Initials")</f>
        <v>Estimated Delivery Time: 8-12 Weeks, Initials</v>
      </c>
      <c r="E482" s="180"/>
      <c r="F482" s="182"/>
    </row>
    <row r="483">
      <c r="A483" s="179">
        <f>IFERROR(__xludf.DUMMYFUNCTION("""COMPUTED_VALUE"""),482.0)</f>
        <v>482</v>
      </c>
      <c r="B483" s="180" t="str">
        <f>IFERROR(__xludf.DUMMYFUNCTION("""COMPUTED_VALUE"""),"8-12")</f>
        <v>8-12</v>
      </c>
      <c r="C483" s="182" t="str">
        <f>IFERROR(__xludf.DUMMYFUNCTION("""COMPUTED_VALUE"""),"Estimated Delivery Time: 8-12 Weeks, Initials")</f>
        <v>Estimated Delivery Time: 8-12 Weeks, Initials</v>
      </c>
      <c r="E483" s="180"/>
      <c r="F483" s="182"/>
    </row>
    <row r="484">
      <c r="A484" s="179">
        <f>IFERROR(__xludf.DUMMYFUNCTION("""COMPUTED_VALUE"""),483.0)</f>
        <v>483</v>
      </c>
      <c r="B484" s="180" t="str">
        <f>IFERROR(__xludf.DUMMYFUNCTION("""COMPUTED_VALUE"""),"8-12")</f>
        <v>8-12</v>
      </c>
      <c r="C484" s="182" t="str">
        <f>IFERROR(__xludf.DUMMYFUNCTION("""COMPUTED_VALUE"""),"Estimated Delivery Time: 8-12 Weeks, Initials")</f>
        <v>Estimated Delivery Time: 8-12 Weeks, Initials</v>
      </c>
      <c r="E484" s="180"/>
      <c r="F484" s="182"/>
    </row>
    <row r="485">
      <c r="A485" s="179">
        <f>IFERROR(__xludf.DUMMYFUNCTION("""COMPUTED_VALUE"""),484.0)</f>
        <v>484</v>
      </c>
      <c r="B485" s="180" t="str">
        <f>IFERROR(__xludf.DUMMYFUNCTION("""COMPUTED_VALUE"""),"8-12")</f>
        <v>8-12</v>
      </c>
      <c r="C485" s="182" t="str">
        <f>IFERROR(__xludf.DUMMYFUNCTION("""COMPUTED_VALUE"""),"Estimated Delivery Time: 8-12 Weeks, Initials")</f>
        <v>Estimated Delivery Time: 8-12 Weeks, Initials</v>
      </c>
      <c r="E485" s="180"/>
      <c r="F485" s="182"/>
    </row>
    <row r="486">
      <c r="A486" s="179">
        <f>IFERROR(__xludf.DUMMYFUNCTION("""COMPUTED_VALUE"""),485.0)</f>
        <v>485</v>
      </c>
      <c r="B486" s="180" t="str">
        <f>IFERROR(__xludf.DUMMYFUNCTION("""COMPUTED_VALUE"""),"8-12")</f>
        <v>8-12</v>
      </c>
      <c r="C486" s="182" t="str">
        <f>IFERROR(__xludf.DUMMYFUNCTION("""COMPUTED_VALUE"""),"Estimated Delivery Time: 8-12 Weeks, Initials")</f>
        <v>Estimated Delivery Time: 8-12 Weeks, Initials</v>
      </c>
      <c r="E486" s="180"/>
      <c r="F486" s="182"/>
    </row>
    <row r="487">
      <c r="A487" s="179">
        <f>IFERROR(__xludf.DUMMYFUNCTION("""COMPUTED_VALUE"""),486.0)</f>
        <v>486</v>
      </c>
      <c r="B487" s="180" t="str">
        <f>IFERROR(__xludf.DUMMYFUNCTION("""COMPUTED_VALUE"""),"8-12")</f>
        <v>8-12</v>
      </c>
      <c r="C487" s="182" t="str">
        <f>IFERROR(__xludf.DUMMYFUNCTION("""COMPUTED_VALUE"""),"Estimated Delivery Time: 8-12 Weeks, Initials")</f>
        <v>Estimated Delivery Time: 8-12 Weeks, Initials</v>
      </c>
      <c r="E487" s="180"/>
      <c r="F487" s="182"/>
    </row>
    <row r="488">
      <c r="A488" s="179">
        <f>IFERROR(__xludf.DUMMYFUNCTION("""COMPUTED_VALUE"""),487.0)</f>
        <v>487</v>
      </c>
      <c r="B488" s="180" t="str">
        <f>IFERROR(__xludf.DUMMYFUNCTION("""COMPUTED_VALUE"""),"8-12")</f>
        <v>8-12</v>
      </c>
      <c r="C488" s="182" t="str">
        <f>IFERROR(__xludf.DUMMYFUNCTION("""COMPUTED_VALUE"""),"Estimated Delivery Time: 8-12 Weeks, Initials")</f>
        <v>Estimated Delivery Time: 8-12 Weeks, Initials</v>
      </c>
      <c r="E488" s="180"/>
      <c r="F488" s="182"/>
    </row>
    <row r="489">
      <c r="A489" s="179">
        <f>IFERROR(__xludf.DUMMYFUNCTION("""COMPUTED_VALUE"""),488.0)</f>
        <v>488</v>
      </c>
      <c r="B489" s="180" t="str">
        <f>IFERROR(__xludf.DUMMYFUNCTION("""COMPUTED_VALUE"""),"8-12")</f>
        <v>8-12</v>
      </c>
      <c r="C489" s="182" t="str">
        <f>IFERROR(__xludf.DUMMYFUNCTION("""COMPUTED_VALUE"""),"Estimated Delivery Time: 8-12 Weeks, Initials")</f>
        <v>Estimated Delivery Time: 8-12 Weeks, Initials</v>
      </c>
      <c r="E489" s="180"/>
      <c r="F489" s="182"/>
    </row>
    <row r="490">
      <c r="A490" s="179">
        <f>IFERROR(__xludf.DUMMYFUNCTION("""COMPUTED_VALUE"""),489.0)</f>
        <v>489</v>
      </c>
      <c r="B490" s="180" t="str">
        <f>IFERROR(__xludf.DUMMYFUNCTION("""COMPUTED_VALUE"""),"8-12")</f>
        <v>8-12</v>
      </c>
      <c r="C490" s="182" t="str">
        <f>IFERROR(__xludf.DUMMYFUNCTION("""COMPUTED_VALUE"""),"Estimated Delivery Time: 8-12 Weeks, Initials")</f>
        <v>Estimated Delivery Time: 8-12 Weeks, Initials</v>
      </c>
      <c r="E490" s="180"/>
      <c r="F490" s="182"/>
    </row>
    <row r="491">
      <c r="A491" s="179">
        <f>IFERROR(__xludf.DUMMYFUNCTION("""COMPUTED_VALUE"""),490.0)</f>
        <v>490</v>
      </c>
      <c r="B491" s="180" t="str">
        <f>IFERROR(__xludf.DUMMYFUNCTION("""COMPUTED_VALUE"""),"8-12")</f>
        <v>8-12</v>
      </c>
      <c r="C491" s="182" t="str">
        <f>IFERROR(__xludf.DUMMYFUNCTION("""COMPUTED_VALUE"""),"Estimated Delivery Time: 8-12 Weeks, Initials")</f>
        <v>Estimated Delivery Time: 8-12 Weeks, Initials</v>
      </c>
      <c r="E491" s="180"/>
      <c r="F491" s="182"/>
    </row>
    <row r="492">
      <c r="A492" s="179">
        <f>IFERROR(__xludf.DUMMYFUNCTION("""COMPUTED_VALUE"""),491.0)</f>
        <v>491</v>
      </c>
      <c r="B492" s="180" t="str">
        <f>IFERROR(__xludf.DUMMYFUNCTION("""COMPUTED_VALUE"""),"8-12")</f>
        <v>8-12</v>
      </c>
      <c r="C492" s="182" t="str">
        <f>IFERROR(__xludf.DUMMYFUNCTION("""COMPUTED_VALUE"""),"Estimated Delivery Time: 8-12 Weeks, Initials")</f>
        <v>Estimated Delivery Time: 8-12 Weeks, Initials</v>
      </c>
      <c r="E492" s="180"/>
      <c r="F492" s="182"/>
    </row>
  </sheetData>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8.0"/>
    <col customWidth="1" min="3" max="3" width="37.38"/>
    <col customWidth="1" min="5" max="5" width="26.63"/>
  </cols>
  <sheetData>
    <row r="1">
      <c r="A1" s="179" t="s">
        <v>8559</v>
      </c>
      <c r="B1" s="180" t="s">
        <v>8560</v>
      </c>
      <c r="C1" s="181" t="s">
        <v>8561</v>
      </c>
      <c r="D1" s="1" t="str">
        <f> "Last Column " &amp; Checks!$D$6</f>
        <v>Last Column D</v>
      </c>
      <c r="E1" s="180" t="s">
        <v>8562</v>
      </c>
    </row>
    <row r="2">
      <c r="A2" s="179">
        <v>1.0</v>
      </c>
      <c r="B2" s="180" t="s">
        <v>8564</v>
      </c>
      <c r="C2" s="182" t="s">
        <v>8565</v>
      </c>
      <c r="D2" s="50"/>
    </row>
    <row r="3">
      <c r="A3" s="179">
        <v>2.0</v>
      </c>
      <c r="B3" s="180" t="s">
        <v>8566</v>
      </c>
      <c r="C3" s="182" t="s">
        <v>8567</v>
      </c>
    </row>
    <row r="4">
      <c r="A4" s="179">
        <v>3.0</v>
      </c>
      <c r="B4" s="180" t="s">
        <v>8566</v>
      </c>
      <c r="C4" s="182" t="s">
        <v>8567</v>
      </c>
    </row>
    <row r="5">
      <c r="A5" s="179">
        <v>4.0</v>
      </c>
      <c r="B5" s="180" t="s">
        <v>8566</v>
      </c>
      <c r="C5" s="182" t="s">
        <v>8567</v>
      </c>
    </row>
    <row r="6">
      <c r="A6" s="179">
        <v>5.0</v>
      </c>
      <c r="B6" s="180" t="s">
        <v>8564</v>
      </c>
      <c r="C6" s="182" t="s">
        <v>8565</v>
      </c>
    </row>
    <row r="7">
      <c r="A7" s="179">
        <v>6.0</v>
      </c>
      <c r="B7" s="180" t="s">
        <v>8564</v>
      </c>
      <c r="C7" s="182" t="s">
        <v>8565</v>
      </c>
    </row>
    <row r="8">
      <c r="A8" s="179">
        <v>7.0</v>
      </c>
      <c r="B8" s="180" t="s">
        <v>8564</v>
      </c>
      <c r="C8" s="182" t="s">
        <v>8565</v>
      </c>
    </row>
    <row r="9">
      <c r="A9" s="179">
        <v>8.0</v>
      </c>
      <c r="B9" s="180" t="s">
        <v>8564</v>
      </c>
      <c r="C9" s="182" t="s">
        <v>8565</v>
      </c>
    </row>
    <row r="10">
      <c r="A10" s="179">
        <v>9.0</v>
      </c>
      <c r="B10" s="180" t="s">
        <v>8564</v>
      </c>
      <c r="C10" s="182" t="s">
        <v>8565</v>
      </c>
    </row>
    <row r="11">
      <c r="A11" s="179">
        <v>10.0</v>
      </c>
      <c r="B11" s="180" t="s">
        <v>8564</v>
      </c>
      <c r="C11" s="182" t="s">
        <v>8565</v>
      </c>
    </row>
    <row r="12">
      <c r="A12" s="179">
        <v>11.0</v>
      </c>
      <c r="B12" s="180" t="s">
        <v>8564</v>
      </c>
      <c r="C12" s="182" t="s">
        <v>8565</v>
      </c>
    </row>
    <row r="13">
      <c r="A13" s="179">
        <v>12.0</v>
      </c>
      <c r="B13" s="180" t="s">
        <v>8564</v>
      </c>
      <c r="C13" s="182" t="s">
        <v>8565</v>
      </c>
    </row>
    <row r="14">
      <c r="A14" s="179">
        <v>13.0</v>
      </c>
      <c r="B14" s="180" t="s">
        <v>8566</v>
      </c>
      <c r="C14" s="182" t="s">
        <v>8567</v>
      </c>
    </row>
    <row r="15">
      <c r="A15" s="179">
        <v>14.0</v>
      </c>
      <c r="B15" s="180" t="s">
        <v>8564</v>
      </c>
      <c r="C15" s="182" t="s">
        <v>8565</v>
      </c>
    </row>
    <row r="16">
      <c r="A16" s="179">
        <v>15.0</v>
      </c>
      <c r="B16" s="180" t="s">
        <v>8564</v>
      </c>
      <c r="C16" s="182" t="s">
        <v>8565</v>
      </c>
    </row>
    <row r="17">
      <c r="A17" s="179">
        <v>16.0</v>
      </c>
      <c r="B17" s="180" t="s">
        <v>8564</v>
      </c>
      <c r="C17" s="182" t="s">
        <v>8565</v>
      </c>
    </row>
    <row r="18">
      <c r="A18" s="179">
        <v>17.0</v>
      </c>
      <c r="B18" s="180" t="s">
        <v>8564</v>
      </c>
      <c r="C18" s="182" t="s">
        <v>8565</v>
      </c>
    </row>
    <row r="19">
      <c r="A19" s="179">
        <v>18.0</v>
      </c>
      <c r="B19" s="180" t="s">
        <v>8564</v>
      </c>
      <c r="C19" s="182" t="s">
        <v>8565</v>
      </c>
    </row>
    <row r="20">
      <c r="A20" s="179">
        <v>19.0</v>
      </c>
      <c r="B20" s="180" t="s">
        <v>8568</v>
      </c>
      <c r="C20" s="182" t="s">
        <v>8569</v>
      </c>
    </row>
    <row r="21">
      <c r="A21" s="179">
        <v>20.0</v>
      </c>
      <c r="B21" s="180" t="s">
        <v>8566</v>
      </c>
      <c r="C21" s="182" t="s">
        <v>8567</v>
      </c>
    </row>
    <row r="22">
      <c r="A22" s="179">
        <v>21.0</v>
      </c>
      <c r="B22" s="180" t="s">
        <v>8570</v>
      </c>
      <c r="C22" s="182" t="s">
        <v>8571</v>
      </c>
    </row>
    <row r="23">
      <c r="A23" s="179">
        <v>22.0</v>
      </c>
      <c r="B23" s="180" t="s">
        <v>8564</v>
      </c>
      <c r="C23" s="182" t="s">
        <v>8565</v>
      </c>
    </row>
    <row r="24">
      <c r="A24" s="179">
        <v>23.0</v>
      </c>
      <c r="B24" s="180" t="s">
        <v>8566</v>
      </c>
      <c r="C24" s="182" t="s">
        <v>8567</v>
      </c>
    </row>
    <row r="25">
      <c r="A25" s="179">
        <v>24.0</v>
      </c>
      <c r="B25" s="180" t="s">
        <v>8566</v>
      </c>
      <c r="C25" s="182" t="s">
        <v>8567</v>
      </c>
    </row>
    <row r="26">
      <c r="A26" s="179">
        <v>25.0</v>
      </c>
      <c r="B26" s="180" t="s">
        <v>8566</v>
      </c>
      <c r="C26" s="182" t="s">
        <v>8567</v>
      </c>
    </row>
    <row r="27">
      <c r="A27" s="179">
        <v>26.0</v>
      </c>
      <c r="B27" s="180" t="s">
        <v>8566</v>
      </c>
      <c r="C27" s="182" t="s">
        <v>8567</v>
      </c>
    </row>
    <row r="28">
      <c r="A28" s="179">
        <v>27.0</v>
      </c>
      <c r="B28" s="180" t="s">
        <v>8564</v>
      </c>
      <c r="C28" s="182" t="s">
        <v>8565</v>
      </c>
    </row>
    <row r="29">
      <c r="A29" s="179">
        <v>28.0</v>
      </c>
      <c r="B29" s="180" t="s">
        <v>8564</v>
      </c>
      <c r="C29" s="182" t="s">
        <v>8565</v>
      </c>
    </row>
    <row r="30">
      <c r="A30" s="179">
        <v>29.0</v>
      </c>
      <c r="B30" s="180" t="s">
        <v>8566</v>
      </c>
      <c r="C30" s="182" t="s">
        <v>8567</v>
      </c>
    </row>
    <row r="31">
      <c r="A31" s="179">
        <v>30.0</v>
      </c>
      <c r="B31" s="180" t="s">
        <v>8566</v>
      </c>
      <c r="C31" s="182" t="s">
        <v>8567</v>
      </c>
    </row>
    <row r="32">
      <c r="A32" s="179">
        <v>31.0</v>
      </c>
      <c r="B32" s="180" t="s">
        <v>8564</v>
      </c>
      <c r="C32" s="182" t="s">
        <v>8565</v>
      </c>
    </row>
    <row r="33">
      <c r="A33" s="179">
        <v>32.0</v>
      </c>
      <c r="B33" s="180" t="s">
        <v>8566</v>
      </c>
      <c r="C33" s="182" t="s">
        <v>8567</v>
      </c>
    </row>
    <row r="34">
      <c r="A34" s="179">
        <v>33.0</v>
      </c>
      <c r="B34" s="180" t="s">
        <v>8566</v>
      </c>
      <c r="C34" s="182" t="s">
        <v>8567</v>
      </c>
    </row>
    <row r="35">
      <c r="A35" s="179">
        <v>34.0</v>
      </c>
      <c r="B35" s="180" t="s">
        <v>8568</v>
      </c>
      <c r="C35" s="182" t="s">
        <v>8569</v>
      </c>
    </row>
    <row r="36">
      <c r="A36" s="179">
        <v>35.0</v>
      </c>
      <c r="B36" s="180" t="s">
        <v>8572</v>
      </c>
      <c r="C36" s="182" t="s">
        <v>8573</v>
      </c>
    </row>
    <row r="37">
      <c r="A37" s="179">
        <v>36.0</v>
      </c>
      <c r="B37" s="180" t="s">
        <v>8564</v>
      </c>
      <c r="C37" s="182" t="s">
        <v>8565</v>
      </c>
    </row>
    <row r="38">
      <c r="A38" s="179">
        <v>37.0</v>
      </c>
      <c r="B38" s="180" t="s">
        <v>8568</v>
      </c>
      <c r="C38" s="182" t="s">
        <v>8569</v>
      </c>
    </row>
    <row r="39">
      <c r="A39" s="179">
        <v>38.0</v>
      </c>
      <c r="B39" s="180" t="s">
        <v>8570</v>
      </c>
      <c r="C39" s="182" t="s">
        <v>8571</v>
      </c>
    </row>
    <row r="40">
      <c r="A40" s="179">
        <v>39.0</v>
      </c>
      <c r="B40" s="180" t="s">
        <v>8564</v>
      </c>
      <c r="C40" s="182" t="s">
        <v>8565</v>
      </c>
    </row>
    <row r="41">
      <c r="A41" s="179">
        <v>40.0</v>
      </c>
      <c r="B41" s="180" t="s">
        <v>8564</v>
      </c>
      <c r="C41" s="182" t="s">
        <v>8565</v>
      </c>
    </row>
    <row r="42">
      <c r="A42" s="179">
        <v>41.0</v>
      </c>
      <c r="B42" s="180" t="s">
        <v>8564</v>
      </c>
      <c r="C42" s="182" t="s">
        <v>8565</v>
      </c>
    </row>
    <row r="43">
      <c r="A43" s="179">
        <v>42.0</v>
      </c>
      <c r="B43" s="180" t="s">
        <v>8564</v>
      </c>
      <c r="C43" s="182" t="s">
        <v>8565</v>
      </c>
    </row>
    <row r="44">
      <c r="A44" s="179">
        <v>43.0</v>
      </c>
      <c r="B44" s="180" t="s">
        <v>8564</v>
      </c>
      <c r="C44" s="182" t="s">
        <v>8565</v>
      </c>
    </row>
    <row r="45">
      <c r="A45" s="179">
        <v>44.0</v>
      </c>
      <c r="B45" s="180" t="s">
        <v>8564</v>
      </c>
      <c r="C45" s="182" t="s">
        <v>8565</v>
      </c>
    </row>
    <row r="46">
      <c r="A46" s="179">
        <v>45.0</v>
      </c>
      <c r="B46" s="180" t="s">
        <v>8564</v>
      </c>
      <c r="C46" s="182" t="s">
        <v>8565</v>
      </c>
    </row>
    <row r="47">
      <c r="A47" s="179">
        <v>46.0</v>
      </c>
      <c r="B47" s="180" t="s">
        <v>8566</v>
      </c>
      <c r="C47" s="182" t="s">
        <v>8567</v>
      </c>
    </row>
    <row r="48">
      <c r="A48" s="179">
        <v>47.0</v>
      </c>
      <c r="B48" s="180" t="s">
        <v>8564</v>
      </c>
      <c r="C48" s="182" t="s">
        <v>8565</v>
      </c>
    </row>
    <row r="49">
      <c r="A49" s="179">
        <v>48.0</v>
      </c>
      <c r="B49" s="180" t="s">
        <v>8564</v>
      </c>
      <c r="C49" s="182" t="s">
        <v>8565</v>
      </c>
    </row>
    <row r="50">
      <c r="A50" s="179">
        <v>49.0</v>
      </c>
      <c r="B50" s="180" t="s">
        <v>8564</v>
      </c>
      <c r="C50" s="182" t="s">
        <v>8565</v>
      </c>
    </row>
    <row r="51">
      <c r="A51" s="179">
        <v>50.0</v>
      </c>
      <c r="B51" s="180" t="s">
        <v>8564</v>
      </c>
      <c r="C51" s="182" t="s">
        <v>8565</v>
      </c>
    </row>
    <row r="52">
      <c r="A52" s="179">
        <v>51.0</v>
      </c>
      <c r="B52" s="180" t="s">
        <v>8564</v>
      </c>
      <c r="C52" s="182" t="s">
        <v>8565</v>
      </c>
    </row>
    <row r="53">
      <c r="A53" s="179">
        <v>52.0</v>
      </c>
      <c r="B53" s="180" t="s">
        <v>8574</v>
      </c>
      <c r="C53" s="182" t="s">
        <v>8575</v>
      </c>
    </row>
    <row r="54">
      <c r="A54" s="179">
        <v>53.0</v>
      </c>
      <c r="B54" s="180" t="s">
        <v>8564</v>
      </c>
      <c r="C54" s="182" t="s">
        <v>8565</v>
      </c>
    </row>
    <row r="55">
      <c r="A55" s="179">
        <v>54.0</v>
      </c>
      <c r="B55" s="180" t="s">
        <v>8564</v>
      </c>
      <c r="C55" s="182" t="s">
        <v>8565</v>
      </c>
    </row>
    <row r="56">
      <c r="A56" s="179">
        <v>55.0</v>
      </c>
      <c r="B56" s="180" t="s">
        <v>8564</v>
      </c>
      <c r="C56" s="182" t="s">
        <v>8565</v>
      </c>
    </row>
    <row r="57">
      <c r="A57" s="179">
        <v>56.0</v>
      </c>
      <c r="B57" s="180" t="s">
        <v>8564</v>
      </c>
      <c r="C57" s="182" t="s">
        <v>8565</v>
      </c>
    </row>
    <row r="58">
      <c r="A58" s="179">
        <v>57.0</v>
      </c>
      <c r="B58" s="180" t="s">
        <v>8564</v>
      </c>
      <c r="C58" s="182" t="s">
        <v>8565</v>
      </c>
    </row>
    <row r="59">
      <c r="A59" s="179">
        <v>58.0</v>
      </c>
      <c r="B59" s="180" t="s">
        <v>8576</v>
      </c>
      <c r="C59" s="182" t="s">
        <v>8577</v>
      </c>
    </row>
    <row r="60">
      <c r="A60" s="179">
        <v>59.0</v>
      </c>
      <c r="B60" s="180" t="s">
        <v>8564</v>
      </c>
      <c r="C60" s="182" t="s">
        <v>8565</v>
      </c>
    </row>
    <row r="61">
      <c r="A61" s="179">
        <v>60.0</v>
      </c>
      <c r="B61" s="180" t="s">
        <v>8564</v>
      </c>
      <c r="C61" s="182" t="s">
        <v>8565</v>
      </c>
    </row>
    <row r="62">
      <c r="A62" s="179">
        <v>61.0</v>
      </c>
      <c r="B62" s="180" t="s">
        <v>8564</v>
      </c>
      <c r="C62" s="182" t="s">
        <v>8565</v>
      </c>
    </row>
    <row r="63">
      <c r="A63" s="179">
        <v>62.0</v>
      </c>
      <c r="B63" s="180" t="s">
        <v>8564</v>
      </c>
      <c r="C63" s="182" t="s">
        <v>8565</v>
      </c>
    </row>
    <row r="64">
      <c r="A64" s="179">
        <v>63.0</v>
      </c>
      <c r="B64" s="180" t="s">
        <v>8564</v>
      </c>
      <c r="C64" s="182" t="s">
        <v>8565</v>
      </c>
    </row>
    <row r="65">
      <c r="A65" s="179">
        <v>64.0</v>
      </c>
      <c r="B65" s="180" t="s">
        <v>8564</v>
      </c>
      <c r="C65" s="182" t="s">
        <v>8565</v>
      </c>
    </row>
    <row r="66">
      <c r="A66" s="179">
        <v>65.0</v>
      </c>
      <c r="B66" s="180" t="s">
        <v>8564</v>
      </c>
      <c r="C66" s="182" t="s">
        <v>8565</v>
      </c>
    </row>
    <row r="67">
      <c r="A67" s="179">
        <v>66.0</v>
      </c>
      <c r="B67" s="180" t="s">
        <v>8564</v>
      </c>
      <c r="C67" s="182" t="s">
        <v>8565</v>
      </c>
    </row>
    <row r="68">
      <c r="A68" s="179">
        <v>67.0</v>
      </c>
      <c r="B68" s="180" t="s">
        <v>8564</v>
      </c>
      <c r="C68" s="182" t="s">
        <v>8565</v>
      </c>
    </row>
    <row r="69">
      <c r="A69" s="179">
        <v>68.0</v>
      </c>
      <c r="B69" s="180" t="s">
        <v>8564</v>
      </c>
      <c r="C69" s="182" t="s">
        <v>8565</v>
      </c>
    </row>
    <row r="70">
      <c r="A70" s="179">
        <v>69.0</v>
      </c>
      <c r="B70" s="180" t="s">
        <v>8564</v>
      </c>
      <c r="C70" s="182" t="s">
        <v>8565</v>
      </c>
    </row>
    <row r="71">
      <c r="A71" s="179">
        <v>70.0</v>
      </c>
      <c r="B71" s="180" t="s">
        <v>8564</v>
      </c>
      <c r="C71" s="182" t="s">
        <v>8565</v>
      </c>
    </row>
    <row r="72">
      <c r="A72" s="179">
        <v>71.0</v>
      </c>
      <c r="B72" s="180" t="s">
        <v>8564</v>
      </c>
      <c r="C72" s="182" t="s">
        <v>8565</v>
      </c>
    </row>
    <row r="73">
      <c r="A73" s="179">
        <v>72.0</v>
      </c>
      <c r="B73" s="180" t="s">
        <v>8564</v>
      </c>
      <c r="C73" s="182" t="s">
        <v>8565</v>
      </c>
    </row>
    <row r="74">
      <c r="A74" s="179">
        <v>73.0</v>
      </c>
      <c r="B74" s="180" t="s">
        <v>8564</v>
      </c>
      <c r="C74" s="182" t="s">
        <v>8565</v>
      </c>
    </row>
    <row r="75">
      <c r="A75" s="179">
        <v>74.0</v>
      </c>
      <c r="B75" s="180" t="s">
        <v>8564</v>
      </c>
      <c r="C75" s="182" t="s">
        <v>8565</v>
      </c>
    </row>
    <row r="76">
      <c r="A76" s="179">
        <v>75.0</v>
      </c>
      <c r="B76" s="180" t="s">
        <v>8564</v>
      </c>
      <c r="C76" s="182" t="s">
        <v>8565</v>
      </c>
    </row>
    <row r="77">
      <c r="A77" s="179">
        <v>76.0</v>
      </c>
      <c r="B77" s="180" t="s">
        <v>8564</v>
      </c>
      <c r="C77" s="182" t="s">
        <v>8565</v>
      </c>
    </row>
    <row r="78">
      <c r="A78" s="179">
        <v>77.0</v>
      </c>
      <c r="B78" s="180" t="s">
        <v>8564</v>
      </c>
      <c r="C78" s="182" t="s">
        <v>8565</v>
      </c>
    </row>
    <row r="79">
      <c r="A79" s="179">
        <v>78.0</v>
      </c>
      <c r="B79" s="180" t="s">
        <v>8564</v>
      </c>
      <c r="C79" s="182" t="s">
        <v>8565</v>
      </c>
    </row>
    <row r="80">
      <c r="A80" s="179">
        <v>79.0</v>
      </c>
      <c r="B80" s="180" t="s">
        <v>8564</v>
      </c>
      <c r="C80" s="182" t="s">
        <v>8565</v>
      </c>
    </row>
    <row r="81">
      <c r="A81" s="179">
        <v>80.0</v>
      </c>
      <c r="B81" s="180" t="s">
        <v>8564</v>
      </c>
      <c r="C81" s="182" t="s">
        <v>8565</v>
      </c>
    </row>
    <row r="82">
      <c r="A82" s="179">
        <v>81.0</v>
      </c>
      <c r="B82" s="180" t="s">
        <v>8564</v>
      </c>
      <c r="C82" s="182" t="s">
        <v>8565</v>
      </c>
    </row>
    <row r="83">
      <c r="A83" s="179">
        <v>82.0</v>
      </c>
      <c r="B83" s="180" t="s">
        <v>8564</v>
      </c>
      <c r="C83" s="182" t="s">
        <v>8565</v>
      </c>
    </row>
    <row r="84">
      <c r="A84" s="179">
        <v>83.0</v>
      </c>
      <c r="B84" s="180" t="s">
        <v>8564</v>
      </c>
      <c r="C84" s="182" t="s">
        <v>8565</v>
      </c>
    </row>
    <row r="85">
      <c r="A85" s="179">
        <v>84.0</v>
      </c>
      <c r="B85" s="180" t="s">
        <v>8564</v>
      </c>
      <c r="C85" s="182" t="s">
        <v>8565</v>
      </c>
    </row>
    <row r="86">
      <c r="A86" s="179">
        <v>85.0</v>
      </c>
      <c r="B86" s="180" t="s">
        <v>8564</v>
      </c>
      <c r="C86" s="182" t="s">
        <v>8565</v>
      </c>
    </row>
    <row r="87">
      <c r="A87" s="179">
        <v>86.0</v>
      </c>
      <c r="B87" s="180" t="s">
        <v>8564</v>
      </c>
      <c r="C87" s="182" t="s">
        <v>8565</v>
      </c>
    </row>
    <row r="88">
      <c r="A88" s="179">
        <v>87.0</v>
      </c>
      <c r="B88" s="180" t="s">
        <v>8564</v>
      </c>
      <c r="C88" s="182" t="s">
        <v>8565</v>
      </c>
    </row>
    <row r="89">
      <c r="A89" s="179">
        <v>88.0</v>
      </c>
      <c r="B89" s="180" t="s">
        <v>8568</v>
      </c>
      <c r="C89" s="182" t="s">
        <v>8569</v>
      </c>
    </row>
    <row r="90">
      <c r="A90" s="179">
        <v>89.0</v>
      </c>
      <c r="B90" s="180" t="s">
        <v>8564</v>
      </c>
      <c r="C90" s="182" t="s">
        <v>8565</v>
      </c>
    </row>
    <row r="91">
      <c r="A91" s="179">
        <v>90.0</v>
      </c>
      <c r="B91" s="180" t="s">
        <v>8564</v>
      </c>
      <c r="C91" s="182" t="s">
        <v>8565</v>
      </c>
    </row>
    <row r="92">
      <c r="A92" s="179">
        <v>91.0</v>
      </c>
      <c r="B92" s="180" t="s">
        <v>8566</v>
      </c>
      <c r="C92" s="182" t="s">
        <v>8567</v>
      </c>
    </row>
    <row r="93">
      <c r="A93" s="179">
        <v>92.0</v>
      </c>
      <c r="B93" s="180" t="s">
        <v>8564</v>
      </c>
      <c r="C93" s="182" t="s">
        <v>8565</v>
      </c>
    </row>
    <row r="94">
      <c r="A94" s="179">
        <v>93.0</v>
      </c>
      <c r="B94" s="180" t="s">
        <v>8566</v>
      </c>
      <c r="C94" s="182" t="s">
        <v>8567</v>
      </c>
    </row>
    <row r="95">
      <c r="A95" s="179">
        <v>94.0</v>
      </c>
      <c r="B95" s="180" t="s">
        <v>8566</v>
      </c>
      <c r="C95" s="182" t="s">
        <v>8567</v>
      </c>
    </row>
    <row r="96">
      <c r="A96" s="179">
        <v>95.0</v>
      </c>
      <c r="B96" s="180" t="s">
        <v>8564</v>
      </c>
      <c r="C96" s="182" t="s">
        <v>8565</v>
      </c>
    </row>
    <row r="97">
      <c r="A97" s="179">
        <v>96.0</v>
      </c>
      <c r="B97" s="180" t="s">
        <v>8564</v>
      </c>
      <c r="C97" s="182" t="s">
        <v>8565</v>
      </c>
    </row>
    <row r="98">
      <c r="A98" s="179">
        <v>97.0</v>
      </c>
      <c r="B98" s="180" t="s">
        <v>8564</v>
      </c>
      <c r="C98" s="182" t="s">
        <v>8565</v>
      </c>
    </row>
    <row r="99">
      <c r="A99" s="179">
        <v>98.0</v>
      </c>
      <c r="B99" s="180" t="s">
        <v>8564</v>
      </c>
      <c r="C99" s="182" t="s">
        <v>8565</v>
      </c>
    </row>
    <row r="100">
      <c r="A100" s="179">
        <v>99.0</v>
      </c>
      <c r="B100" s="180" t="s">
        <v>8564</v>
      </c>
      <c r="C100" s="182" t="s">
        <v>8565</v>
      </c>
    </row>
    <row r="101">
      <c r="A101" s="179">
        <v>100.0</v>
      </c>
      <c r="B101" s="180" t="s">
        <v>8564</v>
      </c>
      <c r="C101" s="182" t="s">
        <v>8565</v>
      </c>
    </row>
    <row r="102">
      <c r="A102" s="179">
        <v>101.0</v>
      </c>
      <c r="B102" s="180" t="s">
        <v>8564</v>
      </c>
      <c r="C102" s="182" t="s">
        <v>8565</v>
      </c>
    </row>
    <row r="103">
      <c r="A103" s="179">
        <v>102.0</v>
      </c>
      <c r="B103" s="180" t="s">
        <v>8564</v>
      </c>
      <c r="C103" s="182" t="s">
        <v>8565</v>
      </c>
    </row>
    <row r="104">
      <c r="A104" s="179">
        <v>103.0</v>
      </c>
      <c r="B104" s="180" t="s">
        <v>8564</v>
      </c>
      <c r="C104" s="182" t="s">
        <v>8565</v>
      </c>
    </row>
    <row r="105">
      <c r="A105" s="179">
        <v>104.0</v>
      </c>
      <c r="B105" s="180" t="s">
        <v>8564</v>
      </c>
      <c r="C105" s="182" t="s">
        <v>8565</v>
      </c>
    </row>
    <row r="106">
      <c r="A106" s="179">
        <v>105.0</v>
      </c>
      <c r="B106" s="180" t="s">
        <v>8566</v>
      </c>
      <c r="C106" s="182" t="s">
        <v>8567</v>
      </c>
    </row>
    <row r="107">
      <c r="A107" s="179">
        <v>106.0</v>
      </c>
      <c r="B107" s="180" t="s">
        <v>8566</v>
      </c>
      <c r="C107" s="182" t="s">
        <v>8567</v>
      </c>
    </row>
    <row r="108">
      <c r="A108" s="179">
        <v>107.0</v>
      </c>
      <c r="B108" s="180" t="s">
        <v>8564</v>
      </c>
      <c r="C108" s="182" t="s">
        <v>8565</v>
      </c>
    </row>
    <row r="109">
      <c r="A109" s="179">
        <v>108.0</v>
      </c>
      <c r="B109" s="180" t="s">
        <v>8564</v>
      </c>
      <c r="C109" s="182" t="s">
        <v>8565</v>
      </c>
    </row>
    <row r="110">
      <c r="A110" s="179">
        <v>109.0</v>
      </c>
      <c r="B110" s="180" t="s">
        <v>8564</v>
      </c>
      <c r="C110" s="182" t="s">
        <v>8565</v>
      </c>
    </row>
    <row r="111">
      <c r="A111" s="179">
        <v>110.0</v>
      </c>
      <c r="B111" s="180" t="s">
        <v>8564</v>
      </c>
      <c r="C111" s="182" t="s">
        <v>8565</v>
      </c>
    </row>
    <row r="112">
      <c r="A112" s="179">
        <v>111.0</v>
      </c>
      <c r="B112" s="180" t="s">
        <v>8564</v>
      </c>
      <c r="C112" s="182" t="s">
        <v>8565</v>
      </c>
    </row>
    <row r="113">
      <c r="A113" s="179">
        <v>112.0</v>
      </c>
      <c r="B113" s="180" t="s">
        <v>8564</v>
      </c>
      <c r="C113" s="182" t="s">
        <v>8565</v>
      </c>
    </row>
    <row r="114">
      <c r="A114" s="179">
        <v>113.0</v>
      </c>
      <c r="B114" s="180" t="s">
        <v>8564</v>
      </c>
      <c r="C114" s="182" t="s">
        <v>8565</v>
      </c>
    </row>
    <row r="115">
      <c r="A115" s="179">
        <v>114.0</v>
      </c>
      <c r="B115" s="180" t="s">
        <v>8564</v>
      </c>
      <c r="C115" s="182" t="s">
        <v>8565</v>
      </c>
    </row>
    <row r="116">
      <c r="A116" s="179">
        <v>115.0</v>
      </c>
      <c r="B116" s="180" t="s">
        <v>8566</v>
      </c>
      <c r="C116" s="182" t="s">
        <v>8567</v>
      </c>
    </row>
    <row r="117">
      <c r="A117" s="179">
        <v>116.0</v>
      </c>
      <c r="B117" s="180" t="s">
        <v>8564</v>
      </c>
      <c r="C117" s="182" t="s">
        <v>8565</v>
      </c>
    </row>
    <row r="118">
      <c r="A118" s="179">
        <v>117.0</v>
      </c>
      <c r="B118" s="180" t="s">
        <v>8564</v>
      </c>
      <c r="C118" s="182" t="s">
        <v>8565</v>
      </c>
    </row>
    <row r="119">
      <c r="A119" s="179">
        <v>118.0</v>
      </c>
      <c r="B119" s="180" t="s">
        <v>8564</v>
      </c>
      <c r="C119" s="182" t="s">
        <v>8565</v>
      </c>
    </row>
    <row r="120">
      <c r="A120" s="179">
        <v>119.0</v>
      </c>
      <c r="B120" s="180" t="s">
        <v>8564</v>
      </c>
      <c r="C120" s="182" t="s">
        <v>8565</v>
      </c>
    </row>
    <row r="121">
      <c r="A121" s="179">
        <v>120.0</v>
      </c>
      <c r="B121" s="180" t="s">
        <v>8564</v>
      </c>
      <c r="C121" s="182" t="s">
        <v>8565</v>
      </c>
    </row>
    <row r="122">
      <c r="A122" s="179">
        <v>121.0</v>
      </c>
      <c r="B122" s="180" t="s">
        <v>8564</v>
      </c>
      <c r="C122" s="182" t="s">
        <v>8565</v>
      </c>
    </row>
    <row r="123">
      <c r="A123" s="179">
        <v>122.0</v>
      </c>
      <c r="B123" s="180" t="s">
        <v>8564</v>
      </c>
      <c r="C123" s="182" t="s">
        <v>8565</v>
      </c>
    </row>
    <row r="124">
      <c r="A124" s="179">
        <v>123.0</v>
      </c>
      <c r="B124" s="180" t="s">
        <v>8564</v>
      </c>
      <c r="C124" s="182" t="s">
        <v>8565</v>
      </c>
    </row>
    <row r="125">
      <c r="A125" s="179">
        <v>124.0</v>
      </c>
      <c r="B125" s="180" t="s">
        <v>8564</v>
      </c>
      <c r="C125" s="182" t="s">
        <v>8565</v>
      </c>
    </row>
    <row r="126">
      <c r="A126" s="179">
        <v>125.0</v>
      </c>
      <c r="B126" s="180" t="s">
        <v>8564</v>
      </c>
      <c r="C126" s="182" t="s">
        <v>8565</v>
      </c>
    </row>
    <row r="127">
      <c r="A127" s="179">
        <v>126.0</v>
      </c>
      <c r="B127" s="180" t="s">
        <v>8564</v>
      </c>
      <c r="C127" s="182" t="s">
        <v>8565</v>
      </c>
    </row>
    <row r="128">
      <c r="A128" s="179">
        <v>127.0</v>
      </c>
      <c r="B128" s="180" t="s">
        <v>8564</v>
      </c>
      <c r="C128" s="182" t="s">
        <v>8565</v>
      </c>
    </row>
    <row r="129">
      <c r="A129" s="179">
        <v>128.0</v>
      </c>
      <c r="B129" s="180" t="s">
        <v>8564</v>
      </c>
      <c r="C129" s="182" t="s">
        <v>8565</v>
      </c>
    </row>
    <row r="130">
      <c r="A130" s="179">
        <v>129.0</v>
      </c>
      <c r="B130" s="180" t="s">
        <v>8564</v>
      </c>
      <c r="C130" s="182" t="s">
        <v>8565</v>
      </c>
    </row>
    <row r="131">
      <c r="A131" s="179">
        <v>130.0</v>
      </c>
      <c r="B131" s="180" t="s">
        <v>8564</v>
      </c>
      <c r="C131" s="182" t="s">
        <v>8565</v>
      </c>
    </row>
    <row r="132">
      <c r="A132" s="179">
        <v>131.0</v>
      </c>
      <c r="B132" s="180" t="s">
        <v>8566</v>
      </c>
      <c r="C132" s="182" t="s">
        <v>8567</v>
      </c>
    </row>
    <row r="133">
      <c r="A133" s="179">
        <v>132.0</v>
      </c>
      <c r="B133" s="180" t="s">
        <v>8564</v>
      </c>
      <c r="C133" s="182" t="s">
        <v>8565</v>
      </c>
    </row>
    <row r="134">
      <c r="A134" s="179">
        <v>133.0</v>
      </c>
      <c r="B134" s="180" t="s">
        <v>8564</v>
      </c>
      <c r="C134" s="182" t="s">
        <v>8565</v>
      </c>
    </row>
    <row r="135">
      <c r="A135" s="179">
        <v>134.0</v>
      </c>
      <c r="B135" s="180" t="s">
        <v>8564</v>
      </c>
      <c r="C135" s="182" t="s">
        <v>8565</v>
      </c>
    </row>
    <row r="136">
      <c r="A136" s="179">
        <v>135.0</v>
      </c>
      <c r="B136" s="180" t="s">
        <v>8564</v>
      </c>
      <c r="C136" s="182" t="s">
        <v>8565</v>
      </c>
    </row>
    <row r="137">
      <c r="A137" s="179">
        <v>136.0</v>
      </c>
      <c r="B137" s="180" t="s">
        <v>8564</v>
      </c>
      <c r="C137" s="182" t="s">
        <v>8565</v>
      </c>
    </row>
    <row r="138">
      <c r="A138" s="179">
        <v>137.0</v>
      </c>
      <c r="B138" s="180" t="s">
        <v>8566</v>
      </c>
      <c r="C138" s="182" t="s">
        <v>8567</v>
      </c>
    </row>
    <row r="139">
      <c r="A139" s="179">
        <v>138.0</v>
      </c>
      <c r="B139" s="180" t="s">
        <v>8564</v>
      </c>
      <c r="C139" s="182" t="s">
        <v>8565</v>
      </c>
    </row>
    <row r="140">
      <c r="A140" s="179">
        <v>139.0</v>
      </c>
      <c r="B140" s="180" t="s">
        <v>8564</v>
      </c>
      <c r="C140" s="182" t="s">
        <v>8565</v>
      </c>
    </row>
    <row r="141">
      <c r="A141" s="179">
        <v>140.0</v>
      </c>
      <c r="B141" s="180" t="s">
        <v>8564</v>
      </c>
      <c r="C141" s="182" t="s">
        <v>8565</v>
      </c>
    </row>
    <row r="142">
      <c r="A142" s="179">
        <v>141.0</v>
      </c>
      <c r="B142" s="180" t="s">
        <v>8564</v>
      </c>
      <c r="C142" s="182" t="s">
        <v>8565</v>
      </c>
    </row>
    <row r="143">
      <c r="A143" s="179">
        <v>142.0</v>
      </c>
      <c r="B143" s="180" t="s">
        <v>8564</v>
      </c>
      <c r="C143" s="182" t="s">
        <v>8565</v>
      </c>
    </row>
    <row r="144">
      <c r="A144" s="179">
        <v>143.0</v>
      </c>
      <c r="B144" s="180" t="s">
        <v>8564</v>
      </c>
      <c r="C144" s="182" t="s">
        <v>8565</v>
      </c>
    </row>
    <row r="145">
      <c r="A145" s="179">
        <v>144.0</v>
      </c>
      <c r="B145" s="180" t="s">
        <v>8564</v>
      </c>
      <c r="C145" s="182" t="s">
        <v>8565</v>
      </c>
    </row>
    <row r="146">
      <c r="A146" s="179">
        <v>145.0</v>
      </c>
      <c r="B146" s="180" t="s">
        <v>8564</v>
      </c>
      <c r="C146" s="182" t="s">
        <v>8565</v>
      </c>
    </row>
    <row r="147">
      <c r="A147" s="179">
        <v>146.0</v>
      </c>
      <c r="B147" s="180" t="s">
        <v>8564</v>
      </c>
      <c r="C147" s="182" t="s">
        <v>8565</v>
      </c>
    </row>
    <row r="148">
      <c r="A148" s="179">
        <v>147.0</v>
      </c>
      <c r="B148" s="180" t="s">
        <v>8564</v>
      </c>
      <c r="C148" s="182" t="s">
        <v>8565</v>
      </c>
    </row>
    <row r="149">
      <c r="A149" s="179">
        <v>148.0</v>
      </c>
      <c r="B149" s="180" t="s">
        <v>8564</v>
      </c>
      <c r="C149" s="182" t="s">
        <v>8565</v>
      </c>
    </row>
    <row r="150">
      <c r="A150" s="179">
        <v>149.0</v>
      </c>
      <c r="B150" s="180" t="s">
        <v>8564</v>
      </c>
      <c r="C150" s="182" t="s">
        <v>8565</v>
      </c>
    </row>
    <row r="151">
      <c r="A151" s="179">
        <v>150.0</v>
      </c>
      <c r="B151" s="180" t="s">
        <v>8564</v>
      </c>
      <c r="C151" s="182" t="s">
        <v>8565</v>
      </c>
    </row>
    <row r="152">
      <c r="A152" s="179">
        <v>151.0</v>
      </c>
      <c r="B152" s="180" t="s">
        <v>8564</v>
      </c>
      <c r="C152" s="182" t="s">
        <v>8565</v>
      </c>
    </row>
    <row r="153">
      <c r="A153" s="179">
        <v>152.0</v>
      </c>
      <c r="B153" s="180" t="s">
        <v>8564</v>
      </c>
      <c r="C153" s="182" t="s">
        <v>8565</v>
      </c>
    </row>
    <row r="154">
      <c r="A154" s="179">
        <v>153.0</v>
      </c>
      <c r="B154" s="180" t="s">
        <v>8564</v>
      </c>
      <c r="C154" s="182" t="s">
        <v>8565</v>
      </c>
    </row>
    <row r="155">
      <c r="A155" s="179">
        <v>154.0</v>
      </c>
      <c r="B155" s="180" t="s">
        <v>8564</v>
      </c>
      <c r="C155" s="182" t="s">
        <v>8565</v>
      </c>
    </row>
    <row r="156">
      <c r="A156" s="179">
        <v>155.0</v>
      </c>
      <c r="B156" s="180" t="s">
        <v>8564</v>
      </c>
      <c r="C156" s="182" t="s">
        <v>8565</v>
      </c>
    </row>
    <row r="157">
      <c r="A157" s="179">
        <v>156.0</v>
      </c>
      <c r="B157" s="180" t="s">
        <v>8564</v>
      </c>
      <c r="C157" s="182" t="s">
        <v>8565</v>
      </c>
    </row>
    <row r="158">
      <c r="A158" s="179">
        <v>157.0</v>
      </c>
      <c r="B158" s="180" t="s">
        <v>8566</v>
      </c>
      <c r="C158" s="182" t="s">
        <v>8567</v>
      </c>
    </row>
    <row r="159">
      <c r="A159" s="179">
        <v>158.0</v>
      </c>
      <c r="B159" s="180" t="s">
        <v>8564</v>
      </c>
      <c r="C159" s="182" t="s">
        <v>8565</v>
      </c>
    </row>
    <row r="160">
      <c r="A160" s="179">
        <v>159.0</v>
      </c>
      <c r="B160" s="180" t="s">
        <v>8564</v>
      </c>
      <c r="C160" s="182" t="s">
        <v>8565</v>
      </c>
    </row>
    <row r="161">
      <c r="A161" s="179">
        <v>160.0</v>
      </c>
      <c r="B161" s="180" t="s">
        <v>8564</v>
      </c>
      <c r="C161" s="182" t="s">
        <v>8565</v>
      </c>
    </row>
    <row r="162">
      <c r="A162" s="179">
        <v>161.0</v>
      </c>
      <c r="B162" s="180" t="s">
        <v>8564</v>
      </c>
      <c r="C162" s="182" t="s">
        <v>8565</v>
      </c>
    </row>
    <row r="163">
      <c r="A163" s="179">
        <v>162.0</v>
      </c>
      <c r="B163" s="180" t="s">
        <v>8564</v>
      </c>
      <c r="C163" s="182" t="s">
        <v>8565</v>
      </c>
    </row>
    <row r="164">
      <c r="A164" s="179">
        <v>163.0</v>
      </c>
      <c r="B164" s="180" t="s">
        <v>8564</v>
      </c>
      <c r="C164" s="182" t="s">
        <v>8565</v>
      </c>
    </row>
    <row r="165">
      <c r="A165" s="179">
        <v>164.0</v>
      </c>
      <c r="B165" s="180" t="s">
        <v>8564</v>
      </c>
      <c r="C165" s="182" t="s">
        <v>8565</v>
      </c>
    </row>
    <row r="166">
      <c r="A166" s="179">
        <v>165.0</v>
      </c>
      <c r="B166" s="180" t="s">
        <v>8564</v>
      </c>
      <c r="C166" s="182" t="s">
        <v>8565</v>
      </c>
    </row>
    <row r="167">
      <c r="A167" s="179">
        <v>166.0</v>
      </c>
      <c r="B167" s="180" t="s">
        <v>8564</v>
      </c>
      <c r="C167" s="182" t="s">
        <v>8565</v>
      </c>
    </row>
    <row r="168">
      <c r="A168" s="179">
        <v>167.0</v>
      </c>
      <c r="B168" s="180" t="s">
        <v>8564</v>
      </c>
      <c r="C168" s="182" t="s">
        <v>8565</v>
      </c>
    </row>
    <row r="169">
      <c r="A169" s="179">
        <v>168.0</v>
      </c>
      <c r="B169" s="180" t="s">
        <v>8570</v>
      </c>
      <c r="C169" s="182" t="s">
        <v>8571</v>
      </c>
    </row>
    <row r="170">
      <c r="A170" s="179">
        <v>169.0</v>
      </c>
      <c r="B170" s="180" t="s">
        <v>8566</v>
      </c>
      <c r="C170" s="182" t="s">
        <v>8567</v>
      </c>
    </row>
    <row r="171">
      <c r="A171" s="179">
        <v>170.0</v>
      </c>
      <c r="B171" s="180" t="s">
        <v>8564</v>
      </c>
      <c r="C171" s="182" t="s">
        <v>8565</v>
      </c>
    </row>
    <row r="172">
      <c r="A172" s="179">
        <v>171.0</v>
      </c>
      <c r="B172" s="180" t="s">
        <v>8564</v>
      </c>
      <c r="C172" s="182" t="s">
        <v>8565</v>
      </c>
    </row>
    <row r="173">
      <c r="A173" s="179">
        <v>172.0</v>
      </c>
      <c r="B173" s="180" t="s">
        <v>8564</v>
      </c>
      <c r="C173" s="182" t="s">
        <v>8565</v>
      </c>
    </row>
    <row r="174">
      <c r="A174" s="179">
        <v>173.0</v>
      </c>
      <c r="B174" s="180" t="s">
        <v>8564</v>
      </c>
      <c r="C174" s="182" t="s">
        <v>8565</v>
      </c>
    </row>
    <row r="175">
      <c r="A175" s="179">
        <v>174.0</v>
      </c>
      <c r="B175" s="180" t="s">
        <v>8564</v>
      </c>
      <c r="C175" s="182" t="s">
        <v>8565</v>
      </c>
    </row>
    <row r="176">
      <c r="A176" s="179">
        <v>175.0</v>
      </c>
      <c r="B176" s="180" t="s">
        <v>8564</v>
      </c>
      <c r="C176" s="182" t="s">
        <v>8565</v>
      </c>
    </row>
    <row r="177">
      <c r="A177" s="179">
        <v>176.0</v>
      </c>
      <c r="B177" s="180" t="s">
        <v>8564</v>
      </c>
      <c r="C177" s="182" t="s">
        <v>8565</v>
      </c>
    </row>
    <row r="178">
      <c r="A178" s="179">
        <v>177.0</v>
      </c>
      <c r="B178" s="180" t="s">
        <v>8564</v>
      </c>
      <c r="C178" s="182" t="s">
        <v>8565</v>
      </c>
    </row>
    <row r="179">
      <c r="A179" s="179">
        <v>178.0</v>
      </c>
      <c r="B179" s="180" t="s">
        <v>8564</v>
      </c>
      <c r="C179" s="182" t="s">
        <v>8565</v>
      </c>
    </row>
    <row r="180">
      <c r="A180" s="179">
        <v>179.0</v>
      </c>
      <c r="B180" s="180" t="s">
        <v>8564</v>
      </c>
      <c r="C180" s="182" t="s">
        <v>8565</v>
      </c>
    </row>
    <row r="181">
      <c r="A181" s="179">
        <v>180.0</v>
      </c>
      <c r="B181" s="180" t="s">
        <v>8564</v>
      </c>
      <c r="C181" s="182" t="s">
        <v>8565</v>
      </c>
    </row>
    <row r="182">
      <c r="A182" s="179">
        <v>181.0</v>
      </c>
      <c r="B182" s="180" t="s">
        <v>8564</v>
      </c>
      <c r="C182" s="182" t="s">
        <v>8565</v>
      </c>
    </row>
    <row r="183">
      <c r="A183" s="179">
        <v>182.0</v>
      </c>
      <c r="B183" s="180" t="s">
        <v>8564</v>
      </c>
      <c r="C183" s="182" t="s">
        <v>8565</v>
      </c>
    </row>
    <row r="184">
      <c r="A184" s="179">
        <v>183.0</v>
      </c>
      <c r="B184" s="180" t="s">
        <v>8564</v>
      </c>
      <c r="C184" s="182" t="s">
        <v>8565</v>
      </c>
    </row>
    <row r="185">
      <c r="A185" s="179">
        <v>184.0</v>
      </c>
      <c r="B185" s="180" t="s">
        <v>8564</v>
      </c>
      <c r="C185" s="182" t="s">
        <v>8565</v>
      </c>
    </row>
    <row r="186">
      <c r="A186" s="179">
        <v>185.0</v>
      </c>
      <c r="B186" s="180" t="s">
        <v>8564</v>
      </c>
      <c r="C186" s="182" t="s">
        <v>8565</v>
      </c>
    </row>
    <row r="187">
      <c r="A187" s="179">
        <v>186.0</v>
      </c>
      <c r="B187" s="180" t="s">
        <v>8564</v>
      </c>
      <c r="C187" s="182" t="s">
        <v>8565</v>
      </c>
    </row>
    <row r="188">
      <c r="A188" s="179">
        <v>187.0</v>
      </c>
      <c r="B188" s="180" t="s">
        <v>8564</v>
      </c>
      <c r="C188" s="182" t="s">
        <v>8565</v>
      </c>
    </row>
    <row r="189">
      <c r="A189" s="179">
        <v>188.0</v>
      </c>
      <c r="B189" s="180" t="s">
        <v>8564</v>
      </c>
      <c r="C189" s="182" t="s">
        <v>8565</v>
      </c>
    </row>
    <row r="190">
      <c r="A190" s="179">
        <v>189.0</v>
      </c>
      <c r="B190" s="180" t="s">
        <v>8564</v>
      </c>
      <c r="C190" s="182" t="s">
        <v>8565</v>
      </c>
    </row>
    <row r="191">
      <c r="A191" s="179">
        <v>190.0</v>
      </c>
      <c r="B191" s="180" t="s">
        <v>8564</v>
      </c>
      <c r="C191" s="182" t="s">
        <v>8565</v>
      </c>
    </row>
    <row r="192">
      <c r="A192" s="179">
        <v>191.0</v>
      </c>
      <c r="B192" s="180" t="s">
        <v>8572</v>
      </c>
      <c r="C192" s="182" t="s">
        <v>8573</v>
      </c>
    </row>
    <row r="193">
      <c r="A193" s="179">
        <v>192.0</v>
      </c>
      <c r="B193" s="180" t="s">
        <v>8564</v>
      </c>
      <c r="C193" s="182" t="s">
        <v>8565</v>
      </c>
    </row>
    <row r="194">
      <c r="A194" s="179">
        <v>193.0</v>
      </c>
      <c r="B194" s="180" t="s">
        <v>8564</v>
      </c>
      <c r="C194" s="182" t="s">
        <v>8565</v>
      </c>
    </row>
    <row r="195">
      <c r="A195" s="179">
        <v>194.0</v>
      </c>
      <c r="B195" s="180" t="s">
        <v>8564</v>
      </c>
      <c r="C195" s="182" t="s">
        <v>8565</v>
      </c>
    </row>
    <row r="196">
      <c r="A196" s="179">
        <v>195.0</v>
      </c>
      <c r="B196" s="180" t="s">
        <v>8564</v>
      </c>
      <c r="C196" s="182" t="s">
        <v>8565</v>
      </c>
    </row>
    <row r="197">
      <c r="A197" s="179">
        <v>196.0</v>
      </c>
      <c r="B197" s="180" t="s">
        <v>8564</v>
      </c>
      <c r="C197" s="182" t="s">
        <v>8565</v>
      </c>
    </row>
    <row r="198">
      <c r="A198" s="179">
        <v>197.0</v>
      </c>
      <c r="B198" s="180" t="s">
        <v>8566</v>
      </c>
      <c r="C198" s="182" t="s">
        <v>8567</v>
      </c>
    </row>
    <row r="199">
      <c r="A199" s="179">
        <v>198.0</v>
      </c>
      <c r="B199" s="180" t="s">
        <v>8570</v>
      </c>
      <c r="C199" s="182" t="s">
        <v>8571</v>
      </c>
    </row>
    <row r="200">
      <c r="A200" s="179">
        <v>199.0</v>
      </c>
      <c r="B200" s="180" t="s">
        <v>8564</v>
      </c>
      <c r="C200" s="182" t="s">
        <v>8565</v>
      </c>
    </row>
    <row r="201">
      <c r="A201" s="179">
        <v>200.0</v>
      </c>
      <c r="B201" s="180" t="s">
        <v>8564</v>
      </c>
      <c r="C201" s="182" t="s">
        <v>8565</v>
      </c>
    </row>
    <row r="202">
      <c r="A202" s="179">
        <v>201.0</v>
      </c>
      <c r="B202" s="180" t="s">
        <v>8564</v>
      </c>
      <c r="C202" s="182" t="s">
        <v>8565</v>
      </c>
    </row>
    <row r="203">
      <c r="A203" s="179">
        <v>202.0</v>
      </c>
      <c r="B203" s="180" t="s">
        <v>8564</v>
      </c>
      <c r="C203" s="182" t="s">
        <v>8565</v>
      </c>
    </row>
    <row r="204">
      <c r="A204" s="179">
        <v>203.0</v>
      </c>
      <c r="B204" s="180" t="s">
        <v>8564</v>
      </c>
      <c r="C204" s="182" t="s">
        <v>8565</v>
      </c>
    </row>
    <row r="205">
      <c r="A205" s="179">
        <v>204.0</v>
      </c>
      <c r="B205" s="180" t="s">
        <v>8564</v>
      </c>
      <c r="C205" s="182" t="s">
        <v>8565</v>
      </c>
    </row>
    <row r="206">
      <c r="A206" s="179">
        <v>205.0</v>
      </c>
      <c r="B206" s="180" t="s">
        <v>8564</v>
      </c>
      <c r="C206" s="182" t="s">
        <v>8565</v>
      </c>
    </row>
    <row r="207">
      <c r="A207" s="179">
        <v>206.0</v>
      </c>
      <c r="B207" s="180" t="s">
        <v>8564</v>
      </c>
      <c r="C207" s="182" t="s">
        <v>8565</v>
      </c>
    </row>
    <row r="208">
      <c r="A208" s="179">
        <v>207.0</v>
      </c>
      <c r="B208" s="180" t="s">
        <v>8564</v>
      </c>
      <c r="C208" s="182" t="s">
        <v>8565</v>
      </c>
    </row>
    <row r="209">
      <c r="A209" s="179">
        <v>208.0</v>
      </c>
      <c r="B209" s="180" t="s">
        <v>8564</v>
      </c>
      <c r="C209" s="182" t="s">
        <v>8565</v>
      </c>
    </row>
    <row r="210">
      <c r="A210" s="179">
        <v>209.0</v>
      </c>
      <c r="B210" s="180" t="s">
        <v>8564</v>
      </c>
      <c r="C210" s="182" t="s">
        <v>8565</v>
      </c>
    </row>
    <row r="211">
      <c r="A211" s="179">
        <v>210.0</v>
      </c>
      <c r="B211" s="180" t="s">
        <v>8564</v>
      </c>
      <c r="C211" s="182" t="s">
        <v>8565</v>
      </c>
    </row>
    <row r="212">
      <c r="A212" s="179">
        <v>211.0</v>
      </c>
      <c r="B212" s="180" t="s">
        <v>8564</v>
      </c>
      <c r="C212" s="182" t="s">
        <v>8565</v>
      </c>
    </row>
    <row r="213">
      <c r="A213" s="179">
        <v>212.0</v>
      </c>
      <c r="B213" s="180" t="s">
        <v>8570</v>
      </c>
      <c r="C213" s="182" t="s">
        <v>8571</v>
      </c>
    </row>
    <row r="214">
      <c r="A214" s="179">
        <v>213.0</v>
      </c>
      <c r="B214" s="180" t="s">
        <v>8564</v>
      </c>
      <c r="C214" s="182" t="s">
        <v>8565</v>
      </c>
    </row>
    <row r="215">
      <c r="A215" s="179">
        <v>214.0</v>
      </c>
      <c r="B215" s="180" t="s">
        <v>8564</v>
      </c>
      <c r="C215" s="182" t="s">
        <v>8565</v>
      </c>
    </row>
    <row r="216">
      <c r="A216" s="179">
        <v>215.0</v>
      </c>
      <c r="B216" s="180" t="s">
        <v>8564</v>
      </c>
      <c r="C216" s="182" t="s">
        <v>8565</v>
      </c>
    </row>
    <row r="217">
      <c r="A217" s="179">
        <v>216.0</v>
      </c>
      <c r="B217" s="180" t="s">
        <v>8564</v>
      </c>
      <c r="C217" s="182" t="s">
        <v>8565</v>
      </c>
    </row>
    <row r="218">
      <c r="A218" s="179">
        <v>217.0</v>
      </c>
      <c r="B218" s="180" t="s">
        <v>8564</v>
      </c>
      <c r="C218" s="182" t="s">
        <v>8565</v>
      </c>
    </row>
    <row r="219">
      <c r="A219" s="179">
        <v>218.0</v>
      </c>
      <c r="B219" s="180" t="s">
        <v>8564</v>
      </c>
      <c r="C219" s="182" t="s">
        <v>8565</v>
      </c>
    </row>
    <row r="220">
      <c r="A220" s="179">
        <v>219.0</v>
      </c>
      <c r="B220" s="180" t="s">
        <v>8564</v>
      </c>
      <c r="C220" s="182" t="s">
        <v>8565</v>
      </c>
    </row>
    <row r="221">
      <c r="A221" s="179">
        <v>220.0</v>
      </c>
      <c r="B221" s="180" t="s">
        <v>8564</v>
      </c>
      <c r="C221" s="182" t="s">
        <v>8565</v>
      </c>
    </row>
    <row r="222">
      <c r="A222" s="179">
        <v>221.0</v>
      </c>
      <c r="B222" s="180" t="s">
        <v>8564</v>
      </c>
      <c r="C222" s="182" t="s">
        <v>8565</v>
      </c>
    </row>
    <row r="223">
      <c r="A223" s="179">
        <v>222.0</v>
      </c>
      <c r="B223" s="180" t="s">
        <v>8564</v>
      </c>
      <c r="C223" s="182" t="s">
        <v>8565</v>
      </c>
    </row>
    <row r="224">
      <c r="A224" s="179">
        <v>223.0</v>
      </c>
      <c r="B224" s="180" t="s">
        <v>8564</v>
      </c>
      <c r="C224" s="182" t="s">
        <v>8565</v>
      </c>
    </row>
    <row r="225">
      <c r="A225" s="179">
        <v>224.0</v>
      </c>
      <c r="B225" s="180" t="s">
        <v>8564</v>
      </c>
      <c r="C225" s="182" t="s">
        <v>8565</v>
      </c>
    </row>
    <row r="226">
      <c r="A226" s="179">
        <v>225.0</v>
      </c>
      <c r="B226" s="180" t="s">
        <v>8564</v>
      </c>
      <c r="C226" s="182" t="s">
        <v>8565</v>
      </c>
    </row>
    <row r="227">
      <c r="A227" s="179">
        <v>226.0</v>
      </c>
      <c r="B227" s="180" t="s">
        <v>8564</v>
      </c>
      <c r="C227" s="182" t="s">
        <v>8565</v>
      </c>
    </row>
    <row r="228">
      <c r="A228" s="179">
        <v>227.0</v>
      </c>
      <c r="B228" s="180" t="s">
        <v>8564</v>
      </c>
      <c r="C228" s="182" t="s">
        <v>8565</v>
      </c>
    </row>
    <row r="229">
      <c r="A229" s="179">
        <v>228.0</v>
      </c>
      <c r="B229" s="180" t="s">
        <v>8570</v>
      </c>
      <c r="C229" s="182" t="s">
        <v>8571</v>
      </c>
    </row>
    <row r="230">
      <c r="A230" s="179">
        <v>229.0</v>
      </c>
      <c r="B230" s="180" t="s">
        <v>8564</v>
      </c>
      <c r="C230" s="182" t="s">
        <v>8565</v>
      </c>
    </row>
    <row r="231">
      <c r="A231" s="179">
        <v>230.0</v>
      </c>
      <c r="B231" s="180" t="s">
        <v>8564</v>
      </c>
      <c r="C231" s="182" t="s">
        <v>8565</v>
      </c>
    </row>
    <row r="232">
      <c r="A232" s="179">
        <v>231.0</v>
      </c>
      <c r="B232" s="180" t="s">
        <v>8564</v>
      </c>
      <c r="C232" s="182" t="s">
        <v>8565</v>
      </c>
    </row>
    <row r="233">
      <c r="A233" s="179">
        <v>232.0</v>
      </c>
      <c r="B233" s="180" t="s">
        <v>8570</v>
      </c>
      <c r="C233" s="182" t="s">
        <v>8571</v>
      </c>
    </row>
    <row r="234">
      <c r="A234" s="179">
        <v>233.0</v>
      </c>
      <c r="B234" s="180" t="s">
        <v>8564</v>
      </c>
      <c r="C234" s="182" t="s">
        <v>8565</v>
      </c>
    </row>
    <row r="235">
      <c r="A235" s="179">
        <v>234.0</v>
      </c>
      <c r="B235" s="180" t="s">
        <v>8564</v>
      </c>
      <c r="C235" s="182" t="s">
        <v>8565</v>
      </c>
    </row>
    <row r="236">
      <c r="A236" s="179">
        <v>235.0</v>
      </c>
      <c r="B236" s="180" t="s">
        <v>8568</v>
      </c>
      <c r="C236" s="182" t="s">
        <v>8569</v>
      </c>
    </row>
    <row r="237">
      <c r="A237" s="179">
        <v>236.0</v>
      </c>
      <c r="B237" s="180" t="s">
        <v>8564</v>
      </c>
      <c r="C237" s="182" t="s">
        <v>8565</v>
      </c>
    </row>
    <row r="238">
      <c r="A238" s="179">
        <v>237.0</v>
      </c>
      <c r="B238" s="180" t="s">
        <v>8566</v>
      </c>
      <c r="C238" s="182" t="s">
        <v>8567</v>
      </c>
    </row>
    <row r="239">
      <c r="A239" s="179">
        <v>238.0</v>
      </c>
      <c r="B239" s="180" t="s">
        <v>8564</v>
      </c>
      <c r="C239" s="182" t="s">
        <v>8565</v>
      </c>
    </row>
    <row r="240">
      <c r="A240" s="179">
        <v>239.0</v>
      </c>
      <c r="B240" s="180" t="s">
        <v>8564</v>
      </c>
      <c r="C240" s="182" t="s">
        <v>8565</v>
      </c>
    </row>
    <row r="241">
      <c r="A241" s="179">
        <v>240.0</v>
      </c>
      <c r="B241" s="180" t="s">
        <v>8564</v>
      </c>
      <c r="C241" s="182" t="s">
        <v>8565</v>
      </c>
    </row>
    <row r="242">
      <c r="A242" s="179">
        <v>241.0</v>
      </c>
      <c r="B242" s="180" t="s">
        <v>8564</v>
      </c>
      <c r="C242" s="182" t="s">
        <v>8565</v>
      </c>
    </row>
    <row r="243">
      <c r="A243" s="179">
        <v>242.0</v>
      </c>
      <c r="B243" s="180" t="s">
        <v>8564</v>
      </c>
      <c r="C243" s="182" t="s">
        <v>8565</v>
      </c>
    </row>
    <row r="244">
      <c r="A244" s="179">
        <v>243.0</v>
      </c>
      <c r="B244" s="180" t="s">
        <v>8576</v>
      </c>
      <c r="C244" s="182" t="s">
        <v>8577</v>
      </c>
    </row>
    <row r="245">
      <c r="A245" s="179">
        <v>244.0</v>
      </c>
      <c r="B245" s="180" t="s">
        <v>8564</v>
      </c>
      <c r="C245" s="182" t="s">
        <v>8565</v>
      </c>
    </row>
    <row r="246">
      <c r="A246" s="179">
        <v>245.0</v>
      </c>
      <c r="B246" s="180" t="s">
        <v>8564</v>
      </c>
      <c r="C246" s="182" t="s">
        <v>8565</v>
      </c>
    </row>
    <row r="247">
      <c r="A247" s="179">
        <v>246.0</v>
      </c>
      <c r="B247" s="180" t="s">
        <v>8564</v>
      </c>
      <c r="C247" s="182" t="s">
        <v>8565</v>
      </c>
    </row>
    <row r="248">
      <c r="A248" s="179">
        <v>247.0</v>
      </c>
      <c r="B248" s="180" t="s">
        <v>8564</v>
      </c>
      <c r="C248" s="182" t="s">
        <v>8565</v>
      </c>
    </row>
    <row r="249">
      <c r="A249" s="179">
        <v>248.0</v>
      </c>
      <c r="B249" s="180" t="s">
        <v>8564</v>
      </c>
      <c r="C249" s="182" t="s">
        <v>8565</v>
      </c>
    </row>
    <row r="250">
      <c r="A250" s="179">
        <v>249.0</v>
      </c>
      <c r="B250" s="180" t="s">
        <v>8564</v>
      </c>
      <c r="C250" s="182" t="s">
        <v>8565</v>
      </c>
    </row>
    <row r="251">
      <c r="A251" s="179">
        <v>250.0</v>
      </c>
      <c r="B251" s="180" t="s">
        <v>8564</v>
      </c>
      <c r="C251" s="182" t="s">
        <v>8565</v>
      </c>
    </row>
    <row r="252">
      <c r="A252" s="179">
        <v>251.0</v>
      </c>
      <c r="B252" s="180" t="s">
        <v>8564</v>
      </c>
      <c r="C252" s="182" t="s">
        <v>8565</v>
      </c>
    </row>
    <row r="253">
      <c r="A253" s="179">
        <v>252.0</v>
      </c>
      <c r="B253" s="180" t="s">
        <v>8564</v>
      </c>
      <c r="C253" s="182" t="s">
        <v>8565</v>
      </c>
    </row>
    <row r="254">
      <c r="A254" s="179">
        <v>253.0</v>
      </c>
      <c r="B254" s="180" t="s">
        <v>8564</v>
      </c>
      <c r="C254" s="182" t="s">
        <v>8565</v>
      </c>
    </row>
    <row r="255">
      <c r="A255" s="179">
        <v>254.0</v>
      </c>
      <c r="B255" s="180" t="s">
        <v>8564</v>
      </c>
      <c r="C255" s="182" t="s">
        <v>8565</v>
      </c>
    </row>
    <row r="256">
      <c r="A256" s="179">
        <v>255.0</v>
      </c>
      <c r="B256" s="180" t="s">
        <v>8564</v>
      </c>
      <c r="C256" s="182" t="s">
        <v>8565</v>
      </c>
    </row>
    <row r="257">
      <c r="A257" s="179">
        <v>256.0</v>
      </c>
      <c r="B257" s="180" t="s">
        <v>8564</v>
      </c>
      <c r="C257" s="182" t="s">
        <v>8565</v>
      </c>
    </row>
    <row r="258">
      <c r="A258" s="179">
        <v>257.0</v>
      </c>
      <c r="B258" s="180" t="s">
        <v>8564</v>
      </c>
      <c r="C258" s="182" t="s">
        <v>8565</v>
      </c>
    </row>
    <row r="259">
      <c r="A259" s="179">
        <v>258.0</v>
      </c>
      <c r="B259" s="180" t="s">
        <v>8564</v>
      </c>
      <c r="C259" s="182" t="s">
        <v>8565</v>
      </c>
    </row>
    <row r="260">
      <c r="A260" s="179">
        <v>259.0</v>
      </c>
      <c r="B260" s="180" t="s">
        <v>8564</v>
      </c>
      <c r="C260" s="182" t="s">
        <v>8565</v>
      </c>
    </row>
    <row r="261">
      <c r="A261" s="179">
        <v>260.0</v>
      </c>
      <c r="B261" s="180" t="s">
        <v>8564</v>
      </c>
      <c r="C261" s="182" t="s">
        <v>8565</v>
      </c>
    </row>
    <row r="262">
      <c r="A262" s="179">
        <v>261.0</v>
      </c>
      <c r="B262" s="180" t="s">
        <v>8564</v>
      </c>
      <c r="C262" s="182" t="s">
        <v>8565</v>
      </c>
    </row>
    <row r="263">
      <c r="A263" s="179">
        <v>262.0</v>
      </c>
      <c r="B263" s="180" t="s">
        <v>8564</v>
      </c>
      <c r="C263" s="182" t="s">
        <v>8565</v>
      </c>
    </row>
    <row r="264">
      <c r="A264" s="179">
        <v>263.0</v>
      </c>
      <c r="B264" s="180" t="s">
        <v>8564</v>
      </c>
      <c r="C264" s="182" t="s">
        <v>8565</v>
      </c>
    </row>
    <row r="265">
      <c r="A265" s="179">
        <v>264.0</v>
      </c>
      <c r="B265" s="180" t="s">
        <v>8564</v>
      </c>
      <c r="C265" s="182" t="s">
        <v>8565</v>
      </c>
    </row>
    <row r="266">
      <c r="A266" s="179">
        <v>265.0</v>
      </c>
      <c r="B266" s="180" t="s">
        <v>8564</v>
      </c>
      <c r="C266" s="182" t="s">
        <v>8565</v>
      </c>
    </row>
    <row r="267">
      <c r="A267" s="179">
        <v>266.0</v>
      </c>
      <c r="B267" s="180" t="s">
        <v>8564</v>
      </c>
      <c r="C267" s="182" t="s">
        <v>8565</v>
      </c>
    </row>
    <row r="268">
      <c r="A268" s="179">
        <v>267.0</v>
      </c>
      <c r="B268" s="180" t="s">
        <v>8564</v>
      </c>
      <c r="C268" s="182" t="s">
        <v>8565</v>
      </c>
    </row>
    <row r="269">
      <c r="A269" s="179">
        <v>268.0</v>
      </c>
      <c r="B269" s="180" t="s">
        <v>8564</v>
      </c>
      <c r="C269" s="182" t="s">
        <v>8565</v>
      </c>
    </row>
    <row r="270">
      <c r="A270" s="179">
        <v>269.0</v>
      </c>
      <c r="B270" s="180" t="s">
        <v>8564</v>
      </c>
      <c r="C270" s="182" t="s">
        <v>8565</v>
      </c>
    </row>
    <row r="271">
      <c r="A271" s="179">
        <v>270.0</v>
      </c>
      <c r="B271" s="180" t="s">
        <v>8564</v>
      </c>
      <c r="C271" s="182" t="s">
        <v>8565</v>
      </c>
    </row>
    <row r="272">
      <c r="A272" s="179">
        <v>271.0</v>
      </c>
      <c r="B272" s="180" t="s">
        <v>8564</v>
      </c>
      <c r="C272" s="182" t="s">
        <v>8565</v>
      </c>
    </row>
    <row r="273">
      <c r="A273" s="179">
        <v>272.0</v>
      </c>
      <c r="B273" s="180" t="s">
        <v>8564</v>
      </c>
      <c r="C273" s="182" t="s">
        <v>8565</v>
      </c>
    </row>
    <row r="274">
      <c r="A274" s="179">
        <v>273.0</v>
      </c>
      <c r="B274" s="180" t="s">
        <v>8564</v>
      </c>
      <c r="C274" s="182" t="s">
        <v>8565</v>
      </c>
    </row>
    <row r="275">
      <c r="A275" s="179">
        <v>274.0</v>
      </c>
      <c r="B275" s="180" t="s">
        <v>8564</v>
      </c>
      <c r="C275" s="182" t="s">
        <v>8565</v>
      </c>
    </row>
    <row r="276">
      <c r="A276" s="179">
        <v>275.0</v>
      </c>
      <c r="B276" s="180" t="s">
        <v>8564</v>
      </c>
      <c r="C276" s="182" t="s">
        <v>8565</v>
      </c>
    </row>
    <row r="277">
      <c r="A277" s="179">
        <v>276.0</v>
      </c>
      <c r="B277" s="180" t="s">
        <v>8564</v>
      </c>
      <c r="C277" s="182" t="s">
        <v>8565</v>
      </c>
    </row>
    <row r="278">
      <c r="A278" s="179">
        <v>277.0</v>
      </c>
      <c r="B278" s="180" t="s">
        <v>8564</v>
      </c>
      <c r="C278" s="182" t="s">
        <v>8565</v>
      </c>
    </row>
    <row r="279">
      <c r="A279" s="179">
        <v>278.0</v>
      </c>
      <c r="B279" s="180" t="s">
        <v>8564</v>
      </c>
      <c r="C279" s="182" t="s">
        <v>8565</v>
      </c>
    </row>
    <row r="280">
      <c r="A280" s="179">
        <v>279.0</v>
      </c>
      <c r="B280" s="180" t="s">
        <v>8564</v>
      </c>
      <c r="C280" s="182" t="s">
        <v>8565</v>
      </c>
    </row>
    <row r="281">
      <c r="A281" s="179">
        <v>280.0</v>
      </c>
      <c r="B281" s="180" t="s">
        <v>8566</v>
      </c>
      <c r="C281" s="182" t="s">
        <v>8567</v>
      </c>
    </row>
    <row r="282">
      <c r="A282" s="179">
        <v>281.0</v>
      </c>
      <c r="B282" s="180" t="s">
        <v>8566</v>
      </c>
      <c r="C282" s="182" t="s">
        <v>8567</v>
      </c>
    </row>
    <row r="283">
      <c r="A283" s="179">
        <v>282.0</v>
      </c>
      <c r="B283" s="180" t="s">
        <v>8564</v>
      </c>
      <c r="C283" s="182" t="s">
        <v>8565</v>
      </c>
    </row>
    <row r="284">
      <c r="A284" s="179">
        <v>283.0</v>
      </c>
      <c r="B284" s="180" t="s">
        <v>8564</v>
      </c>
      <c r="C284" s="182" t="s">
        <v>8565</v>
      </c>
    </row>
    <row r="285">
      <c r="A285" s="179">
        <v>284.0</v>
      </c>
      <c r="B285" s="180" t="s">
        <v>8564</v>
      </c>
      <c r="C285" s="182" t="s">
        <v>8565</v>
      </c>
    </row>
    <row r="286">
      <c r="A286" s="179">
        <v>285.0</v>
      </c>
      <c r="B286" s="180" t="s">
        <v>8564</v>
      </c>
      <c r="C286" s="182" t="s">
        <v>8565</v>
      </c>
    </row>
    <row r="287">
      <c r="A287" s="179">
        <v>286.0</v>
      </c>
      <c r="B287" s="180" t="s">
        <v>8564</v>
      </c>
      <c r="C287" s="182" t="s">
        <v>8565</v>
      </c>
    </row>
    <row r="288">
      <c r="A288" s="179">
        <v>287.0</v>
      </c>
      <c r="B288" s="180" t="s">
        <v>8564</v>
      </c>
      <c r="C288" s="182" t="s">
        <v>8565</v>
      </c>
    </row>
    <row r="289">
      <c r="A289" s="179">
        <v>288.0</v>
      </c>
      <c r="B289" s="180" t="s">
        <v>8564</v>
      </c>
      <c r="C289" s="182" t="s">
        <v>8565</v>
      </c>
    </row>
    <row r="290">
      <c r="A290" s="179">
        <v>289.0</v>
      </c>
      <c r="B290" s="180" t="s">
        <v>8564</v>
      </c>
      <c r="C290" s="182" t="s">
        <v>8565</v>
      </c>
    </row>
    <row r="291">
      <c r="A291" s="179">
        <v>290.0</v>
      </c>
      <c r="B291" s="180" t="s">
        <v>8564</v>
      </c>
      <c r="C291" s="182" t="s">
        <v>8565</v>
      </c>
    </row>
    <row r="292">
      <c r="A292" s="179">
        <v>291.0</v>
      </c>
      <c r="B292" s="180" t="s">
        <v>8564</v>
      </c>
      <c r="C292" s="182" t="s">
        <v>8565</v>
      </c>
    </row>
    <row r="293">
      <c r="A293" s="179">
        <v>292.0</v>
      </c>
      <c r="B293" s="180" t="s">
        <v>8564</v>
      </c>
      <c r="C293" s="182" t="s">
        <v>8565</v>
      </c>
    </row>
    <row r="294">
      <c r="A294" s="179">
        <v>293.0</v>
      </c>
      <c r="B294" s="180" t="s">
        <v>8564</v>
      </c>
      <c r="C294" s="182" t="s">
        <v>8565</v>
      </c>
    </row>
    <row r="295">
      <c r="A295" s="179">
        <v>294.0</v>
      </c>
      <c r="B295" s="180" t="s">
        <v>8564</v>
      </c>
      <c r="C295" s="182" t="s">
        <v>8565</v>
      </c>
    </row>
    <row r="296">
      <c r="A296" s="179">
        <v>295.0</v>
      </c>
      <c r="B296" s="180" t="s">
        <v>8564</v>
      </c>
      <c r="C296" s="182" t="s">
        <v>8565</v>
      </c>
    </row>
    <row r="297">
      <c r="A297" s="179">
        <v>296.0</v>
      </c>
      <c r="B297" s="180" t="s">
        <v>8564</v>
      </c>
      <c r="C297" s="182" t="s">
        <v>8565</v>
      </c>
    </row>
    <row r="298">
      <c r="A298" s="179">
        <v>297.0</v>
      </c>
      <c r="B298" s="180" t="s">
        <v>8564</v>
      </c>
      <c r="C298" s="182" t="s">
        <v>8565</v>
      </c>
    </row>
    <row r="299">
      <c r="A299" s="179">
        <v>298.0</v>
      </c>
      <c r="B299" s="180" t="s">
        <v>8564</v>
      </c>
      <c r="C299" s="182" t="s">
        <v>8565</v>
      </c>
    </row>
    <row r="300">
      <c r="A300" s="179">
        <v>299.0</v>
      </c>
      <c r="B300" s="180" t="s">
        <v>8564</v>
      </c>
      <c r="C300" s="182" t="s">
        <v>8565</v>
      </c>
    </row>
    <row r="301">
      <c r="A301" s="179">
        <v>300.0</v>
      </c>
      <c r="B301" s="180" t="s">
        <v>8564</v>
      </c>
      <c r="C301" s="182" t="s">
        <v>8565</v>
      </c>
    </row>
    <row r="302">
      <c r="A302" s="179">
        <v>301.0</v>
      </c>
      <c r="B302" s="180" t="s">
        <v>8564</v>
      </c>
      <c r="C302" s="182" t="s">
        <v>8565</v>
      </c>
    </row>
    <row r="303">
      <c r="A303" s="179">
        <v>302.0</v>
      </c>
      <c r="B303" s="180" t="s">
        <v>8564</v>
      </c>
      <c r="C303" s="182" t="s">
        <v>8565</v>
      </c>
    </row>
    <row r="304">
      <c r="A304" s="179">
        <v>303.0</v>
      </c>
      <c r="B304" s="180" t="s">
        <v>8564</v>
      </c>
      <c r="C304" s="182" t="s">
        <v>8565</v>
      </c>
    </row>
    <row r="305">
      <c r="A305" s="179">
        <v>304.0</v>
      </c>
      <c r="B305" s="180" t="s">
        <v>8564</v>
      </c>
      <c r="C305" s="182" t="s">
        <v>8565</v>
      </c>
    </row>
    <row r="306">
      <c r="A306" s="179">
        <v>305.0</v>
      </c>
      <c r="B306" s="180" t="s">
        <v>8564</v>
      </c>
      <c r="C306" s="182" t="s">
        <v>8565</v>
      </c>
    </row>
    <row r="307">
      <c r="A307" s="179">
        <v>306.0</v>
      </c>
      <c r="B307" s="180" t="s">
        <v>8564</v>
      </c>
      <c r="C307" s="182" t="s">
        <v>8565</v>
      </c>
    </row>
    <row r="308">
      <c r="A308" s="179">
        <v>307.0</v>
      </c>
      <c r="B308" s="180" t="s">
        <v>8564</v>
      </c>
      <c r="C308" s="182" t="s">
        <v>8565</v>
      </c>
    </row>
    <row r="309">
      <c r="A309" s="179">
        <v>308.0</v>
      </c>
      <c r="B309" s="180" t="s">
        <v>8564</v>
      </c>
      <c r="C309" s="182" t="s">
        <v>8565</v>
      </c>
    </row>
    <row r="310">
      <c r="A310" s="179">
        <v>309.0</v>
      </c>
      <c r="B310" s="180" t="s">
        <v>8564</v>
      </c>
      <c r="C310" s="182" t="s">
        <v>8565</v>
      </c>
    </row>
    <row r="311">
      <c r="A311" s="179">
        <v>310.0</v>
      </c>
      <c r="B311" s="180" t="s">
        <v>8566</v>
      </c>
      <c r="C311" s="182" t="s">
        <v>8567</v>
      </c>
    </row>
    <row r="312">
      <c r="A312" s="179">
        <v>311.0</v>
      </c>
      <c r="B312" s="180" t="s">
        <v>8564</v>
      </c>
      <c r="C312" s="182" t="s">
        <v>8565</v>
      </c>
    </row>
    <row r="313">
      <c r="A313" s="179">
        <v>312.0</v>
      </c>
      <c r="B313" s="180" t="s">
        <v>8564</v>
      </c>
      <c r="C313" s="182" t="s">
        <v>8565</v>
      </c>
    </row>
    <row r="314">
      <c r="A314" s="179">
        <v>313.0</v>
      </c>
      <c r="B314" s="180" t="s">
        <v>8566</v>
      </c>
      <c r="C314" s="182" t="s">
        <v>8567</v>
      </c>
    </row>
    <row r="315">
      <c r="A315" s="179">
        <v>314.0</v>
      </c>
      <c r="B315" s="180" t="s">
        <v>8566</v>
      </c>
      <c r="C315" s="182" t="s">
        <v>8567</v>
      </c>
    </row>
    <row r="316">
      <c r="A316" s="179">
        <v>315.0</v>
      </c>
      <c r="B316" s="180" t="s">
        <v>8564</v>
      </c>
      <c r="C316" s="182" t="s">
        <v>8565</v>
      </c>
    </row>
    <row r="317">
      <c r="A317" s="179">
        <v>316.0</v>
      </c>
      <c r="B317" s="180" t="s">
        <v>8576</v>
      </c>
      <c r="C317" s="182" t="s">
        <v>8577</v>
      </c>
    </row>
    <row r="318">
      <c r="A318" s="179">
        <v>317.0</v>
      </c>
      <c r="B318" s="180" t="s">
        <v>8564</v>
      </c>
      <c r="C318" s="182" t="s">
        <v>8565</v>
      </c>
    </row>
    <row r="319">
      <c r="A319" s="179">
        <v>318.0</v>
      </c>
      <c r="B319" s="180" t="s">
        <v>8564</v>
      </c>
      <c r="C319" s="182" t="s">
        <v>8565</v>
      </c>
    </row>
    <row r="320">
      <c r="A320" s="179">
        <v>319.0</v>
      </c>
      <c r="B320" s="180" t="s">
        <v>8564</v>
      </c>
      <c r="C320" s="182" t="s">
        <v>8565</v>
      </c>
    </row>
    <row r="321">
      <c r="A321" s="179">
        <v>320.0</v>
      </c>
      <c r="B321" s="180" t="s">
        <v>8564</v>
      </c>
      <c r="C321" s="182" t="s">
        <v>8565</v>
      </c>
    </row>
    <row r="322">
      <c r="A322" s="179">
        <v>321.0</v>
      </c>
      <c r="B322" s="180" t="s">
        <v>8564</v>
      </c>
      <c r="C322" s="182" t="s">
        <v>8565</v>
      </c>
    </row>
    <row r="323">
      <c r="A323" s="179">
        <v>322.0</v>
      </c>
      <c r="B323" s="180" t="s">
        <v>8564</v>
      </c>
      <c r="C323" s="182" t="s">
        <v>8565</v>
      </c>
    </row>
    <row r="324">
      <c r="A324" s="179">
        <v>323.0</v>
      </c>
      <c r="B324" s="180" t="s">
        <v>8564</v>
      </c>
      <c r="C324" s="182" t="s">
        <v>8565</v>
      </c>
    </row>
    <row r="325">
      <c r="A325" s="179">
        <v>324.0</v>
      </c>
      <c r="B325" s="180" t="s">
        <v>8564</v>
      </c>
      <c r="C325" s="182" t="s">
        <v>8565</v>
      </c>
    </row>
    <row r="326">
      <c r="A326" s="179">
        <v>325.0</v>
      </c>
      <c r="B326" s="180" t="s">
        <v>8564</v>
      </c>
      <c r="C326" s="182" t="s">
        <v>8565</v>
      </c>
    </row>
    <row r="327">
      <c r="A327" s="179">
        <v>326.0</v>
      </c>
      <c r="B327" s="180" t="s">
        <v>8564</v>
      </c>
      <c r="C327" s="182" t="s">
        <v>8565</v>
      </c>
    </row>
    <row r="328">
      <c r="A328" s="179">
        <v>327.0</v>
      </c>
      <c r="B328" s="180" t="s">
        <v>8564</v>
      </c>
      <c r="C328" s="182" t="s">
        <v>8565</v>
      </c>
    </row>
    <row r="329">
      <c r="A329" s="179">
        <v>328.0</v>
      </c>
      <c r="B329" s="180" t="s">
        <v>8564</v>
      </c>
      <c r="C329" s="182" t="s">
        <v>8565</v>
      </c>
    </row>
    <row r="330">
      <c r="A330" s="179">
        <v>329.0</v>
      </c>
      <c r="B330" s="180" t="s">
        <v>8564</v>
      </c>
      <c r="C330" s="182" t="s">
        <v>8565</v>
      </c>
    </row>
    <row r="331">
      <c r="A331" s="179">
        <v>330.0</v>
      </c>
      <c r="B331" s="180" t="s">
        <v>8564</v>
      </c>
      <c r="C331" s="182" t="s">
        <v>8565</v>
      </c>
    </row>
    <row r="332">
      <c r="A332" s="179">
        <v>331.0</v>
      </c>
      <c r="B332" s="180" t="s">
        <v>8564</v>
      </c>
      <c r="C332" s="182" t="s">
        <v>8565</v>
      </c>
    </row>
    <row r="333">
      <c r="A333" s="179">
        <v>332.0</v>
      </c>
      <c r="B333" s="180" t="s">
        <v>8564</v>
      </c>
      <c r="C333" s="182" t="s">
        <v>8565</v>
      </c>
    </row>
    <row r="334">
      <c r="A334" s="179">
        <v>333.0</v>
      </c>
      <c r="B334" s="180" t="s">
        <v>8564</v>
      </c>
      <c r="C334" s="182" t="s">
        <v>8565</v>
      </c>
    </row>
    <row r="335">
      <c r="A335" s="179">
        <v>334.0</v>
      </c>
      <c r="B335" s="180" t="s">
        <v>8564</v>
      </c>
      <c r="C335" s="182" t="s">
        <v>8565</v>
      </c>
    </row>
    <row r="336">
      <c r="A336" s="179">
        <v>335.0</v>
      </c>
      <c r="B336" s="180" t="s">
        <v>8564</v>
      </c>
      <c r="C336" s="182" t="s">
        <v>8565</v>
      </c>
    </row>
    <row r="337">
      <c r="A337" s="179">
        <v>336.0</v>
      </c>
      <c r="B337" s="180" t="s">
        <v>8564</v>
      </c>
      <c r="C337" s="182" t="s">
        <v>8565</v>
      </c>
    </row>
    <row r="338">
      <c r="A338" s="179">
        <v>337.0</v>
      </c>
      <c r="B338" s="180" t="s">
        <v>8564</v>
      </c>
      <c r="C338" s="182" t="s">
        <v>8565</v>
      </c>
    </row>
    <row r="339">
      <c r="A339" s="179">
        <v>338.0</v>
      </c>
      <c r="B339" s="180" t="s">
        <v>8564</v>
      </c>
      <c r="C339" s="182" t="s">
        <v>8565</v>
      </c>
    </row>
    <row r="340">
      <c r="A340" s="179">
        <v>339.0</v>
      </c>
      <c r="B340" s="180" t="s">
        <v>8564</v>
      </c>
      <c r="C340" s="182" t="s">
        <v>8565</v>
      </c>
    </row>
    <row r="341">
      <c r="A341" s="179">
        <v>340.0</v>
      </c>
      <c r="B341" s="180" t="s">
        <v>8564</v>
      </c>
      <c r="C341" s="182" t="s">
        <v>8565</v>
      </c>
    </row>
    <row r="342">
      <c r="A342" s="179">
        <v>341.0</v>
      </c>
      <c r="B342" s="180" t="s">
        <v>8564</v>
      </c>
      <c r="C342" s="182" t="s">
        <v>8565</v>
      </c>
    </row>
    <row r="343">
      <c r="A343" s="179">
        <v>342.0</v>
      </c>
      <c r="B343" s="180" t="s">
        <v>8564</v>
      </c>
      <c r="C343" s="182" t="s">
        <v>8565</v>
      </c>
    </row>
    <row r="344">
      <c r="A344" s="179">
        <v>343.0</v>
      </c>
      <c r="B344" s="180" t="s">
        <v>8564</v>
      </c>
      <c r="C344" s="182" t="s">
        <v>8565</v>
      </c>
    </row>
    <row r="345">
      <c r="A345" s="179">
        <v>344.0</v>
      </c>
      <c r="B345" s="180" t="s">
        <v>8564</v>
      </c>
      <c r="C345" s="182" t="s">
        <v>8565</v>
      </c>
    </row>
    <row r="346">
      <c r="A346" s="179">
        <v>345.0</v>
      </c>
      <c r="B346" s="180" t="s">
        <v>8564</v>
      </c>
      <c r="C346" s="182" t="s">
        <v>8565</v>
      </c>
    </row>
    <row r="347">
      <c r="A347" s="179">
        <v>346.0</v>
      </c>
      <c r="B347" s="180" t="s">
        <v>8564</v>
      </c>
      <c r="C347" s="182" t="s">
        <v>8565</v>
      </c>
    </row>
    <row r="348">
      <c r="A348" s="179">
        <v>347.0</v>
      </c>
      <c r="B348" s="180" t="s">
        <v>8564</v>
      </c>
      <c r="C348" s="182" t="s">
        <v>8565</v>
      </c>
    </row>
    <row r="349">
      <c r="A349" s="179">
        <v>348.0</v>
      </c>
      <c r="B349" s="180" t="s">
        <v>8564</v>
      </c>
      <c r="C349" s="182" t="s">
        <v>8565</v>
      </c>
    </row>
    <row r="350">
      <c r="A350" s="179">
        <v>349.0</v>
      </c>
      <c r="B350" s="180" t="s">
        <v>8564</v>
      </c>
      <c r="C350" s="182" t="s">
        <v>8565</v>
      </c>
    </row>
    <row r="351">
      <c r="A351" s="179">
        <v>350.0</v>
      </c>
      <c r="B351" s="180" t="s">
        <v>8564</v>
      </c>
      <c r="C351" s="182" t="s">
        <v>8565</v>
      </c>
    </row>
    <row r="352">
      <c r="A352" s="179">
        <v>351.0</v>
      </c>
      <c r="B352" s="180" t="s">
        <v>8564</v>
      </c>
      <c r="C352" s="182" t="s">
        <v>8565</v>
      </c>
    </row>
    <row r="353">
      <c r="A353" s="179">
        <v>352.0</v>
      </c>
      <c r="B353" s="180" t="s">
        <v>8564</v>
      </c>
      <c r="C353" s="182" t="s">
        <v>8565</v>
      </c>
    </row>
    <row r="354">
      <c r="A354" s="179">
        <v>353.0</v>
      </c>
      <c r="B354" s="180" t="s">
        <v>8564</v>
      </c>
      <c r="C354" s="182" t="s">
        <v>8565</v>
      </c>
    </row>
    <row r="355">
      <c r="A355" s="179">
        <v>354.0</v>
      </c>
      <c r="B355" s="180" t="s">
        <v>8564</v>
      </c>
      <c r="C355" s="182" t="s">
        <v>8565</v>
      </c>
    </row>
    <row r="356">
      <c r="A356" s="179">
        <v>355.0</v>
      </c>
      <c r="B356" s="180" t="s">
        <v>8564</v>
      </c>
      <c r="C356" s="182" t="s">
        <v>8565</v>
      </c>
    </row>
    <row r="357">
      <c r="A357" s="179">
        <v>356.0</v>
      </c>
      <c r="B357" s="180" t="s">
        <v>8564</v>
      </c>
      <c r="C357" s="182" t="s">
        <v>8565</v>
      </c>
    </row>
    <row r="358">
      <c r="A358" s="179">
        <v>357.0</v>
      </c>
      <c r="B358" s="180" t="s">
        <v>8564</v>
      </c>
      <c r="C358" s="182" t="s">
        <v>8565</v>
      </c>
    </row>
    <row r="359">
      <c r="A359" s="179">
        <v>358.0</v>
      </c>
      <c r="B359" s="180" t="s">
        <v>8564</v>
      </c>
      <c r="C359" s="182" t="s">
        <v>8565</v>
      </c>
    </row>
    <row r="360">
      <c r="A360" s="179">
        <v>359.0</v>
      </c>
      <c r="B360" s="180" t="s">
        <v>8564</v>
      </c>
      <c r="C360" s="182" t="s">
        <v>8565</v>
      </c>
    </row>
    <row r="361">
      <c r="A361" s="179">
        <v>360.0</v>
      </c>
      <c r="B361" s="180" t="s">
        <v>8564</v>
      </c>
      <c r="C361" s="182" t="s">
        <v>8565</v>
      </c>
    </row>
    <row r="362">
      <c r="A362" s="179">
        <v>361.0</v>
      </c>
      <c r="B362" s="180" t="s">
        <v>8564</v>
      </c>
      <c r="C362" s="182" t="s">
        <v>8565</v>
      </c>
    </row>
    <row r="363">
      <c r="A363" s="179">
        <v>362.0</v>
      </c>
      <c r="B363" s="180" t="s">
        <v>8564</v>
      </c>
      <c r="C363" s="182" t="s">
        <v>8565</v>
      </c>
    </row>
    <row r="364">
      <c r="A364" s="179">
        <v>363.0</v>
      </c>
      <c r="B364" s="180" t="s">
        <v>8564</v>
      </c>
      <c r="C364" s="182" t="s">
        <v>8565</v>
      </c>
    </row>
    <row r="365">
      <c r="A365" s="179">
        <v>364.0</v>
      </c>
      <c r="B365" s="180" t="s">
        <v>8564</v>
      </c>
      <c r="C365" s="182" t="s">
        <v>8565</v>
      </c>
    </row>
    <row r="366">
      <c r="A366" s="179">
        <v>365.0</v>
      </c>
      <c r="B366" s="180" t="s">
        <v>8564</v>
      </c>
      <c r="C366" s="182" t="s">
        <v>8565</v>
      </c>
    </row>
    <row r="367">
      <c r="A367" s="179">
        <v>366.0</v>
      </c>
      <c r="B367" s="180" t="s">
        <v>8564</v>
      </c>
      <c r="C367" s="182" t="s">
        <v>8565</v>
      </c>
    </row>
    <row r="368">
      <c r="A368" s="179">
        <v>367.0</v>
      </c>
      <c r="B368" s="180" t="s">
        <v>8564</v>
      </c>
      <c r="C368" s="182" t="s">
        <v>8565</v>
      </c>
    </row>
    <row r="369">
      <c r="A369" s="179">
        <v>368.0</v>
      </c>
      <c r="B369" s="180" t="s">
        <v>8564</v>
      </c>
      <c r="C369" s="182" t="s">
        <v>8565</v>
      </c>
    </row>
    <row r="370">
      <c r="A370" s="179">
        <v>369.0</v>
      </c>
      <c r="B370" s="180" t="s">
        <v>8564</v>
      </c>
      <c r="C370" s="182" t="s">
        <v>8565</v>
      </c>
    </row>
    <row r="371">
      <c r="A371" s="179">
        <v>370.0</v>
      </c>
      <c r="B371" s="180" t="s">
        <v>8564</v>
      </c>
      <c r="C371" s="182" t="s">
        <v>8565</v>
      </c>
    </row>
    <row r="372">
      <c r="A372" s="179">
        <v>371.0</v>
      </c>
      <c r="B372" s="180" t="s">
        <v>8564</v>
      </c>
      <c r="C372" s="182" t="s">
        <v>8565</v>
      </c>
    </row>
    <row r="373">
      <c r="A373" s="179">
        <v>372.0</v>
      </c>
      <c r="B373" s="180" t="s">
        <v>8564</v>
      </c>
      <c r="C373" s="182" t="s">
        <v>8565</v>
      </c>
    </row>
    <row r="374">
      <c r="A374" s="179">
        <v>373.0</v>
      </c>
      <c r="B374" s="180" t="s">
        <v>8564</v>
      </c>
      <c r="C374" s="182" t="s">
        <v>8565</v>
      </c>
    </row>
    <row r="375">
      <c r="A375" s="179">
        <v>374.0</v>
      </c>
      <c r="B375" s="180" t="s">
        <v>8564</v>
      </c>
      <c r="C375" s="182" t="s">
        <v>8565</v>
      </c>
    </row>
    <row r="376">
      <c r="A376" s="179">
        <v>375.0</v>
      </c>
      <c r="B376" s="180" t="s">
        <v>8564</v>
      </c>
      <c r="C376" s="182" t="s">
        <v>8565</v>
      </c>
    </row>
    <row r="377">
      <c r="A377" s="179">
        <v>376.0</v>
      </c>
      <c r="B377" s="180" t="s">
        <v>8564</v>
      </c>
      <c r="C377" s="182" t="s">
        <v>8565</v>
      </c>
    </row>
    <row r="378">
      <c r="A378" s="179">
        <v>377.0</v>
      </c>
      <c r="B378" s="180" t="s">
        <v>8564</v>
      </c>
      <c r="C378" s="182" t="s">
        <v>8565</v>
      </c>
    </row>
    <row r="379">
      <c r="A379" s="179">
        <v>378.0</v>
      </c>
      <c r="B379" s="180" t="s">
        <v>8564</v>
      </c>
      <c r="C379" s="182" t="s">
        <v>8565</v>
      </c>
    </row>
    <row r="380">
      <c r="A380" s="179">
        <v>379.0</v>
      </c>
      <c r="B380" s="180" t="s">
        <v>8564</v>
      </c>
      <c r="C380" s="182" t="s">
        <v>8565</v>
      </c>
    </row>
    <row r="381">
      <c r="A381" s="179">
        <v>380.0</v>
      </c>
      <c r="B381" s="180" t="s">
        <v>8564</v>
      </c>
      <c r="C381" s="182" t="s">
        <v>8565</v>
      </c>
    </row>
    <row r="382">
      <c r="A382" s="179">
        <v>381.0</v>
      </c>
      <c r="B382" s="180" t="s">
        <v>8564</v>
      </c>
      <c r="C382" s="182" t="s">
        <v>8565</v>
      </c>
    </row>
    <row r="383">
      <c r="A383" s="179">
        <v>382.0</v>
      </c>
      <c r="B383" s="180" t="s">
        <v>8564</v>
      </c>
      <c r="C383" s="182" t="s">
        <v>8565</v>
      </c>
    </row>
    <row r="384">
      <c r="A384" s="179">
        <v>383.0</v>
      </c>
      <c r="B384" s="180" t="s">
        <v>8564</v>
      </c>
      <c r="C384" s="182" t="s">
        <v>8565</v>
      </c>
    </row>
    <row r="385">
      <c r="A385" s="179">
        <v>384.0</v>
      </c>
      <c r="B385" s="180" t="s">
        <v>8564</v>
      </c>
      <c r="C385" s="182" t="s">
        <v>8565</v>
      </c>
    </row>
    <row r="386">
      <c r="A386" s="179">
        <v>385.0</v>
      </c>
      <c r="B386" s="180" t="s">
        <v>8564</v>
      </c>
      <c r="C386" s="182" t="s">
        <v>8565</v>
      </c>
    </row>
    <row r="387">
      <c r="A387" s="179">
        <v>386.0</v>
      </c>
      <c r="B387" s="180" t="s">
        <v>8564</v>
      </c>
      <c r="C387" s="182" t="s">
        <v>8565</v>
      </c>
    </row>
    <row r="388">
      <c r="A388" s="179">
        <v>387.0</v>
      </c>
      <c r="B388" s="180" t="s">
        <v>8564</v>
      </c>
      <c r="C388" s="182" t="s">
        <v>8565</v>
      </c>
    </row>
    <row r="389">
      <c r="A389" s="179">
        <v>388.0</v>
      </c>
      <c r="B389" s="180" t="s">
        <v>8564</v>
      </c>
      <c r="C389" s="182" t="s">
        <v>8565</v>
      </c>
    </row>
    <row r="390">
      <c r="A390" s="179">
        <v>389.0</v>
      </c>
      <c r="B390" s="180" t="s">
        <v>8564</v>
      </c>
      <c r="C390" s="182" t="s">
        <v>8565</v>
      </c>
    </row>
    <row r="391">
      <c r="A391" s="179">
        <v>390.0</v>
      </c>
      <c r="B391" s="180" t="s">
        <v>8564</v>
      </c>
      <c r="C391" s="182" t="s">
        <v>8565</v>
      </c>
    </row>
    <row r="392">
      <c r="A392" s="179">
        <v>391.0</v>
      </c>
      <c r="B392" s="180" t="s">
        <v>8564</v>
      </c>
      <c r="C392" s="182" t="s">
        <v>8565</v>
      </c>
    </row>
    <row r="393">
      <c r="A393" s="179">
        <v>392.0</v>
      </c>
      <c r="B393" s="180" t="s">
        <v>8564</v>
      </c>
      <c r="C393" s="182" t="s">
        <v>8565</v>
      </c>
    </row>
    <row r="394">
      <c r="A394" s="179">
        <v>393.0</v>
      </c>
      <c r="B394" s="180" t="s">
        <v>8564</v>
      </c>
      <c r="C394" s="182" t="s">
        <v>8565</v>
      </c>
    </row>
    <row r="395">
      <c r="A395" s="179">
        <v>394.0</v>
      </c>
      <c r="B395" s="180" t="s">
        <v>8564</v>
      </c>
      <c r="C395" s="182" t="s">
        <v>8565</v>
      </c>
    </row>
    <row r="396">
      <c r="A396" s="179">
        <v>395.0</v>
      </c>
      <c r="B396" s="180" t="s">
        <v>8564</v>
      </c>
      <c r="C396" s="182" t="s">
        <v>8565</v>
      </c>
    </row>
    <row r="397">
      <c r="A397" s="179">
        <v>396.0</v>
      </c>
      <c r="B397" s="180" t="s">
        <v>8564</v>
      </c>
      <c r="C397" s="182" t="s">
        <v>8565</v>
      </c>
    </row>
    <row r="398">
      <c r="A398" s="179">
        <v>397.0</v>
      </c>
      <c r="B398" s="180" t="s">
        <v>8564</v>
      </c>
      <c r="C398" s="182" t="s">
        <v>8565</v>
      </c>
    </row>
    <row r="399">
      <c r="A399" s="179">
        <v>398.0</v>
      </c>
      <c r="B399" s="180" t="s">
        <v>8564</v>
      </c>
      <c r="C399" s="182" t="s">
        <v>8565</v>
      </c>
    </row>
    <row r="400">
      <c r="A400" s="179">
        <v>399.0</v>
      </c>
      <c r="B400" s="180" t="s">
        <v>8564</v>
      </c>
      <c r="C400" s="182" t="s">
        <v>8565</v>
      </c>
    </row>
    <row r="401">
      <c r="A401" s="179">
        <v>400.0</v>
      </c>
      <c r="B401" s="180" t="s">
        <v>8564</v>
      </c>
      <c r="C401" s="182" t="s">
        <v>8565</v>
      </c>
    </row>
    <row r="402">
      <c r="A402" s="179">
        <v>401.0</v>
      </c>
      <c r="B402" s="180" t="s">
        <v>8564</v>
      </c>
      <c r="C402" s="182" t="s">
        <v>8565</v>
      </c>
    </row>
    <row r="403">
      <c r="A403" s="179">
        <v>402.0</v>
      </c>
      <c r="B403" s="180" t="s">
        <v>8564</v>
      </c>
      <c r="C403" s="182" t="s">
        <v>8565</v>
      </c>
    </row>
    <row r="404">
      <c r="A404" s="179">
        <v>403.0</v>
      </c>
      <c r="B404" s="180" t="s">
        <v>8564</v>
      </c>
      <c r="C404" s="182" t="s">
        <v>8565</v>
      </c>
    </row>
    <row r="405">
      <c r="A405" s="179">
        <v>404.0</v>
      </c>
      <c r="B405" s="180" t="s">
        <v>8564</v>
      </c>
      <c r="C405" s="182" t="s">
        <v>8565</v>
      </c>
    </row>
    <row r="406">
      <c r="A406" s="179">
        <v>405.0</v>
      </c>
      <c r="B406" s="180" t="s">
        <v>8564</v>
      </c>
      <c r="C406" s="182" t="s">
        <v>8565</v>
      </c>
    </row>
    <row r="407">
      <c r="A407" s="179">
        <v>406.0</v>
      </c>
      <c r="B407" s="180" t="s">
        <v>8564</v>
      </c>
      <c r="C407" s="182" t="s">
        <v>8565</v>
      </c>
    </row>
    <row r="408">
      <c r="A408" s="179">
        <v>407.0</v>
      </c>
      <c r="B408" s="180" t="s">
        <v>8564</v>
      </c>
      <c r="C408" s="182" t="s">
        <v>8565</v>
      </c>
    </row>
    <row r="409">
      <c r="A409" s="179">
        <v>408.0</v>
      </c>
      <c r="B409" s="180" t="s">
        <v>8564</v>
      </c>
      <c r="C409" s="182" t="s">
        <v>8565</v>
      </c>
    </row>
    <row r="410">
      <c r="A410" s="179">
        <v>409.0</v>
      </c>
      <c r="B410" s="180" t="s">
        <v>8564</v>
      </c>
      <c r="C410" s="182" t="s">
        <v>8565</v>
      </c>
    </row>
    <row r="411">
      <c r="A411" s="179">
        <v>410.0</v>
      </c>
      <c r="B411" s="180" t="s">
        <v>8564</v>
      </c>
      <c r="C411" s="182" t="s">
        <v>8565</v>
      </c>
    </row>
    <row r="412">
      <c r="A412" s="179">
        <v>411.0</v>
      </c>
      <c r="B412" s="180" t="s">
        <v>8564</v>
      </c>
      <c r="C412" s="182" t="s">
        <v>8565</v>
      </c>
    </row>
    <row r="413">
      <c r="A413" s="179">
        <v>412.0</v>
      </c>
      <c r="B413" s="180" t="s">
        <v>8564</v>
      </c>
      <c r="C413" s="182" t="s">
        <v>8565</v>
      </c>
    </row>
    <row r="414">
      <c r="A414" s="179">
        <v>413.0</v>
      </c>
      <c r="B414" s="180" t="s">
        <v>8564</v>
      </c>
      <c r="C414" s="182" t="s">
        <v>8565</v>
      </c>
    </row>
    <row r="415">
      <c r="A415" s="179">
        <v>414.0</v>
      </c>
      <c r="B415" s="180" t="s">
        <v>8564</v>
      </c>
      <c r="C415" s="182" t="s">
        <v>8565</v>
      </c>
    </row>
    <row r="416">
      <c r="A416" s="179">
        <v>415.0</v>
      </c>
      <c r="B416" s="180" t="s">
        <v>8564</v>
      </c>
      <c r="C416" s="182" t="s">
        <v>8565</v>
      </c>
    </row>
    <row r="417">
      <c r="A417" s="179">
        <v>416.0</v>
      </c>
      <c r="B417" s="180" t="s">
        <v>8564</v>
      </c>
      <c r="C417" s="182" t="s">
        <v>8565</v>
      </c>
    </row>
    <row r="418">
      <c r="A418" s="179">
        <v>417.0</v>
      </c>
      <c r="B418" s="180" t="s">
        <v>8564</v>
      </c>
      <c r="C418" s="182" t="s">
        <v>8565</v>
      </c>
    </row>
    <row r="419">
      <c r="A419" s="179">
        <v>418.0</v>
      </c>
      <c r="B419" s="180" t="s">
        <v>8566</v>
      </c>
      <c r="C419" s="182" t="s">
        <v>8567</v>
      </c>
    </row>
    <row r="420">
      <c r="A420" s="179">
        <v>419.0</v>
      </c>
      <c r="B420" s="180" t="s">
        <v>8564</v>
      </c>
      <c r="C420" s="182" t="s">
        <v>8565</v>
      </c>
    </row>
    <row r="421">
      <c r="A421" s="179">
        <v>420.0</v>
      </c>
      <c r="B421" s="180" t="s">
        <v>8564</v>
      </c>
      <c r="C421" s="182" t="s">
        <v>8565</v>
      </c>
    </row>
    <row r="422">
      <c r="A422" s="179">
        <v>421.0</v>
      </c>
      <c r="B422" s="180" t="s">
        <v>8564</v>
      </c>
      <c r="C422" s="182" t="s">
        <v>8565</v>
      </c>
    </row>
    <row r="423">
      <c r="A423" s="179">
        <v>422.0</v>
      </c>
      <c r="B423" s="180" t="s">
        <v>8564</v>
      </c>
      <c r="C423" s="182" t="s">
        <v>8565</v>
      </c>
    </row>
    <row r="424">
      <c r="A424" s="179">
        <v>423.0</v>
      </c>
      <c r="B424" s="180" t="s">
        <v>8564</v>
      </c>
      <c r="C424" s="182" t="s">
        <v>8565</v>
      </c>
    </row>
    <row r="425">
      <c r="A425" s="179">
        <v>424.0</v>
      </c>
      <c r="B425" s="180" t="s">
        <v>8564</v>
      </c>
      <c r="C425" s="182" t="s">
        <v>8565</v>
      </c>
    </row>
    <row r="426">
      <c r="A426" s="179">
        <v>425.0</v>
      </c>
      <c r="B426" s="180" t="s">
        <v>8564</v>
      </c>
      <c r="C426" s="182" t="s">
        <v>8565</v>
      </c>
    </row>
    <row r="427">
      <c r="A427" s="179">
        <v>426.0</v>
      </c>
      <c r="B427" s="180" t="s">
        <v>8564</v>
      </c>
      <c r="C427" s="182" t="s">
        <v>8565</v>
      </c>
    </row>
    <row r="428">
      <c r="A428" s="179">
        <v>427.0</v>
      </c>
      <c r="B428" s="180" t="s">
        <v>8564</v>
      </c>
      <c r="C428" s="182" t="s">
        <v>8565</v>
      </c>
    </row>
    <row r="429">
      <c r="A429" s="179">
        <v>428.0</v>
      </c>
      <c r="B429" s="180" t="s">
        <v>8564</v>
      </c>
      <c r="C429" s="182" t="s">
        <v>8565</v>
      </c>
    </row>
    <row r="430">
      <c r="A430" s="179">
        <v>429.0</v>
      </c>
      <c r="B430" s="180" t="s">
        <v>8576</v>
      </c>
      <c r="C430" s="182" t="s">
        <v>8577</v>
      </c>
    </row>
    <row r="431">
      <c r="A431" s="179">
        <v>430.0</v>
      </c>
      <c r="B431" s="180" t="s">
        <v>8564</v>
      </c>
      <c r="C431" s="182" t="s">
        <v>8565</v>
      </c>
    </row>
    <row r="432">
      <c r="A432" s="179">
        <v>431.0</v>
      </c>
      <c r="B432" s="180" t="s">
        <v>8564</v>
      </c>
      <c r="C432" s="182" t="s">
        <v>8565</v>
      </c>
    </row>
    <row r="433">
      <c r="A433" s="179">
        <v>432.0</v>
      </c>
      <c r="B433" s="180" t="s">
        <v>8564</v>
      </c>
      <c r="C433" s="182" t="s">
        <v>8565</v>
      </c>
    </row>
    <row r="434">
      <c r="A434" s="179">
        <v>433.0</v>
      </c>
      <c r="B434" s="180" t="s">
        <v>8564</v>
      </c>
      <c r="C434" s="182" t="s">
        <v>8565</v>
      </c>
    </row>
    <row r="435">
      <c r="A435" s="179">
        <v>434.0</v>
      </c>
      <c r="B435" s="180" t="s">
        <v>8564</v>
      </c>
      <c r="C435" s="182" t="s">
        <v>8565</v>
      </c>
    </row>
    <row r="436">
      <c r="A436" s="179">
        <v>435.0</v>
      </c>
      <c r="B436" s="180" t="s">
        <v>8564</v>
      </c>
      <c r="C436" s="182" t="s">
        <v>8565</v>
      </c>
    </row>
    <row r="437">
      <c r="A437" s="179">
        <v>436.0</v>
      </c>
      <c r="B437" s="180" t="s">
        <v>8564</v>
      </c>
      <c r="C437" s="182" t="s">
        <v>8565</v>
      </c>
    </row>
    <row r="438">
      <c r="A438" s="179">
        <v>437.0</v>
      </c>
      <c r="B438" s="180" t="s">
        <v>8564</v>
      </c>
      <c r="C438" s="182" t="s">
        <v>8565</v>
      </c>
    </row>
    <row r="439">
      <c r="A439" s="179">
        <v>438.0</v>
      </c>
      <c r="B439" s="180" t="s">
        <v>8564</v>
      </c>
      <c r="C439" s="182" t="s">
        <v>8565</v>
      </c>
    </row>
    <row r="440">
      <c r="A440" s="179">
        <v>439.0</v>
      </c>
      <c r="B440" s="180" t="s">
        <v>8564</v>
      </c>
      <c r="C440" s="182" t="s">
        <v>8565</v>
      </c>
    </row>
    <row r="441">
      <c r="A441" s="179">
        <v>440.0</v>
      </c>
      <c r="B441" s="180" t="s">
        <v>8564</v>
      </c>
      <c r="C441" s="182" t="s">
        <v>8565</v>
      </c>
    </row>
    <row r="442">
      <c r="A442" s="179">
        <v>441.0</v>
      </c>
      <c r="B442" s="180" t="s">
        <v>8564</v>
      </c>
      <c r="C442" s="182" t="s">
        <v>8565</v>
      </c>
    </row>
    <row r="443">
      <c r="A443" s="179">
        <v>442.0</v>
      </c>
      <c r="B443" s="180" t="s">
        <v>8564</v>
      </c>
      <c r="C443" s="182" t="s">
        <v>8565</v>
      </c>
    </row>
    <row r="444">
      <c r="A444" s="179">
        <v>443.0</v>
      </c>
      <c r="B444" s="180" t="s">
        <v>8564</v>
      </c>
      <c r="C444" s="182" t="s">
        <v>8565</v>
      </c>
    </row>
    <row r="445">
      <c r="A445" s="179">
        <v>444.0</v>
      </c>
      <c r="B445" s="180" t="s">
        <v>8564</v>
      </c>
      <c r="C445" s="182" t="s">
        <v>8565</v>
      </c>
    </row>
    <row r="446">
      <c r="A446" s="179">
        <v>445.0</v>
      </c>
      <c r="B446" s="180" t="s">
        <v>8564</v>
      </c>
      <c r="C446" s="182" t="s">
        <v>8565</v>
      </c>
    </row>
    <row r="447">
      <c r="A447" s="179">
        <v>446.0</v>
      </c>
      <c r="B447" s="180" t="s">
        <v>8572</v>
      </c>
      <c r="C447" s="182" t="s">
        <v>8573</v>
      </c>
    </row>
    <row r="448">
      <c r="A448" s="179">
        <v>447.0</v>
      </c>
      <c r="B448" s="180" t="s">
        <v>8578</v>
      </c>
      <c r="C448" s="182" t="s">
        <v>8579</v>
      </c>
    </row>
    <row r="449">
      <c r="A449" s="179">
        <v>448.0</v>
      </c>
      <c r="B449" s="180" t="s">
        <v>8578</v>
      </c>
      <c r="C449" s="182" t="s">
        <v>8579</v>
      </c>
    </row>
    <row r="450">
      <c r="A450" s="179">
        <v>449.0</v>
      </c>
      <c r="B450" s="180" t="s">
        <v>8564</v>
      </c>
      <c r="C450" s="182" t="s">
        <v>8565</v>
      </c>
    </row>
    <row r="451">
      <c r="A451" s="179">
        <v>450.0</v>
      </c>
      <c r="B451" s="180" t="s">
        <v>8564</v>
      </c>
      <c r="C451" s="182" t="s">
        <v>8565</v>
      </c>
    </row>
    <row r="452">
      <c r="A452" s="179">
        <v>451.0</v>
      </c>
      <c r="B452" s="180" t="s">
        <v>8564</v>
      </c>
      <c r="C452" s="182" t="s">
        <v>8565</v>
      </c>
    </row>
    <row r="453">
      <c r="A453" s="179">
        <v>452.0</v>
      </c>
      <c r="B453" s="180" t="s">
        <v>8564</v>
      </c>
      <c r="C453" s="182" t="s">
        <v>8565</v>
      </c>
    </row>
    <row r="454">
      <c r="A454" s="179">
        <v>453.0</v>
      </c>
      <c r="B454" s="180" t="s">
        <v>8564</v>
      </c>
      <c r="C454" s="182" t="s">
        <v>8565</v>
      </c>
    </row>
    <row r="455">
      <c r="A455" s="179">
        <v>454.0</v>
      </c>
      <c r="B455" s="180" t="s">
        <v>8564</v>
      </c>
      <c r="C455" s="182" t="s">
        <v>8565</v>
      </c>
    </row>
    <row r="456">
      <c r="A456" s="179">
        <v>455.0</v>
      </c>
      <c r="B456" s="180" t="s">
        <v>8564</v>
      </c>
      <c r="C456" s="182" t="s">
        <v>8565</v>
      </c>
    </row>
    <row r="457">
      <c r="A457" s="179">
        <v>456.0</v>
      </c>
      <c r="B457" s="180" t="s">
        <v>8564</v>
      </c>
      <c r="C457" s="182" t="s">
        <v>8565</v>
      </c>
    </row>
    <row r="458">
      <c r="A458" s="179">
        <v>457.0</v>
      </c>
      <c r="B458" s="180" t="s">
        <v>8564</v>
      </c>
      <c r="C458" s="182" t="s">
        <v>8565</v>
      </c>
    </row>
    <row r="459">
      <c r="A459" s="179">
        <v>458.0</v>
      </c>
      <c r="B459" s="180" t="s">
        <v>8564</v>
      </c>
      <c r="C459" s="182" t="s">
        <v>8565</v>
      </c>
    </row>
    <row r="460">
      <c r="A460" s="179">
        <v>459.0</v>
      </c>
      <c r="B460" s="180" t="s">
        <v>8564</v>
      </c>
      <c r="C460" s="182" t="s">
        <v>8565</v>
      </c>
    </row>
    <row r="461">
      <c r="A461" s="179">
        <v>460.0</v>
      </c>
      <c r="B461" s="180" t="s">
        <v>8564</v>
      </c>
      <c r="C461" s="182" t="s">
        <v>8565</v>
      </c>
    </row>
    <row r="462">
      <c r="A462" s="179">
        <v>461.0</v>
      </c>
      <c r="B462" s="180" t="s">
        <v>8564</v>
      </c>
      <c r="C462" s="182" t="s">
        <v>8565</v>
      </c>
    </row>
    <row r="463">
      <c r="A463" s="179">
        <v>462.0</v>
      </c>
      <c r="B463" s="180" t="s">
        <v>8564</v>
      </c>
      <c r="C463" s="182" t="s">
        <v>8565</v>
      </c>
    </row>
    <row r="464">
      <c r="A464" s="179">
        <v>463.0</v>
      </c>
      <c r="B464" s="180" t="s">
        <v>8564</v>
      </c>
      <c r="C464" s="182" t="s">
        <v>8565</v>
      </c>
    </row>
    <row r="465">
      <c r="A465" s="179">
        <v>464.0</v>
      </c>
      <c r="B465" s="180" t="s">
        <v>8564</v>
      </c>
      <c r="C465" s="182" t="s">
        <v>8565</v>
      </c>
    </row>
    <row r="466">
      <c r="A466" s="179">
        <v>465.0</v>
      </c>
      <c r="B466" s="180" t="s">
        <v>8564</v>
      </c>
      <c r="C466" s="182" t="s">
        <v>8565</v>
      </c>
    </row>
    <row r="467">
      <c r="A467" s="179">
        <v>466.0</v>
      </c>
      <c r="B467" s="180" t="s">
        <v>8564</v>
      </c>
      <c r="C467" s="182" t="s">
        <v>8565</v>
      </c>
    </row>
    <row r="468">
      <c r="A468" s="179">
        <v>467.0</v>
      </c>
      <c r="B468" s="180" t="s">
        <v>8564</v>
      </c>
      <c r="C468" s="182" t="s">
        <v>8565</v>
      </c>
    </row>
    <row r="469">
      <c r="A469" s="179">
        <v>468.0</v>
      </c>
      <c r="B469" s="180" t="s">
        <v>8564</v>
      </c>
      <c r="C469" s="182" t="s">
        <v>8565</v>
      </c>
    </row>
    <row r="470">
      <c r="A470" s="179">
        <v>469.0</v>
      </c>
      <c r="B470" s="180" t="s">
        <v>8564</v>
      </c>
      <c r="C470" s="182" t="s">
        <v>8565</v>
      </c>
    </row>
    <row r="471">
      <c r="A471" s="179">
        <v>470.0</v>
      </c>
      <c r="B471" s="180" t="s">
        <v>8564</v>
      </c>
      <c r="C471" s="182" t="s">
        <v>8565</v>
      </c>
    </row>
    <row r="472">
      <c r="A472" s="179">
        <v>471.0</v>
      </c>
      <c r="B472" s="180" t="s">
        <v>8564</v>
      </c>
      <c r="C472" s="182" t="s">
        <v>8565</v>
      </c>
    </row>
    <row r="473">
      <c r="A473" s="179">
        <v>472.0</v>
      </c>
      <c r="B473" s="180" t="s">
        <v>8564</v>
      </c>
      <c r="C473" s="182" t="s">
        <v>8565</v>
      </c>
    </row>
    <row r="474">
      <c r="A474" s="179">
        <v>473.0</v>
      </c>
      <c r="B474" s="180" t="s">
        <v>8564</v>
      </c>
      <c r="C474" s="182" t="s">
        <v>8565</v>
      </c>
    </row>
    <row r="475">
      <c r="A475" s="179">
        <v>474.0</v>
      </c>
      <c r="B475" s="180" t="s">
        <v>8564</v>
      </c>
      <c r="C475" s="182" t="s">
        <v>8565</v>
      </c>
    </row>
    <row r="476">
      <c r="A476" s="179">
        <v>475.0</v>
      </c>
      <c r="B476" s="180" t="s">
        <v>8564</v>
      </c>
      <c r="C476" s="182" t="s">
        <v>8565</v>
      </c>
    </row>
    <row r="477">
      <c r="A477" s="179">
        <v>476.0</v>
      </c>
      <c r="B477" s="180" t="s">
        <v>8564</v>
      </c>
      <c r="C477" s="182" t="s">
        <v>8565</v>
      </c>
    </row>
    <row r="478">
      <c r="A478" s="179">
        <v>477.0</v>
      </c>
      <c r="B478" s="180" t="s">
        <v>8564</v>
      </c>
      <c r="C478" s="182" t="s">
        <v>8565</v>
      </c>
    </row>
    <row r="479">
      <c r="A479" s="179">
        <v>478.0</v>
      </c>
      <c r="B479" s="180" t="s">
        <v>8564</v>
      </c>
      <c r="C479" s="182" t="s">
        <v>8565</v>
      </c>
    </row>
    <row r="480">
      <c r="A480" s="179">
        <v>479.0</v>
      </c>
      <c r="B480" s="180" t="s">
        <v>8564</v>
      </c>
      <c r="C480" s="182" t="s">
        <v>8565</v>
      </c>
    </row>
    <row r="481">
      <c r="A481" s="179">
        <v>480.0</v>
      </c>
      <c r="B481" s="180" t="s">
        <v>8564</v>
      </c>
      <c r="C481" s="182" t="s">
        <v>8565</v>
      </c>
    </row>
    <row r="482">
      <c r="A482" s="179">
        <v>481.0</v>
      </c>
      <c r="B482" s="180" t="s">
        <v>8564</v>
      </c>
      <c r="C482" s="182" t="s">
        <v>8565</v>
      </c>
    </row>
    <row r="483">
      <c r="A483" s="179">
        <v>482.0</v>
      </c>
      <c r="B483" s="180" t="s">
        <v>8564</v>
      </c>
      <c r="C483" s="182" t="s">
        <v>8565</v>
      </c>
    </row>
    <row r="484">
      <c r="A484" s="179">
        <v>483.0</v>
      </c>
      <c r="B484" s="180" t="s">
        <v>8564</v>
      </c>
      <c r="C484" s="182" t="s">
        <v>8565</v>
      </c>
    </row>
    <row r="485">
      <c r="A485" s="179">
        <v>484.0</v>
      </c>
      <c r="B485" s="180" t="s">
        <v>8564</v>
      </c>
      <c r="C485" s="182" t="s">
        <v>8565</v>
      </c>
    </row>
    <row r="486">
      <c r="A486" s="179">
        <v>485.0</v>
      </c>
      <c r="B486" s="180" t="s">
        <v>8564</v>
      </c>
      <c r="C486" s="182" t="s">
        <v>8565</v>
      </c>
    </row>
    <row r="487">
      <c r="A487" s="179">
        <v>486.0</v>
      </c>
      <c r="B487" s="180" t="s">
        <v>8564</v>
      </c>
      <c r="C487" s="182" t="s">
        <v>8565</v>
      </c>
    </row>
    <row r="488">
      <c r="A488" s="179">
        <v>487.0</v>
      </c>
      <c r="B488" s="180" t="s">
        <v>8564</v>
      </c>
      <c r="C488" s="182" t="s">
        <v>8565</v>
      </c>
    </row>
    <row r="489">
      <c r="A489" s="179">
        <v>488.0</v>
      </c>
      <c r="B489" s="180" t="s">
        <v>8564</v>
      </c>
      <c r="C489" s="182" t="s">
        <v>8565</v>
      </c>
    </row>
    <row r="490">
      <c r="A490" s="179">
        <v>489.0</v>
      </c>
      <c r="B490" s="180" t="s">
        <v>8564</v>
      </c>
      <c r="C490" s="182" t="s">
        <v>8565</v>
      </c>
    </row>
    <row r="491">
      <c r="A491" s="179">
        <v>490.0</v>
      </c>
      <c r="B491" s="180" t="s">
        <v>8564</v>
      </c>
      <c r="C491" s="182" t="s">
        <v>8565</v>
      </c>
    </row>
    <row r="492">
      <c r="A492" s="179">
        <v>491.0</v>
      </c>
      <c r="B492" s="180" t="s">
        <v>8564</v>
      </c>
      <c r="C492" s="182" t="s">
        <v>8565</v>
      </c>
    </row>
  </sheetData>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4" width="22.5"/>
  </cols>
  <sheetData>
    <row r="1">
      <c r="A1" s="183" t="s">
        <v>8580</v>
      </c>
      <c r="B1" s="183" t="s">
        <v>8581</v>
      </c>
      <c r="C1" s="66" t="s">
        <v>0</v>
      </c>
      <c r="D1" s="66" t="s">
        <v>8582</v>
      </c>
      <c r="E1" s="1" t="str">
        <f> "Last Column " &amp; Checks!$D$9</f>
        <v>Last Column E</v>
      </c>
    </row>
    <row r="2">
      <c r="A2" s="11">
        <v>1.0</v>
      </c>
      <c r="B2" s="11">
        <v>1.0</v>
      </c>
      <c r="C2" s="15" t="s">
        <v>24</v>
      </c>
      <c r="D2" s="184" t="s">
        <v>8583</v>
      </c>
    </row>
    <row r="3">
      <c r="A3" s="11">
        <v>1.0</v>
      </c>
      <c r="B3" s="11">
        <v>2.0</v>
      </c>
      <c r="C3" s="15" t="s">
        <v>24</v>
      </c>
      <c r="D3" s="184" t="s">
        <v>8584</v>
      </c>
    </row>
    <row r="4">
      <c r="A4" s="11">
        <v>1.0</v>
      </c>
      <c r="B4" s="11">
        <v>3.0</v>
      </c>
      <c r="C4" s="15" t="s">
        <v>24</v>
      </c>
      <c r="D4" s="184" t="s">
        <v>8585</v>
      </c>
    </row>
    <row r="5">
      <c r="A5" s="11">
        <v>1.0</v>
      </c>
      <c r="B5" s="11">
        <v>4.0</v>
      </c>
      <c r="C5" s="15" t="s">
        <v>24</v>
      </c>
      <c r="D5" s="184" t="s">
        <v>8586</v>
      </c>
    </row>
    <row r="6">
      <c r="A6" s="11">
        <v>2.0</v>
      </c>
      <c r="B6" s="11">
        <v>1.0</v>
      </c>
      <c r="C6" s="15" t="s">
        <v>41</v>
      </c>
      <c r="D6" s="184" t="s">
        <v>8587</v>
      </c>
      <c r="G6" s="20" t="s">
        <v>41</v>
      </c>
      <c r="H6" s="20" t="s">
        <v>8588</v>
      </c>
    </row>
    <row r="7">
      <c r="A7" s="11">
        <v>2.0</v>
      </c>
      <c r="B7" s="11">
        <v>2.0</v>
      </c>
      <c r="C7" s="15" t="s">
        <v>41</v>
      </c>
      <c r="D7" s="184" t="s">
        <v>8589</v>
      </c>
      <c r="G7" s="20" t="s">
        <v>41</v>
      </c>
      <c r="H7" s="20" t="s">
        <v>8590</v>
      </c>
    </row>
    <row r="8">
      <c r="A8" s="11">
        <v>2.0</v>
      </c>
      <c r="B8" s="11">
        <v>3.0</v>
      </c>
      <c r="C8" s="15" t="s">
        <v>41</v>
      </c>
      <c r="D8" s="184" t="s">
        <v>8591</v>
      </c>
      <c r="G8" s="20" t="s">
        <v>41</v>
      </c>
      <c r="H8" s="20" t="s">
        <v>8592</v>
      </c>
    </row>
    <row r="9">
      <c r="A9" s="11">
        <v>2.0</v>
      </c>
      <c r="B9" s="11">
        <v>4.0</v>
      </c>
      <c r="C9" s="15" t="s">
        <v>41</v>
      </c>
      <c r="D9" s="184" t="s">
        <v>8593</v>
      </c>
      <c r="G9" s="20" t="s">
        <v>41</v>
      </c>
      <c r="H9" s="20" t="s">
        <v>8594</v>
      </c>
    </row>
    <row r="10">
      <c r="A10" s="11">
        <v>3.0</v>
      </c>
      <c r="B10" s="11">
        <v>1.0</v>
      </c>
      <c r="C10" s="15" t="s">
        <v>68</v>
      </c>
      <c r="D10" s="184" t="s">
        <v>8595</v>
      </c>
    </row>
    <row r="11">
      <c r="A11" s="11">
        <v>3.0</v>
      </c>
      <c r="B11" s="11">
        <v>2.0</v>
      </c>
      <c r="C11" s="15" t="s">
        <v>68</v>
      </c>
      <c r="D11" s="184" t="s">
        <v>8596</v>
      </c>
    </row>
    <row r="12">
      <c r="A12" s="11">
        <v>3.0</v>
      </c>
      <c r="B12" s="11">
        <v>3.0</v>
      </c>
      <c r="C12" s="15" t="s">
        <v>68</v>
      </c>
      <c r="D12" s="184" t="s">
        <v>8597</v>
      </c>
    </row>
    <row r="13">
      <c r="A13" s="11">
        <v>3.0</v>
      </c>
      <c r="B13" s="11">
        <v>4.0</v>
      </c>
      <c r="C13" s="15" t="s">
        <v>68</v>
      </c>
      <c r="D13" s="184" t="s">
        <v>8598</v>
      </c>
    </row>
    <row r="14">
      <c r="A14" s="11">
        <v>4.0</v>
      </c>
      <c r="B14" s="11">
        <v>1.0</v>
      </c>
      <c r="C14" s="15" t="s">
        <v>88</v>
      </c>
      <c r="D14" s="184" t="s">
        <v>8599</v>
      </c>
    </row>
    <row r="15">
      <c r="A15" s="11">
        <v>4.0</v>
      </c>
      <c r="B15" s="11">
        <v>2.0</v>
      </c>
      <c r="C15" s="15" t="s">
        <v>88</v>
      </c>
      <c r="D15" s="184" t="s">
        <v>8600</v>
      </c>
    </row>
    <row r="16">
      <c r="A16" s="11">
        <v>4.0</v>
      </c>
      <c r="B16" s="11">
        <v>3.0</v>
      </c>
      <c r="C16" s="15" t="s">
        <v>88</v>
      </c>
      <c r="D16" s="184" t="s">
        <v>8601</v>
      </c>
    </row>
    <row r="17">
      <c r="A17" s="11">
        <v>4.0</v>
      </c>
      <c r="B17" s="11">
        <v>4.0</v>
      </c>
      <c r="C17" s="15" t="s">
        <v>88</v>
      </c>
      <c r="D17" s="184" t="s">
        <v>8602</v>
      </c>
    </row>
    <row r="18">
      <c r="A18" s="11">
        <v>5.0</v>
      </c>
      <c r="B18" s="11">
        <v>1.0</v>
      </c>
      <c r="C18" s="15" t="s">
        <v>63</v>
      </c>
      <c r="D18" s="184" t="s">
        <v>8603</v>
      </c>
    </row>
    <row r="19">
      <c r="A19" s="11">
        <v>5.0</v>
      </c>
      <c r="B19" s="11">
        <v>2.0</v>
      </c>
      <c r="C19" s="15" t="s">
        <v>63</v>
      </c>
      <c r="D19" s="184" t="s">
        <v>8604</v>
      </c>
    </row>
    <row r="20">
      <c r="A20" s="11">
        <v>5.0</v>
      </c>
      <c r="B20" s="11">
        <v>3.0</v>
      </c>
      <c r="C20" s="15" t="s">
        <v>63</v>
      </c>
      <c r="D20" s="184" t="s">
        <v>8605</v>
      </c>
    </row>
    <row r="21">
      <c r="A21" s="11">
        <v>5.0</v>
      </c>
      <c r="B21" s="11">
        <v>4.0</v>
      </c>
      <c r="C21" s="15" t="s">
        <v>63</v>
      </c>
      <c r="D21" s="184" t="s">
        <v>8606</v>
      </c>
    </row>
    <row r="22">
      <c r="A22" s="11">
        <v>6.0</v>
      </c>
      <c r="B22" s="11">
        <v>1.0</v>
      </c>
      <c r="C22" s="15" t="s">
        <v>57</v>
      </c>
      <c r="D22" s="184" t="s">
        <v>8607</v>
      </c>
    </row>
    <row r="23">
      <c r="A23" s="11">
        <v>6.0</v>
      </c>
      <c r="B23" s="11">
        <v>2.0</v>
      </c>
      <c r="C23" s="15" t="s">
        <v>57</v>
      </c>
      <c r="D23" s="184" t="s">
        <v>8608</v>
      </c>
    </row>
    <row r="24">
      <c r="A24" s="11">
        <v>6.0</v>
      </c>
      <c r="B24" s="11">
        <v>3.0</v>
      </c>
      <c r="C24" s="15" t="s">
        <v>57</v>
      </c>
      <c r="D24" s="184" t="s">
        <v>8609</v>
      </c>
    </row>
    <row r="25">
      <c r="A25" s="11">
        <v>6.0</v>
      </c>
      <c r="B25" s="11">
        <v>4.0</v>
      </c>
      <c r="C25" s="15" t="s">
        <v>57</v>
      </c>
      <c r="D25" s="184"/>
    </row>
    <row r="26">
      <c r="A26" s="11">
        <v>7.0</v>
      </c>
      <c r="B26" s="11">
        <v>1.0</v>
      </c>
      <c r="C26" s="15" t="s">
        <v>49</v>
      </c>
      <c r="D26" s="184" t="s">
        <v>8610</v>
      </c>
    </row>
    <row r="27">
      <c r="A27" s="11">
        <v>7.0</v>
      </c>
      <c r="B27" s="11">
        <v>2.0</v>
      </c>
      <c r="C27" s="15" t="s">
        <v>49</v>
      </c>
      <c r="D27" s="184" t="s">
        <v>8609</v>
      </c>
    </row>
    <row r="28">
      <c r="A28" s="11">
        <v>7.0</v>
      </c>
      <c r="B28" s="11">
        <v>3.0</v>
      </c>
      <c r="C28" s="15" t="s">
        <v>49</v>
      </c>
      <c r="D28" s="184" t="s">
        <v>8611</v>
      </c>
    </row>
    <row r="29">
      <c r="A29" s="11">
        <v>7.0</v>
      </c>
      <c r="B29" s="11">
        <v>4.0</v>
      </c>
      <c r="C29" s="15" t="s">
        <v>49</v>
      </c>
      <c r="D29" s="184" t="s">
        <v>8612</v>
      </c>
    </row>
    <row r="30">
      <c r="A30" s="11">
        <v>8.0</v>
      </c>
      <c r="B30" s="11">
        <v>1.0</v>
      </c>
      <c r="C30" s="15" t="s">
        <v>13</v>
      </c>
      <c r="D30" s="184" t="s">
        <v>8613</v>
      </c>
    </row>
    <row r="31">
      <c r="A31" s="11">
        <v>8.0</v>
      </c>
      <c r="B31" s="11">
        <v>2.0</v>
      </c>
      <c r="C31" s="15" t="s">
        <v>13</v>
      </c>
      <c r="D31" s="184" t="s">
        <v>8614</v>
      </c>
    </row>
    <row r="32">
      <c r="A32" s="11">
        <v>8.0</v>
      </c>
      <c r="B32" s="11">
        <v>3.0</v>
      </c>
      <c r="C32" s="15" t="s">
        <v>13</v>
      </c>
      <c r="D32" s="184" t="s">
        <v>8615</v>
      </c>
    </row>
    <row r="33">
      <c r="A33" s="11">
        <v>8.0</v>
      </c>
      <c r="B33" s="11">
        <v>4.0</v>
      </c>
      <c r="C33" s="15" t="s">
        <v>13</v>
      </c>
      <c r="D33" s="184" t="s">
        <v>8616</v>
      </c>
    </row>
    <row r="34">
      <c r="A34" s="11">
        <v>9.0</v>
      </c>
      <c r="B34" s="11">
        <v>1.0</v>
      </c>
      <c r="C34" s="10" t="s">
        <v>81</v>
      </c>
      <c r="D34" s="185" t="s">
        <v>8617</v>
      </c>
    </row>
    <row r="35">
      <c r="A35" s="11">
        <v>9.0</v>
      </c>
      <c r="B35" s="11">
        <v>2.0</v>
      </c>
      <c r="C35" s="10" t="s">
        <v>81</v>
      </c>
      <c r="D35" s="185" t="s">
        <v>8618</v>
      </c>
    </row>
    <row r="36">
      <c r="A36" s="11">
        <v>9.0</v>
      </c>
      <c r="B36" s="11">
        <v>3.0</v>
      </c>
      <c r="C36" s="10" t="s">
        <v>81</v>
      </c>
      <c r="D36" s="13" t="s">
        <v>8619</v>
      </c>
    </row>
    <row r="37">
      <c r="A37" s="11">
        <v>9.0</v>
      </c>
      <c r="B37" s="11">
        <v>4.0</v>
      </c>
      <c r="C37" s="10" t="s">
        <v>81</v>
      </c>
      <c r="D37" s="186"/>
    </row>
    <row r="38">
      <c r="A38" s="11">
        <v>10.0</v>
      </c>
      <c r="B38" s="11">
        <v>1.0</v>
      </c>
      <c r="C38" s="10" t="s">
        <v>75</v>
      </c>
      <c r="D38" s="185" t="s">
        <v>8620</v>
      </c>
    </row>
    <row r="39">
      <c r="A39" s="11">
        <v>10.0</v>
      </c>
      <c r="B39" s="11">
        <v>2.0</v>
      </c>
      <c r="C39" s="10" t="s">
        <v>75</v>
      </c>
      <c r="D39" s="185" t="s">
        <v>8621</v>
      </c>
    </row>
    <row r="40">
      <c r="A40" s="11">
        <v>10.0</v>
      </c>
      <c r="B40" s="11">
        <v>3.0</v>
      </c>
      <c r="C40" s="10" t="s">
        <v>75</v>
      </c>
      <c r="D40" s="13" t="s">
        <v>8622</v>
      </c>
    </row>
    <row r="41">
      <c r="A41" s="11">
        <v>10.0</v>
      </c>
      <c r="B41" s="11">
        <v>4.0</v>
      </c>
      <c r="C41" s="10" t="s">
        <v>75</v>
      </c>
      <c r="D41" s="186" t="s">
        <v>8623</v>
      </c>
    </row>
    <row r="42">
      <c r="A42" s="28"/>
      <c r="B42" s="28"/>
    </row>
    <row r="43">
      <c r="A43" s="28"/>
      <c r="B43" s="28"/>
    </row>
    <row r="44">
      <c r="A44" s="28"/>
      <c r="B44" s="28"/>
    </row>
    <row r="45">
      <c r="A45" s="28"/>
      <c r="B45" s="28"/>
    </row>
    <row r="46">
      <c r="A46" s="28"/>
      <c r="B46" s="28"/>
    </row>
    <row r="47">
      <c r="A47" s="28"/>
      <c r="B47" s="28"/>
    </row>
    <row r="48">
      <c r="A48" s="28"/>
      <c r="B48" s="28"/>
    </row>
    <row r="49">
      <c r="A49" s="28"/>
      <c r="B49" s="28"/>
    </row>
    <row r="50">
      <c r="A50" s="28"/>
      <c r="B50" s="28"/>
    </row>
    <row r="51">
      <c r="A51" s="28"/>
      <c r="B51" s="28"/>
    </row>
    <row r="52">
      <c r="A52" s="28"/>
      <c r="B52" s="28"/>
    </row>
    <row r="53">
      <c r="A53" s="28"/>
      <c r="B53" s="28"/>
    </row>
    <row r="54">
      <c r="A54" s="28"/>
      <c r="B54" s="28"/>
    </row>
    <row r="55">
      <c r="A55" s="28"/>
      <c r="B55" s="28"/>
    </row>
    <row r="56">
      <c r="A56" s="28"/>
      <c r="B56" s="28"/>
    </row>
    <row r="57">
      <c r="A57" s="28"/>
      <c r="B57" s="28"/>
    </row>
    <row r="58">
      <c r="A58" s="28"/>
      <c r="B58" s="28"/>
    </row>
    <row r="59">
      <c r="A59" s="28"/>
      <c r="B59" s="28"/>
    </row>
    <row r="60">
      <c r="A60" s="28"/>
      <c r="B60" s="28"/>
    </row>
    <row r="61">
      <c r="A61" s="28"/>
      <c r="B61" s="28"/>
    </row>
    <row r="62">
      <c r="A62" s="28"/>
      <c r="B62" s="28"/>
    </row>
    <row r="63">
      <c r="A63" s="28"/>
      <c r="B63" s="28"/>
    </row>
    <row r="64">
      <c r="A64" s="28"/>
      <c r="B64" s="28"/>
    </row>
    <row r="65">
      <c r="A65" s="28"/>
      <c r="B65" s="28"/>
    </row>
    <row r="66">
      <c r="A66" s="28"/>
      <c r="B66" s="28"/>
    </row>
    <row r="67">
      <c r="A67" s="28"/>
      <c r="B67" s="28"/>
    </row>
    <row r="68">
      <c r="A68" s="28"/>
      <c r="B68" s="28"/>
    </row>
    <row r="69">
      <c r="A69" s="28"/>
      <c r="B69" s="28"/>
    </row>
    <row r="70">
      <c r="A70" s="28"/>
      <c r="B70" s="28"/>
    </row>
    <row r="71">
      <c r="A71" s="28"/>
      <c r="B71" s="28"/>
    </row>
    <row r="72">
      <c r="A72" s="28"/>
      <c r="B72" s="28"/>
    </row>
    <row r="73">
      <c r="A73" s="28"/>
      <c r="B73" s="28"/>
    </row>
    <row r="74">
      <c r="A74" s="28"/>
      <c r="B74" s="28"/>
    </row>
    <row r="75">
      <c r="A75" s="28"/>
      <c r="B75" s="28"/>
    </row>
    <row r="76">
      <c r="A76" s="28"/>
      <c r="B76" s="28"/>
    </row>
    <row r="77">
      <c r="A77" s="28"/>
      <c r="B77" s="28"/>
    </row>
    <row r="78">
      <c r="A78" s="28"/>
      <c r="B78" s="28"/>
    </row>
    <row r="79">
      <c r="A79" s="28"/>
      <c r="B79" s="28"/>
    </row>
    <row r="80">
      <c r="A80" s="28"/>
      <c r="B80" s="28"/>
    </row>
    <row r="81">
      <c r="A81" s="28"/>
      <c r="B81" s="28"/>
    </row>
    <row r="82">
      <c r="A82" s="28"/>
      <c r="B82" s="28"/>
    </row>
    <row r="83">
      <c r="A83" s="28"/>
      <c r="B83" s="28"/>
    </row>
    <row r="84">
      <c r="A84" s="28"/>
      <c r="B84" s="28"/>
    </row>
    <row r="85">
      <c r="A85" s="28"/>
      <c r="B85" s="28"/>
    </row>
    <row r="86">
      <c r="A86" s="28"/>
      <c r="B86" s="28"/>
    </row>
    <row r="87">
      <c r="A87" s="28"/>
      <c r="B87" s="28"/>
    </row>
    <row r="88">
      <c r="A88" s="28"/>
      <c r="B88" s="28"/>
    </row>
    <row r="89">
      <c r="A89" s="28"/>
      <c r="B89" s="28"/>
    </row>
    <row r="90">
      <c r="A90" s="28"/>
      <c r="B90" s="28"/>
    </row>
    <row r="91">
      <c r="A91" s="28"/>
      <c r="B91" s="28"/>
    </row>
    <row r="92">
      <c r="A92" s="28"/>
      <c r="B92" s="28"/>
    </row>
    <row r="93">
      <c r="A93" s="28"/>
      <c r="B93" s="28"/>
    </row>
    <row r="94">
      <c r="A94" s="28"/>
      <c r="B94" s="28"/>
    </row>
    <row r="95">
      <c r="A95" s="28"/>
      <c r="B95" s="28"/>
    </row>
    <row r="96">
      <c r="A96" s="28"/>
      <c r="B96" s="28"/>
    </row>
    <row r="97">
      <c r="A97" s="28"/>
      <c r="B97" s="28"/>
    </row>
    <row r="98">
      <c r="A98" s="28"/>
      <c r="B98" s="28"/>
    </row>
    <row r="99">
      <c r="A99" s="28"/>
      <c r="B99" s="28"/>
    </row>
    <row r="100">
      <c r="A100" s="28"/>
      <c r="B100" s="28"/>
    </row>
    <row r="101">
      <c r="A101" s="28"/>
      <c r="B101" s="28"/>
    </row>
    <row r="102">
      <c r="A102" s="28"/>
      <c r="B102" s="28"/>
    </row>
    <row r="103">
      <c r="A103" s="28"/>
      <c r="B103" s="28"/>
    </row>
    <row r="104">
      <c r="A104" s="28"/>
      <c r="B104" s="28"/>
    </row>
    <row r="105">
      <c r="A105" s="28"/>
      <c r="B105" s="28"/>
    </row>
    <row r="106">
      <c r="A106" s="28"/>
      <c r="B106" s="28"/>
    </row>
    <row r="107">
      <c r="A107" s="28"/>
      <c r="B107" s="28"/>
    </row>
    <row r="108">
      <c r="A108" s="28"/>
      <c r="B108" s="28"/>
    </row>
    <row r="109">
      <c r="A109" s="28"/>
      <c r="B109" s="28"/>
    </row>
    <row r="110">
      <c r="A110" s="28"/>
      <c r="B110" s="28"/>
    </row>
    <row r="111">
      <c r="A111" s="28"/>
      <c r="B111" s="28"/>
    </row>
    <row r="112">
      <c r="A112" s="28"/>
      <c r="B112" s="28"/>
    </row>
    <row r="113">
      <c r="A113" s="28"/>
      <c r="B113" s="28"/>
    </row>
    <row r="114">
      <c r="A114" s="28"/>
      <c r="B114" s="28"/>
    </row>
    <row r="115">
      <c r="A115" s="28"/>
      <c r="B115" s="28"/>
    </row>
    <row r="116">
      <c r="A116" s="28"/>
      <c r="B116" s="28"/>
    </row>
    <row r="117">
      <c r="A117" s="28"/>
      <c r="B117" s="28"/>
    </row>
    <row r="118">
      <c r="A118" s="28"/>
      <c r="B118" s="28"/>
    </row>
    <row r="119">
      <c r="A119" s="28"/>
      <c r="B119" s="28"/>
    </row>
    <row r="120">
      <c r="A120" s="28"/>
      <c r="B120" s="28"/>
    </row>
    <row r="121">
      <c r="A121" s="28"/>
      <c r="B121" s="28"/>
    </row>
    <row r="122">
      <c r="A122" s="28"/>
      <c r="B122" s="28"/>
    </row>
    <row r="123">
      <c r="A123" s="28"/>
      <c r="B123" s="28"/>
    </row>
    <row r="124">
      <c r="A124" s="28"/>
      <c r="B124" s="28"/>
    </row>
    <row r="125">
      <c r="A125" s="28"/>
      <c r="B125" s="28"/>
    </row>
    <row r="126">
      <c r="A126" s="28"/>
      <c r="B126" s="28"/>
    </row>
    <row r="127">
      <c r="A127" s="28"/>
      <c r="B127" s="28"/>
    </row>
    <row r="128">
      <c r="A128" s="28"/>
      <c r="B128" s="28"/>
    </row>
    <row r="129">
      <c r="A129" s="28"/>
      <c r="B129" s="28"/>
    </row>
    <row r="130">
      <c r="A130" s="28"/>
      <c r="B130" s="28"/>
    </row>
    <row r="131">
      <c r="A131" s="28"/>
      <c r="B131" s="28"/>
    </row>
    <row r="132">
      <c r="A132" s="28"/>
      <c r="B132" s="28"/>
    </row>
    <row r="133">
      <c r="A133" s="28"/>
      <c r="B133" s="28"/>
    </row>
    <row r="134">
      <c r="A134" s="28"/>
      <c r="B134" s="28"/>
    </row>
    <row r="135">
      <c r="A135" s="28"/>
      <c r="B135" s="28"/>
    </row>
    <row r="136">
      <c r="A136" s="28"/>
      <c r="B136" s="28"/>
    </row>
    <row r="137">
      <c r="A137" s="28"/>
      <c r="B137" s="28"/>
    </row>
    <row r="138">
      <c r="A138" s="28"/>
      <c r="B138" s="28"/>
    </row>
    <row r="139">
      <c r="A139" s="28"/>
      <c r="B139" s="28"/>
    </row>
    <row r="140">
      <c r="A140" s="28"/>
      <c r="B140" s="28"/>
    </row>
    <row r="141">
      <c r="A141" s="28"/>
      <c r="B141" s="28"/>
    </row>
    <row r="142">
      <c r="A142" s="28"/>
      <c r="B142" s="28"/>
    </row>
    <row r="143">
      <c r="A143" s="28"/>
      <c r="B143" s="28"/>
    </row>
    <row r="144">
      <c r="A144" s="28"/>
      <c r="B144" s="28"/>
    </row>
    <row r="145">
      <c r="A145" s="28"/>
      <c r="B145" s="28"/>
    </row>
    <row r="146">
      <c r="A146" s="28"/>
      <c r="B146" s="28"/>
    </row>
    <row r="147">
      <c r="A147" s="28"/>
      <c r="B147" s="28"/>
    </row>
    <row r="148">
      <c r="A148" s="28"/>
      <c r="B148" s="28"/>
    </row>
    <row r="149">
      <c r="A149" s="28"/>
      <c r="B149" s="28"/>
    </row>
    <row r="150">
      <c r="A150" s="28"/>
      <c r="B150" s="28"/>
    </row>
    <row r="151">
      <c r="A151" s="28"/>
      <c r="B151" s="28"/>
    </row>
    <row r="152">
      <c r="A152" s="28"/>
      <c r="B152" s="28"/>
    </row>
    <row r="153">
      <c r="A153" s="28"/>
      <c r="B153" s="28"/>
    </row>
    <row r="154">
      <c r="A154" s="28"/>
      <c r="B154" s="28"/>
    </row>
    <row r="155">
      <c r="A155" s="28"/>
      <c r="B155" s="28"/>
    </row>
    <row r="156">
      <c r="A156" s="28"/>
      <c r="B156" s="28"/>
    </row>
    <row r="157">
      <c r="A157" s="28"/>
      <c r="B157" s="28"/>
    </row>
    <row r="158">
      <c r="A158" s="28"/>
      <c r="B158" s="28"/>
    </row>
    <row r="159">
      <c r="A159" s="28"/>
      <c r="B159" s="28"/>
    </row>
    <row r="160">
      <c r="A160" s="28"/>
      <c r="B160" s="28"/>
    </row>
    <row r="161">
      <c r="A161" s="28"/>
      <c r="B161" s="28"/>
    </row>
    <row r="162">
      <c r="A162" s="28"/>
      <c r="B162" s="28"/>
    </row>
    <row r="163">
      <c r="A163" s="28"/>
      <c r="B163" s="28"/>
    </row>
    <row r="164">
      <c r="A164" s="28"/>
      <c r="B164" s="28"/>
    </row>
    <row r="165">
      <c r="A165" s="28"/>
      <c r="B165" s="28"/>
    </row>
    <row r="166">
      <c r="A166" s="28"/>
      <c r="B166" s="28"/>
    </row>
    <row r="167">
      <c r="A167" s="28"/>
      <c r="B167" s="28"/>
    </row>
    <row r="168">
      <c r="A168" s="28"/>
      <c r="B168" s="28"/>
    </row>
    <row r="169">
      <c r="A169" s="28"/>
      <c r="B169" s="28"/>
    </row>
    <row r="170">
      <c r="A170" s="28"/>
      <c r="B170" s="28"/>
    </row>
    <row r="171">
      <c r="A171" s="28"/>
      <c r="B171" s="28"/>
    </row>
    <row r="172">
      <c r="A172" s="28"/>
      <c r="B172" s="28"/>
    </row>
    <row r="173">
      <c r="A173" s="28"/>
      <c r="B173" s="28"/>
    </row>
    <row r="174">
      <c r="A174" s="28"/>
      <c r="B174" s="28"/>
    </row>
    <row r="175">
      <c r="A175" s="28"/>
      <c r="B175" s="28"/>
    </row>
    <row r="176">
      <c r="A176" s="28"/>
      <c r="B176" s="28"/>
    </row>
    <row r="177">
      <c r="A177" s="28"/>
      <c r="B177" s="28"/>
    </row>
    <row r="178">
      <c r="A178" s="28"/>
      <c r="B178" s="28"/>
    </row>
    <row r="179">
      <c r="A179" s="28"/>
      <c r="B179" s="28"/>
    </row>
    <row r="180">
      <c r="A180" s="28"/>
      <c r="B180" s="28"/>
    </row>
    <row r="181">
      <c r="A181" s="28"/>
      <c r="B181" s="28"/>
    </row>
    <row r="182">
      <c r="A182" s="28"/>
      <c r="B182" s="28"/>
    </row>
    <row r="183">
      <c r="A183" s="28"/>
      <c r="B183" s="28"/>
    </row>
    <row r="184">
      <c r="A184" s="28"/>
      <c r="B184" s="28"/>
    </row>
    <row r="185">
      <c r="A185" s="28"/>
      <c r="B185" s="28"/>
    </row>
    <row r="186">
      <c r="A186" s="28"/>
      <c r="B186" s="28"/>
    </row>
    <row r="187">
      <c r="A187" s="28"/>
      <c r="B187" s="28"/>
    </row>
    <row r="188">
      <c r="A188" s="28"/>
      <c r="B188" s="28"/>
    </row>
    <row r="189">
      <c r="A189" s="28"/>
      <c r="B189" s="28"/>
    </row>
    <row r="190">
      <c r="A190" s="28"/>
      <c r="B190" s="28"/>
    </row>
    <row r="191">
      <c r="A191" s="28"/>
      <c r="B191" s="28"/>
    </row>
    <row r="192">
      <c r="A192" s="28"/>
      <c r="B192" s="28"/>
    </row>
    <row r="193">
      <c r="A193" s="28"/>
      <c r="B193" s="28"/>
    </row>
    <row r="194">
      <c r="A194" s="28"/>
      <c r="B194" s="28"/>
    </row>
    <row r="195">
      <c r="A195" s="28"/>
      <c r="B195" s="28"/>
    </row>
    <row r="196">
      <c r="A196" s="28"/>
      <c r="B196" s="28"/>
    </row>
    <row r="197">
      <c r="A197" s="28"/>
      <c r="B197" s="28"/>
    </row>
    <row r="198">
      <c r="A198" s="28"/>
      <c r="B198" s="28"/>
    </row>
    <row r="199">
      <c r="A199" s="28"/>
      <c r="B199" s="28"/>
    </row>
    <row r="200">
      <c r="A200" s="28"/>
      <c r="B200" s="28"/>
    </row>
    <row r="201">
      <c r="A201" s="28"/>
      <c r="B201" s="28"/>
    </row>
    <row r="202">
      <c r="A202" s="28"/>
      <c r="B202" s="28"/>
    </row>
    <row r="203">
      <c r="A203" s="28"/>
      <c r="B203" s="28"/>
    </row>
    <row r="204">
      <c r="A204" s="28"/>
      <c r="B204" s="28"/>
    </row>
    <row r="205">
      <c r="A205" s="28"/>
      <c r="B205" s="28"/>
    </row>
    <row r="206">
      <c r="A206" s="28"/>
      <c r="B206" s="28"/>
    </row>
    <row r="207">
      <c r="A207" s="28"/>
      <c r="B207" s="28"/>
    </row>
    <row r="208">
      <c r="A208" s="28"/>
      <c r="B208" s="28"/>
    </row>
    <row r="209">
      <c r="A209" s="28"/>
      <c r="B209" s="28"/>
    </row>
    <row r="210">
      <c r="A210" s="28"/>
      <c r="B210" s="28"/>
    </row>
    <row r="211">
      <c r="A211" s="28"/>
      <c r="B211" s="28"/>
    </row>
    <row r="212">
      <c r="A212" s="28"/>
      <c r="B212" s="28"/>
    </row>
    <row r="213">
      <c r="A213" s="28"/>
      <c r="B213" s="28"/>
    </row>
    <row r="214">
      <c r="A214" s="28"/>
      <c r="B214" s="28"/>
    </row>
    <row r="215">
      <c r="A215" s="28"/>
      <c r="B215" s="28"/>
    </row>
    <row r="216">
      <c r="A216" s="28"/>
      <c r="B216" s="28"/>
    </row>
    <row r="217">
      <c r="A217" s="28"/>
      <c r="B217" s="28"/>
    </row>
    <row r="218">
      <c r="A218" s="28"/>
      <c r="B218" s="28"/>
    </row>
    <row r="219">
      <c r="A219" s="28"/>
      <c r="B219" s="28"/>
    </row>
    <row r="220">
      <c r="A220" s="28"/>
      <c r="B220" s="28"/>
    </row>
    <row r="221">
      <c r="A221" s="28"/>
      <c r="B221" s="28"/>
    </row>
    <row r="222">
      <c r="A222" s="28"/>
      <c r="B222" s="28"/>
    </row>
    <row r="223">
      <c r="A223" s="28"/>
      <c r="B223" s="28"/>
    </row>
    <row r="224">
      <c r="A224" s="28"/>
      <c r="B224" s="28"/>
    </row>
    <row r="225">
      <c r="A225" s="28"/>
      <c r="B225" s="28"/>
    </row>
    <row r="226">
      <c r="A226" s="28"/>
      <c r="B226" s="28"/>
    </row>
    <row r="227">
      <c r="A227" s="28"/>
      <c r="B227" s="28"/>
    </row>
    <row r="228">
      <c r="A228" s="28"/>
      <c r="B228" s="28"/>
    </row>
    <row r="229">
      <c r="A229" s="28"/>
      <c r="B229" s="28"/>
    </row>
    <row r="230">
      <c r="A230" s="28"/>
      <c r="B230" s="28"/>
    </row>
    <row r="231">
      <c r="A231" s="28"/>
      <c r="B231" s="28"/>
    </row>
    <row r="232">
      <c r="A232" s="28"/>
      <c r="B232" s="28"/>
    </row>
    <row r="233">
      <c r="A233" s="28"/>
      <c r="B233" s="28"/>
    </row>
    <row r="234">
      <c r="A234" s="28"/>
      <c r="B234" s="28"/>
    </row>
    <row r="235">
      <c r="A235" s="28"/>
      <c r="B235" s="28"/>
    </row>
    <row r="236">
      <c r="A236" s="28"/>
      <c r="B236" s="28"/>
    </row>
    <row r="237">
      <c r="A237" s="28"/>
      <c r="B237" s="28"/>
    </row>
    <row r="238">
      <c r="A238" s="28"/>
      <c r="B238" s="28"/>
    </row>
    <row r="239">
      <c r="A239" s="28"/>
      <c r="B239" s="28"/>
    </row>
    <row r="240">
      <c r="A240" s="28"/>
      <c r="B240" s="28"/>
    </row>
    <row r="241">
      <c r="A241" s="28"/>
      <c r="B241" s="28"/>
    </row>
    <row r="242">
      <c r="A242" s="28"/>
      <c r="B242" s="28"/>
    </row>
    <row r="243">
      <c r="A243" s="28"/>
      <c r="B243" s="28"/>
    </row>
    <row r="244">
      <c r="A244" s="28"/>
      <c r="B244" s="28"/>
    </row>
    <row r="245">
      <c r="A245" s="28"/>
      <c r="B245" s="28"/>
    </row>
    <row r="246">
      <c r="A246" s="28"/>
      <c r="B246" s="28"/>
    </row>
    <row r="247">
      <c r="A247" s="28"/>
      <c r="B247" s="28"/>
    </row>
    <row r="248">
      <c r="A248" s="28"/>
      <c r="B248" s="28"/>
    </row>
    <row r="249">
      <c r="A249" s="28"/>
      <c r="B249" s="28"/>
    </row>
    <row r="250">
      <c r="A250" s="28"/>
      <c r="B250" s="28"/>
    </row>
    <row r="251">
      <c r="A251" s="28"/>
      <c r="B251" s="28"/>
    </row>
    <row r="252">
      <c r="A252" s="28"/>
      <c r="B252" s="28"/>
    </row>
    <row r="253">
      <c r="A253" s="28"/>
      <c r="B253" s="28"/>
    </row>
    <row r="254">
      <c r="A254" s="28"/>
      <c r="B254" s="28"/>
    </row>
    <row r="255">
      <c r="A255" s="28"/>
      <c r="B255" s="28"/>
    </row>
    <row r="256">
      <c r="A256" s="28"/>
      <c r="B256" s="28"/>
    </row>
    <row r="257">
      <c r="A257" s="28"/>
      <c r="B257" s="28"/>
    </row>
    <row r="258">
      <c r="A258" s="28"/>
      <c r="B258" s="28"/>
    </row>
    <row r="259">
      <c r="A259" s="28"/>
      <c r="B259" s="28"/>
    </row>
    <row r="260">
      <c r="A260" s="28"/>
      <c r="B260" s="28"/>
    </row>
    <row r="261">
      <c r="A261" s="28"/>
      <c r="B261" s="28"/>
    </row>
    <row r="262">
      <c r="A262" s="28"/>
      <c r="B262" s="28"/>
    </row>
    <row r="263">
      <c r="A263" s="28"/>
      <c r="B263" s="28"/>
    </row>
    <row r="264">
      <c r="A264" s="28"/>
      <c r="B264" s="28"/>
    </row>
    <row r="265">
      <c r="A265" s="28"/>
      <c r="B265" s="28"/>
    </row>
    <row r="266">
      <c r="A266" s="28"/>
      <c r="B266" s="28"/>
    </row>
    <row r="267">
      <c r="A267" s="28"/>
      <c r="B267" s="28"/>
    </row>
    <row r="268">
      <c r="A268" s="28"/>
      <c r="B268" s="28"/>
    </row>
    <row r="269">
      <c r="A269" s="28"/>
      <c r="B269" s="28"/>
    </row>
    <row r="270">
      <c r="A270" s="28"/>
      <c r="B270" s="28"/>
    </row>
    <row r="271">
      <c r="A271" s="28"/>
      <c r="B271" s="28"/>
    </row>
    <row r="272">
      <c r="A272" s="28"/>
      <c r="B272" s="28"/>
    </row>
    <row r="273">
      <c r="A273" s="28"/>
      <c r="B273" s="28"/>
    </row>
    <row r="274">
      <c r="A274" s="28"/>
      <c r="B274" s="28"/>
    </row>
    <row r="275">
      <c r="A275" s="28"/>
      <c r="B275" s="28"/>
    </row>
    <row r="276">
      <c r="A276" s="28"/>
      <c r="B276" s="28"/>
    </row>
    <row r="277">
      <c r="A277" s="28"/>
      <c r="B277" s="28"/>
    </row>
    <row r="278">
      <c r="A278" s="28"/>
      <c r="B278" s="28"/>
    </row>
    <row r="279">
      <c r="A279" s="28"/>
      <c r="B279" s="28"/>
    </row>
    <row r="280">
      <c r="A280" s="28"/>
      <c r="B280" s="28"/>
    </row>
    <row r="281">
      <c r="A281" s="28"/>
      <c r="B281" s="28"/>
    </row>
    <row r="282">
      <c r="A282" s="28"/>
      <c r="B282" s="28"/>
    </row>
    <row r="283">
      <c r="A283" s="28"/>
      <c r="B283" s="28"/>
    </row>
    <row r="284">
      <c r="A284" s="28"/>
      <c r="B284" s="28"/>
    </row>
    <row r="285">
      <c r="A285" s="28"/>
      <c r="B285" s="28"/>
    </row>
    <row r="286">
      <c r="A286" s="28"/>
      <c r="B286" s="28"/>
    </row>
    <row r="287">
      <c r="A287" s="28"/>
      <c r="B287" s="28"/>
    </row>
    <row r="288">
      <c r="A288" s="28"/>
      <c r="B288" s="28"/>
    </row>
    <row r="289">
      <c r="A289" s="28"/>
      <c r="B289" s="28"/>
    </row>
    <row r="290">
      <c r="A290" s="28"/>
      <c r="B290" s="28"/>
    </row>
    <row r="291">
      <c r="A291" s="28"/>
      <c r="B291" s="28"/>
    </row>
    <row r="292">
      <c r="A292" s="28"/>
      <c r="B292" s="28"/>
    </row>
    <row r="293">
      <c r="A293" s="28"/>
      <c r="B293" s="28"/>
    </row>
    <row r="294">
      <c r="A294" s="28"/>
      <c r="B294" s="28"/>
    </row>
    <row r="295">
      <c r="A295" s="28"/>
      <c r="B295" s="28"/>
    </row>
    <row r="296">
      <c r="A296" s="28"/>
      <c r="B296" s="28"/>
    </row>
    <row r="297">
      <c r="A297" s="28"/>
      <c r="B297" s="28"/>
    </row>
    <row r="298">
      <c r="A298" s="28"/>
      <c r="B298" s="28"/>
    </row>
    <row r="299">
      <c r="A299" s="28"/>
      <c r="B299" s="28"/>
    </row>
    <row r="300">
      <c r="A300" s="28"/>
      <c r="B300" s="28"/>
    </row>
    <row r="301">
      <c r="A301" s="28"/>
      <c r="B301" s="28"/>
    </row>
    <row r="302">
      <c r="A302" s="28"/>
      <c r="B302" s="28"/>
    </row>
    <row r="303">
      <c r="A303" s="28"/>
      <c r="B303" s="28"/>
    </row>
    <row r="304">
      <c r="A304" s="28"/>
      <c r="B304" s="28"/>
    </row>
    <row r="305">
      <c r="A305" s="28"/>
      <c r="B305" s="28"/>
    </row>
    <row r="306">
      <c r="A306" s="28"/>
      <c r="B306" s="28"/>
    </row>
    <row r="307">
      <c r="A307" s="28"/>
      <c r="B307" s="28"/>
    </row>
    <row r="308">
      <c r="A308" s="28"/>
      <c r="B308" s="28"/>
    </row>
    <row r="309">
      <c r="A309" s="28"/>
      <c r="B309" s="28"/>
    </row>
    <row r="310">
      <c r="A310" s="28"/>
      <c r="B310" s="28"/>
    </row>
    <row r="311">
      <c r="A311" s="28"/>
      <c r="B311" s="28"/>
    </row>
    <row r="312">
      <c r="A312" s="28"/>
      <c r="B312" s="28"/>
    </row>
    <row r="313">
      <c r="A313" s="28"/>
      <c r="B313" s="28"/>
    </row>
    <row r="314">
      <c r="A314" s="28"/>
      <c r="B314" s="28"/>
    </row>
    <row r="315">
      <c r="A315" s="28"/>
      <c r="B315" s="28"/>
    </row>
    <row r="316">
      <c r="A316" s="28"/>
      <c r="B316" s="28"/>
    </row>
    <row r="317">
      <c r="A317" s="28"/>
      <c r="B317" s="28"/>
    </row>
    <row r="318">
      <c r="A318" s="28"/>
      <c r="B318" s="28"/>
    </row>
    <row r="319">
      <c r="A319" s="28"/>
      <c r="B319" s="28"/>
    </row>
    <row r="320">
      <c r="A320" s="28"/>
      <c r="B320" s="28"/>
    </row>
    <row r="321">
      <c r="A321" s="28"/>
      <c r="B321" s="28"/>
    </row>
    <row r="322">
      <c r="A322" s="28"/>
      <c r="B322" s="28"/>
    </row>
    <row r="323">
      <c r="A323" s="28"/>
      <c r="B323" s="28"/>
    </row>
    <row r="324">
      <c r="A324" s="28"/>
      <c r="B324" s="28"/>
    </row>
    <row r="325">
      <c r="A325" s="28"/>
      <c r="B325" s="28"/>
    </row>
    <row r="326">
      <c r="A326" s="28"/>
      <c r="B326" s="28"/>
    </row>
    <row r="327">
      <c r="A327" s="28"/>
      <c r="B327" s="28"/>
    </row>
    <row r="328">
      <c r="A328" s="28"/>
      <c r="B328" s="28"/>
    </row>
    <row r="329">
      <c r="A329" s="28"/>
      <c r="B329" s="28"/>
    </row>
    <row r="330">
      <c r="A330" s="28"/>
      <c r="B330" s="28"/>
    </row>
    <row r="331">
      <c r="A331" s="28"/>
      <c r="B331" s="28"/>
    </row>
    <row r="332">
      <c r="A332" s="28"/>
      <c r="B332" s="28"/>
    </row>
    <row r="333">
      <c r="A333" s="28"/>
      <c r="B333" s="28"/>
    </row>
    <row r="334">
      <c r="A334" s="28"/>
      <c r="B334" s="28"/>
    </row>
    <row r="335">
      <c r="A335" s="28"/>
      <c r="B335" s="28"/>
    </row>
    <row r="336">
      <c r="A336" s="28"/>
      <c r="B336" s="28"/>
    </row>
    <row r="337">
      <c r="A337" s="28"/>
      <c r="B337" s="28"/>
    </row>
    <row r="338">
      <c r="A338" s="28"/>
      <c r="B338" s="28"/>
    </row>
    <row r="339">
      <c r="A339" s="28"/>
      <c r="B339" s="28"/>
    </row>
    <row r="340">
      <c r="A340" s="28"/>
      <c r="B340" s="28"/>
    </row>
    <row r="341">
      <c r="A341" s="28"/>
      <c r="B341" s="28"/>
    </row>
    <row r="342">
      <c r="A342" s="28"/>
      <c r="B342" s="28"/>
    </row>
    <row r="343">
      <c r="A343" s="28"/>
      <c r="B343" s="28"/>
    </row>
    <row r="344">
      <c r="A344" s="28"/>
      <c r="B344" s="28"/>
    </row>
    <row r="345">
      <c r="A345" s="28"/>
      <c r="B345" s="28"/>
    </row>
    <row r="346">
      <c r="A346" s="28"/>
      <c r="B346" s="28"/>
    </row>
    <row r="347">
      <c r="A347" s="28"/>
      <c r="B347" s="28"/>
    </row>
    <row r="348">
      <c r="A348" s="28"/>
      <c r="B348" s="28"/>
    </row>
    <row r="349">
      <c r="A349" s="28"/>
      <c r="B349" s="28"/>
    </row>
    <row r="350">
      <c r="A350" s="28"/>
      <c r="B350" s="28"/>
    </row>
    <row r="351">
      <c r="A351" s="28"/>
      <c r="B351" s="28"/>
    </row>
    <row r="352">
      <c r="A352" s="28"/>
      <c r="B352" s="28"/>
    </row>
    <row r="353">
      <c r="A353" s="28"/>
      <c r="B353" s="28"/>
    </row>
    <row r="354">
      <c r="A354" s="28"/>
      <c r="B354" s="28"/>
    </row>
    <row r="355">
      <c r="A355" s="28"/>
      <c r="B355" s="28"/>
    </row>
    <row r="356">
      <c r="A356" s="28"/>
      <c r="B356" s="28"/>
    </row>
    <row r="357">
      <c r="A357" s="28"/>
      <c r="B357" s="28"/>
    </row>
    <row r="358">
      <c r="A358" s="28"/>
      <c r="B358" s="28"/>
    </row>
    <row r="359">
      <c r="A359" s="28"/>
      <c r="B359" s="28"/>
    </row>
    <row r="360">
      <c r="A360" s="28"/>
      <c r="B360" s="28"/>
    </row>
    <row r="361">
      <c r="A361" s="28"/>
      <c r="B361" s="28"/>
    </row>
    <row r="362">
      <c r="A362" s="28"/>
      <c r="B362" s="28"/>
    </row>
    <row r="363">
      <c r="A363" s="28"/>
      <c r="B363" s="28"/>
    </row>
    <row r="364">
      <c r="A364" s="28"/>
      <c r="B364" s="28"/>
    </row>
    <row r="365">
      <c r="A365" s="28"/>
      <c r="B365" s="28"/>
    </row>
    <row r="366">
      <c r="A366" s="28"/>
      <c r="B366" s="28"/>
    </row>
    <row r="367">
      <c r="A367" s="28"/>
      <c r="B367" s="28"/>
    </row>
    <row r="368">
      <c r="A368" s="28"/>
      <c r="B368" s="28"/>
    </row>
    <row r="369">
      <c r="A369" s="28"/>
      <c r="B369" s="28"/>
    </row>
    <row r="370">
      <c r="A370" s="28"/>
      <c r="B370" s="28"/>
    </row>
    <row r="371">
      <c r="A371" s="28"/>
      <c r="B371" s="28"/>
    </row>
    <row r="372">
      <c r="A372" s="28"/>
      <c r="B372" s="28"/>
    </row>
    <row r="373">
      <c r="A373" s="28"/>
      <c r="B373" s="28"/>
    </row>
    <row r="374">
      <c r="A374" s="28"/>
      <c r="B374" s="28"/>
    </row>
    <row r="375">
      <c r="A375" s="28"/>
      <c r="B375" s="28"/>
    </row>
    <row r="376">
      <c r="A376" s="28"/>
      <c r="B376" s="28"/>
    </row>
    <row r="377">
      <c r="A377" s="28"/>
      <c r="B377" s="28"/>
    </row>
    <row r="378">
      <c r="A378" s="28"/>
      <c r="B378" s="28"/>
    </row>
    <row r="379">
      <c r="A379" s="28"/>
      <c r="B379" s="28"/>
    </row>
    <row r="380">
      <c r="A380" s="28"/>
      <c r="B380" s="28"/>
    </row>
    <row r="381">
      <c r="A381" s="28"/>
      <c r="B381" s="28"/>
    </row>
    <row r="382">
      <c r="A382" s="28"/>
      <c r="B382" s="28"/>
    </row>
    <row r="383">
      <c r="A383" s="28"/>
      <c r="B383" s="28"/>
    </row>
    <row r="384">
      <c r="A384" s="28"/>
      <c r="B384" s="28"/>
    </row>
    <row r="385">
      <c r="A385" s="28"/>
      <c r="B385" s="28"/>
    </row>
    <row r="386">
      <c r="A386" s="28"/>
      <c r="B386" s="28"/>
    </row>
    <row r="387">
      <c r="A387" s="28"/>
      <c r="B387" s="28"/>
    </row>
    <row r="388">
      <c r="A388" s="28"/>
      <c r="B388" s="28"/>
    </row>
    <row r="389">
      <c r="A389" s="28"/>
      <c r="B389" s="28"/>
    </row>
    <row r="390">
      <c r="A390" s="28"/>
      <c r="B390" s="28"/>
    </row>
    <row r="391">
      <c r="A391" s="28"/>
      <c r="B391" s="28"/>
    </row>
    <row r="392">
      <c r="A392" s="28"/>
      <c r="B392" s="28"/>
    </row>
    <row r="393">
      <c r="A393" s="28"/>
      <c r="B393" s="28"/>
    </row>
    <row r="394">
      <c r="A394" s="28"/>
      <c r="B394" s="28"/>
    </row>
    <row r="395">
      <c r="A395" s="28"/>
      <c r="B395" s="28"/>
    </row>
    <row r="396">
      <c r="A396" s="28"/>
      <c r="B396" s="28"/>
    </row>
    <row r="397">
      <c r="A397" s="28"/>
      <c r="B397" s="28"/>
    </row>
    <row r="398">
      <c r="A398" s="28"/>
      <c r="B398" s="28"/>
    </row>
    <row r="399">
      <c r="A399" s="28"/>
      <c r="B399" s="28"/>
    </row>
    <row r="400">
      <c r="A400" s="28"/>
      <c r="B400" s="28"/>
    </row>
    <row r="401">
      <c r="A401" s="28"/>
      <c r="B401" s="28"/>
    </row>
    <row r="402">
      <c r="A402" s="28"/>
      <c r="B402" s="28"/>
    </row>
    <row r="403">
      <c r="A403" s="28"/>
      <c r="B403" s="28"/>
    </row>
    <row r="404">
      <c r="A404" s="28"/>
      <c r="B404" s="28"/>
    </row>
    <row r="405">
      <c r="A405" s="28"/>
      <c r="B405" s="28"/>
    </row>
    <row r="406">
      <c r="A406" s="28"/>
      <c r="B406" s="28"/>
    </row>
    <row r="407">
      <c r="A407" s="28"/>
      <c r="B407" s="28"/>
    </row>
    <row r="408">
      <c r="A408" s="28"/>
      <c r="B408" s="28"/>
    </row>
    <row r="409">
      <c r="A409" s="28"/>
      <c r="B409" s="28"/>
    </row>
    <row r="410">
      <c r="A410" s="28"/>
      <c r="B410" s="28"/>
    </row>
    <row r="411">
      <c r="A411" s="28"/>
      <c r="B411" s="28"/>
    </row>
    <row r="412">
      <c r="A412" s="28"/>
      <c r="B412" s="28"/>
    </row>
    <row r="413">
      <c r="A413" s="28"/>
      <c r="B413" s="28"/>
    </row>
    <row r="414">
      <c r="A414" s="28"/>
      <c r="B414" s="28"/>
    </row>
    <row r="415">
      <c r="A415" s="28"/>
      <c r="B415" s="28"/>
    </row>
    <row r="416">
      <c r="A416" s="28"/>
      <c r="B416" s="28"/>
    </row>
    <row r="417">
      <c r="A417" s="28"/>
      <c r="B417" s="28"/>
    </row>
    <row r="418">
      <c r="A418" s="28"/>
      <c r="B418" s="28"/>
    </row>
    <row r="419">
      <c r="A419" s="28"/>
      <c r="B419" s="28"/>
    </row>
    <row r="420">
      <c r="A420" s="28"/>
      <c r="B420" s="28"/>
    </row>
    <row r="421">
      <c r="A421" s="28"/>
      <c r="B421" s="28"/>
    </row>
    <row r="422">
      <c r="A422" s="28"/>
      <c r="B422" s="28"/>
    </row>
    <row r="423">
      <c r="A423" s="28"/>
      <c r="B423" s="28"/>
    </row>
    <row r="424">
      <c r="A424" s="28"/>
      <c r="B424" s="28"/>
    </row>
    <row r="425">
      <c r="A425" s="28"/>
      <c r="B425" s="28"/>
    </row>
    <row r="426">
      <c r="A426" s="28"/>
      <c r="B426" s="28"/>
    </row>
    <row r="427">
      <c r="A427" s="28"/>
      <c r="B427" s="28"/>
    </row>
    <row r="428">
      <c r="A428" s="28"/>
      <c r="B428" s="28"/>
    </row>
    <row r="429">
      <c r="A429" s="28"/>
      <c r="B429" s="28"/>
    </row>
    <row r="430">
      <c r="A430" s="28"/>
      <c r="B430" s="28"/>
    </row>
    <row r="431">
      <c r="A431" s="28"/>
      <c r="B431" s="28"/>
    </row>
    <row r="432">
      <c r="A432" s="28"/>
      <c r="B432" s="28"/>
    </row>
    <row r="433">
      <c r="A433" s="28"/>
      <c r="B433" s="28"/>
    </row>
    <row r="434">
      <c r="A434" s="28"/>
      <c r="B434" s="28"/>
    </row>
    <row r="435">
      <c r="A435" s="28"/>
      <c r="B435" s="28"/>
    </row>
    <row r="436">
      <c r="A436" s="28"/>
      <c r="B436" s="28"/>
    </row>
    <row r="437">
      <c r="A437" s="28"/>
      <c r="B437" s="28"/>
    </row>
    <row r="438">
      <c r="A438" s="28"/>
      <c r="B438" s="28"/>
    </row>
    <row r="439">
      <c r="A439" s="28"/>
      <c r="B439" s="28"/>
    </row>
    <row r="440">
      <c r="A440" s="28"/>
      <c r="B440" s="28"/>
    </row>
    <row r="441">
      <c r="A441" s="28"/>
      <c r="B441" s="28"/>
    </row>
    <row r="442">
      <c r="A442" s="28"/>
      <c r="B442" s="28"/>
    </row>
    <row r="443">
      <c r="A443" s="28"/>
      <c r="B443" s="28"/>
    </row>
    <row r="444">
      <c r="A444" s="28"/>
      <c r="B444" s="28"/>
    </row>
    <row r="445">
      <c r="A445" s="28"/>
      <c r="B445" s="28"/>
    </row>
    <row r="446">
      <c r="A446" s="28"/>
      <c r="B446" s="28"/>
    </row>
    <row r="447">
      <c r="A447" s="28"/>
      <c r="B447" s="28"/>
    </row>
    <row r="448">
      <c r="A448" s="28"/>
      <c r="B448" s="28"/>
    </row>
    <row r="449">
      <c r="A449" s="28"/>
      <c r="B449" s="28"/>
    </row>
    <row r="450">
      <c r="A450" s="28"/>
      <c r="B450" s="28"/>
    </row>
    <row r="451">
      <c r="A451" s="28"/>
      <c r="B451" s="28"/>
    </row>
    <row r="452">
      <c r="A452" s="28"/>
      <c r="B452" s="28"/>
    </row>
    <row r="453">
      <c r="A453" s="28"/>
      <c r="B453" s="28"/>
    </row>
    <row r="454">
      <c r="A454" s="28"/>
      <c r="B454" s="28"/>
    </row>
    <row r="455">
      <c r="A455" s="28"/>
      <c r="B455" s="28"/>
    </row>
    <row r="456">
      <c r="A456" s="28"/>
      <c r="B456" s="28"/>
    </row>
    <row r="457">
      <c r="A457" s="28"/>
      <c r="B457" s="28"/>
    </row>
    <row r="458">
      <c r="A458" s="28"/>
      <c r="B458" s="28"/>
    </row>
    <row r="459">
      <c r="A459" s="28"/>
      <c r="B459" s="28"/>
    </row>
    <row r="460">
      <c r="A460" s="28"/>
      <c r="B460" s="28"/>
    </row>
    <row r="461">
      <c r="A461" s="28"/>
      <c r="B461" s="28"/>
    </row>
    <row r="462">
      <c r="A462" s="28"/>
      <c r="B462" s="28"/>
    </row>
    <row r="463">
      <c r="A463" s="28"/>
      <c r="B463" s="28"/>
    </row>
    <row r="464">
      <c r="A464" s="28"/>
      <c r="B464" s="28"/>
    </row>
    <row r="465">
      <c r="A465" s="28"/>
      <c r="B465" s="28"/>
    </row>
    <row r="466">
      <c r="A466" s="28"/>
      <c r="B466" s="28"/>
    </row>
    <row r="467">
      <c r="A467" s="28"/>
      <c r="B467" s="28"/>
    </row>
    <row r="468">
      <c r="A468" s="28"/>
      <c r="B468" s="28"/>
    </row>
    <row r="469">
      <c r="A469" s="28"/>
      <c r="B469" s="28"/>
    </row>
    <row r="470">
      <c r="A470" s="28"/>
      <c r="B470" s="28"/>
    </row>
    <row r="471">
      <c r="A471" s="28"/>
      <c r="B471" s="28"/>
    </row>
    <row r="472">
      <c r="A472" s="28"/>
      <c r="B472" s="28"/>
    </row>
    <row r="473">
      <c r="A473" s="28"/>
      <c r="B473" s="28"/>
    </row>
    <row r="474">
      <c r="A474" s="28"/>
      <c r="B474" s="28"/>
    </row>
    <row r="475">
      <c r="A475" s="28"/>
      <c r="B475" s="28"/>
    </row>
    <row r="476">
      <c r="A476" s="28"/>
      <c r="B476" s="28"/>
    </row>
    <row r="477">
      <c r="A477" s="28"/>
      <c r="B477" s="28"/>
    </row>
    <row r="478">
      <c r="A478" s="28"/>
      <c r="B478" s="28"/>
    </row>
    <row r="479">
      <c r="A479" s="28"/>
      <c r="B479" s="28"/>
    </row>
    <row r="480">
      <c r="A480" s="28"/>
      <c r="B480" s="28"/>
    </row>
    <row r="481">
      <c r="A481" s="28"/>
      <c r="B481" s="28"/>
    </row>
    <row r="482">
      <c r="A482" s="28"/>
      <c r="B482" s="28"/>
    </row>
    <row r="483">
      <c r="A483" s="28"/>
      <c r="B483" s="28"/>
    </row>
    <row r="484">
      <c r="A484" s="28"/>
      <c r="B484" s="28"/>
    </row>
    <row r="485">
      <c r="A485" s="28"/>
      <c r="B485" s="28"/>
    </row>
    <row r="486">
      <c r="A486" s="28"/>
      <c r="B486" s="28"/>
    </row>
    <row r="487">
      <c r="A487" s="28"/>
      <c r="B487" s="28"/>
    </row>
    <row r="488">
      <c r="A488" s="28"/>
      <c r="B488" s="28"/>
    </row>
    <row r="489">
      <c r="A489" s="28"/>
      <c r="B489" s="28"/>
    </row>
    <row r="490">
      <c r="A490" s="28"/>
      <c r="B490" s="28"/>
    </row>
    <row r="491">
      <c r="A491" s="28"/>
      <c r="B491" s="28"/>
    </row>
    <row r="492">
      <c r="A492" s="28"/>
      <c r="B492" s="28"/>
    </row>
    <row r="493">
      <c r="A493" s="28"/>
      <c r="B493" s="28"/>
    </row>
    <row r="494">
      <c r="A494" s="28"/>
      <c r="B494" s="28"/>
    </row>
    <row r="495">
      <c r="A495" s="28"/>
      <c r="B495" s="28"/>
    </row>
    <row r="496">
      <c r="A496" s="28"/>
      <c r="B496" s="28"/>
    </row>
    <row r="497">
      <c r="A497" s="28"/>
      <c r="B497" s="28"/>
    </row>
    <row r="498">
      <c r="A498" s="28"/>
      <c r="B498" s="28"/>
    </row>
    <row r="499">
      <c r="A499" s="28"/>
      <c r="B499" s="28"/>
    </row>
    <row r="500">
      <c r="A500" s="28"/>
      <c r="B500" s="28"/>
    </row>
    <row r="501">
      <c r="A501" s="28"/>
      <c r="B501" s="28"/>
    </row>
    <row r="502">
      <c r="A502" s="28"/>
      <c r="B502" s="28"/>
    </row>
    <row r="503">
      <c r="A503" s="28"/>
      <c r="B503" s="28"/>
    </row>
    <row r="504">
      <c r="A504" s="28"/>
      <c r="B504" s="28"/>
    </row>
    <row r="505">
      <c r="A505" s="28"/>
      <c r="B505" s="28"/>
    </row>
    <row r="506">
      <c r="A506" s="28"/>
      <c r="B506" s="28"/>
    </row>
    <row r="507">
      <c r="A507" s="28"/>
      <c r="B507" s="28"/>
    </row>
    <row r="508">
      <c r="A508" s="28"/>
      <c r="B508" s="28"/>
    </row>
    <row r="509">
      <c r="A509" s="28"/>
      <c r="B509" s="28"/>
    </row>
    <row r="510">
      <c r="A510" s="28"/>
      <c r="B510" s="28"/>
    </row>
    <row r="511">
      <c r="A511" s="28"/>
      <c r="B511" s="28"/>
    </row>
    <row r="512">
      <c r="A512" s="28"/>
      <c r="B512" s="28"/>
    </row>
    <row r="513">
      <c r="A513" s="28"/>
      <c r="B513" s="28"/>
    </row>
    <row r="514">
      <c r="A514" s="28"/>
      <c r="B514" s="28"/>
    </row>
    <row r="515">
      <c r="A515" s="28"/>
      <c r="B515" s="28"/>
    </row>
    <row r="516">
      <c r="A516" s="28"/>
      <c r="B516" s="28"/>
    </row>
    <row r="517">
      <c r="A517" s="28"/>
      <c r="B517" s="28"/>
    </row>
    <row r="518">
      <c r="A518" s="28"/>
      <c r="B518" s="28"/>
    </row>
    <row r="519">
      <c r="A519" s="28"/>
      <c r="B519" s="28"/>
    </row>
    <row r="520">
      <c r="A520" s="28"/>
      <c r="B520" s="28"/>
    </row>
    <row r="521">
      <c r="A521" s="28"/>
      <c r="B521" s="28"/>
    </row>
    <row r="522">
      <c r="A522" s="28"/>
      <c r="B522" s="28"/>
    </row>
    <row r="523">
      <c r="A523" s="28"/>
      <c r="B523" s="28"/>
    </row>
    <row r="524">
      <c r="A524" s="28"/>
      <c r="B524" s="28"/>
    </row>
    <row r="525">
      <c r="A525" s="28"/>
      <c r="B525" s="28"/>
    </row>
    <row r="526">
      <c r="A526" s="28"/>
      <c r="B526" s="28"/>
    </row>
    <row r="527">
      <c r="A527" s="28"/>
      <c r="B527" s="28"/>
    </row>
    <row r="528">
      <c r="A528" s="28"/>
      <c r="B528" s="28"/>
    </row>
    <row r="529">
      <c r="A529" s="28"/>
      <c r="B529" s="28"/>
    </row>
    <row r="530">
      <c r="A530" s="28"/>
      <c r="B530" s="28"/>
    </row>
    <row r="531">
      <c r="A531" s="28"/>
      <c r="B531" s="28"/>
    </row>
    <row r="532">
      <c r="A532" s="28"/>
      <c r="B532" s="28"/>
    </row>
    <row r="533">
      <c r="A533" s="28"/>
      <c r="B533" s="28"/>
    </row>
    <row r="534">
      <c r="A534" s="28"/>
      <c r="B534" s="28"/>
    </row>
    <row r="535">
      <c r="A535" s="28"/>
      <c r="B535" s="28"/>
    </row>
    <row r="536">
      <c r="A536" s="28"/>
      <c r="B536" s="28"/>
    </row>
    <row r="537">
      <c r="A537" s="28"/>
      <c r="B537" s="28"/>
    </row>
    <row r="538">
      <c r="A538" s="28"/>
      <c r="B538" s="28"/>
    </row>
    <row r="539">
      <c r="A539" s="28"/>
      <c r="B539" s="28"/>
    </row>
    <row r="540">
      <c r="A540" s="28"/>
      <c r="B540" s="28"/>
    </row>
    <row r="541">
      <c r="A541" s="28"/>
      <c r="B541" s="28"/>
    </row>
    <row r="542">
      <c r="A542" s="28"/>
      <c r="B542" s="28"/>
    </row>
    <row r="543">
      <c r="A543" s="28"/>
      <c r="B543" s="28"/>
    </row>
    <row r="544">
      <c r="A544" s="28"/>
      <c r="B544" s="28"/>
    </row>
    <row r="545">
      <c r="A545" s="28"/>
      <c r="B545" s="28"/>
    </row>
    <row r="546">
      <c r="A546" s="28"/>
      <c r="B546" s="28"/>
    </row>
    <row r="547">
      <c r="A547" s="28"/>
      <c r="B547" s="28"/>
    </row>
    <row r="548">
      <c r="A548" s="28"/>
      <c r="B548" s="28"/>
    </row>
    <row r="549">
      <c r="A549" s="28"/>
      <c r="B549" s="28"/>
    </row>
    <row r="550">
      <c r="A550" s="28"/>
      <c r="B550" s="28"/>
    </row>
    <row r="551">
      <c r="A551" s="28"/>
      <c r="B551" s="28"/>
    </row>
    <row r="552">
      <c r="A552" s="28"/>
      <c r="B552" s="28"/>
    </row>
    <row r="553">
      <c r="A553" s="28"/>
      <c r="B553" s="28"/>
    </row>
    <row r="554">
      <c r="A554" s="28"/>
      <c r="B554" s="28"/>
    </row>
    <row r="555">
      <c r="A555" s="28"/>
      <c r="B555" s="28"/>
    </row>
    <row r="556">
      <c r="A556" s="28"/>
      <c r="B556" s="28"/>
    </row>
    <row r="557">
      <c r="A557" s="28"/>
      <c r="B557" s="28"/>
    </row>
    <row r="558">
      <c r="A558" s="28"/>
      <c r="B558" s="28"/>
    </row>
    <row r="559">
      <c r="A559" s="28"/>
      <c r="B559" s="28"/>
    </row>
    <row r="560">
      <c r="A560" s="28"/>
      <c r="B560" s="28"/>
    </row>
    <row r="561">
      <c r="A561" s="28"/>
      <c r="B561" s="28"/>
    </row>
    <row r="562">
      <c r="A562" s="28"/>
      <c r="B562" s="28"/>
    </row>
    <row r="563">
      <c r="A563" s="28"/>
      <c r="B563" s="28"/>
    </row>
    <row r="564">
      <c r="A564" s="28"/>
      <c r="B564" s="28"/>
    </row>
    <row r="565">
      <c r="A565" s="28"/>
      <c r="B565" s="28"/>
    </row>
    <row r="566">
      <c r="A566" s="28"/>
      <c r="B566" s="28"/>
    </row>
    <row r="567">
      <c r="A567" s="28"/>
      <c r="B567" s="28"/>
    </row>
    <row r="568">
      <c r="A568" s="28"/>
      <c r="B568" s="28"/>
    </row>
    <row r="569">
      <c r="A569" s="28"/>
      <c r="B569" s="28"/>
    </row>
    <row r="570">
      <c r="A570" s="28"/>
      <c r="B570" s="28"/>
    </row>
    <row r="571">
      <c r="A571" s="28"/>
      <c r="B571" s="28"/>
    </row>
    <row r="572">
      <c r="A572" s="28"/>
      <c r="B572" s="28"/>
    </row>
    <row r="573">
      <c r="A573" s="28"/>
      <c r="B573" s="28"/>
    </row>
    <row r="574">
      <c r="A574" s="28"/>
      <c r="B574" s="28"/>
    </row>
    <row r="575">
      <c r="A575" s="28"/>
      <c r="B575" s="28"/>
    </row>
    <row r="576">
      <c r="A576" s="28"/>
      <c r="B576" s="28"/>
    </row>
    <row r="577">
      <c r="A577" s="28"/>
      <c r="B577" s="28"/>
    </row>
    <row r="578">
      <c r="A578" s="28"/>
      <c r="B578" s="28"/>
    </row>
    <row r="579">
      <c r="A579" s="28"/>
      <c r="B579" s="28"/>
    </row>
    <row r="580">
      <c r="A580" s="28"/>
      <c r="B580" s="28"/>
    </row>
    <row r="581">
      <c r="A581" s="28"/>
      <c r="B581" s="28"/>
    </row>
    <row r="582">
      <c r="A582" s="28"/>
      <c r="B582" s="28"/>
    </row>
    <row r="583">
      <c r="A583" s="28"/>
      <c r="B583" s="28"/>
    </row>
    <row r="584">
      <c r="A584" s="28"/>
      <c r="B584" s="28"/>
    </row>
    <row r="585">
      <c r="A585" s="28"/>
      <c r="B585" s="28"/>
    </row>
    <row r="586">
      <c r="A586" s="28"/>
      <c r="B586" s="28"/>
    </row>
    <row r="587">
      <c r="A587" s="28"/>
      <c r="B587" s="28"/>
    </row>
    <row r="588">
      <c r="A588" s="28"/>
      <c r="B588" s="28"/>
    </row>
    <row r="589">
      <c r="A589" s="28"/>
      <c r="B589" s="28"/>
    </row>
    <row r="590">
      <c r="A590" s="28"/>
      <c r="B590" s="28"/>
    </row>
    <row r="591">
      <c r="A591" s="28"/>
      <c r="B591" s="28"/>
    </row>
    <row r="592">
      <c r="A592" s="28"/>
      <c r="B592" s="28"/>
    </row>
    <row r="593">
      <c r="A593" s="28"/>
      <c r="B593" s="28"/>
    </row>
    <row r="594">
      <c r="A594" s="28"/>
      <c r="B594" s="28"/>
    </row>
    <row r="595">
      <c r="A595" s="28"/>
      <c r="B595" s="28"/>
    </row>
    <row r="596">
      <c r="A596" s="28"/>
      <c r="B596" s="28"/>
    </row>
    <row r="597">
      <c r="A597" s="28"/>
      <c r="B597" s="28"/>
    </row>
    <row r="598">
      <c r="A598" s="28"/>
      <c r="B598" s="28"/>
    </row>
    <row r="599">
      <c r="A599" s="28"/>
      <c r="B599" s="28"/>
    </row>
    <row r="600">
      <c r="A600" s="28"/>
      <c r="B600" s="28"/>
    </row>
    <row r="601">
      <c r="A601" s="28"/>
      <c r="B601" s="28"/>
    </row>
    <row r="602">
      <c r="A602" s="28"/>
      <c r="B602" s="28"/>
    </row>
    <row r="603">
      <c r="A603" s="28"/>
      <c r="B603" s="28"/>
    </row>
    <row r="604">
      <c r="A604" s="28"/>
      <c r="B604" s="28"/>
    </row>
    <row r="605">
      <c r="A605" s="28"/>
      <c r="B605" s="28"/>
    </row>
    <row r="606">
      <c r="A606" s="28"/>
      <c r="B606" s="28"/>
    </row>
    <row r="607">
      <c r="A607" s="28"/>
      <c r="B607" s="28"/>
    </row>
    <row r="608">
      <c r="A608" s="28"/>
      <c r="B608" s="28"/>
    </row>
    <row r="609">
      <c r="A609" s="28"/>
      <c r="B609" s="28"/>
    </row>
    <row r="610">
      <c r="A610" s="28"/>
      <c r="B610" s="28"/>
    </row>
    <row r="611">
      <c r="A611" s="28"/>
      <c r="B611" s="28"/>
    </row>
    <row r="612">
      <c r="A612" s="28"/>
      <c r="B612" s="28"/>
    </row>
    <row r="613">
      <c r="A613" s="28"/>
      <c r="B613" s="28"/>
    </row>
    <row r="614">
      <c r="A614" s="28"/>
      <c r="B614" s="28"/>
    </row>
    <row r="615">
      <c r="A615" s="28"/>
      <c r="B615" s="28"/>
    </row>
    <row r="616">
      <c r="A616" s="28"/>
      <c r="B616" s="28"/>
    </row>
    <row r="617">
      <c r="A617" s="28"/>
      <c r="B617" s="28"/>
    </row>
    <row r="618">
      <c r="A618" s="28"/>
      <c r="B618" s="28"/>
    </row>
    <row r="619">
      <c r="A619" s="28"/>
      <c r="B619" s="28"/>
    </row>
    <row r="620">
      <c r="A620" s="28"/>
      <c r="B620" s="28"/>
    </row>
    <row r="621">
      <c r="A621" s="28"/>
      <c r="B621" s="28"/>
    </row>
    <row r="622">
      <c r="A622" s="28"/>
      <c r="B622" s="28"/>
    </row>
    <row r="623">
      <c r="A623" s="28"/>
      <c r="B623" s="28"/>
    </row>
    <row r="624">
      <c r="A624" s="28"/>
      <c r="B624" s="28"/>
    </row>
    <row r="625">
      <c r="A625" s="28"/>
      <c r="B625" s="28"/>
    </row>
    <row r="626">
      <c r="A626" s="28"/>
      <c r="B626" s="28"/>
    </row>
    <row r="627">
      <c r="A627" s="28"/>
      <c r="B627" s="28"/>
    </row>
    <row r="628">
      <c r="A628" s="28"/>
      <c r="B628" s="28"/>
    </row>
    <row r="629">
      <c r="A629" s="28"/>
      <c r="B629" s="28"/>
    </row>
    <row r="630">
      <c r="A630" s="28"/>
      <c r="B630" s="28"/>
    </row>
    <row r="631">
      <c r="A631" s="28"/>
      <c r="B631" s="28"/>
    </row>
    <row r="632">
      <c r="A632" s="28"/>
      <c r="B632" s="28"/>
    </row>
    <row r="633">
      <c r="A633" s="28"/>
      <c r="B633" s="28"/>
    </row>
    <row r="634">
      <c r="A634" s="28"/>
      <c r="B634" s="28"/>
    </row>
    <row r="635">
      <c r="A635" s="28"/>
      <c r="B635" s="28"/>
    </row>
    <row r="636">
      <c r="A636" s="28"/>
      <c r="B636" s="28"/>
    </row>
    <row r="637">
      <c r="A637" s="28"/>
      <c r="B637" s="28"/>
    </row>
    <row r="638">
      <c r="A638" s="28"/>
      <c r="B638" s="28"/>
    </row>
    <row r="639">
      <c r="A639" s="28"/>
      <c r="B639" s="28"/>
    </row>
    <row r="640">
      <c r="A640" s="28"/>
      <c r="B640" s="28"/>
    </row>
    <row r="641">
      <c r="A641" s="28"/>
      <c r="B641" s="28"/>
    </row>
    <row r="642">
      <c r="A642" s="28"/>
      <c r="B642" s="28"/>
    </row>
    <row r="643">
      <c r="A643" s="28"/>
      <c r="B643" s="28"/>
    </row>
    <row r="644">
      <c r="A644" s="28"/>
      <c r="B644" s="28"/>
    </row>
    <row r="645">
      <c r="A645" s="28"/>
      <c r="B645" s="28"/>
    </row>
    <row r="646">
      <c r="A646" s="28"/>
      <c r="B646" s="28"/>
    </row>
    <row r="647">
      <c r="A647" s="28"/>
      <c r="B647" s="28"/>
    </row>
    <row r="648">
      <c r="A648" s="28"/>
      <c r="B648" s="28"/>
    </row>
    <row r="649">
      <c r="A649" s="28"/>
      <c r="B649" s="28"/>
    </row>
    <row r="650">
      <c r="A650" s="28"/>
      <c r="B650" s="28"/>
    </row>
    <row r="651">
      <c r="A651" s="28"/>
      <c r="B651" s="28"/>
    </row>
    <row r="652">
      <c r="A652" s="28"/>
      <c r="B652" s="28"/>
    </row>
    <row r="653">
      <c r="A653" s="28"/>
      <c r="B653" s="28"/>
    </row>
    <row r="654">
      <c r="A654" s="28"/>
      <c r="B654" s="28"/>
    </row>
    <row r="655">
      <c r="A655" s="28"/>
      <c r="B655" s="28"/>
    </row>
    <row r="656">
      <c r="A656" s="28"/>
      <c r="B656" s="28"/>
    </row>
    <row r="657">
      <c r="A657" s="28"/>
      <c r="B657" s="28"/>
    </row>
    <row r="658">
      <c r="A658" s="28"/>
      <c r="B658" s="28"/>
    </row>
    <row r="659">
      <c r="A659" s="28"/>
      <c r="B659" s="28"/>
    </row>
    <row r="660">
      <c r="A660" s="28"/>
      <c r="B660" s="28"/>
    </row>
    <row r="661">
      <c r="A661" s="28"/>
      <c r="B661" s="28"/>
    </row>
    <row r="662">
      <c r="A662" s="28"/>
      <c r="B662" s="28"/>
    </row>
    <row r="663">
      <c r="A663" s="28"/>
      <c r="B663" s="28"/>
    </row>
    <row r="664">
      <c r="A664" s="28"/>
      <c r="B664" s="28"/>
    </row>
    <row r="665">
      <c r="A665" s="28"/>
      <c r="B665" s="28"/>
    </row>
    <row r="666">
      <c r="A666" s="28"/>
      <c r="B666" s="28"/>
    </row>
    <row r="667">
      <c r="A667" s="28"/>
      <c r="B667" s="28"/>
    </row>
    <row r="668">
      <c r="A668" s="28"/>
      <c r="B668" s="28"/>
    </row>
    <row r="669">
      <c r="A669" s="28"/>
      <c r="B669" s="28"/>
    </row>
    <row r="670">
      <c r="A670" s="28"/>
      <c r="B670" s="28"/>
    </row>
    <row r="671">
      <c r="A671" s="28"/>
      <c r="B671" s="28"/>
    </row>
    <row r="672">
      <c r="A672" s="28"/>
      <c r="B672" s="28"/>
    </row>
    <row r="673">
      <c r="A673" s="28"/>
      <c r="B673" s="28"/>
    </row>
    <row r="674">
      <c r="A674" s="28"/>
      <c r="B674" s="28"/>
    </row>
    <row r="675">
      <c r="A675" s="28"/>
      <c r="B675" s="28"/>
    </row>
    <row r="676">
      <c r="A676" s="28"/>
      <c r="B676" s="28"/>
    </row>
    <row r="677">
      <c r="A677" s="28"/>
      <c r="B677" s="28"/>
    </row>
    <row r="678">
      <c r="A678" s="28"/>
      <c r="B678" s="28"/>
    </row>
    <row r="679">
      <c r="A679" s="28"/>
      <c r="B679" s="28"/>
    </row>
    <row r="680">
      <c r="A680" s="28"/>
      <c r="B680" s="28"/>
    </row>
    <row r="681">
      <c r="A681" s="28"/>
      <c r="B681" s="28"/>
    </row>
    <row r="682">
      <c r="A682" s="28"/>
      <c r="B682" s="28"/>
    </row>
    <row r="683">
      <c r="A683" s="28"/>
      <c r="B683" s="28"/>
    </row>
    <row r="684">
      <c r="A684" s="28"/>
      <c r="B684" s="28"/>
    </row>
    <row r="685">
      <c r="A685" s="28"/>
      <c r="B685" s="28"/>
    </row>
    <row r="686">
      <c r="A686" s="28"/>
      <c r="B686" s="28"/>
    </row>
    <row r="687">
      <c r="A687" s="28"/>
      <c r="B687" s="28"/>
    </row>
    <row r="688">
      <c r="A688" s="28"/>
      <c r="B688" s="28"/>
    </row>
    <row r="689">
      <c r="A689" s="28"/>
      <c r="B689" s="28"/>
    </row>
    <row r="690">
      <c r="A690" s="28"/>
      <c r="B690" s="28"/>
    </row>
    <row r="691">
      <c r="A691" s="28"/>
      <c r="B691" s="28"/>
    </row>
    <row r="692">
      <c r="A692" s="28"/>
      <c r="B692" s="28"/>
    </row>
    <row r="693">
      <c r="A693" s="28"/>
      <c r="B693" s="28"/>
    </row>
    <row r="694">
      <c r="A694" s="28"/>
      <c r="B694" s="28"/>
    </row>
    <row r="695">
      <c r="A695" s="28"/>
      <c r="B695" s="28"/>
    </row>
    <row r="696">
      <c r="A696" s="28"/>
      <c r="B696" s="28"/>
    </row>
    <row r="697">
      <c r="A697" s="28"/>
      <c r="B697" s="28"/>
    </row>
    <row r="698">
      <c r="A698" s="28"/>
      <c r="B698" s="28"/>
    </row>
    <row r="699">
      <c r="A699" s="28"/>
      <c r="B699" s="28"/>
    </row>
    <row r="700">
      <c r="A700" s="28"/>
      <c r="B700" s="28"/>
    </row>
    <row r="701">
      <c r="A701" s="28"/>
      <c r="B701" s="28"/>
    </row>
    <row r="702">
      <c r="A702" s="28"/>
      <c r="B702" s="28"/>
    </row>
    <row r="703">
      <c r="A703" s="28"/>
      <c r="B703" s="28"/>
    </row>
    <row r="704">
      <c r="A704" s="28"/>
      <c r="B704" s="28"/>
    </row>
    <row r="705">
      <c r="A705" s="28"/>
      <c r="B705" s="28"/>
    </row>
    <row r="706">
      <c r="A706" s="28"/>
      <c r="B706" s="28"/>
    </row>
    <row r="707">
      <c r="A707" s="28"/>
      <c r="B707" s="28"/>
    </row>
    <row r="708">
      <c r="A708" s="28"/>
      <c r="B708" s="28"/>
    </row>
    <row r="709">
      <c r="A709" s="28"/>
      <c r="B709" s="28"/>
    </row>
    <row r="710">
      <c r="A710" s="28"/>
      <c r="B710" s="28"/>
    </row>
    <row r="711">
      <c r="A711" s="28"/>
      <c r="B711" s="28"/>
    </row>
    <row r="712">
      <c r="A712" s="28"/>
      <c r="B712" s="28"/>
    </row>
    <row r="713">
      <c r="A713" s="28"/>
      <c r="B713" s="28"/>
    </row>
    <row r="714">
      <c r="A714" s="28"/>
      <c r="B714" s="28"/>
    </row>
    <row r="715">
      <c r="A715" s="28"/>
      <c r="B715" s="28"/>
    </row>
    <row r="716">
      <c r="A716" s="28"/>
      <c r="B716" s="28"/>
    </row>
    <row r="717">
      <c r="A717" s="28"/>
      <c r="B717" s="28"/>
    </row>
    <row r="718">
      <c r="A718" s="28"/>
      <c r="B718" s="28"/>
    </row>
    <row r="719">
      <c r="A719" s="28"/>
      <c r="B719" s="28"/>
    </row>
    <row r="720">
      <c r="A720" s="28"/>
      <c r="B720" s="28"/>
    </row>
    <row r="721">
      <c r="A721" s="28"/>
      <c r="B721" s="28"/>
    </row>
    <row r="722">
      <c r="A722" s="28"/>
      <c r="B722" s="28"/>
    </row>
    <row r="723">
      <c r="A723" s="28"/>
      <c r="B723" s="28"/>
    </row>
    <row r="724">
      <c r="A724" s="28"/>
      <c r="B724" s="28"/>
    </row>
    <row r="725">
      <c r="A725" s="28"/>
      <c r="B725" s="28"/>
    </row>
    <row r="726">
      <c r="A726" s="28"/>
      <c r="B726" s="28"/>
    </row>
    <row r="727">
      <c r="A727" s="28"/>
      <c r="B727" s="28"/>
    </row>
    <row r="728">
      <c r="A728" s="28"/>
      <c r="B728" s="28"/>
    </row>
    <row r="729">
      <c r="A729" s="28"/>
      <c r="B729" s="28"/>
    </row>
    <row r="730">
      <c r="A730" s="28"/>
      <c r="B730" s="28"/>
    </row>
    <row r="731">
      <c r="A731" s="28"/>
      <c r="B731" s="28"/>
    </row>
    <row r="732">
      <c r="A732" s="28"/>
      <c r="B732" s="28"/>
    </row>
    <row r="733">
      <c r="A733" s="28"/>
      <c r="B733" s="28"/>
    </row>
    <row r="734">
      <c r="A734" s="28"/>
      <c r="B734" s="28"/>
    </row>
    <row r="735">
      <c r="A735" s="28"/>
      <c r="B735" s="28"/>
    </row>
    <row r="736">
      <c r="A736" s="28"/>
      <c r="B736" s="28"/>
    </row>
    <row r="737">
      <c r="A737" s="28"/>
      <c r="B737" s="28"/>
    </row>
    <row r="738">
      <c r="A738" s="28"/>
      <c r="B738" s="28"/>
    </row>
    <row r="739">
      <c r="A739" s="28"/>
      <c r="B739" s="28"/>
    </row>
    <row r="740">
      <c r="A740" s="28"/>
      <c r="B740" s="28"/>
    </row>
    <row r="741">
      <c r="A741" s="28"/>
      <c r="B741" s="28"/>
    </row>
    <row r="742">
      <c r="A742" s="28"/>
      <c r="B742" s="28"/>
    </row>
    <row r="743">
      <c r="A743" s="28"/>
      <c r="B743" s="28"/>
    </row>
    <row r="744">
      <c r="A744" s="28"/>
      <c r="B744" s="28"/>
    </row>
    <row r="745">
      <c r="A745" s="28"/>
      <c r="B745" s="28"/>
    </row>
    <row r="746">
      <c r="A746" s="28"/>
      <c r="B746" s="28"/>
    </row>
    <row r="747">
      <c r="A747" s="28"/>
      <c r="B747" s="28"/>
    </row>
    <row r="748">
      <c r="A748" s="28"/>
      <c r="B748" s="28"/>
    </row>
    <row r="749">
      <c r="A749" s="28"/>
      <c r="B749" s="28"/>
    </row>
    <row r="750">
      <c r="A750" s="28"/>
      <c r="B750" s="28"/>
    </row>
    <row r="751">
      <c r="A751" s="28"/>
      <c r="B751" s="28"/>
    </row>
    <row r="752">
      <c r="A752" s="28"/>
      <c r="B752" s="28"/>
    </row>
    <row r="753">
      <c r="A753" s="28"/>
      <c r="B753" s="28"/>
    </row>
    <row r="754">
      <c r="A754" s="28"/>
      <c r="B754" s="28"/>
    </row>
    <row r="755">
      <c r="A755" s="28"/>
      <c r="B755" s="28"/>
    </row>
    <row r="756">
      <c r="A756" s="28"/>
      <c r="B756" s="28"/>
    </row>
    <row r="757">
      <c r="A757" s="28"/>
      <c r="B757" s="28"/>
    </row>
    <row r="758">
      <c r="A758" s="28"/>
      <c r="B758" s="28"/>
    </row>
    <row r="759">
      <c r="A759" s="28"/>
      <c r="B759" s="28"/>
    </row>
    <row r="760">
      <c r="A760" s="28"/>
      <c r="B760" s="28"/>
    </row>
    <row r="761">
      <c r="A761" s="28"/>
      <c r="B761" s="28"/>
    </row>
    <row r="762">
      <c r="A762" s="28"/>
      <c r="B762" s="28"/>
    </row>
    <row r="763">
      <c r="A763" s="28"/>
      <c r="B763" s="28"/>
    </row>
    <row r="764">
      <c r="A764" s="28"/>
      <c r="B764" s="28"/>
    </row>
    <row r="765">
      <c r="A765" s="28"/>
      <c r="B765" s="28"/>
    </row>
    <row r="766">
      <c r="A766" s="28"/>
      <c r="B766" s="28"/>
    </row>
    <row r="767">
      <c r="A767" s="28"/>
      <c r="B767" s="28"/>
    </row>
    <row r="768">
      <c r="A768" s="28"/>
      <c r="B768" s="28"/>
    </row>
    <row r="769">
      <c r="A769" s="28"/>
      <c r="B769" s="28"/>
    </row>
    <row r="770">
      <c r="A770" s="28"/>
      <c r="B770" s="28"/>
    </row>
    <row r="771">
      <c r="A771" s="28"/>
      <c r="B771" s="28"/>
    </row>
    <row r="772">
      <c r="A772" s="28"/>
      <c r="B772" s="28"/>
    </row>
    <row r="773">
      <c r="A773" s="28"/>
      <c r="B773" s="28"/>
    </row>
    <row r="774">
      <c r="A774" s="28"/>
      <c r="B774" s="28"/>
    </row>
    <row r="775">
      <c r="A775" s="28"/>
      <c r="B775" s="28"/>
    </row>
    <row r="776">
      <c r="A776" s="28"/>
      <c r="B776" s="28"/>
    </row>
    <row r="777">
      <c r="A777" s="28"/>
      <c r="B777" s="28"/>
    </row>
    <row r="778">
      <c r="A778" s="28"/>
      <c r="B778" s="28"/>
    </row>
    <row r="779">
      <c r="A779" s="28"/>
      <c r="B779" s="28"/>
    </row>
    <row r="780">
      <c r="A780" s="28"/>
      <c r="B780" s="28"/>
    </row>
    <row r="781">
      <c r="A781" s="28"/>
      <c r="B781" s="28"/>
    </row>
    <row r="782">
      <c r="A782" s="28"/>
      <c r="B782" s="28"/>
    </row>
    <row r="783">
      <c r="A783" s="28"/>
      <c r="B783" s="28"/>
    </row>
    <row r="784">
      <c r="A784" s="28"/>
      <c r="B784" s="28"/>
    </row>
    <row r="785">
      <c r="A785" s="28"/>
      <c r="B785" s="28"/>
    </row>
    <row r="786">
      <c r="A786" s="28"/>
      <c r="B786" s="28"/>
    </row>
    <row r="787">
      <c r="A787" s="28"/>
      <c r="B787" s="28"/>
    </row>
    <row r="788">
      <c r="A788" s="28"/>
      <c r="B788" s="28"/>
    </row>
    <row r="789">
      <c r="A789" s="28"/>
      <c r="B789" s="28"/>
    </row>
    <row r="790">
      <c r="A790" s="28"/>
      <c r="B790" s="28"/>
    </row>
    <row r="791">
      <c r="A791" s="28"/>
      <c r="B791" s="28"/>
    </row>
    <row r="792">
      <c r="A792" s="28"/>
      <c r="B792" s="28"/>
    </row>
    <row r="793">
      <c r="A793" s="28"/>
      <c r="B793" s="28"/>
    </row>
    <row r="794">
      <c r="A794" s="28"/>
      <c r="B794" s="28"/>
    </row>
    <row r="795">
      <c r="A795" s="28"/>
      <c r="B795" s="28"/>
    </row>
    <row r="796">
      <c r="A796" s="28"/>
      <c r="B796" s="28"/>
    </row>
    <row r="797">
      <c r="A797" s="28"/>
      <c r="B797" s="28"/>
    </row>
    <row r="798">
      <c r="A798" s="28"/>
      <c r="B798" s="28"/>
    </row>
    <row r="799">
      <c r="A799" s="28"/>
      <c r="B799" s="28"/>
    </row>
    <row r="800">
      <c r="A800" s="28"/>
      <c r="B800" s="28"/>
    </row>
    <row r="801">
      <c r="A801" s="28"/>
      <c r="B801" s="28"/>
    </row>
    <row r="802">
      <c r="A802" s="28"/>
      <c r="B802" s="28"/>
    </row>
    <row r="803">
      <c r="A803" s="28"/>
      <c r="B803" s="28"/>
    </row>
    <row r="804">
      <c r="A804" s="28"/>
      <c r="B804" s="28"/>
    </row>
    <row r="805">
      <c r="A805" s="28"/>
      <c r="B805" s="28"/>
    </row>
    <row r="806">
      <c r="A806" s="28"/>
      <c r="B806" s="28"/>
    </row>
    <row r="807">
      <c r="A807" s="28"/>
      <c r="B807" s="28"/>
    </row>
    <row r="808">
      <c r="A808" s="28"/>
      <c r="B808" s="28"/>
    </row>
    <row r="809">
      <c r="A809" s="28"/>
      <c r="B809" s="28"/>
    </row>
    <row r="810">
      <c r="A810" s="28"/>
      <c r="B810" s="28"/>
    </row>
    <row r="811">
      <c r="A811" s="28"/>
      <c r="B811" s="28"/>
    </row>
    <row r="812">
      <c r="A812" s="28"/>
      <c r="B812" s="28"/>
    </row>
    <row r="813">
      <c r="A813" s="28"/>
      <c r="B813" s="28"/>
    </row>
    <row r="814">
      <c r="A814" s="28"/>
      <c r="B814" s="28"/>
    </row>
    <row r="815">
      <c r="A815" s="28"/>
      <c r="B815" s="28"/>
    </row>
    <row r="816">
      <c r="A816" s="28"/>
      <c r="B816" s="28"/>
    </row>
    <row r="817">
      <c r="A817" s="28"/>
      <c r="B817" s="28"/>
    </row>
    <row r="818">
      <c r="A818" s="28"/>
      <c r="B818" s="28"/>
    </row>
    <row r="819">
      <c r="A819" s="28"/>
      <c r="B819" s="28"/>
    </row>
    <row r="820">
      <c r="A820" s="28"/>
      <c r="B820" s="28"/>
    </row>
    <row r="821">
      <c r="A821" s="28"/>
      <c r="B821" s="28"/>
    </row>
    <row r="822">
      <c r="A822" s="28"/>
      <c r="B822" s="28"/>
    </row>
    <row r="823">
      <c r="A823" s="28"/>
      <c r="B823" s="28"/>
    </row>
    <row r="824">
      <c r="A824" s="28"/>
      <c r="B824" s="28"/>
    </row>
    <row r="825">
      <c r="A825" s="28"/>
      <c r="B825" s="28"/>
    </row>
    <row r="826">
      <c r="A826" s="28"/>
      <c r="B826" s="28"/>
    </row>
    <row r="827">
      <c r="A827" s="28"/>
      <c r="B827" s="28"/>
    </row>
    <row r="828">
      <c r="A828" s="28"/>
      <c r="B828" s="28"/>
    </row>
    <row r="829">
      <c r="A829" s="28"/>
      <c r="B829" s="28"/>
    </row>
    <row r="830">
      <c r="A830" s="28"/>
      <c r="B830" s="28"/>
    </row>
    <row r="831">
      <c r="A831" s="28"/>
      <c r="B831" s="28"/>
    </row>
    <row r="832">
      <c r="A832" s="28"/>
      <c r="B832" s="28"/>
    </row>
    <row r="833">
      <c r="A833" s="28"/>
      <c r="B833" s="28"/>
    </row>
    <row r="834">
      <c r="A834" s="28"/>
      <c r="B834" s="28"/>
    </row>
    <row r="835">
      <c r="A835" s="28"/>
      <c r="B835" s="28"/>
    </row>
    <row r="836">
      <c r="A836" s="28"/>
      <c r="B836" s="28"/>
    </row>
    <row r="837">
      <c r="A837" s="28"/>
      <c r="B837" s="28"/>
    </row>
    <row r="838">
      <c r="A838" s="28"/>
      <c r="B838" s="28"/>
    </row>
    <row r="839">
      <c r="A839" s="28"/>
      <c r="B839" s="28"/>
    </row>
    <row r="840">
      <c r="A840" s="28"/>
      <c r="B840" s="28"/>
    </row>
    <row r="841">
      <c r="A841" s="28"/>
      <c r="B841" s="28"/>
    </row>
    <row r="842">
      <c r="A842" s="28"/>
      <c r="B842" s="28"/>
    </row>
    <row r="843">
      <c r="A843" s="28"/>
      <c r="B843" s="28"/>
    </row>
    <row r="844">
      <c r="A844" s="28"/>
      <c r="B844" s="28"/>
    </row>
    <row r="845">
      <c r="A845" s="28"/>
      <c r="B845" s="28"/>
    </row>
    <row r="846">
      <c r="A846" s="28"/>
      <c r="B846" s="28"/>
    </row>
    <row r="847">
      <c r="A847" s="28"/>
      <c r="B847" s="28"/>
    </row>
    <row r="848">
      <c r="A848" s="28"/>
      <c r="B848" s="28"/>
    </row>
    <row r="849">
      <c r="A849" s="28"/>
      <c r="B849" s="28"/>
    </row>
    <row r="850">
      <c r="A850" s="28"/>
      <c r="B850" s="28"/>
    </row>
    <row r="851">
      <c r="A851" s="28"/>
      <c r="B851" s="28"/>
    </row>
    <row r="852">
      <c r="A852" s="28"/>
      <c r="B852" s="28"/>
    </row>
    <row r="853">
      <c r="A853" s="28"/>
      <c r="B853" s="28"/>
    </row>
    <row r="854">
      <c r="A854" s="28"/>
      <c r="B854" s="28"/>
    </row>
    <row r="855">
      <c r="A855" s="28"/>
      <c r="B855" s="28"/>
    </row>
    <row r="856">
      <c r="A856" s="28"/>
      <c r="B856" s="28"/>
    </row>
    <row r="857">
      <c r="A857" s="28"/>
      <c r="B857" s="28"/>
    </row>
    <row r="858">
      <c r="A858" s="28"/>
      <c r="B858" s="28"/>
    </row>
    <row r="859">
      <c r="A859" s="28"/>
      <c r="B859" s="28"/>
    </row>
    <row r="860">
      <c r="A860" s="28"/>
      <c r="B860" s="28"/>
    </row>
    <row r="861">
      <c r="A861" s="28"/>
      <c r="B861" s="28"/>
    </row>
    <row r="862">
      <c r="A862" s="28"/>
      <c r="B862" s="28"/>
    </row>
    <row r="863">
      <c r="A863" s="28"/>
      <c r="B863" s="28"/>
    </row>
    <row r="864">
      <c r="A864" s="28"/>
      <c r="B864" s="28"/>
    </row>
    <row r="865">
      <c r="A865" s="28"/>
      <c r="B865" s="28"/>
    </row>
    <row r="866">
      <c r="A866" s="28"/>
      <c r="B866" s="28"/>
    </row>
    <row r="867">
      <c r="A867" s="28"/>
      <c r="B867" s="28"/>
    </row>
    <row r="868">
      <c r="A868" s="28"/>
      <c r="B868" s="28"/>
    </row>
    <row r="869">
      <c r="A869" s="28"/>
      <c r="B869" s="28"/>
    </row>
    <row r="870">
      <c r="A870" s="28"/>
      <c r="B870" s="28"/>
    </row>
    <row r="871">
      <c r="A871" s="28"/>
      <c r="B871" s="28"/>
    </row>
    <row r="872">
      <c r="A872" s="28"/>
      <c r="B872" s="28"/>
    </row>
    <row r="873">
      <c r="A873" s="28"/>
      <c r="B873" s="28"/>
    </row>
    <row r="874">
      <c r="A874" s="28"/>
      <c r="B874" s="28"/>
    </row>
    <row r="875">
      <c r="A875" s="28"/>
      <c r="B875" s="28"/>
    </row>
    <row r="876">
      <c r="A876" s="28"/>
      <c r="B876" s="28"/>
    </row>
    <row r="877">
      <c r="A877" s="28"/>
      <c r="B877" s="28"/>
    </row>
    <row r="878">
      <c r="A878" s="28"/>
      <c r="B878" s="28"/>
    </row>
    <row r="879">
      <c r="A879" s="28"/>
      <c r="B879" s="28"/>
    </row>
    <row r="880">
      <c r="A880" s="28"/>
      <c r="B880" s="28"/>
    </row>
    <row r="881">
      <c r="A881" s="28"/>
      <c r="B881" s="28"/>
    </row>
    <row r="882">
      <c r="A882" s="28"/>
      <c r="B882" s="28"/>
    </row>
    <row r="883">
      <c r="A883" s="28"/>
      <c r="B883" s="28"/>
    </row>
    <row r="884">
      <c r="A884" s="28"/>
      <c r="B884" s="28"/>
    </row>
    <row r="885">
      <c r="A885" s="28"/>
      <c r="B885" s="28"/>
    </row>
    <row r="886">
      <c r="A886" s="28"/>
      <c r="B886" s="28"/>
    </row>
    <row r="887">
      <c r="A887" s="28"/>
      <c r="B887" s="28"/>
    </row>
    <row r="888">
      <c r="A888" s="28"/>
      <c r="B888" s="28"/>
    </row>
    <row r="889">
      <c r="A889" s="28"/>
      <c r="B889" s="28"/>
    </row>
    <row r="890">
      <c r="A890" s="28"/>
      <c r="B890" s="28"/>
    </row>
    <row r="891">
      <c r="A891" s="28"/>
      <c r="B891" s="28"/>
    </row>
    <row r="892">
      <c r="A892" s="28"/>
      <c r="B892" s="28"/>
    </row>
    <row r="893">
      <c r="A893" s="28"/>
      <c r="B893" s="28"/>
    </row>
    <row r="894">
      <c r="A894" s="28"/>
      <c r="B894" s="28"/>
    </row>
    <row r="895">
      <c r="A895" s="28"/>
      <c r="B895" s="28"/>
    </row>
    <row r="896">
      <c r="A896" s="28"/>
      <c r="B896" s="28"/>
    </row>
    <row r="897">
      <c r="A897" s="28"/>
      <c r="B897" s="28"/>
    </row>
    <row r="898">
      <c r="A898" s="28"/>
      <c r="B898" s="28"/>
    </row>
    <row r="899">
      <c r="A899" s="28"/>
      <c r="B899" s="28"/>
    </row>
    <row r="900">
      <c r="A900" s="28"/>
      <c r="B900" s="28"/>
    </row>
    <row r="901">
      <c r="A901" s="28"/>
      <c r="B901" s="28"/>
    </row>
    <row r="902">
      <c r="A902" s="28"/>
      <c r="B902" s="28"/>
    </row>
    <row r="903">
      <c r="A903" s="28"/>
      <c r="B903" s="28"/>
    </row>
    <row r="904">
      <c r="A904" s="28"/>
      <c r="B904" s="28"/>
    </row>
    <row r="905">
      <c r="A905" s="28"/>
      <c r="B905" s="28"/>
    </row>
    <row r="906">
      <c r="A906" s="28"/>
      <c r="B906" s="28"/>
    </row>
    <row r="907">
      <c r="A907" s="28"/>
      <c r="B907" s="28"/>
    </row>
    <row r="908">
      <c r="A908" s="28"/>
      <c r="B908" s="28"/>
    </row>
    <row r="909">
      <c r="A909" s="28"/>
      <c r="B909" s="28"/>
    </row>
    <row r="910">
      <c r="A910" s="28"/>
      <c r="B910" s="28"/>
    </row>
    <row r="911">
      <c r="A911" s="28"/>
      <c r="B911" s="28"/>
    </row>
    <row r="912">
      <c r="A912" s="28"/>
      <c r="B912" s="28"/>
    </row>
    <row r="913">
      <c r="A913" s="28"/>
      <c r="B913" s="28"/>
    </row>
    <row r="914">
      <c r="A914" s="28"/>
      <c r="B914" s="28"/>
    </row>
    <row r="915">
      <c r="A915" s="28"/>
      <c r="B915" s="28"/>
    </row>
    <row r="916">
      <c r="A916" s="28"/>
      <c r="B916" s="28"/>
    </row>
    <row r="917">
      <c r="A917" s="28"/>
      <c r="B917" s="28"/>
    </row>
    <row r="918">
      <c r="A918" s="28"/>
      <c r="B918" s="28"/>
    </row>
    <row r="919">
      <c r="A919" s="28"/>
      <c r="B919" s="28"/>
    </row>
    <row r="920">
      <c r="A920" s="28"/>
      <c r="B920" s="28"/>
    </row>
    <row r="921">
      <c r="A921" s="28"/>
      <c r="B921" s="28"/>
    </row>
    <row r="922">
      <c r="A922" s="28"/>
      <c r="B922" s="28"/>
    </row>
    <row r="923">
      <c r="A923" s="28"/>
      <c r="B923" s="28"/>
    </row>
    <row r="924">
      <c r="A924" s="28"/>
      <c r="B924" s="28"/>
    </row>
    <row r="925">
      <c r="A925" s="28"/>
      <c r="B925" s="28"/>
    </row>
    <row r="926">
      <c r="A926" s="28"/>
      <c r="B926" s="28"/>
    </row>
    <row r="927">
      <c r="A927" s="28"/>
      <c r="B927" s="28"/>
    </row>
    <row r="928">
      <c r="A928" s="28"/>
      <c r="B928" s="28"/>
    </row>
    <row r="929">
      <c r="A929" s="28"/>
      <c r="B929" s="28"/>
    </row>
    <row r="930">
      <c r="A930" s="28"/>
      <c r="B930" s="28"/>
    </row>
    <row r="931">
      <c r="A931" s="28"/>
      <c r="B931" s="28"/>
    </row>
    <row r="932">
      <c r="A932" s="28"/>
      <c r="B932" s="28"/>
    </row>
    <row r="933">
      <c r="A933" s="28"/>
      <c r="B933" s="28"/>
    </row>
    <row r="934">
      <c r="A934" s="28"/>
      <c r="B934" s="28"/>
    </row>
    <row r="935">
      <c r="A935" s="28"/>
      <c r="B935" s="28"/>
    </row>
    <row r="936">
      <c r="A936" s="28"/>
      <c r="B936" s="28"/>
    </row>
    <row r="937">
      <c r="A937" s="28"/>
      <c r="B937" s="28"/>
    </row>
    <row r="938">
      <c r="A938" s="28"/>
      <c r="B938" s="28"/>
    </row>
    <row r="939">
      <c r="A939" s="28"/>
      <c r="B939" s="28"/>
    </row>
    <row r="940">
      <c r="A940" s="28"/>
      <c r="B940" s="28"/>
    </row>
    <row r="941">
      <c r="A941" s="28"/>
      <c r="B941" s="28"/>
    </row>
    <row r="942">
      <c r="A942" s="28"/>
      <c r="B942" s="28"/>
    </row>
    <row r="943">
      <c r="A943" s="28"/>
      <c r="B943" s="28"/>
    </row>
    <row r="944">
      <c r="A944" s="28"/>
      <c r="B944" s="28"/>
    </row>
    <row r="945">
      <c r="A945" s="28"/>
      <c r="B945" s="28"/>
    </row>
    <row r="946">
      <c r="A946" s="28"/>
      <c r="B946" s="28"/>
    </row>
    <row r="947">
      <c r="A947" s="28"/>
      <c r="B947" s="28"/>
    </row>
    <row r="948">
      <c r="A948" s="28"/>
      <c r="B948" s="28"/>
    </row>
    <row r="949">
      <c r="A949" s="28"/>
      <c r="B949" s="28"/>
    </row>
    <row r="950">
      <c r="A950" s="28"/>
      <c r="B950" s="28"/>
    </row>
    <row r="951">
      <c r="A951" s="28"/>
      <c r="B951" s="28"/>
    </row>
    <row r="952">
      <c r="A952" s="28"/>
      <c r="B952" s="28"/>
    </row>
    <row r="953">
      <c r="A953" s="28"/>
      <c r="B953" s="28"/>
    </row>
    <row r="954">
      <c r="A954" s="28"/>
      <c r="B954" s="28"/>
    </row>
    <row r="955">
      <c r="A955" s="28"/>
      <c r="B955" s="28"/>
    </row>
    <row r="956">
      <c r="A956" s="28"/>
      <c r="B956" s="28"/>
    </row>
    <row r="957">
      <c r="A957" s="28"/>
      <c r="B957" s="28"/>
    </row>
    <row r="958">
      <c r="A958" s="28"/>
      <c r="B958" s="28"/>
    </row>
    <row r="959">
      <c r="A959" s="28"/>
      <c r="B959" s="28"/>
    </row>
    <row r="960">
      <c r="A960" s="28"/>
      <c r="B960" s="28"/>
    </row>
    <row r="961">
      <c r="A961" s="28"/>
      <c r="B961" s="28"/>
    </row>
    <row r="962">
      <c r="A962" s="28"/>
      <c r="B962" s="28"/>
    </row>
    <row r="963">
      <c r="A963" s="28"/>
      <c r="B963" s="28"/>
    </row>
    <row r="964">
      <c r="A964" s="28"/>
      <c r="B964" s="28"/>
    </row>
    <row r="965">
      <c r="A965" s="28"/>
      <c r="B965" s="28"/>
    </row>
    <row r="966">
      <c r="A966" s="28"/>
      <c r="B966" s="28"/>
    </row>
    <row r="967">
      <c r="A967" s="28"/>
      <c r="B967" s="28"/>
    </row>
    <row r="968">
      <c r="A968" s="28"/>
      <c r="B968" s="28"/>
    </row>
    <row r="969">
      <c r="A969" s="28"/>
      <c r="B969" s="28"/>
    </row>
    <row r="970">
      <c r="A970" s="28"/>
      <c r="B970" s="28"/>
    </row>
    <row r="971">
      <c r="A971" s="28"/>
      <c r="B971" s="28"/>
    </row>
    <row r="972">
      <c r="A972" s="28"/>
      <c r="B972" s="28"/>
    </row>
    <row r="973">
      <c r="A973" s="28"/>
      <c r="B973" s="28"/>
    </row>
    <row r="974">
      <c r="A974" s="28"/>
      <c r="B974" s="28"/>
    </row>
    <row r="975">
      <c r="A975" s="28"/>
      <c r="B975" s="28"/>
    </row>
    <row r="976">
      <c r="A976" s="28"/>
      <c r="B976" s="28"/>
    </row>
    <row r="977">
      <c r="A977" s="28"/>
      <c r="B977" s="28"/>
    </row>
    <row r="978">
      <c r="A978" s="28"/>
      <c r="B978" s="28"/>
    </row>
    <row r="979">
      <c r="A979" s="28"/>
      <c r="B979" s="28"/>
    </row>
    <row r="980">
      <c r="A980" s="28"/>
      <c r="B980" s="28"/>
    </row>
    <row r="981">
      <c r="A981" s="28"/>
      <c r="B981" s="28"/>
    </row>
    <row r="982">
      <c r="A982" s="28"/>
      <c r="B982" s="28"/>
    </row>
    <row r="983">
      <c r="A983" s="28"/>
      <c r="B983" s="28"/>
    </row>
    <row r="984">
      <c r="A984" s="28"/>
      <c r="B984" s="28"/>
    </row>
    <row r="985">
      <c r="A985" s="28"/>
      <c r="B985" s="28"/>
    </row>
    <row r="986">
      <c r="A986" s="28"/>
      <c r="B986" s="28"/>
    </row>
    <row r="987">
      <c r="A987" s="28"/>
      <c r="B987" s="28"/>
    </row>
    <row r="988">
      <c r="A988" s="28"/>
      <c r="B988" s="28"/>
    </row>
    <row r="989">
      <c r="A989" s="28"/>
      <c r="B989" s="28"/>
    </row>
    <row r="990">
      <c r="A990" s="28"/>
      <c r="B990" s="28"/>
    </row>
    <row r="991">
      <c r="A991" s="28"/>
      <c r="B991" s="28"/>
    </row>
    <row r="992">
      <c r="A992" s="28"/>
      <c r="B992" s="28"/>
    </row>
    <row r="993">
      <c r="A993" s="28"/>
      <c r="B993" s="28"/>
    </row>
    <row r="994">
      <c r="A994" s="28"/>
      <c r="B994" s="28"/>
    </row>
    <row r="995">
      <c r="A995" s="28"/>
      <c r="B995" s="28"/>
    </row>
    <row r="996">
      <c r="A996" s="28"/>
      <c r="B996" s="28"/>
    </row>
    <row r="997">
      <c r="A997" s="28"/>
      <c r="B997" s="28"/>
    </row>
    <row r="998">
      <c r="A998" s="28"/>
      <c r="B998" s="28"/>
    </row>
    <row r="999">
      <c r="A999" s="28"/>
      <c r="B999" s="28"/>
    </row>
    <row r="1000">
      <c r="A1000" s="28"/>
      <c r="B1000" s="28"/>
    </row>
    <row r="1001">
      <c r="A1001" s="28"/>
      <c r="B1001" s="28"/>
    </row>
    <row r="1002">
      <c r="A1002" s="28"/>
      <c r="B1002" s="28"/>
    </row>
    <row r="1003">
      <c r="A1003" s="28"/>
      <c r="B1003" s="28"/>
    </row>
    <row r="1004">
      <c r="A1004" s="28"/>
      <c r="B1004" s="28"/>
    </row>
    <row r="1005">
      <c r="A1005" s="28"/>
      <c r="B1005" s="28"/>
    </row>
    <row r="1006">
      <c r="A1006" s="28"/>
      <c r="B1006" s="28"/>
    </row>
    <row r="1007">
      <c r="A1007" s="28"/>
      <c r="B1007" s="28"/>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3.75"/>
    <col customWidth="1" min="2" max="2" width="36.63"/>
    <col customWidth="1" min="4" max="4" width="21.88"/>
    <col customWidth="1" min="5" max="5" width="23.0"/>
    <col customWidth="1" min="6" max="6" width="0.38"/>
    <col customWidth="1" min="7" max="7" width="93.0"/>
    <col customWidth="1" min="8" max="8" width="19.0"/>
    <col customWidth="1" min="9" max="9" width="10.75"/>
    <col customWidth="1" min="13" max="13" width="62.75"/>
    <col customWidth="1" min="15" max="15" width="25.75"/>
    <col customWidth="1" min="17" max="17" width="40.5"/>
    <col customWidth="1" min="18" max="18" width="59.0"/>
    <col customWidth="1" min="19" max="20" width="40.5"/>
    <col customWidth="1" min="21" max="21" width="30.25"/>
  </cols>
  <sheetData>
    <row r="1">
      <c r="A1" s="30" t="s">
        <v>0</v>
      </c>
      <c r="B1" s="30" t="s">
        <v>108</v>
      </c>
      <c r="C1" s="31" t="s">
        <v>109</v>
      </c>
      <c r="D1" s="32" t="s">
        <v>4</v>
      </c>
      <c r="E1" s="33" t="s">
        <v>5</v>
      </c>
      <c r="F1" s="33" t="s">
        <v>6</v>
      </c>
      <c r="G1" s="34" t="s">
        <v>7</v>
      </c>
      <c r="H1" s="32" t="s">
        <v>8</v>
      </c>
      <c r="I1" s="35" t="s">
        <v>110</v>
      </c>
      <c r="J1" s="35" t="s">
        <v>111</v>
      </c>
      <c r="K1" s="31" t="s">
        <v>112</v>
      </c>
      <c r="L1" s="31" t="str">
        <f> "Last Column " &amp; Checks!$D$4</f>
        <v>Last Column L</v>
      </c>
      <c r="M1" s="36"/>
      <c r="N1" s="37"/>
      <c r="O1" s="38" t="s">
        <v>113</v>
      </c>
      <c r="Q1" s="39" t="s">
        <v>4</v>
      </c>
      <c r="R1" s="40" t="s">
        <v>5</v>
      </c>
      <c r="S1" s="40" t="s">
        <v>6</v>
      </c>
      <c r="T1" s="37"/>
      <c r="U1" s="37"/>
      <c r="V1" s="37"/>
      <c r="W1" s="37"/>
      <c r="X1" s="37"/>
      <c r="Y1" s="37"/>
      <c r="Z1" s="37"/>
      <c r="AA1" s="37"/>
      <c r="AB1" s="37"/>
      <c r="AC1" s="37"/>
      <c r="AD1" s="37"/>
      <c r="AE1" s="37"/>
      <c r="AF1" s="37"/>
      <c r="AG1" s="37"/>
      <c r="AH1" s="37"/>
      <c r="AI1" s="37"/>
      <c r="AJ1" s="37"/>
      <c r="AK1" s="37"/>
    </row>
    <row r="2">
      <c r="A2" s="10" t="s">
        <v>101</v>
      </c>
      <c r="B2" s="41" t="s">
        <v>114</v>
      </c>
      <c r="C2" s="29"/>
      <c r="D2" s="10" t="s">
        <v>114</v>
      </c>
      <c r="E2" s="10" t="s">
        <v>114</v>
      </c>
      <c r="F2" s="10" t="s">
        <v>114</v>
      </c>
      <c r="G2" s="42"/>
      <c r="H2" s="10" t="s">
        <v>115</v>
      </c>
      <c r="I2" s="12">
        <v>0.0</v>
      </c>
      <c r="J2" s="12">
        <v>0.0</v>
      </c>
      <c r="K2" s="29">
        <f t="shared" ref="K2:K20" si="1">I2</f>
        <v>0</v>
      </c>
      <c r="L2" s="29"/>
      <c r="M2" s="26"/>
    </row>
    <row r="3">
      <c r="A3" s="10" t="s">
        <v>101</v>
      </c>
      <c r="B3" s="41" t="s">
        <v>116</v>
      </c>
      <c r="C3" s="29"/>
      <c r="D3" s="10" t="s">
        <v>116</v>
      </c>
      <c r="E3" s="10" t="s">
        <v>116</v>
      </c>
      <c r="F3" s="10" t="s">
        <v>116</v>
      </c>
      <c r="G3" s="42"/>
      <c r="H3" s="10" t="s">
        <v>117</v>
      </c>
      <c r="I3" s="12">
        <v>0.0</v>
      </c>
      <c r="J3" s="12">
        <v>0.0</v>
      </c>
      <c r="K3" s="29">
        <f t="shared" si="1"/>
        <v>0</v>
      </c>
      <c r="L3" s="29"/>
      <c r="M3" s="26"/>
    </row>
    <row r="4">
      <c r="A4" s="10" t="s">
        <v>101</v>
      </c>
      <c r="B4" s="41" t="s">
        <v>118</v>
      </c>
      <c r="C4" s="29"/>
      <c r="D4" s="10" t="s">
        <v>118</v>
      </c>
      <c r="E4" s="10" t="s">
        <v>118</v>
      </c>
      <c r="F4" s="10" t="s">
        <v>118</v>
      </c>
      <c r="G4" s="42"/>
      <c r="H4" s="10" t="s">
        <v>119</v>
      </c>
      <c r="I4" s="12">
        <v>0.0</v>
      </c>
      <c r="J4" s="12">
        <v>0.0</v>
      </c>
      <c r="K4" s="29">
        <f t="shared" si="1"/>
        <v>0</v>
      </c>
      <c r="L4" s="29"/>
      <c r="M4" s="26"/>
    </row>
    <row r="5">
      <c r="A5" s="43" t="s">
        <v>24</v>
      </c>
      <c r="B5" s="41" t="s">
        <v>120</v>
      </c>
      <c r="C5" s="29">
        <v>4063.0</v>
      </c>
      <c r="D5" s="10" t="s">
        <v>121</v>
      </c>
      <c r="E5" s="10" t="s">
        <v>121</v>
      </c>
      <c r="F5" s="10" t="s">
        <v>122</v>
      </c>
      <c r="G5" s="42" t="s">
        <v>123</v>
      </c>
      <c r="H5" s="10" t="s">
        <v>124</v>
      </c>
      <c r="I5" s="12">
        <v>650.0</v>
      </c>
      <c r="J5" s="12">
        <v>650.0</v>
      </c>
      <c r="K5" s="29">
        <f t="shared" si="1"/>
        <v>650</v>
      </c>
      <c r="M5" s="44" t="str">
        <f t="shared" ref="M5:M11" si="2">"https://millwest.com/product-category/" &amp; lower(A5) &amp; "-collections/"&amp;H5&amp;"/"</f>
        <v>https://millwest.com/product-category/bedroom-collections/armoires/</v>
      </c>
      <c r="O5" s="20" t="str">
        <f t="shared" ref="O5:O20" si="3">D5</f>
        <v>Amish Solid Wood Armoires</v>
      </c>
    </row>
    <row r="6">
      <c r="A6" s="43" t="s">
        <v>24</v>
      </c>
      <c r="B6" s="41" t="s">
        <v>125</v>
      </c>
      <c r="C6" s="29">
        <v>451.0</v>
      </c>
      <c r="D6" s="10" t="s">
        <v>126</v>
      </c>
      <c r="E6" s="10" t="s">
        <v>126</v>
      </c>
      <c r="F6" s="10" t="s">
        <v>127</v>
      </c>
      <c r="G6" s="42" t="s">
        <v>128</v>
      </c>
      <c r="H6" s="10" t="s">
        <v>129</v>
      </c>
      <c r="I6" s="12">
        <v>475.0</v>
      </c>
      <c r="J6" s="12">
        <v>475.0</v>
      </c>
      <c r="K6" s="29">
        <f t="shared" si="1"/>
        <v>475</v>
      </c>
      <c r="M6" s="44" t="str">
        <f t="shared" si="2"/>
        <v>https://millwest.com/product-category/bedroom-collections/beds/</v>
      </c>
      <c r="O6" s="20" t="str">
        <f t="shared" si="3"/>
        <v>Amish Solid Wood Beds</v>
      </c>
    </row>
    <row r="7">
      <c r="A7" s="41" t="s">
        <v>24</v>
      </c>
      <c r="B7" s="41" t="s">
        <v>130</v>
      </c>
      <c r="C7" s="29">
        <v>4241.0</v>
      </c>
      <c r="D7" s="10" t="s">
        <v>131</v>
      </c>
      <c r="E7" s="10" t="s">
        <v>131</v>
      </c>
      <c r="F7" s="10" t="s">
        <v>132</v>
      </c>
      <c r="G7" s="42" t="s">
        <v>133</v>
      </c>
      <c r="H7" s="10" t="s">
        <v>134</v>
      </c>
      <c r="I7" s="12">
        <v>300.0</v>
      </c>
      <c r="J7" s="12">
        <v>300.0</v>
      </c>
      <c r="K7" s="29">
        <f t="shared" si="1"/>
        <v>300</v>
      </c>
      <c r="M7" s="44" t="str">
        <f t="shared" si="2"/>
        <v>https://millwest.com/product-category/bedroom-collections/benches/</v>
      </c>
      <c r="O7" s="20" t="str">
        <f t="shared" si="3"/>
        <v>Amish Solid Wood Bedroom Benches</v>
      </c>
    </row>
    <row r="8">
      <c r="A8" s="43" t="s">
        <v>24</v>
      </c>
      <c r="B8" s="41" t="s">
        <v>135</v>
      </c>
      <c r="C8" s="29">
        <v>6947.0</v>
      </c>
      <c r="D8" s="10" t="s">
        <v>136</v>
      </c>
      <c r="E8" s="10" t="s">
        <v>136</v>
      </c>
      <c r="F8" s="10" t="s">
        <v>137</v>
      </c>
      <c r="G8" s="42" t="s">
        <v>138</v>
      </c>
      <c r="H8" s="10" t="s">
        <v>139</v>
      </c>
      <c r="I8" s="12">
        <v>450.0</v>
      </c>
      <c r="J8" s="12">
        <v>450.0</v>
      </c>
      <c r="K8" s="29">
        <f t="shared" si="1"/>
        <v>450</v>
      </c>
      <c r="M8" s="44" t="str">
        <f t="shared" si="2"/>
        <v>https://millwest.com/product-category/bedroom-collections/chests/</v>
      </c>
      <c r="O8" s="20" t="str">
        <f t="shared" si="3"/>
        <v>Amish Solid Wood Chests</v>
      </c>
    </row>
    <row r="9">
      <c r="A9" s="43" t="s">
        <v>24</v>
      </c>
      <c r="B9" s="41" t="s">
        <v>140</v>
      </c>
      <c r="C9" s="29">
        <v>6947.0</v>
      </c>
      <c r="D9" s="10" t="s">
        <v>141</v>
      </c>
      <c r="E9" s="10" t="s">
        <v>141</v>
      </c>
      <c r="F9" s="10" t="s">
        <v>142</v>
      </c>
      <c r="G9" s="42" t="s">
        <v>143</v>
      </c>
      <c r="H9" s="10" t="s">
        <v>139</v>
      </c>
      <c r="I9" s="12">
        <v>550.0</v>
      </c>
      <c r="J9" s="12">
        <v>550.0</v>
      </c>
      <c r="K9" s="29">
        <f t="shared" si="1"/>
        <v>550</v>
      </c>
      <c r="M9" s="44" t="str">
        <f t="shared" si="2"/>
        <v>https://millwest.com/product-category/bedroom-collections/chests/</v>
      </c>
      <c r="O9" s="20" t="str">
        <f t="shared" si="3"/>
        <v>Amish Solid Wood Chest on Chests</v>
      </c>
    </row>
    <row r="10">
      <c r="A10" s="43" t="s">
        <v>24</v>
      </c>
      <c r="B10" s="41" t="s">
        <v>144</v>
      </c>
      <c r="C10" s="29">
        <v>451.0</v>
      </c>
      <c r="D10" s="10" t="s">
        <v>145</v>
      </c>
      <c r="E10" s="10" t="s">
        <v>145</v>
      </c>
      <c r="F10" s="10" t="s">
        <v>146</v>
      </c>
      <c r="G10" s="42" t="s">
        <v>147</v>
      </c>
      <c r="H10" s="10" t="s">
        <v>129</v>
      </c>
      <c r="I10" s="12">
        <v>475.0</v>
      </c>
      <c r="J10" s="12">
        <v>475.0</v>
      </c>
      <c r="K10" s="29">
        <f t="shared" si="1"/>
        <v>475</v>
      </c>
      <c r="M10" s="44" t="str">
        <f t="shared" si="2"/>
        <v>https://millwest.com/product-category/bedroom-collections/beds/</v>
      </c>
      <c r="O10" s="20" t="str">
        <f t="shared" si="3"/>
        <v>Amish Solid Wood Day Beds</v>
      </c>
    </row>
    <row r="11">
      <c r="A11" s="43" t="s">
        <v>24</v>
      </c>
      <c r="B11" s="41" t="s">
        <v>148</v>
      </c>
      <c r="C11" s="29">
        <v>4195.0</v>
      </c>
      <c r="D11" s="10" t="s">
        <v>149</v>
      </c>
      <c r="E11" s="10" t="s">
        <v>149</v>
      </c>
      <c r="F11" s="10" t="s">
        <v>150</v>
      </c>
      <c r="G11" s="42" t="s">
        <v>151</v>
      </c>
      <c r="H11" s="10" t="s">
        <v>152</v>
      </c>
      <c r="I11" s="12">
        <v>525.0</v>
      </c>
      <c r="J11" s="12">
        <v>525.0</v>
      </c>
      <c r="K11" s="29">
        <f t="shared" si="1"/>
        <v>525</v>
      </c>
      <c r="M11" s="44" t="str">
        <f t="shared" si="2"/>
        <v>https://millwest.com/product-category/bedroom-collections/dressers/</v>
      </c>
      <c r="O11" s="20" t="str">
        <f t="shared" si="3"/>
        <v>Amish Solid Wood Dressers</v>
      </c>
    </row>
    <row r="12">
      <c r="A12" s="43" t="s">
        <v>24</v>
      </c>
      <c r="B12" s="41" t="s">
        <v>153</v>
      </c>
      <c r="C12" s="29">
        <v>595.0</v>
      </c>
      <c r="D12" s="10" t="s">
        <v>154</v>
      </c>
      <c r="E12" s="10" t="s">
        <v>154</v>
      </c>
      <c r="F12" s="10" t="s">
        <v>155</v>
      </c>
      <c r="G12" s="42" t="s">
        <v>156</v>
      </c>
      <c r="H12" s="10" t="s">
        <v>157</v>
      </c>
      <c r="I12" s="12">
        <v>300.0</v>
      </c>
      <c r="J12" s="12">
        <v>300.0</v>
      </c>
      <c r="K12" s="29">
        <f t="shared" si="1"/>
        <v>300</v>
      </c>
      <c r="M12" s="45" t="s">
        <v>158</v>
      </c>
      <c r="O12" s="20" t="str">
        <f t="shared" si="3"/>
        <v>Amish Solid Wood Jewelry Mirrors</v>
      </c>
    </row>
    <row r="13">
      <c r="A13" s="43" t="s">
        <v>24</v>
      </c>
      <c r="B13" s="41" t="s">
        <v>159</v>
      </c>
      <c r="C13" s="29">
        <v>4205.0</v>
      </c>
      <c r="D13" s="10" t="s">
        <v>160</v>
      </c>
      <c r="E13" s="10" t="s">
        <v>160</v>
      </c>
      <c r="F13" s="10" t="s">
        <v>161</v>
      </c>
      <c r="G13" s="42" t="s">
        <v>162</v>
      </c>
      <c r="H13" s="10" t="s">
        <v>163</v>
      </c>
      <c r="I13" s="12">
        <v>300.0</v>
      </c>
      <c r="J13" s="12">
        <v>300.0</v>
      </c>
      <c r="K13" s="29">
        <f t="shared" si="1"/>
        <v>300</v>
      </c>
      <c r="M13" s="44" t="str">
        <f t="shared" ref="M13:M20" si="4">"https://millwest.com/product-category/" &amp; lower(A13) &amp; "-collections/"&amp;H13&amp;"/"</f>
        <v>https://millwest.com/product-category/bedroom-collections/lingerie-chests/</v>
      </c>
      <c r="O13" s="20" t="str">
        <f t="shared" si="3"/>
        <v>Amish Solid Wood Lingerie Chests</v>
      </c>
    </row>
    <row r="14">
      <c r="A14" s="43" t="s">
        <v>24</v>
      </c>
      <c r="B14" s="41" t="s">
        <v>164</v>
      </c>
      <c r="C14" s="29">
        <v>595.0</v>
      </c>
      <c r="D14" s="10" t="s">
        <v>165</v>
      </c>
      <c r="E14" s="10" t="s">
        <v>165</v>
      </c>
      <c r="F14" s="10" t="s">
        <v>166</v>
      </c>
      <c r="G14" s="42" t="s">
        <v>167</v>
      </c>
      <c r="H14" s="10" t="s">
        <v>168</v>
      </c>
      <c r="I14" s="12">
        <v>75.0</v>
      </c>
      <c r="J14" s="12">
        <v>75.0</v>
      </c>
      <c r="K14" s="29">
        <f t="shared" si="1"/>
        <v>75</v>
      </c>
      <c r="M14" s="44" t="str">
        <f t="shared" si="4"/>
        <v>https://millwest.com/product-category/bedroom-collections/mirrors/</v>
      </c>
      <c r="O14" s="20" t="str">
        <f t="shared" si="3"/>
        <v>Amish Solid Wood Mirrors</v>
      </c>
    </row>
    <row r="15">
      <c r="A15" s="43" t="s">
        <v>24</v>
      </c>
      <c r="B15" s="41" t="s">
        <v>169</v>
      </c>
      <c r="C15" s="29">
        <v>462.0</v>
      </c>
      <c r="D15" s="10" t="s">
        <v>170</v>
      </c>
      <c r="E15" s="10" t="s">
        <v>170</v>
      </c>
      <c r="F15" s="10" t="s">
        <v>171</v>
      </c>
      <c r="G15" s="42" t="s">
        <v>172</v>
      </c>
      <c r="H15" s="10" t="s">
        <v>173</v>
      </c>
      <c r="I15" s="12">
        <v>175.0</v>
      </c>
      <c r="J15" s="12">
        <v>175.0</v>
      </c>
      <c r="K15" s="29">
        <f t="shared" si="1"/>
        <v>175</v>
      </c>
      <c r="M15" s="44" t="str">
        <f t="shared" si="4"/>
        <v>https://millwest.com/product-category/bedroom-collections/nightstands/</v>
      </c>
      <c r="O15" s="20" t="str">
        <f t="shared" si="3"/>
        <v>Amish Solid Wood Nightstands</v>
      </c>
    </row>
    <row r="16">
      <c r="A16" s="46" t="s">
        <v>41</v>
      </c>
      <c r="B16" s="47" t="s">
        <v>174</v>
      </c>
      <c r="C16" s="29">
        <v>1463.0</v>
      </c>
      <c r="D16" s="10" t="s">
        <v>175</v>
      </c>
      <c r="E16" s="10" t="s">
        <v>175</v>
      </c>
      <c r="F16" s="10" t="s">
        <v>176</v>
      </c>
      <c r="G16" s="48" t="s">
        <v>177</v>
      </c>
      <c r="H16" s="10" t="s">
        <v>178</v>
      </c>
      <c r="I16" s="12">
        <v>60.0</v>
      </c>
      <c r="J16" s="12">
        <v>60.0</v>
      </c>
      <c r="K16" s="29">
        <f t="shared" si="1"/>
        <v>60</v>
      </c>
      <c r="M16" s="44" t="str">
        <f t="shared" si="4"/>
        <v>https://millwest.com/product-category/dining-collections/bar-chairs/</v>
      </c>
      <c r="O16" s="20" t="str">
        <f t="shared" si="3"/>
        <v>Amish Solid Wood Dining Bar Chairs</v>
      </c>
    </row>
    <row r="17">
      <c r="A17" s="46" t="s">
        <v>41</v>
      </c>
      <c r="B17" s="47" t="s">
        <v>179</v>
      </c>
      <c r="C17" s="29">
        <v>1463.0</v>
      </c>
      <c r="D17" s="10" t="s">
        <v>180</v>
      </c>
      <c r="E17" s="10" t="s">
        <v>180</v>
      </c>
      <c r="F17" s="10" t="s">
        <v>181</v>
      </c>
      <c r="G17" s="48" t="s">
        <v>182</v>
      </c>
      <c r="H17" s="10" t="s">
        <v>183</v>
      </c>
      <c r="I17" s="12">
        <v>60.0</v>
      </c>
      <c r="J17" s="12">
        <v>60.0</v>
      </c>
      <c r="K17" s="29">
        <f t="shared" si="1"/>
        <v>60</v>
      </c>
      <c r="M17" s="44" t="str">
        <f t="shared" si="4"/>
        <v>https://millwest.com/product-category/dining-collections/bar-stools/</v>
      </c>
      <c r="O17" s="20" t="str">
        <f t="shared" si="3"/>
        <v>Amish Solid Wood Dining Bar Stools</v>
      </c>
    </row>
    <row r="18">
      <c r="A18" s="46" t="s">
        <v>41</v>
      </c>
      <c r="B18" s="49" t="s">
        <v>130</v>
      </c>
      <c r="C18" s="13">
        <v>6850.0</v>
      </c>
      <c r="D18" s="10" t="s">
        <v>184</v>
      </c>
      <c r="E18" s="10" t="s">
        <v>184</v>
      </c>
      <c r="F18" s="10" t="s">
        <v>185</v>
      </c>
      <c r="G18" s="48" t="s">
        <v>186</v>
      </c>
      <c r="H18" s="10" t="s">
        <v>134</v>
      </c>
      <c r="I18" s="12">
        <v>120.0</v>
      </c>
      <c r="J18" s="12">
        <v>120.0</v>
      </c>
      <c r="K18" s="29">
        <f t="shared" si="1"/>
        <v>120</v>
      </c>
      <c r="M18" s="44" t="str">
        <f t="shared" si="4"/>
        <v>https://millwest.com/product-category/dining-collections/benches/</v>
      </c>
      <c r="O18" s="20" t="str">
        <f t="shared" si="3"/>
        <v>Amish Solid Wood Dining Benches</v>
      </c>
    </row>
    <row r="19">
      <c r="A19" s="46" t="s">
        <v>41</v>
      </c>
      <c r="B19" s="47" t="s">
        <v>187</v>
      </c>
      <c r="C19" s="29">
        <v>447.0</v>
      </c>
      <c r="D19" s="10" t="s">
        <v>188</v>
      </c>
      <c r="E19" s="10" t="s">
        <v>188</v>
      </c>
      <c r="F19" s="10" t="s">
        <v>189</v>
      </c>
      <c r="G19" s="42" t="s">
        <v>190</v>
      </c>
      <c r="H19" s="10" t="s">
        <v>191</v>
      </c>
      <c r="I19" s="12">
        <v>400.0</v>
      </c>
      <c r="J19" s="12">
        <v>400.0</v>
      </c>
      <c r="K19" s="29">
        <f t="shared" si="1"/>
        <v>400</v>
      </c>
      <c r="M19" s="44" t="str">
        <f t="shared" si="4"/>
        <v>https://millwest.com/product-category/dining-collections/buffets/</v>
      </c>
      <c r="O19" s="20" t="str">
        <f t="shared" si="3"/>
        <v>Amish Solid Wood Buffets</v>
      </c>
    </row>
    <row r="20">
      <c r="A20" s="46" t="s">
        <v>41</v>
      </c>
      <c r="B20" s="47" t="s">
        <v>192</v>
      </c>
      <c r="C20" s="29">
        <v>5886.0</v>
      </c>
      <c r="D20" s="10" t="s">
        <v>193</v>
      </c>
      <c r="E20" s="10" t="s">
        <v>193</v>
      </c>
      <c r="F20" s="10" t="s">
        <v>194</v>
      </c>
      <c r="G20" s="48" t="s">
        <v>195</v>
      </c>
      <c r="H20" s="10" t="s">
        <v>196</v>
      </c>
      <c r="I20" s="12">
        <v>60.0</v>
      </c>
      <c r="J20" s="12">
        <v>60.0</v>
      </c>
      <c r="K20" s="29">
        <f t="shared" si="1"/>
        <v>60</v>
      </c>
      <c r="M20" s="44" t="str">
        <f t="shared" si="4"/>
        <v>https://millwest.com/product-category/dining-collections/chairs/</v>
      </c>
      <c r="O20" s="20" t="str">
        <f t="shared" si="3"/>
        <v>Amish Solid Wood Dining Chairs</v>
      </c>
    </row>
    <row r="21">
      <c r="A21" s="46" t="s">
        <v>41</v>
      </c>
      <c r="B21" s="49" t="s">
        <v>197</v>
      </c>
      <c r="C21" s="29">
        <v>448.0</v>
      </c>
      <c r="D21" s="10" t="s">
        <v>198</v>
      </c>
      <c r="E21" s="10" t="s">
        <v>198</v>
      </c>
      <c r="F21" s="13" t="s">
        <v>199</v>
      </c>
      <c r="G21" s="42" t="s">
        <v>200</v>
      </c>
      <c r="H21" s="10" t="s">
        <v>201</v>
      </c>
      <c r="I21" s="12">
        <v>400.0</v>
      </c>
      <c r="J21" s="12">
        <v>400.0</v>
      </c>
      <c r="K21" s="29">
        <v>400.0</v>
      </c>
      <c r="M21" s="19"/>
    </row>
    <row r="22">
      <c r="A22" s="46" t="s">
        <v>41</v>
      </c>
      <c r="B22" s="47" t="s">
        <v>202</v>
      </c>
      <c r="C22" s="29">
        <v>447.0</v>
      </c>
      <c r="D22" s="10" t="s">
        <v>202</v>
      </c>
      <c r="E22" s="10" t="s">
        <v>202</v>
      </c>
      <c r="F22" s="10" t="s">
        <v>202</v>
      </c>
      <c r="G22" s="50"/>
      <c r="H22" s="10" t="s">
        <v>203</v>
      </c>
      <c r="I22" s="12">
        <v>200.0</v>
      </c>
      <c r="J22" s="12">
        <v>200.0</v>
      </c>
      <c r="K22" s="29">
        <f t="shared" ref="K22:K56" si="5">I22</f>
        <v>200</v>
      </c>
      <c r="M22" s="44" t="str">
        <f t="shared" ref="M22:M32" si="6">"https://millwest.com/product-category/" &amp; lower(A22) &amp; "-collections/"&amp;H22&amp;"/"</f>
        <v>https://millwest.com/product-category/dining-collections/dry-sinks/</v>
      </c>
      <c r="O22" s="20" t="str">
        <f t="shared" ref="O22:O32" si="7">D22</f>
        <v>Dry Sinks</v>
      </c>
    </row>
    <row r="23">
      <c r="A23" s="46" t="s">
        <v>41</v>
      </c>
      <c r="B23" s="49" t="s">
        <v>204</v>
      </c>
      <c r="C23" s="13">
        <v>448.0</v>
      </c>
      <c r="D23" s="10" t="s">
        <v>205</v>
      </c>
      <c r="E23" s="10" t="s">
        <v>205</v>
      </c>
      <c r="F23" s="10" t="s">
        <v>206</v>
      </c>
      <c r="G23" s="42" t="s">
        <v>207</v>
      </c>
      <c r="H23" s="10" t="s">
        <v>208</v>
      </c>
      <c r="I23" s="12">
        <v>600.0</v>
      </c>
      <c r="J23" s="12">
        <v>600.0</v>
      </c>
      <c r="K23" s="29">
        <f t="shared" si="5"/>
        <v>600</v>
      </c>
      <c r="M23" s="44" t="str">
        <f t="shared" si="6"/>
        <v>https://millwest.com/product-category/dining-collections/hutches/</v>
      </c>
      <c r="O23" s="20" t="str">
        <f t="shared" si="7"/>
        <v>Amish Solid Wood Hutches</v>
      </c>
    </row>
    <row r="24">
      <c r="A24" s="46" t="s">
        <v>41</v>
      </c>
      <c r="B24" s="47" t="s">
        <v>209</v>
      </c>
      <c r="C24" s="29">
        <v>6374.0</v>
      </c>
      <c r="D24" s="10" t="s">
        <v>210</v>
      </c>
      <c r="E24" s="10" t="s">
        <v>210</v>
      </c>
      <c r="F24" s="10" t="s">
        <v>211</v>
      </c>
      <c r="G24" s="42" t="s">
        <v>212</v>
      </c>
      <c r="H24" s="10" t="s">
        <v>213</v>
      </c>
      <c r="I24" s="12">
        <v>525.0</v>
      </c>
      <c r="J24" s="12">
        <v>525.0</v>
      </c>
      <c r="K24" s="29">
        <f t="shared" si="5"/>
        <v>525</v>
      </c>
      <c r="M24" s="44" t="str">
        <f t="shared" si="6"/>
        <v>https://millwest.com/product-category/dining-collections/islands/</v>
      </c>
      <c r="O24" s="20" t="str">
        <f t="shared" si="7"/>
        <v>Amish Solid Wood Kitchen Islands</v>
      </c>
    </row>
    <row r="25">
      <c r="A25" s="46" t="s">
        <v>41</v>
      </c>
      <c r="B25" s="49" t="s">
        <v>214</v>
      </c>
      <c r="C25" s="29">
        <v>6934.0</v>
      </c>
      <c r="D25" s="10" t="s">
        <v>214</v>
      </c>
      <c r="E25" s="10" t="s">
        <v>214</v>
      </c>
      <c r="F25" s="10" t="s">
        <v>214</v>
      </c>
      <c r="G25" s="50"/>
      <c r="H25" s="10" t="s">
        <v>215</v>
      </c>
      <c r="I25" s="12">
        <v>300.0</v>
      </c>
      <c r="J25" s="12">
        <v>300.0</v>
      </c>
      <c r="K25" s="29">
        <f t="shared" si="5"/>
        <v>300</v>
      </c>
      <c r="M25" s="44" t="str">
        <f t="shared" si="6"/>
        <v>https://millwest.com/product-category/dining-collections/jelly-cabinets/</v>
      </c>
      <c r="O25" s="20" t="str">
        <f t="shared" si="7"/>
        <v>Jelly Cabinets</v>
      </c>
    </row>
    <row r="26">
      <c r="A26" s="46" t="s">
        <v>41</v>
      </c>
      <c r="B26" s="49" t="s">
        <v>216</v>
      </c>
      <c r="C26" s="29">
        <v>448.0</v>
      </c>
      <c r="D26" s="10" t="s">
        <v>216</v>
      </c>
      <c r="E26" s="10" t="s">
        <v>216</v>
      </c>
      <c r="F26" s="10" t="s">
        <v>216</v>
      </c>
      <c r="G26" s="50"/>
      <c r="H26" s="10" t="s">
        <v>217</v>
      </c>
      <c r="I26" s="12">
        <v>300.0</v>
      </c>
      <c r="J26" s="12">
        <v>300.0</v>
      </c>
      <c r="K26" s="29">
        <f t="shared" si="5"/>
        <v>300</v>
      </c>
      <c r="M26" s="44" t="str">
        <f t="shared" si="6"/>
        <v>https://millwest.com/product-category/dining-collections/pantries/</v>
      </c>
      <c r="O26" s="20" t="str">
        <f t="shared" si="7"/>
        <v>Pantries</v>
      </c>
    </row>
    <row r="27">
      <c r="A27" s="46" t="s">
        <v>41</v>
      </c>
      <c r="B27" s="47" t="s">
        <v>218</v>
      </c>
      <c r="C27" s="29">
        <v>6934.0</v>
      </c>
      <c r="D27" s="10" t="s">
        <v>218</v>
      </c>
      <c r="E27" s="10" t="s">
        <v>218</v>
      </c>
      <c r="F27" s="10" t="s">
        <v>218</v>
      </c>
      <c r="G27" s="50"/>
      <c r="H27" s="10" t="s">
        <v>219</v>
      </c>
      <c r="I27" s="12">
        <v>300.0</v>
      </c>
      <c r="J27" s="12">
        <v>300.0</v>
      </c>
      <c r="K27" s="29">
        <f t="shared" si="5"/>
        <v>300</v>
      </c>
      <c r="M27" s="44" t="str">
        <f t="shared" si="6"/>
        <v>https://millwest.com/product-category/dining-collections/pie-safes/</v>
      </c>
      <c r="O27" s="20" t="str">
        <f t="shared" si="7"/>
        <v>Pie Safes</v>
      </c>
    </row>
    <row r="28">
      <c r="A28" s="46" t="s">
        <v>41</v>
      </c>
      <c r="B28" s="47" t="s">
        <v>220</v>
      </c>
      <c r="C28" s="29">
        <v>447.0</v>
      </c>
      <c r="D28" s="10" t="s">
        <v>221</v>
      </c>
      <c r="E28" s="10" t="s">
        <v>221</v>
      </c>
      <c r="F28" s="10" t="s">
        <v>222</v>
      </c>
      <c r="G28" s="42" t="s">
        <v>223</v>
      </c>
      <c r="H28" s="10" t="s">
        <v>224</v>
      </c>
      <c r="I28" s="12">
        <v>400.0</v>
      </c>
      <c r="J28" s="12">
        <v>400.0</v>
      </c>
      <c r="K28" s="29">
        <f t="shared" si="5"/>
        <v>400</v>
      </c>
      <c r="M28" s="44" t="str">
        <f t="shared" si="6"/>
        <v>https://millwest.com/product-category/dining-collections/servers/</v>
      </c>
      <c r="O28" s="20" t="str">
        <f t="shared" si="7"/>
        <v>Amish Solid Wood Servers</v>
      </c>
    </row>
    <row r="29">
      <c r="A29" s="46" t="s">
        <v>41</v>
      </c>
      <c r="B29" s="47" t="s">
        <v>225</v>
      </c>
      <c r="C29" s="29">
        <v>2684.0</v>
      </c>
      <c r="D29" s="10" t="s">
        <v>226</v>
      </c>
      <c r="E29" s="10" t="s">
        <v>226</v>
      </c>
      <c r="F29" s="10" t="s">
        <v>227</v>
      </c>
      <c r="G29" s="48" t="s">
        <v>228</v>
      </c>
      <c r="H29" s="10" t="s">
        <v>229</v>
      </c>
      <c r="I29" s="12">
        <v>375.0</v>
      </c>
      <c r="J29" s="12">
        <v>375.0</v>
      </c>
      <c r="K29" s="29">
        <f t="shared" si="5"/>
        <v>375</v>
      </c>
      <c r="M29" s="44" t="str">
        <f t="shared" si="6"/>
        <v>https://millwest.com/product-category/dining-collections/tables/</v>
      </c>
      <c r="O29" s="20" t="str">
        <f t="shared" si="7"/>
        <v>Amish Solid Wood Dining Tables</v>
      </c>
    </row>
    <row r="30">
      <c r="A30" s="46" t="s">
        <v>41</v>
      </c>
      <c r="B30" s="47" t="s">
        <v>230</v>
      </c>
      <c r="C30" s="29">
        <v>637.0</v>
      </c>
      <c r="D30" s="10" t="s">
        <v>230</v>
      </c>
      <c r="E30" s="10" t="s">
        <v>230</v>
      </c>
      <c r="F30" s="10" t="s">
        <v>230</v>
      </c>
      <c r="G30" s="50"/>
      <c r="H30" s="10" t="s">
        <v>231</v>
      </c>
      <c r="I30" s="12">
        <v>200.0</v>
      </c>
      <c r="J30" s="12">
        <v>200.0</v>
      </c>
      <c r="K30" s="29">
        <f t="shared" si="5"/>
        <v>200</v>
      </c>
      <c r="M30" s="44" t="str">
        <f t="shared" si="6"/>
        <v>https://millwest.com/product-category/dining-collections/trash-bins/</v>
      </c>
      <c r="O30" s="20" t="str">
        <f t="shared" si="7"/>
        <v>Trash Bins</v>
      </c>
    </row>
    <row r="31">
      <c r="A31" s="43" t="s">
        <v>49</v>
      </c>
      <c r="B31" s="43" t="s">
        <v>232</v>
      </c>
      <c r="C31" s="29">
        <v>457.0</v>
      </c>
      <c r="D31" s="10" t="s">
        <v>233</v>
      </c>
      <c r="E31" s="10" t="s">
        <v>233</v>
      </c>
      <c r="F31" s="10" t="s">
        <v>234</v>
      </c>
      <c r="G31" s="42" t="s">
        <v>235</v>
      </c>
      <c r="H31" s="10" t="s">
        <v>236</v>
      </c>
      <c r="I31" s="12">
        <v>250.0</v>
      </c>
      <c r="J31" s="12">
        <v>250.0</v>
      </c>
      <c r="K31" s="29">
        <f t="shared" si="5"/>
        <v>250</v>
      </c>
      <c r="M31" s="44" t="str">
        <f t="shared" si="6"/>
        <v>https://millwest.com/product-category/entertainment-collections/tv-stands/</v>
      </c>
      <c r="O31" s="20" t="str">
        <f t="shared" si="7"/>
        <v>Amish Solid Wood TV Stands</v>
      </c>
    </row>
    <row r="32">
      <c r="A32" s="43" t="s">
        <v>49</v>
      </c>
      <c r="B32" s="41" t="s">
        <v>237</v>
      </c>
      <c r="C32" s="29">
        <v>457.0</v>
      </c>
      <c r="D32" s="10" t="s">
        <v>238</v>
      </c>
      <c r="E32" s="10" t="s">
        <v>238</v>
      </c>
      <c r="F32" s="10" t="s">
        <v>239</v>
      </c>
      <c r="G32" s="42" t="s">
        <v>240</v>
      </c>
      <c r="H32" s="10" t="s">
        <v>241</v>
      </c>
      <c r="I32" s="12">
        <v>600.0</v>
      </c>
      <c r="J32" s="12">
        <v>600.0</v>
      </c>
      <c r="K32" s="29">
        <f t="shared" si="5"/>
        <v>600</v>
      </c>
      <c r="M32" s="44" t="str">
        <f t="shared" si="6"/>
        <v>https://millwest.com/product-category/entertainment-collections/wall-units/</v>
      </c>
      <c r="O32" s="20" t="str">
        <f t="shared" si="7"/>
        <v>Amish Solid Wood Wall Units</v>
      </c>
    </row>
    <row r="33">
      <c r="A33" s="10" t="s">
        <v>13</v>
      </c>
      <c r="B33" s="51" t="s">
        <v>242</v>
      </c>
      <c r="C33" s="29">
        <v>2696.0</v>
      </c>
      <c r="D33" s="41" t="s">
        <v>243</v>
      </c>
      <c r="E33" s="41" t="s">
        <v>243</v>
      </c>
      <c r="F33" s="41" t="s">
        <v>244</v>
      </c>
      <c r="G33" s="42" t="s">
        <v>245</v>
      </c>
      <c r="H33" s="41" t="s">
        <v>246</v>
      </c>
      <c r="I33" s="12">
        <v>600.0</v>
      </c>
      <c r="J33" s="12">
        <v>600.0</v>
      </c>
      <c r="K33" s="29">
        <f t="shared" si="5"/>
        <v>600</v>
      </c>
      <c r="L33" s="29"/>
      <c r="M33" s="45" t="s">
        <v>158</v>
      </c>
      <c r="O33" s="20" t="str">
        <f t="shared" ref="O33:O39" si="8">A33&amp; " "&amp;B33</f>
        <v>Mattresses a. Extra Plush</v>
      </c>
    </row>
    <row r="34">
      <c r="A34" s="10" t="s">
        <v>13</v>
      </c>
      <c r="B34" s="51" t="s">
        <v>247</v>
      </c>
      <c r="C34" s="29">
        <v>2696.0</v>
      </c>
      <c r="D34" s="41" t="s">
        <v>248</v>
      </c>
      <c r="E34" s="41" t="s">
        <v>248</v>
      </c>
      <c r="F34" s="41" t="s">
        <v>249</v>
      </c>
      <c r="G34" s="42" t="s">
        <v>250</v>
      </c>
      <c r="H34" s="41" t="s">
        <v>251</v>
      </c>
      <c r="I34" s="12">
        <v>600.0</v>
      </c>
      <c r="J34" s="12">
        <v>600.0</v>
      </c>
      <c r="K34" s="29">
        <f t="shared" si="5"/>
        <v>600</v>
      </c>
      <c r="L34" s="29"/>
      <c r="M34" s="45" t="s">
        <v>158</v>
      </c>
      <c r="O34" s="20" t="str">
        <f t="shared" si="8"/>
        <v>Mattresses b. Plush</v>
      </c>
    </row>
    <row r="35">
      <c r="A35" s="10" t="s">
        <v>13</v>
      </c>
      <c r="B35" s="51" t="s">
        <v>252</v>
      </c>
      <c r="C35" s="29">
        <v>2696.0</v>
      </c>
      <c r="D35" s="41" t="s">
        <v>253</v>
      </c>
      <c r="E35" s="41" t="s">
        <v>253</v>
      </c>
      <c r="F35" s="41" t="s">
        <v>254</v>
      </c>
      <c r="G35" s="42" t="s">
        <v>255</v>
      </c>
      <c r="H35" s="41" t="s">
        <v>256</v>
      </c>
      <c r="I35" s="12">
        <v>600.0</v>
      </c>
      <c r="J35" s="12">
        <v>600.0</v>
      </c>
      <c r="K35" s="29">
        <f t="shared" si="5"/>
        <v>600</v>
      </c>
      <c r="L35" s="29"/>
      <c r="M35" s="45" t="s">
        <v>158</v>
      </c>
      <c r="O35" s="20" t="str">
        <f t="shared" si="8"/>
        <v>Mattresses c. Firm</v>
      </c>
    </row>
    <row r="36">
      <c r="A36" s="10" t="s">
        <v>13</v>
      </c>
      <c r="B36" s="51" t="s">
        <v>257</v>
      </c>
      <c r="C36" s="29">
        <v>2696.0</v>
      </c>
      <c r="D36" s="41" t="s">
        <v>258</v>
      </c>
      <c r="E36" s="41" t="s">
        <v>258</v>
      </c>
      <c r="F36" s="41" t="s">
        <v>259</v>
      </c>
      <c r="G36" s="42" t="s">
        <v>260</v>
      </c>
      <c r="H36" s="41" t="s">
        <v>261</v>
      </c>
      <c r="I36" s="12">
        <v>600.0</v>
      </c>
      <c r="J36" s="12">
        <v>600.0</v>
      </c>
      <c r="K36" s="29">
        <f t="shared" si="5"/>
        <v>600</v>
      </c>
      <c r="L36" s="29"/>
      <c r="M36" s="45" t="s">
        <v>158</v>
      </c>
      <c r="O36" s="20" t="str">
        <f t="shared" si="8"/>
        <v>Mattresses d. Extra Firm</v>
      </c>
    </row>
    <row r="37">
      <c r="A37" s="10" t="s">
        <v>13</v>
      </c>
      <c r="B37" s="41" t="s">
        <v>262</v>
      </c>
      <c r="C37" s="29">
        <v>2696.0</v>
      </c>
      <c r="D37" s="41" t="s">
        <v>263</v>
      </c>
      <c r="E37" s="41" t="s">
        <v>263</v>
      </c>
      <c r="F37" s="41" t="s">
        <v>264</v>
      </c>
      <c r="G37" s="42" t="s">
        <v>265</v>
      </c>
      <c r="H37" s="41" t="s">
        <v>266</v>
      </c>
      <c r="I37" s="12">
        <v>600.0</v>
      </c>
      <c r="J37" s="12">
        <v>600.0</v>
      </c>
      <c r="K37" s="29">
        <f t="shared" si="5"/>
        <v>600</v>
      </c>
      <c r="L37" s="29"/>
      <c r="M37" s="45" t="s">
        <v>158</v>
      </c>
      <c r="O37" s="20" t="str">
        <f t="shared" si="8"/>
        <v>Mattresses e. Pillowtop</v>
      </c>
    </row>
    <row r="38">
      <c r="A38" s="10" t="s">
        <v>13</v>
      </c>
      <c r="B38" s="41" t="s">
        <v>267</v>
      </c>
      <c r="C38" s="29">
        <v>2720.0</v>
      </c>
      <c r="D38" s="10" t="s">
        <v>268</v>
      </c>
      <c r="E38" s="10" t="s">
        <v>268</v>
      </c>
      <c r="F38" s="10" t="s">
        <v>269</v>
      </c>
      <c r="G38" s="42"/>
      <c r="H38" s="10" t="s">
        <v>270</v>
      </c>
      <c r="I38" s="12">
        <v>600.0</v>
      </c>
      <c r="J38" s="12">
        <v>600.0</v>
      </c>
      <c r="K38" s="29">
        <f t="shared" si="5"/>
        <v>600</v>
      </c>
      <c r="L38" s="29"/>
      <c r="M38" s="44" t="str">
        <f t="shared" ref="M38:M56" si="9">"https://millwest.com/product-category/" &amp; lower(A38) &amp; "-collections/"&amp;H38&amp;"/"</f>
        <v>https://millwest.com/product-category/mattresses-collections/foundations/</v>
      </c>
      <c r="O38" s="20" t="str">
        <f t="shared" si="8"/>
        <v>Mattresses f. Foundations</v>
      </c>
    </row>
    <row r="39">
      <c r="A39" s="10" t="s">
        <v>13</v>
      </c>
      <c r="B39" s="41" t="s">
        <v>271</v>
      </c>
      <c r="C39" s="29"/>
      <c r="D39" s="10" t="s">
        <v>272</v>
      </c>
      <c r="E39" s="10" t="s">
        <v>272</v>
      </c>
      <c r="F39" s="10" t="s">
        <v>273</v>
      </c>
      <c r="G39" s="42" t="s">
        <v>274</v>
      </c>
      <c r="H39" s="10" t="s">
        <v>275</v>
      </c>
      <c r="I39" s="12">
        <v>600.0</v>
      </c>
      <c r="J39" s="12">
        <v>600.0</v>
      </c>
      <c r="K39" s="29">
        <f t="shared" si="5"/>
        <v>600</v>
      </c>
      <c r="L39" s="29"/>
      <c r="M39" s="44" t="str">
        <f t="shared" si="9"/>
        <v>https://millwest.com/product-category/mattresses-collections/motion-bases/</v>
      </c>
      <c r="O39" s="20" t="str">
        <f t="shared" si="8"/>
        <v>Mattresses g. Motion Bases</v>
      </c>
    </row>
    <row r="40">
      <c r="A40" s="10" t="s">
        <v>97</v>
      </c>
      <c r="B40" s="41" t="s">
        <v>276</v>
      </c>
      <c r="C40" s="29"/>
      <c r="D40" s="10" t="s">
        <v>276</v>
      </c>
      <c r="E40" s="10" t="s">
        <v>276</v>
      </c>
      <c r="F40" s="10" t="s">
        <v>276</v>
      </c>
      <c r="G40" s="42"/>
      <c r="H40" s="10" t="s">
        <v>277</v>
      </c>
      <c r="I40" s="12">
        <v>0.0</v>
      </c>
      <c r="J40" s="12">
        <v>0.0</v>
      </c>
      <c r="K40" s="29">
        <f t="shared" si="5"/>
        <v>0</v>
      </c>
      <c r="L40" s="29"/>
      <c r="M40" s="44" t="str">
        <f t="shared" si="9"/>
        <v>https://millwest.com/product-category/miscellaneous-collections/samples/</v>
      </c>
    </row>
    <row r="41">
      <c r="A41" s="43" t="s">
        <v>57</v>
      </c>
      <c r="B41" s="43" t="s">
        <v>278</v>
      </c>
      <c r="C41" s="29">
        <v>1395.0</v>
      </c>
      <c r="D41" s="10" t="s">
        <v>279</v>
      </c>
      <c r="E41" s="10" t="s">
        <v>279</v>
      </c>
      <c r="F41" s="10" t="s">
        <v>280</v>
      </c>
      <c r="G41" s="42" t="s">
        <v>281</v>
      </c>
      <c r="H41" s="10" t="s">
        <v>282</v>
      </c>
      <c r="I41" s="12">
        <v>300.0</v>
      </c>
      <c r="J41" s="12">
        <v>300.0</v>
      </c>
      <c r="K41" s="29">
        <f t="shared" si="5"/>
        <v>300</v>
      </c>
      <c r="M41" s="44" t="str">
        <f t="shared" si="9"/>
        <v>https://millwest.com/product-category/occasionals-collections/coffee-tables/</v>
      </c>
      <c r="O41" s="20" t="str">
        <f t="shared" ref="O41:O48" si="10">A41&amp; " "&amp;B41</f>
        <v>Occasionals Coffee Tables</v>
      </c>
    </row>
    <row r="42">
      <c r="A42" s="43" t="s">
        <v>57</v>
      </c>
      <c r="B42" s="43" t="s">
        <v>283</v>
      </c>
      <c r="C42" s="29">
        <v>1549.0</v>
      </c>
      <c r="D42" s="10" t="s">
        <v>284</v>
      </c>
      <c r="E42" s="10" t="s">
        <v>284</v>
      </c>
      <c r="F42" s="10" t="s">
        <v>285</v>
      </c>
      <c r="G42" s="42" t="s">
        <v>286</v>
      </c>
      <c r="H42" s="10" t="s">
        <v>287</v>
      </c>
      <c r="I42" s="12">
        <v>150.0</v>
      </c>
      <c r="J42" s="12">
        <v>150.0</v>
      </c>
      <c r="K42" s="29">
        <f t="shared" si="5"/>
        <v>150</v>
      </c>
      <c r="M42" s="44" t="str">
        <f t="shared" si="9"/>
        <v>https://millwest.com/product-category/occasionals-collections/end-tables/</v>
      </c>
      <c r="O42" s="20" t="str">
        <f t="shared" si="10"/>
        <v>Occasionals End Tables</v>
      </c>
    </row>
    <row r="43">
      <c r="A43" s="43" t="s">
        <v>57</v>
      </c>
      <c r="B43" s="41" t="s">
        <v>288</v>
      </c>
      <c r="C43" s="29">
        <v>1602.0</v>
      </c>
      <c r="D43" s="10" t="s">
        <v>289</v>
      </c>
      <c r="E43" s="10" t="s">
        <v>289</v>
      </c>
      <c r="F43" s="10" t="s">
        <v>290</v>
      </c>
      <c r="G43" s="42" t="s">
        <v>291</v>
      </c>
      <c r="H43" s="10" t="s">
        <v>292</v>
      </c>
      <c r="I43" s="12">
        <v>200.0</v>
      </c>
      <c r="J43" s="12">
        <v>200.0</v>
      </c>
      <c r="K43" s="29">
        <f t="shared" si="5"/>
        <v>200</v>
      </c>
      <c r="M43" s="44" t="str">
        <f t="shared" si="9"/>
        <v>https://millwest.com/product-category/occasionals-collections/sofa-tables/</v>
      </c>
      <c r="O43" s="20" t="str">
        <f t="shared" si="10"/>
        <v>Occasionals Sofa Tables</v>
      </c>
    </row>
    <row r="44">
      <c r="A44" s="43" t="s">
        <v>63</v>
      </c>
      <c r="B44" s="43" t="s">
        <v>293</v>
      </c>
      <c r="C44" s="29">
        <v>465.0</v>
      </c>
      <c r="D44" s="10" t="s">
        <v>294</v>
      </c>
      <c r="E44" s="10" t="s">
        <v>294</v>
      </c>
      <c r="F44" s="10" t="s">
        <v>295</v>
      </c>
      <c r="G44" s="42" t="s">
        <v>296</v>
      </c>
      <c r="H44" s="10" t="s">
        <v>297</v>
      </c>
      <c r="I44" s="12">
        <v>350.0</v>
      </c>
      <c r="J44" s="12">
        <v>350.0</v>
      </c>
      <c r="K44" s="29">
        <f t="shared" si="5"/>
        <v>350</v>
      </c>
      <c r="M44" s="44" t="str">
        <f t="shared" si="9"/>
        <v>https://millwest.com/product-category/office-collections/bookcases/</v>
      </c>
      <c r="O44" s="20" t="str">
        <f t="shared" si="10"/>
        <v>Office Bookcases</v>
      </c>
    </row>
    <row r="45">
      <c r="A45" s="43" t="s">
        <v>63</v>
      </c>
      <c r="B45" s="43" t="s">
        <v>298</v>
      </c>
      <c r="C45" s="29">
        <v>6358.0</v>
      </c>
      <c r="D45" s="10" t="s">
        <v>298</v>
      </c>
      <c r="E45" s="10" t="s">
        <v>298</v>
      </c>
      <c r="F45" s="10" t="s">
        <v>298</v>
      </c>
      <c r="G45" s="50"/>
      <c r="H45" s="10" t="s">
        <v>299</v>
      </c>
      <c r="I45" s="12">
        <v>800.0</v>
      </c>
      <c r="J45" s="12">
        <v>800.0</v>
      </c>
      <c r="K45" s="29">
        <f t="shared" si="5"/>
        <v>800</v>
      </c>
      <c r="M45" s="44" t="str">
        <f t="shared" si="9"/>
        <v>https://millwest.com/product-category/office-collections/computer-armoires/</v>
      </c>
      <c r="O45" s="20" t="str">
        <f t="shared" si="10"/>
        <v>Office Computer Armoires</v>
      </c>
    </row>
    <row r="46">
      <c r="A46" s="43" t="s">
        <v>63</v>
      </c>
      <c r="B46" s="43" t="s">
        <v>300</v>
      </c>
      <c r="C46" s="29">
        <v>4317.0</v>
      </c>
      <c r="D46" s="10" t="s">
        <v>300</v>
      </c>
      <c r="E46" s="10" t="s">
        <v>300</v>
      </c>
      <c r="F46" s="10" t="s">
        <v>300</v>
      </c>
      <c r="G46" s="50"/>
      <c r="H46" s="10" t="s">
        <v>301</v>
      </c>
      <c r="I46" s="12">
        <v>800.0</v>
      </c>
      <c r="J46" s="12">
        <v>800.0</v>
      </c>
      <c r="K46" s="29">
        <f t="shared" si="5"/>
        <v>800</v>
      </c>
      <c r="M46" s="44" t="str">
        <f t="shared" si="9"/>
        <v>https://millwest.com/product-category/office-collections/conference-table-&amp;-chairs/</v>
      </c>
      <c r="O46" s="20" t="str">
        <f t="shared" si="10"/>
        <v>Office Conference Table &amp; Chairs</v>
      </c>
    </row>
    <row r="47">
      <c r="A47" s="43" t="s">
        <v>63</v>
      </c>
      <c r="B47" s="41" t="s">
        <v>302</v>
      </c>
      <c r="C47" s="29">
        <v>4191.0</v>
      </c>
      <c r="D47" s="10" t="s">
        <v>303</v>
      </c>
      <c r="E47" s="10" t="s">
        <v>303</v>
      </c>
      <c r="F47" s="10" t="s">
        <v>304</v>
      </c>
      <c r="G47" s="42" t="s">
        <v>305</v>
      </c>
      <c r="H47" s="10" t="s">
        <v>306</v>
      </c>
      <c r="I47" s="12">
        <v>600.0</v>
      </c>
      <c r="J47" s="12">
        <v>600.0</v>
      </c>
      <c r="K47" s="29">
        <f t="shared" si="5"/>
        <v>600</v>
      </c>
      <c r="M47" s="44" t="str">
        <f t="shared" si="9"/>
        <v>https://millwest.com/product-category/office-collections/desks/</v>
      </c>
      <c r="O47" s="20" t="str">
        <f t="shared" si="10"/>
        <v>Office Desks</v>
      </c>
    </row>
    <row r="48">
      <c r="A48" s="43" t="s">
        <v>63</v>
      </c>
      <c r="B48" s="41" t="s">
        <v>307</v>
      </c>
      <c r="C48" s="29">
        <v>4191.0</v>
      </c>
      <c r="D48" s="10" t="s">
        <v>307</v>
      </c>
      <c r="E48" s="10" t="s">
        <v>307</v>
      </c>
      <c r="F48" s="10" t="s">
        <v>307</v>
      </c>
      <c r="G48" s="50"/>
      <c r="H48" s="10" t="s">
        <v>308</v>
      </c>
      <c r="I48" s="12">
        <v>650.0</v>
      </c>
      <c r="J48" s="12">
        <v>650.0</v>
      </c>
      <c r="K48" s="29">
        <f t="shared" si="5"/>
        <v>650</v>
      </c>
      <c r="M48" s="44" t="str">
        <f t="shared" si="9"/>
        <v>https://millwest.com/product-category/office-collections/executive-desks/</v>
      </c>
      <c r="O48" s="20" t="str">
        <f t="shared" si="10"/>
        <v>Office Executive Desks</v>
      </c>
    </row>
    <row r="49">
      <c r="A49" s="43" t="s">
        <v>63</v>
      </c>
      <c r="B49" s="41" t="s">
        <v>309</v>
      </c>
      <c r="C49" s="29">
        <v>463.0</v>
      </c>
      <c r="D49" s="10" t="s">
        <v>310</v>
      </c>
      <c r="E49" s="10" t="s">
        <v>310</v>
      </c>
      <c r="F49" s="10" t="s">
        <v>311</v>
      </c>
      <c r="G49" s="42" t="s">
        <v>312</v>
      </c>
      <c r="H49" s="10" t="s">
        <v>313</v>
      </c>
      <c r="I49" s="12">
        <v>350.0</v>
      </c>
      <c r="J49" s="12">
        <v>350.0</v>
      </c>
      <c r="K49" s="29">
        <f t="shared" si="5"/>
        <v>350</v>
      </c>
      <c r="M49" s="44" t="str">
        <f t="shared" si="9"/>
        <v>https://millwest.com/product-category/office-collections/file-cabinets/</v>
      </c>
      <c r="O49" s="13" t="s">
        <v>314</v>
      </c>
    </row>
    <row r="50">
      <c r="A50" s="43" t="s">
        <v>63</v>
      </c>
      <c r="B50" s="41" t="s">
        <v>315</v>
      </c>
      <c r="C50" s="29">
        <v>4191.0</v>
      </c>
      <c r="D50" s="10" t="s">
        <v>316</v>
      </c>
      <c r="E50" s="10" t="s">
        <v>316</v>
      </c>
      <c r="F50" s="10" t="s">
        <v>317</v>
      </c>
      <c r="G50" s="42" t="s">
        <v>318</v>
      </c>
      <c r="H50" s="10" t="s">
        <v>319</v>
      </c>
      <c r="I50" s="12">
        <v>250.0</v>
      </c>
      <c r="J50" s="12">
        <v>250.0</v>
      </c>
      <c r="K50" s="29">
        <f t="shared" si="5"/>
        <v>250</v>
      </c>
      <c r="M50" s="44" t="str">
        <f t="shared" si="9"/>
        <v>https://millwest.com/product-category/office-collections/hutch-tops/</v>
      </c>
      <c r="O50" s="20" t="str">
        <f t="shared" ref="O50:O88" si="11">A50&amp; " "&amp;B50</f>
        <v>Office Hutch Tops</v>
      </c>
    </row>
    <row r="51">
      <c r="A51" s="43" t="s">
        <v>63</v>
      </c>
      <c r="B51" s="43" t="s">
        <v>320</v>
      </c>
      <c r="C51" s="29">
        <v>4191.0</v>
      </c>
      <c r="D51" s="10" t="s">
        <v>320</v>
      </c>
      <c r="E51" s="10" t="s">
        <v>320</v>
      </c>
      <c r="F51" s="10" t="s">
        <v>320</v>
      </c>
      <c r="G51" s="50"/>
      <c r="H51" s="10" t="s">
        <v>321</v>
      </c>
      <c r="I51" s="12">
        <v>550.0</v>
      </c>
      <c r="J51" s="12">
        <v>550.0</v>
      </c>
      <c r="K51" s="29">
        <f t="shared" si="5"/>
        <v>550</v>
      </c>
      <c r="M51" s="44" t="str">
        <f t="shared" si="9"/>
        <v>https://millwest.com/product-category/office-collections/lift-top-desks/</v>
      </c>
      <c r="O51" s="20" t="str">
        <f t="shared" si="11"/>
        <v>Office Lift Top Desks</v>
      </c>
    </row>
    <row r="52">
      <c r="A52" s="43" t="s">
        <v>63</v>
      </c>
      <c r="B52" s="43" t="s">
        <v>322</v>
      </c>
      <c r="C52" s="29">
        <v>2045.0</v>
      </c>
      <c r="D52" s="10" t="s">
        <v>322</v>
      </c>
      <c r="E52" s="10" t="s">
        <v>322</v>
      </c>
      <c r="F52" s="10" t="s">
        <v>322</v>
      </c>
      <c r="G52" s="50"/>
      <c r="H52" s="10" t="s">
        <v>323</v>
      </c>
      <c r="I52" s="12">
        <v>125.0</v>
      </c>
      <c r="J52" s="12">
        <v>125.0</v>
      </c>
      <c r="K52" s="29">
        <f t="shared" si="5"/>
        <v>125</v>
      </c>
      <c r="M52" s="44" t="str">
        <f t="shared" si="9"/>
        <v>https://millwest.com/product-category/office-collections/office-chair/</v>
      </c>
      <c r="O52" s="20" t="str">
        <f t="shared" si="11"/>
        <v>Office Office Chair</v>
      </c>
    </row>
    <row r="53">
      <c r="A53" s="43" t="s">
        <v>63</v>
      </c>
      <c r="B53" s="43" t="s">
        <v>324</v>
      </c>
      <c r="C53" s="29">
        <v>6909.0</v>
      </c>
      <c r="D53" s="10" t="s">
        <v>324</v>
      </c>
      <c r="E53" s="10" t="s">
        <v>324</v>
      </c>
      <c r="F53" s="10" t="s">
        <v>324</v>
      </c>
      <c r="G53" s="50"/>
      <c r="H53" s="10" t="s">
        <v>325</v>
      </c>
      <c r="I53" s="12">
        <v>200.0</v>
      </c>
      <c r="J53" s="12">
        <v>200.0</v>
      </c>
      <c r="K53" s="29">
        <f t="shared" si="5"/>
        <v>200</v>
      </c>
      <c r="M53" s="44" t="str">
        <f t="shared" si="9"/>
        <v>https://millwest.com/product-category/office-collections/printer-cpu-stand/</v>
      </c>
      <c r="O53" s="20" t="str">
        <f t="shared" si="11"/>
        <v>Office Printer / CPU Stand</v>
      </c>
    </row>
    <row r="54">
      <c r="A54" s="43" t="s">
        <v>63</v>
      </c>
      <c r="B54" s="43" t="s">
        <v>326</v>
      </c>
      <c r="C54" s="29">
        <v>6363.0</v>
      </c>
      <c r="D54" s="10" t="s">
        <v>326</v>
      </c>
      <c r="E54" s="10" t="s">
        <v>326</v>
      </c>
      <c r="F54" s="10" t="s">
        <v>326</v>
      </c>
      <c r="G54" s="50"/>
      <c r="H54" s="10" t="s">
        <v>327</v>
      </c>
      <c r="I54" s="12">
        <v>600.0</v>
      </c>
      <c r="J54" s="12">
        <v>600.0</v>
      </c>
      <c r="K54" s="29">
        <f t="shared" si="5"/>
        <v>600</v>
      </c>
      <c r="M54" s="44" t="str">
        <f t="shared" si="9"/>
        <v>https://millwest.com/product-category/office-collections/rolltop/</v>
      </c>
      <c r="O54" s="20" t="str">
        <f t="shared" si="11"/>
        <v>Office Rolltop</v>
      </c>
    </row>
    <row r="55">
      <c r="A55" s="43" t="s">
        <v>63</v>
      </c>
      <c r="B55" s="43" t="s">
        <v>328</v>
      </c>
      <c r="C55" s="29">
        <v>4191.0</v>
      </c>
      <c r="D55" s="10" t="s">
        <v>328</v>
      </c>
      <c r="E55" s="10" t="s">
        <v>328</v>
      </c>
      <c r="F55" s="10" t="s">
        <v>328</v>
      </c>
      <c r="G55" s="50"/>
      <c r="H55" s="10" t="s">
        <v>329</v>
      </c>
      <c r="I55" s="12">
        <v>500.0</v>
      </c>
      <c r="J55" s="12">
        <v>500.0</v>
      </c>
      <c r="K55" s="29">
        <f t="shared" si="5"/>
        <v>500</v>
      </c>
      <c r="M55" s="44" t="str">
        <f t="shared" si="9"/>
        <v>https://millwest.com/product-category/office-collections/secretary-desks/</v>
      </c>
      <c r="O55" s="20" t="str">
        <f t="shared" si="11"/>
        <v>Office Secretary Desks</v>
      </c>
    </row>
    <row r="56">
      <c r="A56" s="43" t="s">
        <v>63</v>
      </c>
      <c r="B56" s="41" t="s">
        <v>330</v>
      </c>
      <c r="C56" s="41"/>
      <c r="D56" s="41" t="s">
        <v>330</v>
      </c>
      <c r="E56" s="41" t="s">
        <v>330</v>
      </c>
      <c r="F56" s="41" t="s">
        <v>330</v>
      </c>
      <c r="G56" s="42"/>
      <c r="H56" s="52" t="s">
        <v>331</v>
      </c>
      <c r="I56" s="12">
        <v>450.0</v>
      </c>
      <c r="J56" s="12">
        <v>450.0</v>
      </c>
      <c r="K56" s="29">
        <f t="shared" si="5"/>
        <v>450</v>
      </c>
      <c r="M56" s="44" t="str">
        <f t="shared" si="9"/>
        <v>https://millwest.com/product-category/office-collections/writing-desk/</v>
      </c>
      <c r="O56" s="20" t="str">
        <f t="shared" si="11"/>
        <v>Office Writing Desk</v>
      </c>
    </row>
    <row r="57">
      <c r="A57" s="42" t="s">
        <v>68</v>
      </c>
      <c r="B57" s="42" t="s">
        <v>101</v>
      </c>
      <c r="C57" s="53">
        <v>6963.0</v>
      </c>
      <c r="D57" s="25" t="s">
        <v>332</v>
      </c>
      <c r="E57" s="25" t="s">
        <v>332</v>
      </c>
      <c r="F57" s="25" t="s">
        <v>333</v>
      </c>
      <c r="G57" s="42" t="s">
        <v>334</v>
      </c>
      <c r="H57" s="10" t="s">
        <v>335</v>
      </c>
      <c r="I57" s="54">
        <v>0.0</v>
      </c>
      <c r="J57" s="54">
        <v>0.0</v>
      </c>
      <c r="K57" s="29">
        <v>25.0</v>
      </c>
      <c r="L57" s="50"/>
      <c r="M57" s="45" t="s">
        <v>158</v>
      </c>
      <c r="N57" s="50"/>
      <c r="O57" s="50" t="str">
        <f t="shared" si="11"/>
        <v>Outdoor Accessories</v>
      </c>
      <c r="T57" s="50"/>
      <c r="U57" s="50"/>
      <c r="V57" s="50"/>
      <c r="W57" s="50"/>
      <c r="X57" s="50"/>
      <c r="Y57" s="50"/>
      <c r="Z57" s="50"/>
      <c r="AA57" s="50"/>
      <c r="AB57" s="50"/>
      <c r="AC57" s="50"/>
      <c r="AD57" s="50"/>
      <c r="AE57" s="50"/>
      <c r="AF57" s="50"/>
      <c r="AG57" s="50"/>
      <c r="AH57" s="50"/>
      <c r="AI57" s="50"/>
      <c r="AJ57" s="50"/>
      <c r="AK57" s="50"/>
    </row>
    <row r="58">
      <c r="A58" s="46" t="s">
        <v>68</v>
      </c>
      <c r="B58" s="43" t="s">
        <v>336</v>
      </c>
      <c r="C58" s="13">
        <v>6828.0</v>
      </c>
      <c r="D58" s="10" t="s">
        <v>337</v>
      </c>
      <c r="E58" s="10" t="s">
        <v>337</v>
      </c>
      <c r="F58" s="10" t="s">
        <v>338</v>
      </c>
      <c r="G58" s="42" t="s">
        <v>339</v>
      </c>
      <c r="H58" s="10" t="s">
        <v>340</v>
      </c>
      <c r="I58" s="12">
        <v>0.0</v>
      </c>
      <c r="J58" s="12">
        <v>0.0</v>
      </c>
      <c r="K58" s="29">
        <v>100.0</v>
      </c>
      <c r="M58" s="44" t="str">
        <f t="shared" ref="M58:M90" si="12">"https://millwest.com/product-category/" &amp; lower(A58) &amp; "-furniture-collections/"&amp;H58&amp;"/"</f>
        <v>https://millwest.com/product-category/outdoor-furniture-collections/adirondack-chairs/</v>
      </c>
      <c r="O58" s="20" t="str">
        <f t="shared" si="11"/>
        <v>Outdoor Adirondack Chairs</v>
      </c>
    </row>
    <row r="59">
      <c r="A59" s="46" t="s">
        <v>68</v>
      </c>
      <c r="B59" s="43" t="s">
        <v>174</v>
      </c>
      <c r="C59" s="13">
        <v>6828.0</v>
      </c>
      <c r="D59" s="15" t="s">
        <v>341</v>
      </c>
      <c r="E59" s="15" t="s">
        <v>341</v>
      </c>
      <c r="F59" s="15" t="s">
        <v>342</v>
      </c>
      <c r="G59" s="42" t="s">
        <v>343</v>
      </c>
      <c r="H59" s="10" t="s">
        <v>178</v>
      </c>
      <c r="I59" s="12">
        <v>0.0</v>
      </c>
      <c r="J59" s="12">
        <v>0.0</v>
      </c>
      <c r="K59" s="29">
        <v>125.0</v>
      </c>
      <c r="M59" s="44" t="str">
        <f t="shared" si="12"/>
        <v>https://millwest.com/product-category/outdoor-furniture-collections/bar-chairs/</v>
      </c>
      <c r="O59" s="20" t="str">
        <f t="shared" si="11"/>
        <v>Outdoor Bar Chairs</v>
      </c>
      <c r="P59" s="13" t="s">
        <v>344</v>
      </c>
      <c r="Q59" s="20" t="str">
        <f t="shared" ref="Q59:R59" si="13">$O59&amp;$P59</f>
        <v>Outdoor Bar Chairs from Amish Country</v>
      </c>
      <c r="R59" s="20" t="str">
        <f t="shared" si="13"/>
        <v>Outdoor Bar Chairs from Amish Country</v>
      </c>
      <c r="S59" s="20" t="str">
        <f>SUBSTITUTE(F59, D59, D59&amp;P59)</f>
        <v>Outdoor Bar Chairs from Amish Country from Amish Country create elevated seating with eco-friendly materials that resist weather damage for stylish outdoor entertaining. Shop now!</v>
      </c>
    </row>
    <row r="60">
      <c r="A60" s="46" t="s">
        <v>68</v>
      </c>
      <c r="B60" s="43" t="s">
        <v>345</v>
      </c>
      <c r="C60" s="29">
        <v>2684.0</v>
      </c>
      <c r="D60" s="15" t="s">
        <v>346</v>
      </c>
      <c r="E60" s="15" t="s">
        <v>346</v>
      </c>
      <c r="F60" s="10" t="s">
        <v>347</v>
      </c>
      <c r="G60" s="42" t="s">
        <v>348</v>
      </c>
      <c r="H60" s="10" t="s">
        <v>349</v>
      </c>
      <c r="I60" s="12">
        <v>375.0</v>
      </c>
      <c r="J60" s="12">
        <v>375.0</v>
      </c>
      <c r="K60" s="29">
        <f t="shared" ref="K60:K62" si="15">I60</f>
        <v>375</v>
      </c>
      <c r="M60" s="44" t="str">
        <f t="shared" si="12"/>
        <v>https://millwest.com/product-category/outdoor-furniture-collections/bar-tables/</v>
      </c>
      <c r="O60" s="20" t="str">
        <f t="shared" si="11"/>
        <v>Outdoor Bar Tables</v>
      </c>
      <c r="P60" s="13" t="s">
        <v>344</v>
      </c>
      <c r="Q60" s="20" t="str">
        <f t="shared" ref="Q60:R60" si="14">$O60&amp;$P60</f>
        <v>Outdoor Bar Tables from Amish Country</v>
      </c>
      <c r="R60" s="20" t="str">
        <f t="shared" si="14"/>
        <v>Outdoor Bar Tables from Amish Country</v>
      </c>
      <c r="S60" s="13" t="s">
        <v>347</v>
      </c>
    </row>
    <row r="61">
      <c r="A61" s="46" t="s">
        <v>68</v>
      </c>
      <c r="B61" s="41" t="s">
        <v>130</v>
      </c>
      <c r="C61" s="29">
        <v>5044.0</v>
      </c>
      <c r="D61" s="15" t="s">
        <v>350</v>
      </c>
      <c r="E61" s="15" t="s">
        <v>350</v>
      </c>
      <c r="F61" s="15" t="s">
        <v>351</v>
      </c>
      <c r="G61" s="42" t="s">
        <v>352</v>
      </c>
      <c r="H61" s="10" t="s">
        <v>134</v>
      </c>
      <c r="I61" s="12">
        <v>125.0</v>
      </c>
      <c r="J61" s="12">
        <v>125.0</v>
      </c>
      <c r="K61" s="29">
        <f t="shared" si="15"/>
        <v>125</v>
      </c>
      <c r="M61" s="44" t="str">
        <f t="shared" si="12"/>
        <v>https://millwest.com/product-category/outdoor-furniture-collections/benches/</v>
      </c>
      <c r="O61" s="20" t="str">
        <f t="shared" si="11"/>
        <v>Outdoor Benches</v>
      </c>
      <c r="P61" s="13" t="s">
        <v>344</v>
      </c>
      <c r="Q61" s="20" t="str">
        <f t="shared" ref="Q61:R61" si="16">$O61&amp;$P61</f>
        <v>Outdoor Benches from Amish Country</v>
      </c>
      <c r="R61" s="20" t="str">
        <f t="shared" si="16"/>
        <v>Outdoor Benches from Amish Country</v>
      </c>
      <c r="S61" s="20" t="str">
        <f t="shared" ref="S61:S63" si="18">SUBSTITUTE(F61, D61, D61&amp;P61)</f>
        <v>Outdoor Benches from Amish Country from Amish Country offer comfort with durable recycled materials that resist weather damage, creating perfect resting places for your outdoor areas. Shop now!</v>
      </c>
    </row>
    <row r="62">
      <c r="A62" s="46" t="s">
        <v>68</v>
      </c>
      <c r="B62" s="43" t="s">
        <v>353</v>
      </c>
      <c r="C62" s="13">
        <v>6828.0</v>
      </c>
      <c r="D62" s="15" t="s">
        <v>354</v>
      </c>
      <c r="E62" s="15" t="s">
        <v>354</v>
      </c>
      <c r="F62" s="15" t="s">
        <v>355</v>
      </c>
      <c r="G62" s="42" t="s">
        <v>356</v>
      </c>
      <c r="H62" s="10" t="s">
        <v>357</v>
      </c>
      <c r="I62" s="12">
        <v>175.0</v>
      </c>
      <c r="J62" s="12">
        <v>175.0</v>
      </c>
      <c r="K62" s="29">
        <f t="shared" si="15"/>
        <v>175</v>
      </c>
      <c r="M62" s="44" t="str">
        <f t="shared" si="12"/>
        <v>https://millwest.com/product-category/outdoor-furniture-collections/club-chairs/</v>
      </c>
      <c r="O62" s="20" t="str">
        <f t="shared" si="11"/>
        <v>Outdoor Club Chairs</v>
      </c>
      <c r="P62" s="13" t="s">
        <v>344</v>
      </c>
      <c r="Q62" s="20" t="str">
        <f t="shared" ref="Q62:R62" si="17">$O62&amp;$P62</f>
        <v>Outdoor Club Chairs from Amish Country</v>
      </c>
      <c r="R62" s="20" t="str">
        <f t="shared" si="17"/>
        <v>Outdoor Club Chairs from Amish Country</v>
      </c>
      <c r="S62" s="20" t="str">
        <f t="shared" si="18"/>
        <v>Outdoor Club Chairs from Amish Country from Amish Country Collection features plush seating with recycled materials that resist fading, providing comfort for your outdoor living areas. Shop now!</v>
      </c>
    </row>
    <row r="63">
      <c r="A63" s="46" t="s">
        <v>68</v>
      </c>
      <c r="B63" s="43" t="s">
        <v>278</v>
      </c>
      <c r="C63" s="29">
        <v>2684.0</v>
      </c>
      <c r="D63" s="15" t="s">
        <v>358</v>
      </c>
      <c r="E63" s="15" t="s">
        <v>358</v>
      </c>
      <c r="F63" s="15" t="s">
        <v>359</v>
      </c>
      <c r="G63" s="42" t="s">
        <v>360</v>
      </c>
      <c r="H63" s="10" t="s">
        <v>282</v>
      </c>
      <c r="I63" s="12">
        <v>0.0</v>
      </c>
      <c r="J63" s="12">
        <v>0.0</v>
      </c>
      <c r="K63" s="29">
        <v>200.0</v>
      </c>
      <c r="M63" s="44" t="str">
        <f t="shared" si="12"/>
        <v>https://millwest.com/product-category/outdoor-furniture-collections/coffee-tables/</v>
      </c>
      <c r="O63" s="20" t="str">
        <f t="shared" si="11"/>
        <v>Outdoor Coffee Tables</v>
      </c>
      <c r="P63" s="13" t="s">
        <v>344</v>
      </c>
      <c r="Q63" s="20" t="str">
        <f t="shared" ref="Q63:R63" si="19">$O63&amp;$P63</f>
        <v>Outdoor Coffee Tables from Amish Country</v>
      </c>
      <c r="R63" s="20" t="str">
        <f t="shared" si="19"/>
        <v>Outdoor Coffee Tables from Amish Country</v>
      </c>
      <c r="S63" s="20" t="str">
        <f t="shared" si="18"/>
        <v>Outdoor Coffee Tables from Amish Country from Amish Country Collection offers durable surfaces with recycled materials that resist fading, creating focal points for all outdoor spaces. Shop now!</v>
      </c>
    </row>
    <row r="64">
      <c r="A64" s="46" t="s">
        <v>68</v>
      </c>
      <c r="B64" s="43" t="s">
        <v>361</v>
      </c>
      <c r="C64" s="13">
        <v>6828.0</v>
      </c>
      <c r="D64" s="15" t="s">
        <v>362</v>
      </c>
      <c r="E64" s="15" t="s">
        <v>362</v>
      </c>
      <c r="F64" s="10" t="s">
        <v>363</v>
      </c>
      <c r="G64" s="42" t="s">
        <v>364</v>
      </c>
      <c r="H64" s="10" t="s">
        <v>365</v>
      </c>
      <c r="I64" s="12">
        <v>0.0</v>
      </c>
      <c r="J64" s="12">
        <v>0.0</v>
      </c>
      <c r="K64" s="29">
        <v>125.0</v>
      </c>
      <c r="M64" s="44" t="str">
        <f t="shared" si="12"/>
        <v>https://millwest.com/product-category/outdoor-furniture-collections/counter-chairs/</v>
      </c>
      <c r="O64" s="20" t="str">
        <f t="shared" si="11"/>
        <v>Outdoor Counter Chairs</v>
      </c>
      <c r="P64" s="13" t="s">
        <v>344</v>
      </c>
      <c r="Q64" s="20" t="str">
        <f t="shared" ref="Q64:R64" si="20">$O64&amp;$P64</f>
        <v>Outdoor Counter Chairs from Amish Country</v>
      </c>
      <c r="R64" s="20" t="str">
        <f t="shared" si="20"/>
        <v>Outdoor Counter Chairs from Amish Country</v>
      </c>
      <c r="S64" s="13" t="s">
        <v>363</v>
      </c>
    </row>
    <row r="65">
      <c r="A65" s="46" t="s">
        <v>68</v>
      </c>
      <c r="B65" s="43" t="s">
        <v>366</v>
      </c>
      <c r="C65" s="29">
        <v>2684.0</v>
      </c>
      <c r="D65" s="15" t="s">
        <v>367</v>
      </c>
      <c r="E65" s="15" t="s">
        <v>367</v>
      </c>
      <c r="F65" s="10" t="s">
        <v>368</v>
      </c>
      <c r="G65" s="42" t="s">
        <v>369</v>
      </c>
      <c r="H65" s="10" t="s">
        <v>370</v>
      </c>
      <c r="I65" s="12">
        <v>375.0</v>
      </c>
      <c r="J65" s="12">
        <v>375.0</v>
      </c>
      <c r="K65" s="29">
        <f>I65</f>
        <v>375</v>
      </c>
      <c r="M65" s="44" t="str">
        <f t="shared" si="12"/>
        <v>https://millwest.com/product-category/outdoor-furniture-collections/counter-tables/</v>
      </c>
      <c r="O65" s="20" t="str">
        <f t="shared" si="11"/>
        <v>Outdoor Counter Tables</v>
      </c>
      <c r="P65" s="13" t="s">
        <v>344</v>
      </c>
      <c r="Q65" s="20" t="str">
        <f t="shared" ref="Q65:R65" si="21">$O65&amp;$P65</f>
        <v>Outdoor Counter Tables from Amish Country</v>
      </c>
      <c r="R65" s="20" t="str">
        <f t="shared" si="21"/>
        <v>Outdoor Counter Tables from Amish Country</v>
      </c>
      <c r="S65" s="13" t="s">
        <v>368</v>
      </c>
    </row>
    <row r="66">
      <c r="A66" s="46" t="s">
        <v>68</v>
      </c>
      <c r="B66" s="43" t="s">
        <v>371</v>
      </c>
      <c r="C66" s="29">
        <v>6964.0</v>
      </c>
      <c r="D66" s="15" t="s">
        <v>372</v>
      </c>
      <c r="E66" s="15" t="s">
        <v>372</v>
      </c>
      <c r="F66" s="15" t="s">
        <v>372</v>
      </c>
      <c r="G66" s="50"/>
      <c r="H66" s="10" t="s">
        <v>373</v>
      </c>
      <c r="I66" s="12">
        <v>0.0</v>
      </c>
      <c r="J66" s="12">
        <v>0.0</v>
      </c>
      <c r="K66" s="29">
        <v>25.0</v>
      </c>
      <c r="M66" s="44" t="str">
        <f t="shared" si="12"/>
        <v>https://millwest.com/product-category/outdoor-furniture-collections/covers/</v>
      </c>
      <c r="O66" s="20" t="str">
        <f t="shared" si="11"/>
        <v>Outdoor Covers</v>
      </c>
      <c r="P66" s="13" t="s">
        <v>344</v>
      </c>
      <c r="Q66" s="20" t="str">
        <f t="shared" ref="Q66:R66" si="22">$O66&amp;$P66</f>
        <v>Outdoor Covers from Amish Country</v>
      </c>
      <c r="R66" s="20" t="str">
        <f t="shared" si="22"/>
        <v>Outdoor Covers from Amish Country</v>
      </c>
      <c r="S66" s="20" t="str">
        <f t="shared" ref="S66:S67" si="24">SUBSTITUTE(F66, D66, D66&amp;P66)</f>
        <v>Outdoor Covers from Amish Country from Amish Country</v>
      </c>
    </row>
    <row r="67">
      <c r="A67" s="46" t="s">
        <v>68</v>
      </c>
      <c r="B67" s="43" t="s">
        <v>374</v>
      </c>
      <c r="C67" s="29">
        <v>6963.0</v>
      </c>
      <c r="D67" s="15" t="s">
        <v>375</v>
      </c>
      <c r="E67" s="15" t="s">
        <v>375</v>
      </c>
      <c r="F67" s="15" t="s">
        <v>375</v>
      </c>
      <c r="G67" s="50"/>
      <c r="H67" s="10" t="s">
        <v>376</v>
      </c>
      <c r="I67" s="12">
        <v>0.0</v>
      </c>
      <c r="J67" s="12">
        <v>0.0</v>
      </c>
      <c r="K67" s="29">
        <v>25.0</v>
      </c>
      <c r="M67" s="44" t="str">
        <f t="shared" si="12"/>
        <v>https://millwest.com/product-category/outdoor-furniture-collections/cushions/</v>
      </c>
      <c r="O67" s="20" t="str">
        <f t="shared" si="11"/>
        <v>Outdoor Cushions</v>
      </c>
      <c r="P67" s="13" t="s">
        <v>344</v>
      </c>
      <c r="Q67" s="20" t="str">
        <f t="shared" ref="Q67:R67" si="23">$O67&amp;$P67</f>
        <v>Outdoor Cushions from Amish Country</v>
      </c>
      <c r="R67" s="20" t="str">
        <f t="shared" si="23"/>
        <v>Outdoor Cushions from Amish Country</v>
      </c>
      <c r="S67" s="20" t="str">
        <f t="shared" si="24"/>
        <v>Outdoor Cushions from Amish Country from Amish Country</v>
      </c>
    </row>
    <row r="68">
      <c r="A68" s="46" t="s">
        <v>68</v>
      </c>
      <c r="B68" s="43" t="s">
        <v>377</v>
      </c>
      <c r="C68" s="13">
        <v>6828.0</v>
      </c>
      <c r="D68" s="10" t="s">
        <v>378</v>
      </c>
      <c r="E68" s="10" t="s">
        <v>378</v>
      </c>
      <c r="F68" s="10" t="s">
        <v>378</v>
      </c>
      <c r="G68" s="50"/>
      <c r="H68" s="10" t="s">
        <v>379</v>
      </c>
      <c r="I68" s="12">
        <v>0.0</v>
      </c>
      <c r="J68" s="12">
        <v>0.0</v>
      </c>
      <c r="K68" s="29">
        <v>175.0</v>
      </c>
      <c r="M68" s="44" t="str">
        <f t="shared" si="12"/>
        <v>https://millwest.com/product-category/outdoor-furniture-collections/deck-chairs/</v>
      </c>
      <c r="O68" s="20" t="str">
        <f t="shared" si="11"/>
        <v>Outdoor Deck Chairs</v>
      </c>
      <c r="P68" s="13" t="s">
        <v>344</v>
      </c>
      <c r="Q68" s="13" t="s">
        <v>378</v>
      </c>
      <c r="R68" s="13" t="s">
        <v>378</v>
      </c>
      <c r="S68" s="13" t="s">
        <v>378</v>
      </c>
    </row>
    <row r="69">
      <c r="A69" s="46" t="s">
        <v>68</v>
      </c>
      <c r="B69" s="43" t="s">
        <v>380</v>
      </c>
      <c r="C69" s="13">
        <v>6828.0</v>
      </c>
      <c r="D69" s="15" t="s">
        <v>381</v>
      </c>
      <c r="E69" s="15" t="s">
        <v>381</v>
      </c>
      <c r="F69" s="10" t="s">
        <v>382</v>
      </c>
      <c r="G69" s="42" t="s">
        <v>383</v>
      </c>
      <c r="H69" s="10" t="s">
        <v>384</v>
      </c>
      <c r="I69" s="12">
        <v>0.0</v>
      </c>
      <c r="J69" s="12">
        <v>0.0</v>
      </c>
      <c r="K69" s="29">
        <v>100.0</v>
      </c>
      <c r="M69" s="44" t="str">
        <f t="shared" si="12"/>
        <v>https://millwest.com/product-category/outdoor-furniture-collections/dining-chairs/</v>
      </c>
      <c r="O69" s="20" t="str">
        <f t="shared" si="11"/>
        <v>Outdoor Dining Chairs</v>
      </c>
      <c r="P69" s="13" t="s">
        <v>344</v>
      </c>
      <c r="Q69" s="20" t="str">
        <f t="shared" ref="Q69:R69" si="25">$O69&amp;$P69</f>
        <v>Outdoor Dining Chairs from Amish Country</v>
      </c>
      <c r="R69" s="20" t="str">
        <f t="shared" si="25"/>
        <v>Outdoor Dining Chairs from Amish Country</v>
      </c>
      <c r="S69" s="20" t="str">
        <f t="shared" ref="S69:S71" si="27">SUBSTITUTE(F69, D69, D69&amp;P69)</f>
        <v>Outdoor Dining Chairs from Amish Country from Amish Country built by Berlin Gardens. Weather-resistant poly won't warp, fade, or rot. Shop now.</v>
      </c>
    </row>
    <row r="70">
      <c r="A70" s="46" t="s">
        <v>68</v>
      </c>
      <c r="B70" s="43" t="s">
        <v>385</v>
      </c>
      <c r="C70" s="29">
        <v>2684.0</v>
      </c>
      <c r="D70" s="15" t="s">
        <v>386</v>
      </c>
      <c r="E70" s="15" t="s">
        <v>386</v>
      </c>
      <c r="F70" s="10" t="s">
        <v>387</v>
      </c>
      <c r="G70" s="42" t="s">
        <v>388</v>
      </c>
      <c r="H70" s="10" t="s">
        <v>389</v>
      </c>
      <c r="I70" s="12">
        <v>375.0</v>
      </c>
      <c r="J70" s="12">
        <v>375.0</v>
      </c>
      <c r="K70" s="29">
        <f>I70</f>
        <v>375</v>
      </c>
      <c r="M70" s="44" t="str">
        <f t="shared" si="12"/>
        <v>https://millwest.com/product-category/outdoor-furniture-collections/dining-tables/</v>
      </c>
      <c r="O70" s="20" t="str">
        <f t="shared" si="11"/>
        <v>Outdoor Dining Tables</v>
      </c>
      <c r="P70" s="13" t="s">
        <v>344</v>
      </c>
      <c r="Q70" s="20" t="str">
        <f t="shared" ref="Q70:R70" si="26">$O70&amp;$P70</f>
        <v>Outdoor Dining Tables from Amish Country</v>
      </c>
      <c r="R70" s="20" t="str">
        <f t="shared" si="26"/>
        <v>Outdoor Dining Tables from Amish Country</v>
      </c>
      <c r="S70" s="20" t="str">
        <f t="shared" si="27"/>
        <v>Outdoor Dining Tables from Amish Country from Amish Country crafted by Berlin Gardens. Poly construction handles sun, rain, and salt air year-round.</v>
      </c>
    </row>
    <row r="71">
      <c r="A71" s="46" t="s">
        <v>68</v>
      </c>
      <c r="B71" s="43" t="s">
        <v>283</v>
      </c>
      <c r="C71" s="29">
        <v>2684.0</v>
      </c>
      <c r="D71" s="15" t="s">
        <v>390</v>
      </c>
      <c r="E71" s="15" t="s">
        <v>390</v>
      </c>
      <c r="F71" s="10" t="s">
        <v>391</v>
      </c>
      <c r="G71" s="42" t="s">
        <v>392</v>
      </c>
      <c r="H71" s="10" t="s">
        <v>287</v>
      </c>
      <c r="I71" s="12">
        <v>0.0</v>
      </c>
      <c r="J71" s="12">
        <v>0.0</v>
      </c>
      <c r="K71" s="29">
        <v>150.0</v>
      </c>
      <c r="M71" s="44" t="str">
        <f t="shared" si="12"/>
        <v>https://millwest.com/product-category/outdoor-furniture-collections/end-tables/</v>
      </c>
      <c r="O71" s="20" t="str">
        <f t="shared" si="11"/>
        <v>Outdoor End Tables</v>
      </c>
      <c r="P71" s="13" t="s">
        <v>344</v>
      </c>
      <c r="Q71" s="20" t="str">
        <f t="shared" ref="Q71:R71" si="28">$O71&amp;$P71</f>
        <v>Outdoor End Tables from Amish Country</v>
      </c>
      <c r="R71" s="20" t="str">
        <f t="shared" si="28"/>
        <v>Outdoor End Tables from Amish Country</v>
      </c>
      <c r="S71" s="20" t="str">
        <f t="shared" si="27"/>
        <v>Outdoor End Tables from Amish Country from Amish Country built by Berlin Gardens. Weather-resistant poly stays put on your patio all season.</v>
      </c>
    </row>
    <row r="72">
      <c r="A72" s="46" t="s">
        <v>68</v>
      </c>
      <c r="B72" s="43" t="s">
        <v>393</v>
      </c>
      <c r="C72" s="13">
        <v>6828.0</v>
      </c>
      <c r="D72" s="15" t="s">
        <v>394</v>
      </c>
      <c r="E72" s="15" t="s">
        <v>394</v>
      </c>
      <c r="F72" s="10" t="s">
        <v>395</v>
      </c>
      <c r="G72" s="42" t="s">
        <v>396</v>
      </c>
      <c r="H72" s="10" t="s">
        <v>397</v>
      </c>
      <c r="I72" s="12">
        <v>75.0</v>
      </c>
      <c r="J72" s="12">
        <v>75.0</v>
      </c>
      <c r="K72" s="29">
        <f t="shared" ref="K72:K73" si="30">I72</f>
        <v>75</v>
      </c>
      <c r="M72" s="44" t="str">
        <f t="shared" si="12"/>
        <v>https://millwest.com/product-category/outdoor-furniture-collections/extra-tall-chairs/</v>
      </c>
      <c r="O72" s="20" t="str">
        <f t="shared" si="11"/>
        <v>Outdoor Extra Tall Chairs</v>
      </c>
      <c r="P72" s="13" t="s">
        <v>344</v>
      </c>
      <c r="Q72" s="20" t="str">
        <f t="shared" ref="Q72:R72" si="29">$O72&amp;$P72</f>
        <v>Outdoor Extra Tall Chairs from Amish Country</v>
      </c>
      <c r="R72" s="20" t="str">
        <f t="shared" si="29"/>
        <v>Outdoor Extra Tall Chairs from Amish Country</v>
      </c>
      <c r="S72" s="13" t="s">
        <v>394</v>
      </c>
    </row>
    <row r="73">
      <c r="A73" s="46" t="s">
        <v>68</v>
      </c>
      <c r="B73" s="41" t="s">
        <v>398</v>
      </c>
      <c r="C73" s="29">
        <v>6792.0</v>
      </c>
      <c r="D73" s="10" t="s">
        <v>399</v>
      </c>
      <c r="E73" s="10" t="s">
        <v>399</v>
      </c>
      <c r="F73" s="10" t="s">
        <v>400</v>
      </c>
      <c r="G73" s="42" t="s">
        <v>401</v>
      </c>
      <c r="H73" s="10" t="s">
        <v>402</v>
      </c>
      <c r="I73" s="12">
        <v>250.0</v>
      </c>
      <c r="J73" s="12">
        <v>250.0</v>
      </c>
      <c r="K73" s="29">
        <f t="shared" si="30"/>
        <v>250</v>
      </c>
      <c r="M73" s="44" t="str">
        <f t="shared" si="12"/>
        <v>https://millwest.com/product-category/outdoor-furniture-collections/fire-pits/</v>
      </c>
      <c r="O73" s="20" t="str">
        <f t="shared" si="11"/>
        <v>Outdoor Fire Pits</v>
      </c>
      <c r="P73" s="13" t="s">
        <v>344</v>
      </c>
      <c r="Q73" s="13" t="s">
        <v>399</v>
      </c>
      <c r="R73" s="13" t="s">
        <v>399</v>
      </c>
      <c r="S73" s="20" t="str">
        <f>SUBSTITUTE(F73, D73, D73&amp;P73)</f>
        <v>Fire Pits from Amish Country from Amish Country crafted by Berlin Gardens. Weather-resistant poly construction extends your patio season into fall.</v>
      </c>
    </row>
    <row r="74">
      <c r="A74" s="46" t="s">
        <v>68</v>
      </c>
      <c r="B74" s="41" t="s">
        <v>403</v>
      </c>
      <c r="C74" s="29">
        <v>2002.0</v>
      </c>
      <c r="D74" s="10" t="s">
        <v>404</v>
      </c>
      <c r="E74" s="10" t="s">
        <v>404</v>
      </c>
      <c r="F74" s="10" t="s">
        <v>405</v>
      </c>
      <c r="G74" s="42" t="s">
        <v>406</v>
      </c>
      <c r="H74" s="10" t="s">
        <v>407</v>
      </c>
      <c r="I74" s="12">
        <v>0.0</v>
      </c>
      <c r="J74" s="12">
        <v>0.0</v>
      </c>
      <c r="K74" s="29">
        <v>150.0</v>
      </c>
      <c r="M74" s="44" t="str">
        <f t="shared" si="12"/>
        <v>https://millwest.com/product-category/outdoor-furniture-collections/gliders-single-seat/</v>
      </c>
      <c r="O74" s="20" t="str">
        <f t="shared" si="11"/>
        <v>Outdoor Gliders - Single Seat</v>
      </c>
      <c r="P74" s="13" t="s">
        <v>344</v>
      </c>
      <c r="Q74" s="13" t="s">
        <v>404</v>
      </c>
      <c r="R74" s="13" t="s">
        <v>404</v>
      </c>
      <c r="S74" s="13" t="s">
        <v>404</v>
      </c>
    </row>
    <row r="75">
      <c r="A75" s="46" t="s">
        <v>68</v>
      </c>
      <c r="B75" s="41" t="s">
        <v>408</v>
      </c>
      <c r="C75" s="29">
        <v>2002.0</v>
      </c>
      <c r="D75" s="10" t="s">
        <v>409</v>
      </c>
      <c r="E75" s="10" t="s">
        <v>409</v>
      </c>
      <c r="F75" s="10" t="s">
        <v>410</v>
      </c>
      <c r="G75" s="42" t="s">
        <v>411</v>
      </c>
      <c r="H75" s="10" t="s">
        <v>412</v>
      </c>
      <c r="I75" s="12">
        <v>0.0</v>
      </c>
      <c r="J75" s="12">
        <v>0.0</v>
      </c>
      <c r="K75" s="29">
        <v>225.0</v>
      </c>
      <c r="M75" s="44" t="str">
        <f t="shared" si="12"/>
        <v>https://millwest.com/product-category/outdoor-furniture-collections/gliders-double-seat/</v>
      </c>
      <c r="O75" s="20" t="str">
        <f t="shared" si="11"/>
        <v>Outdoor Gliders - Double Seat</v>
      </c>
      <c r="P75" s="13" t="s">
        <v>344</v>
      </c>
      <c r="Q75" s="13" t="s">
        <v>409</v>
      </c>
      <c r="R75" s="13" t="s">
        <v>409</v>
      </c>
      <c r="S75" s="13" t="s">
        <v>409</v>
      </c>
    </row>
    <row r="76">
      <c r="A76" s="46" t="s">
        <v>68</v>
      </c>
      <c r="B76" s="41" t="s">
        <v>413</v>
      </c>
      <c r="C76" s="29">
        <v>2002.0</v>
      </c>
      <c r="D76" s="10" t="s">
        <v>414</v>
      </c>
      <c r="E76" s="10" t="s">
        <v>414</v>
      </c>
      <c r="F76" s="10" t="s">
        <v>415</v>
      </c>
      <c r="G76" s="42" t="s">
        <v>416</v>
      </c>
      <c r="H76" s="10" t="s">
        <v>417</v>
      </c>
      <c r="I76" s="12">
        <v>300.0</v>
      </c>
      <c r="J76" s="12">
        <v>300.0</v>
      </c>
      <c r="K76" s="29">
        <f t="shared" ref="K76:K77" si="31">I76</f>
        <v>300</v>
      </c>
      <c r="M76" s="44" t="str">
        <f t="shared" si="12"/>
        <v>https://millwest.com/product-category/outdoor-furniture-collections/gliders-triple-seat/</v>
      </c>
      <c r="O76" s="20" t="str">
        <f t="shared" si="11"/>
        <v>Outdoor Gliders - Triple Seat</v>
      </c>
      <c r="P76" s="13" t="s">
        <v>344</v>
      </c>
      <c r="Q76" s="13" t="s">
        <v>414</v>
      </c>
      <c r="R76" s="13" t="s">
        <v>414</v>
      </c>
      <c r="S76" s="13" t="s">
        <v>414</v>
      </c>
    </row>
    <row r="77">
      <c r="A77" s="46" t="s">
        <v>68</v>
      </c>
      <c r="B77" s="43" t="s">
        <v>209</v>
      </c>
      <c r="C77" s="29">
        <v>6374.0</v>
      </c>
      <c r="D77" s="15" t="s">
        <v>418</v>
      </c>
      <c r="E77" s="15" t="s">
        <v>418</v>
      </c>
      <c r="F77" s="10" t="s">
        <v>419</v>
      </c>
      <c r="G77" s="42" t="s">
        <v>420</v>
      </c>
      <c r="H77" s="10" t="s">
        <v>213</v>
      </c>
      <c r="I77" s="12">
        <v>450.0</v>
      </c>
      <c r="J77" s="12">
        <v>450.0</v>
      </c>
      <c r="K77" s="29">
        <f t="shared" si="31"/>
        <v>450</v>
      </c>
      <c r="M77" s="44" t="str">
        <f t="shared" si="12"/>
        <v>https://millwest.com/product-category/outdoor-furniture-collections/islands/</v>
      </c>
      <c r="O77" s="20" t="str">
        <f t="shared" si="11"/>
        <v>Outdoor Islands</v>
      </c>
      <c r="P77" s="13" t="s">
        <v>344</v>
      </c>
      <c r="Q77" s="20" t="str">
        <f t="shared" ref="Q77:R77" si="32">$O77&amp;$P77</f>
        <v>Outdoor Islands from Amish Country</v>
      </c>
      <c r="R77" s="20" t="str">
        <f t="shared" si="32"/>
        <v>Outdoor Islands from Amish Country</v>
      </c>
      <c r="S77" s="20" t="str">
        <f>SUBSTITUTE(F77, D77, D77&amp;P77)</f>
        <v>Outdoor Islands from Amish Country from Amish Country built by Berlin Gardens. Weather-resistant poly anchors your patio for hosting year-round.</v>
      </c>
    </row>
    <row r="78">
      <c r="A78" s="46" t="s">
        <v>68</v>
      </c>
      <c r="B78" s="43" t="s">
        <v>421</v>
      </c>
      <c r="C78" s="29">
        <v>6367.0</v>
      </c>
      <c r="D78" s="10" t="s">
        <v>422</v>
      </c>
      <c r="E78" s="10" t="s">
        <v>422</v>
      </c>
      <c r="F78" s="10" t="s">
        <v>423</v>
      </c>
      <c r="G78" s="42" t="s">
        <v>424</v>
      </c>
      <c r="H78" s="10" t="s">
        <v>425</v>
      </c>
      <c r="I78" s="12">
        <v>0.0</v>
      </c>
      <c r="J78" s="12">
        <v>0.0</v>
      </c>
      <c r="K78" s="29">
        <v>35.0</v>
      </c>
      <c r="M78" s="44" t="str">
        <f t="shared" si="12"/>
        <v>https://millwest.com/product-category/outdoor-furniture-collections/kids/</v>
      </c>
      <c r="O78" s="20" t="str">
        <f t="shared" si="11"/>
        <v>Outdoor Kids</v>
      </c>
      <c r="P78" s="13" t="s">
        <v>344</v>
      </c>
      <c r="Q78" s="13" t="s">
        <v>422</v>
      </c>
      <c r="R78" s="13" t="s">
        <v>422</v>
      </c>
      <c r="S78" s="13" t="s">
        <v>422</v>
      </c>
    </row>
    <row r="79">
      <c r="A79" s="46" t="s">
        <v>68</v>
      </c>
      <c r="B79" s="43" t="s">
        <v>426</v>
      </c>
      <c r="C79" s="29">
        <v>500111.0</v>
      </c>
      <c r="D79" s="15" t="s">
        <v>427</v>
      </c>
      <c r="E79" s="15" t="s">
        <v>427</v>
      </c>
      <c r="F79" s="10" t="s">
        <v>428</v>
      </c>
      <c r="G79" s="42" t="s">
        <v>429</v>
      </c>
      <c r="H79" s="10" t="s">
        <v>430</v>
      </c>
      <c r="I79" s="12">
        <v>500.0</v>
      </c>
      <c r="J79" s="12">
        <v>500.0</v>
      </c>
      <c r="K79" s="29">
        <f t="shared" ref="K79:K80" si="34">I79</f>
        <v>500</v>
      </c>
      <c r="M79" s="44" t="str">
        <f t="shared" si="12"/>
        <v>https://millwest.com/product-category/outdoor-furniture-collections/lounges/</v>
      </c>
      <c r="O79" s="20" t="str">
        <f t="shared" si="11"/>
        <v>Outdoor Lounges</v>
      </c>
      <c r="P79" s="13" t="s">
        <v>344</v>
      </c>
      <c r="Q79" s="20" t="str">
        <f t="shared" ref="Q79:R79" si="33">$O79&amp;$P79</f>
        <v>Outdoor Lounges from Amish Country</v>
      </c>
      <c r="R79" s="20" t="str">
        <f t="shared" si="33"/>
        <v>Outdoor Lounges from Amish Country</v>
      </c>
      <c r="S79" s="20" t="str">
        <f t="shared" ref="S79:S81" si="36">SUBSTITUTE(F79, D79, D79&amp;P79)</f>
        <v>Outdoor Lounges from Amish Country from Amish Country crafted by Berlin Gardens. Weather-resistant poly chaise lounges built for poolside or patio.</v>
      </c>
    </row>
    <row r="80">
      <c r="A80" s="46" t="s">
        <v>68</v>
      </c>
      <c r="B80" s="43" t="s">
        <v>431</v>
      </c>
      <c r="C80" s="29">
        <v>4513.0</v>
      </c>
      <c r="D80" s="15" t="s">
        <v>432</v>
      </c>
      <c r="E80" s="15" t="s">
        <v>432</v>
      </c>
      <c r="F80" s="10" t="s">
        <v>433</v>
      </c>
      <c r="G80" s="42" t="s">
        <v>434</v>
      </c>
      <c r="H80" s="10" t="s">
        <v>435</v>
      </c>
      <c r="I80" s="12">
        <v>350.0</v>
      </c>
      <c r="J80" s="12">
        <v>350.0</v>
      </c>
      <c r="K80" s="29">
        <f t="shared" si="34"/>
        <v>350</v>
      </c>
      <c r="M80" s="44" t="str">
        <f t="shared" si="12"/>
        <v>https://millwest.com/product-category/outdoor-furniture-collections/loveseats/</v>
      </c>
      <c r="O80" s="20" t="str">
        <f t="shared" si="11"/>
        <v>Outdoor Loveseats</v>
      </c>
      <c r="P80" s="13" t="s">
        <v>344</v>
      </c>
      <c r="Q80" s="20" t="str">
        <f t="shared" ref="Q80:R80" si="35">$O80&amp;$P80</f>
        <v>Outdoor Loveseats from Amish Country</v>
      </c>
      <c r="R80" s="20" t="str">
        <f t="shared" si="35"/>
        <v>Outdoor Loveseats from Amish Country</v>
      </c>
      <c r="S80" s="20" t="str">
        <f t="shared" si="36"/>
        <v>Outdoor Loveseats from Amish Country from Amish Country by Berlin Gardens. Two-person poly seating built to handle sun, rain, and salt air.</v>
      </c>
    </row>
    <row r="81">
      <c r="A81" s="46" t="s">
        <v>68</v>
      </c>
      <c r="B81" s="43" t="s">
        <v>436</v>
      </c>
      <c r="C81" s="29">
        <v>6822.0</v>
      </c>
      <c r="D81" s="15" t="s">
        <v>437</v>
      </c>
      <c r="E81" s="15" t="s">
        <v>437</v>
      </c>
      <c r="F81" s="10" t="s">
        <v>438</v>
      </c>
      <c r="G81" s="42" t="s">
        <v>439</v>
      </c>
      <c r="H81" s="10" t="s">
        <v>440</v>
      </c>
      <c r="I81" s="12">
        <v>0.0</v>
      </c>
      <c r="J81" s="12">
        <v>0.0</v>
      </c>
      <c r="K81" s="29">
        <v>100.0</v>
      </c>
      <c r="M81" s="44" t="str">
        <f t="shared" si="12"/>
        <v>https://millwest.com/product-category/outdoor-furniture-collections/ottomans/</v>
      </c>
      <c r="O81" s="20" t="str">
        <f t="shared" si="11"/>
        <v>Outdoor Ottomans</v>
      </c>
      <c r="P81" s="13" t="s">
        <v>344</v>
      </c>
      <c r="Q81" s="20" t="str">
        <f t="shared" ref="Q81:R81" si="37">$O81&amp;$P81</f>
        <v>Outdoor Ottomans from Amish Country</v>
      </c>
      <c r="R81" s="20" t="str">
        <f t="shared" si="37"/>
        <v>Outdoor Ottomans from Amish Country</v>
      </c>
      <c r="S81" s="20" t="str">
        <f t="shared" si="36"/>
        <v>Outdoor Ottomans from Amish Country from Amish Country built by Berlin Gardens. Weather-resistant poly footstools for your favorite porch chair.</v>
      </c>
    </row>
    <row r="82">
      <c r="A82" s="46" t="s">
        <v>68</v>
      </c>
      <c r="B82" s="41" t="s">
        <v>441</v>
      </c>
      <c r="C82" s="29">
        <v>2684.0</v>
      </c>
      <c r="D82" s="15" t="s">
        <v>442</v>
      </c>
      <c r="E82" s="15" t="s">
        <v>442</v>
      </c>
      <c r="F82" s="10" t="s">
        <v>443</v>
      </c>
      <c r="G82" s="42" t="s">
        <v>444</v>
      </c>
      <c r="H82" s="10" t="s">
        <v>445</v>
      </c>
      <c r="I82" s="12">
        <v>400.0</v>
      </c>
      <c r="J82" s="12">
        <v>400.0</v>
      </c>
      <c r="K82" s="29">
        <f>I82</f>
        <v>400</v>
      </c>
      <c r="M82" s="44" t="str">
        <f t="shared" si="12"/>
        <v>https://millwest.com/product-category/outdoor-furniture-collections/picnic-tables/</v>
      </c>
      <c r="O82" s="20" t="str">
        <f t="shared" si="11"/>
        <v>Outdoor Picnic Tables</v>
      </c>
      <c r="P82" s="13" t="s">
        <v>344</v>
      </c>
      <c r="Q82" s="20" t="s">
        <v>442</v>
      </c>
      <c r="R82" s="20" t="s">
        <v>442</v>
      </c>
      <c r="S82" s="20" t="s">
        <v>442</v>
      </c>
    </row>
    <row r="83">
      <c r="A83" s="46" t="s">
        <v>68</v>
      </c>
      <c r="B83" s="43" t="s">
        <v>446</v>
      </c>
      <c r="C83" s="29">
        <v>6963.0</v>
      </c>
      <c r="D83" s="15" t="s">
        <v>447</v>
      </c>
      <c r="E83" s="15" t="s">
        <v>447</v>
      </c>
      <c r="F83" s="15" t="s">
        <v>447</v>
      </c>
      <c r="G83" s="50"/>
      <c r="H83" s="10" t="s">
        <v>448</v>
      </c>
      <c r="I83" s="12">
        <v>0.0</v>
      </c>
      <c r="J83" s="12">
        <v>0.0</v>
      </c>
      <c r="K83" s="29">
        <v>25.0</v>
      </c>
      <c r="M83" s="44" t="str">
        <f t="shared" si="12"/>
        <v>https://millwest.com/product-category/outdoor-furniture-collections/pillows/</v>
      </c>
      <c r="O83" s="20" t="str">
        <f t="shared" si="11"/>
        <v>Outdoor Pillows</v>
      </c>
      <c r="P83" s="13" t="s">
        <v>344</v>
      </c>
      <c r="Q83" s="20" t="str">
        <f t="shared" ref="Q83:R83" si="38">$O83&amp;$P83</f>
        <v>Outdoor Pillows from Amish Country</v>
      </c>
      <c r="R83" s="20" t="str">
        <f t="shared" si="38"/>
        <v>Outdoor Pillows from Amish Country</v>
      </c>
      <c r="S83" s="20" t="str">
        <f t="shared" ref="S83:S90" si="40">SUBSTITUTE(F83, D83, D83&amp;P83)</f>
        <v>Outdoor Pillows from Amish Country from Amish Country</v>
      </c>
    </row>
    <row r="84">
      <c r="A84" s="46" t="s">
        <v>68</v>
      </c>
      <c r="B84" s="43" t="s">
        <v>449</v>
      </c>
      <c r="C84" s="29">
        <v>2002.0</v>
      </c>
      <c r="D84" s="15" t="s">
        <v>450</v>
      </c>
      <c r="E84" s="15" t="s">
        <v>450</v>
      </c>
      <c r="F84" s="10" t="s">
        <v>451</v>
      </c>
      <c r="G84" s="42" t="s">
        <v>452</v>
      </c>
      <c r="H84" s="10" t="s">
        <v>453</v>
      </c>
      <c r="I84" s="12">
        <v>175.0</v>
      </c>
      <c r="J84" s="12">
        <v>175.0</v>
      </c>
      <c r="K84" s="29">
        <f>I84</f>
        <v>175</v>
      </c>
      <c r="M84" s="44" t="str">
        <f t="shared" si="12"/>
        <v>https://millwest.com/product-category/outdoor-furniture-collections/rockers/</v>
      </c>
      <c r="O84" s="20" t="str">
        <f t="shared" si="11"/>
        <v>Outdoor Rockers</v>
      </c>
      <c r="P84" s="13" t="s">
        <v>344</v>
      </c>
      <c r="Q84" s="20" t="str">
        <f t="shared" ref="Q84:R84" si="39">$O84&amp;$P84</f>
        <v>Outdoor Rockers from Amish Country</v>
      </c>
      <c r="R84" s="20" t="str">
        <f t="shared" si="39"/>
        <v>Outdoor Rockers from Amish Country</v>
      </c>
      <c r="S84" s="20" t="str">
        <f t="shared" si="40"/>
        <v>Outdoor Rockers from Amish Country from Amish Country crafted by Berlin Gardens. Weather-resistant poly porch rockers built for slow afternoons.</v>
      </c>
    </row>
    <row r="85">
      <c r="A85" s="46" t="s">
        <v>68</v>
      </c>
      <c r="B85" s="43" t="s">
        <v>454</v>
      </c>
      <c r="C85" s="29">
        <v>598.0</v>
      </c>
      <c r="D85" s="15" t="s">
        <v>455</v>
      </c>
      <c r="E85" s="15" t="s">
        <v>455</v>
      </c>
      <c r="F85" s="10" t="s">
        <v>456</v>
      </c>
      <c r="G85" s="42" t="s">
        <v>457</v>
      </c>
      <c r="H85" s="10" t="s">
        <v>458</v>
      </c>
      <c r="I85" s="12">
        <v>0.0</v>
      </c>
      <c r="J85" s="12">
        <v>0.0</v>
      </c>
      <c r="K85" s="29">
        <v>25.0</v>
      </c>
      <c r="M85" s="44" t="str">
        <f t="shared" si="12"/>
        <v>https://millwest.com/product-category/outdoor-furniture-collections/rugs/</v>
      </c>
      <c r="O85" s="20" t="str">
        <f t="shared" si="11"/>
        <v>Outdoor Rugs</v>
      </c>
      <c r="P85" s="13" t="s">
        <v>344</v>
      </c>
      <c r="Q85" s="20" t="str">
        <f t="shared" ref="Q85:R85" si="41">$O85&amp;$P85</f>
        <v>Outdoor Rugs from Amish Country</v>
      </c>
      <c r="R85" s="20" t="str">
        <f t="shared" si="41"/>
        <v>Outdoor Rugs from Amish Country</v>
      </c>
      <c r="S85" s="20" t="str">
        <f t="shared" si="40"/>
        <v>Outdoor Rugs from Amish Country from Amish Country by Berlin Gardens. Weather-resistant rugs that turn your patio into a finished room.</v>
      </c>
    </row>
    <row r="86">
      <c r="A86" s="46" t="s">
        <v>68</v>
      </c>
      <c r="B86" s="43" t="s">
        <v>459</v>
      </c>
      <c r="C86" s="29">
        <v>500111.0</v>
      </c>
      <c r="D86" s="15" t="s">
        <v>460</v>
      </c>
      <c r="E86" s="15" t="s">
        <v>460</v>
      </c>
      <c r="F86" s="10" t="s">
        <v>461</v>
      </c>
      <c r="G86" s="42" t="s">
        <v>462</v>
      </c>
      <c r="H86" s="10" t="s">
        <v>463</v>
      </c>
      <c r="I86" s="12">
        <v>550.0</v>
      </c>
      <c r="J86" s="12">
        <v>550.0</v>
      </c>
      <c r="K86" s="29">
        <f t="shared" ref="K86:K87" si="43">I86</f>
        <v>550</v>
      </c>
      <c r="L86" s="29"/>
      <c r="M86" s="44" t="str">
        <f t="shared" si="12"/>
        <v>https://millwest.com/product-category/outdoor-furniture-collections/sectionals/</v>
      </c>
      <c r="O86" s="20" t="str">
        <f t="shared" si="11"/>
        <v>Outdoor Sectionals</v>
      </c>
      <c r="P86" s="13" t="s">
        <v>344</v>
      </c>
      <c r="Q86" s="20" t="str">
        <f t="shared" ref="Q86:R86" si="42">$O86&amp;$P86</f>
        <v>Outdoor Sectionals from Amish Country</v>
      </c>
      <c r="R86" s="20" t="str">
        <f t="shared" si="42"/>
        <v>Outdoor Sectionals from Amish Country</v>
      </c>
      <c r="S86" s="20" t="str">
        <f t="shared" si="40"/>
        <v>Outdoor Sectionals from Amish Country from Amish Country by Berlin Gardens. Weather-resistant poly sectionals built for hosting on the patio.</v>
      </c>
    </row>
    <row r="87">
      <c r="A87" s="46" t="s">
        <v>68</v>
      </c>
      <c r="B87" s="43" t="s">
        <v>464</v>
      </c>
      <c r="C87" s="29">
        <v>4513.0</v>
      </c>
      <c r="D87" s="15" t="s">
        <v>465</v>
      </c>
      <c r="E87" s="15" t="s">
        <v>465</v>
      </c>
      <c r="F87" s="10" t="s">
        <v>466</v>
      </c>
      <c r="G87" s="42" t="s">
        <v>467</v>
      </c>
      <c r="H87" s="10" t="s">
        <v>468</v>
      </c>
      <c r="I87" s="12">
        <v>450.0</v>
      </c>
      <c r="J87" s="12">
        <v>450.0</v>
      </c>
      <c r="K87" s="29">
        <f t="shared" si="43"/>
        <v>450</v>
      </c>
      <c r="M87" s="44" t="str">
        <f t="shared" si="12"/>
        <v>https://millwest.com/product-category/outdoor-furniture-collections/sofas/</v>
      </c>
      <c r="O87" s="20" t="str">
        <f t="shared" si="11"/>
        <v>Outdoor Sofas</v>
      </c>
      <c r="P87" s="13" t="s">
        <v>344</v>
      </c>
      <c r="Q87" s="20" t="str">
        <f t="shared" ref="Q87:R87" si="44">$O87&amp;$P87</f>
        <v>Outdoor Sofas from Amish Country</v>
      </c>
      <c r="R87" s="20" t="str">
        <f t="shared" si="44"/>
        <v>Outdoor Sofas from Amish Country</v>
      </c>
      <c r="S87" s="20" t="str">
        <f t="shared" si="40"/>
        <v>Outdoor Sofas from Amish Country from Amish Country crafted by Berlin Gardens. Weather-resistant poly sofas anchor your patio seating year-round.</v>
      </c>
    </row>
    <row r="88">
      <c r="A88" s="46" t="s">
        <v>68</v>
      </c>
      <c r="B88" s="43" t="s">
        <v>469</v>
      </c>
      <c r="C88" s="29">
        <v>1463.0</v>
      </c>
      <c r="D88" s="15" t="s">
        <v>470</v>
      </c>
      <c r="E88" s="15" t="s">
        <v>470</v>
      </c>
      <c r="F88" s="10" t="s">
        <v>471</v>
      </c>
      <c r="G88" s="42" t="s">
        <v>472</v>
      </c>
      <c r="H88" s="10" t="s">
        <v>473</v>
      </c>
      <c r="I88" s="12">
        <v>0.0</v>
      </c>
      <c r="J88" s="12">
        <v>0.0</v>
      </c>
      <c r="K88" s="29">
        <v>75.0</v>
      </c>
      <c r="M88" s="44" t="str">
        <f t="shared" si="12"/>
        <v>https://millwest.com/product-category/outdoor-furniture-collections/stools/</v>
      </c>
      <c r="O88" s="20" t="str">
        <f t="shared" si="11"/>
        <v>Outdoor Stools</v>
      </c>
      <c r="P88" s="13" t="s">
        <v>344</v>
      </c>
      <c r="Q88" s="20" t="str">
        <f t="shared" ref="Q88:R88" si="45">$O88&amp;$P88</f>
        <v>Outdoor Stools from Amish Country</v>
      </c>
      <c r="R88" s="20" t="str">
        <f t="shared" si="45"/>
        <v>Outdoor Stools from Amish Country</v>
      </c>
      <c r="S88" s="20" t="str">
        <f t="shared" si="40"/>
        <v>Outdoor Stools from Amish Country from Amish Country by Berlin Gardens. Weather-resistant poly bar stools that slide neatly under any island.</v>
      </c>
    </row>
    <row r="89">
      <c r="A89" s="46" t="s">
        <v>68</v>
      </c>
      <c r="B89" s="43" t="s">
        <v>474</v>
      </c>
      <c r="C89" s="29">
        <v>718.0</v>
      </c>
      <c r="D89" s="15" t="s">
        <v>475</v>
      </c>
      <c r="E89" s="15" t="s">
        <v>475</v>
      </c>
      <c r="F89" s="10" t="s">
        <v>476</v>
      </c>
      <c r="G89" s="42" t="s">
        <v>477</v>
      </c>
      <c r="H89" s="10" t="s">
        <v>478</v>
      </c>
      <c r="I89" s="12">
        <v>300.0</v>
      </c>
      <c r="J89" s="12">
        <v>300.0</v>
      </c>
      <c r="K89" s="29">
        <f>I89</f>
        <v>300</v>
      </c>
      <c r="M89" s="44" t="str">
        <f t="shared" si="12"/>
        <v>https://millwest.com/product-category/outdoor-furniture-collections/swings/</v>
      </c>
      <c r="O89" s="20" t="str">
        <f t="shared" ref="O89:O90" si="47">B89</f>
        <v>Swings</v>
      </c>
      <c r="P89" s="13" t="s">
        <v>344</v>
      </c>
      <c r="Q89" s="20" t="str">
        <f t="shared" ref="Q89:R89" si="46">$O89&amp;$P89</f>
        <v>Swings from Amish Country</v>
      </c>
      <c r="R89" s="20" t="str">
        <f t="shared" si="46"/>
        <v>Swings from Amish Country</v>
      </c>
      <c r="S89" s="20" t="str">
        <f t="shared" si="40"/>
        <v>Swings from Amish Country from Amish Country crafted by Berlin Gardens. Classic porch swings in weather-resistant poly that won't warp or fade.</v>
      </c>
    </row>
    <row r="90">
      <c r="A90" s="46" t="s">
        <v>68</v>
      </c>
      <c r="B90" s="43" t="s">
        <v>479</v>
      </c>
      <c r="C90" s="29">
        <v>719.0</v>
      </c>
      <c r="D90" s="15" t="s">
        <v>480</v>
      </c>
      <c r="E90" s="15" t="s">
        <v>480</v>
      </c>
      <c r="F90" s="10" t="s">
        <v>481</v>
      </c>
      <c r="G90" s="42" t="s">
        <v>482</v>
      </c>
      <c r="H90" s="10" t="s">
        <v>483</v>
      </c>
      <c r="I90" s="12">
        <v>0.0</v>
      </c>
      <c r="J90" s="12">
        <v>0.0</v>
      </c>
      <c r="K90" s="29">
        <v>50.0</v>
      </c>
      <c r="M90" s="44" t="str">
        <f t="shared" si="12"/>
        <v>https://millwest.com/product-category/outdoor-furniture-collections/umbrellas/</v>
      </c>
      <c r="O90" s="20" t="str">
        <f t="shared" si="47"/>
        <v>Umbrellas</v>
      </c>
      <c r="P90" s="13" t="s">
        <v>344</v>
      </c>
      <c r="Q90" s="20" t="str">
        <f t="shared" ref="Q90:R90" si="48">$O90&amp;$P90</f>
        <v>Umbrellas from Amish Country</v>
      </c>
      <c r="R90" s="20" t="str">
        <f t="shared" si="48"/>
        <v>Umbrellas from Amish Country</v>
      </c>
      <c r="S90" s="20" t="str">
        <f t="shared" si="40"/>
        <v>Umbrellas from Amish Country from Amish Country by Berlin Gardens. Weather-resistant outdoor umbrellas that turn sunny patios into lingering lunches.</v>
      </c>
    </row>
    <row r="91">
      <c r="A91" s="46" t="s">
        <v>75</v>
      </c>
      <c r="B91" s="46" t="s">
        <v>75</v>
      </c>
      <c r="C91" s="29">
        <v>6271.0</v>
      </c>
      <c r="D91" s="10" t="s">
        <v>484</v>
      </c>
      <c r="E91" s="10" t="s">
        <v>484</v>
      </c>
      <c r="F91" s="10" t="s">
        <v>485</v>
      </c>
      <c r="G91" s="42" t="s">
        <v>486</v>
      </c>
      <c r="H91" s="10" t="s">
        <v>487</v>
      </c>
      <c r="I91" s="12"/>
      <c r="J91" s="12"/>
      <c r="K91" s="29" t="str">
        <f>I91</f>
        <v/>
      </c>
      <c r="M91" s="45" t="s">
        <v>158</v>
      </c>
      <c r="O91" s="20" t="str">
        <f>A91&amp; " "&amp;B91</f>
        <v>Playsets Playsets</v>
      </c>
    </row>
    <row r="92">
      <c r="A92" s="55" t="s">
        <v>81</v>
      </c>
      <c r="B92" s="52" t="s">
        <v>488</v>
      </c>
      <c r="C92" s="56">
        <v>2613.0</v>
      </c>
      <c r="D92" s="22" t="s">
        <v>489</v>
      </c>
      <c r="E92" s="22" t="s">
        <v>489</v>
      </c>
      <c r="F92" s="22" t="s">
        <v>490</v>
      </c>
      <c r="G92" s="42" t="s">
        <v>491</v>
      </c>
      <c r="H92" s="22" t="s">
        <v>492</v>
      </c>
      <c r="I92" s="57"/>
      <c r="J92" s="57"/>
      <c r="K92" s="56"/>
      <c r="L92" s="58"/>
      <c r="M92" s="45"/>
      <c r="N92" s="58"/>
      <c r="O92" s="59" t="s">
        <v>493</v>
      </c>
      <c r="P92" s="58"/>
      <c r="Q92" s="58"/>
      <c r="R92" s="58"/>
      <c r="S92" s="58"/>
      <c r="T92" s="58"/>
      <c r="U92" s="58"/>
      <c r="V92" s="58"/>
      <c r="W92" s="58"/>
      <c r="X92" s="58"/>
      <c r="Y92" s="58"/>
      <c r="Z92" s="58"/>
      <c r="AA92" s="58"/>
      <c r="AB92" s="58"/>
      <c r="AC92" s="58"/>
      <c r="AD92" s="58"/>
      <c r="AE92" s="58"/>
      <c r="AF92" s="58"/>
      <c r="AG92" s="58"/>
      <c r="AH92" s="58"/>
      <c r="AI92" s="58"/>
      <c r="AJ92" s="58"/>
      <c r="AK92" s="58"/>
    </row>
    <row r="93">
      <c r="A93" s="55" t="s">
        <v>81</v>
      </c>
      <c r="B93" s="52" t="s">
        <v>494</v>
      </c>
      <c r="C93" s="56">
        <v>2613.0</v>
      </c>
      <c r="D93" s="22" t="s">
        <v>495</v>
      </c>
      <c r="E93" s="22" t="s">
        <v>495</v>
      </c>
      <c r="F93" s="22" t="s">
        <v>496</v>
      </c>
      <c r="G93" s="42" t="s">
        <v>497</v>
      </c>
      <c r="H93" s="22" t="s">
        <v>498</v>
      </c>
      <c r="I93" s="57"/>
      <c r="J93" s="57"/>
      <c r="K93" s="56"/>
      <c r="L93" s="58"/>
      <c r="M93" s="45"/>
      <c r="N93" s="58"/>
      <c r="O93" s="59" t="s">
        <v>499</v>
      </c>
      <c r="P93" s="58"/>
      <c r="Q93" s="58"/>
      <c r="R93" s="58"/>
      <c r="S93" s="58"/>
      <c r="T93" s="58"/>
      <c r="U93" s="58"/>
      <c r="V93" s="58"/>
      <c r="W93" s="58"/>
      <c r="X93" s="58"/>
      <c r="Y93" s="58"/>
      <c r="Z93" s="58"/>
      <c r="AA93" s="58"/>
      <c r="AB93" s="58"/>
      <c r="AC93" s="58"/>
      <c r="AD93" s="58"/>
      <c r="AE93" s="58"/>
      <c r="AF93" s="58"/>
      <c r="AG93" s="58"/>
      <c r="AH93" s="58"/>
      <c r="AI93" s="58"/>
      <c r="AJ93" s="58"/>
      <c r="AK93" s="58"/>
    </row>
    <row r="94">
      <c r="A94" s="55" t="s">
        <v>81</v>
      </c>
      <c r="B94" s="52" t="s">
        <v>500</v>
      </c>
      <c r="C94" s="56">
        <v>2613.0</v>
      </c>
      <c r="D94" s="22" t="s">
        <v>501</v>
      </c>
      <c r="E94" s="22" t="s">
        <v>501</v>
      </c>
      <c r="F94" s="22" t="s">
        <v>502</v>
      </c>
      <c r="G94" s="42" t="s">
        <v>503</v>
      </c>
      <c r="H94" s="22" t="s">
        <v>504</v>
      </c>
      <c r="I94" s="57"/>
      <c r="J94" s="57"/>
      <c r="K94" s="56" t="str">
        <f t="shared" ref="K94:K100" si="49">I94</f>
        <v/>
      </c>
      <c r="L94" s="58"/>
      <c r="M94" s="60" t="str">
        <f t="shared" ref="M94:M100" si="50">"https://millwest.com/product-category/" &amp; lower(A94) &amp; "-collections/"&amp;H94&amp;"/"</f>
        <v>https://millwest.com/product-category/structures-collections/gazebos/</v>
      </c>
      <c r="N94" s="58"/>
      <c r="O94" s="58" t="str">
        <f t="shared" ref="O94:O100" si="51">A94&amp; " "&amp;B94</f>
        <v>Structures Gazebos</v>
      </c>
      <c r="P94" s="58"/>
      <c r="Q94" s="58"/>
      <c r="R94" s="58"/>
      <c r="S94" s="58"/>
      <c r="T94" s="58"/>
      <c r="U94" s="58"/>
      <c r="V94" s="58"/>
      <c r="W94" s="58"/>
      <c r="X94" s="58"/>
      <c r="Y94" s="58"/>
      <c r="Z94" s="58"/>
      <c r="AA94" s="58"/>
      <c r="AB94" s="58"/>
      <c r="AC94" s="58"/>
      <c r="AD94" s="58"/>
      <c r="AE94" s="58"/>
      <c r="AF94" s="58"/>
      <c r="AG94" s="58"/>
      <c r="AH94" s="58"/>
      <c r="AI94" s="58"/>
      <c r="AJ94" s="58"/>
      <c r="AK94" s="58"/>
    </row>
    <row r="95">
      <c r="A95" s="10" t="s">
        <v>88</v>
      </c>
      <c r="B95" s="41" t="s">
        <v>192</v>
      </c>
      <c r="C95" s="29">
        <v>6499.0</v>
      </c>
      <c r="D95" s="10" t="s">
        <v>505</v>
      </c>
      <c r="E95" s="10" t="s">
        <v>505</v>
      </c>
      <c r="F95" s="10" t="s">
        <v>506</v>
      </c>
      <c r="G95" s="42" t="s">
        <v>507</v>
      </c>
      <c r="H95" s="10" t="s">
        <v>508</v>
      </c>
      <c r="I95" s="12">
        <v>250.0</v>
      </c>
      <c r="J95" s="12">
        <v>250.0</v>
      </c>
      <c r="K95" s="29">
        <f t="shared" si="49"/>
        <v>250</v>
      </c>
      <c r="M95" s="44" t="str">
        <f t="shared" si="50"/>
        <v>https://millwest.com/product-category/upholstery-collections/chairs-upholstery/</v>
      </c>
      <c r="O95" s="20" t="str">
        <f t="shared" si="51"/>
        <v>Upholstery Chairs</v>
      </c>
    </row>
    <row r="96">
      <c r="A96" s="10" t="s">
        <v>88</v>
      </c>
      <c r="B96" s="41" t="s">
        <v>431</v>
      </c>
      <c r="C96" s="29">
        <v>460.0</v>
      </c>
      <c r="D96" s="10" t="s">
        <v>509</v>
      </c>
      <c r="E96" s="10" t="s">
        <v>509</v>
      </c>
      <c r="F96" s="10" t="s">
        <v>510</v>
      </c>
      <c r="G96" s="42" t="s">
        <v>511</v>
      </c>
      <c r="H96" s="10" t="s">
        <v>512</v>
      </c>
      <c r="I96" s="12">
        <v>350.0</v>
      </c>
      <c r="J96" s="12">
        <v>350.0</v>
      </c>
      <c r="K96" s="29">
        <f t="shared" si="49"/>
        <v>350</v>
      </c>
      <c r="M96" s="44" t="str">
        <f t="shared" si="50"/>
        <v>https://millwest.com/product-category/upholstery-collections/loveseats-upholstery/</v>
      </c>
      <c r="O96" s="20" t="str">
        <f t="shared" si="51"/>
        <v>Upholstery Loveseats</v>
      </c>
    </row>
    <row r="97">
      <c r="A97" s="10" t="s">
        <v>88</v>
      </c>
      <c r="B97" s="41" t="s">
        <v>436</v>
      </c>
      <c r="C97" s="29">
        <v>458.0</v>
      </c>
      <c r="D97" s="10" t="s">
        <v>513</v>
      </c>
      <c r="E97" s="10" t="s">
        <v>513</v>
      </c>
      <c r="F97" s="10" t="s">
        <v>514</v>
      </c>
      <c r="G97" s="42" t="s">
        <v>515</v>
      </c>
      <c r="H97" s="10" t="s">
        <v>516</v>
      </c>
      <c r="I97" s="12">
        <v>65.0</v>
      </c>
      <c r="J97" s="12">
        <v>65.0</v>
      </c>
      <c r="K97" s="29">
        <f t="shared" si="49"/>
        <v>65</v>
      </c>
      <c r="M97" s="44" t="str">
        <f t="shared" si="50"/>
        <v>https://millwest.com/product-category/upholstery-collections/ottomans-upholstery/</v>
      </c>
      <c r="O97" s="20" t="str">
        <f t="shared" si="51"/>
        <v>Upholstery Ottomans</v>
      </c>
    </row>
    <row r="98">
      <c r="A98" s="10" t="s">
        <v>88</v>
      </c>
      <c r="B98" s="41" t="s">
        <v>459</v>
      </c>
      <c r="C98" s="29">
        <v>500064.0</v>
      </c>
      <c r="D98" s="10" t="s">
        <v>517</v>
      </c>
      <c r="E98" s="10" t="s">
        <v>517</v>
      </c>
      <c r="F98" s="10" t="s">
        <v>518</v>
      </c>
      <c r="G98" s="42" t="s">
        <v>519</v>
      </c>
      <c r="H98" s="10" t="s">
        <v>520</v>
      </c>
      <c r="I98" s="12">
        <v>550.0</v>
      </c>
      <c r="J98" s="12">
        <v>550.0</v>
      </c>
      <c r="K98" s="29">
        <f t="shared" si="49"/>
        <v>550</v>
      </c>
      <c r="M98" s="44" t="str">
        <f t="shared" si="50"/>
        <v>https://millwest.com/product-category/upholstery-collections/sectionals-upholstery/</v>
      </c>
      <c r="O98" s="20" t="str">
        <f t="shared" si="51"/>
        <v>Upholstery Sectionals</v>
      </c>
    </row>
    <row r="99">
      <c r="A99" s="10" t="s">
        <v>88</v>
      </c>
      <c r="B99" s="41" t="s">
        <v>464</v>
      </c>
      <c r="C99" s="29">
        <v>460.0</v>
      </c>
      <c r="D99" s="10" t="s">
        <v>521</v>
      </c>
      <c r="E99" s="10" t="s">
        <v>521</v>
      </c>
      <c r="F99" s="10" t="s">
        <v>522</v>
      </c>
      <c r="G99" s="42" t="s">
        <v>523</v>
      </c>
      <c r="H99" s="10" t="s">
        <v>524</v>
      </c>
      <c r="I99" s="12">
        <v>450.0</v>
      </c>
      <c r="J99" s="12">
        <v>450.0</v>
      </c>
      <c r="K99" s="29">
        <f t="shared" si="49"/>
        <v>450</v>
      </c>
      <c r="L99" s="29"/>
      <c r="M99" s="44" t="str">
        <f t="shared" si="50"/>
        <v>https://millwest.com/product-category/upholstery-collections/sofas-upholstery/</v>
      </c>
      <c r="O99" s="20" t="str">
        <f t="shared" si="51"/>
        <v>Upholstery Sofas</v>
      </c>
    </row>
    <row r="100">
      <c r="A100" s="10" t="s">
        <v>88</v>
      </c>
      <c r="B100" s="41" t="s">
        <v>525</v>
      </c>
      <c r="C100" s="29">
        <v>7212.0</v>
      </c>
      <c r="D100" s="10" t="s">
        <v>526</v>
      </c>
      <c r="E100" s="10" t="s">
        <v>526</v>
      </c>
      <c r="F100" s="10" t="s">
        <v>527</v>
      </c>
      <c r="G100" s="42" t="s">
        <v>528</v>
      </c>
      <c r="H100" s="10" t="s">
        <v>529</v>
      </c>
      <c r="I100" s="12">
        <v>1.0</v>
      </c>
      <c r="J100" s="12">
        <v>1.0</v>
      </c>
      <c r="K100" s="29">
        <f t="shared" si="49"/>
        <v>1</v>
      </c>
      <c r="M100" s="44" t="str">
        <f t="shared" si="50"/>
        <v>https://millwest.com/product-category/upholstery-collections/swatches/</v>
      </c>
      <c r="O100" s="20" t="str">
        <f t="shared" si="51"/>
        <v>Upholstery Swatches</v>
      </c>
    </row>
    <row r="101">
      <c r="A101" s="43"/>
      <c r="B101" s="43"/>
      <c r="G101" s="50"/>
      <c r="I101" s="28"/>
      <c r="J101" s="28"/>
    </row>
    <row r="102">
      <c r="A102" s="43"/>
      <c r="B102" s="43"/>
      <c r="G102" s="50"/>
      <c r="I102" s="28"/>
      <c r="J102" s="28"/>
    </row>
    <row r="103">
      <c r="A103" s="43"/>
      <c r="B103" s="43"/>
      <c r="G103" s="50"/>
      <c r="I103" s="28"/>
      <c r="J103" s="28"/>
    </row>
    <row r="104">
      <c r="A104" s="43"/>
      <c r="B104" s="41"/>
      <c r="G104" s="50"/>
      <c r="I104" s="28"/>
      <c r="J104" s="28"/>
    </row>
    <row r="105">
      <c r="A105" s="43"/>
      <c r="B105" s="43"/>
      <c r="G105" s="50"/>
      <c r="I105" s="28"/>
      <c r="J105" s="28"/>
    </row>
    <row r="106">
      <c r="A106" s="61"/>
      <c r="B106" s="43"/>
      <c r="G106" s="50"/>
      <c r="I106" s="28"/>
      <c r="J106" s="28"/>
    </row>
    <row r="107">
      <c r="A107" s="61"/>
      <c r="B107" s="43"/>
      <c r="G107" s="50"/>
      <c r="I107" s="28"/>
      <c r="J107" s="28"/>
    </row>
    <row r="108">
      <c r="A108" s="61"/>
      <c r="B108" s="43"/>
      <c r="G108" s="50"/>
      <c r="I108" s="28"/>
      <c r="J108" s="28"/>
    </row>
    <row r="109">
      <c r="A109" s="61"/>
      <c r="B109" s="43"/>
      <c r="G109" s="50"/>
      <c r="I109" s="28"/>
      <c r="J109" s="28"/>
    </row>
    <row r="110">
      <c r="A110" s="61"/>
      <c r="B110" s="43"/>
      <c r="G110" s="50"/>
      <c r="I110" s="28"/>
      <c r="J110" s="28"/>
    </row>
    <row r="111">
      <c r="A111" s="61"/>
      <c r="B111" s="43"/>
      <c r="G111" s="50"/>
      <c r="I111" s="28"/>
      <c r="J111" s="28"/>
    </row>
    <row r="112">
      <c r="A112" s="61"/>
      <c r="B112" s="43"/>
      <c r="G112" s="50"/>
      <c r="I112" s="28"/>
      <c r="J112" s="28"/>
    </row>
    <row r="113">
      <c r="A113" s="61"/>
      <c r="B113" s="43"/>
      <c r="G113" s="50"/>
      <c r="I113" s="28"/>
      <c r="J113" s="28"/>
    </row>
    <row r="114">
      <c r="A114" s="61"/>
      <c r="B114" s="43"/>
      <c r="G114" s="50"/>
      <c r="I114" s="28"/>
      <c r="J114" s="28"/>
    </row>
    <row r="115">
      <c r="A115" s="61"/>
      <c r="B115" s="43"/>
      <c r="G115" s="50"/>
      <c r="I115" s="28"/>
      <c r="J115" s="28"/>
    </row>
    <row r="116">
      <c r="A116" s="61"/>
      <c r="B116" s="43"/>
      <c r="G116" s="50"/>
      <c r="I116" s="28"/>
      <c r="J116" s="28"/>
    </row>
    <row r="117">
      <c r="A117" s="61"/>
      <c r="B117" s="43"/>
      <c r="G117" s="50"/>
      <c r="I117" s="28"/>
      <c r="J117" s="28"/>
    </row>
    <row r="118">
      <c r="A118" s="61"/>
      <c r="B118" s="43"/>
      <c r="G118" s="50"/>
      <c r="I118" s="28"/>
      <c r="J118" s="28"/>
    </row>
    <row r="119">
      <c r="A119" s="61"/>
      <c r="B119" s="43"/>
      <c r="G119" s="50"/>
      <c r="I119" s="28"/>
      <c r="J119" s="28"/>
    </row>
    <row r="120">
      <c r="A120" s="61"/>
      <c r="B120" s="43"/>
      <c r="G120" s="50"/>
      <c r="I120" s="28"/>
      <c r="J120" s="28"/>
    </row>
    <row r="121">
      <c r="A121" s="61"/>
      <c r="B121" s="43"/>
      <c r="G121" s="50"/>
      <c r="I121" s="28"/>
      <c r="J121" s="28"/>
    </row>
    <row r="122">
      <c r="A122" s="61"/>
      <c r="B122" s="43"/>
      <c r="G122" s="50"/>
      <c r="I122" s="28"/>
      <c r="J122" s="28"/>
    </row>
    <row r="123">
      <c r="A123" s="61"/>
      <c r="B123" s="43"/>
      <c r="G123" s="50"/>
      <c r="I123" s="28"/>
      <c r="J123" s="28"/>
    </row>
    <row r="124">
      <c r="A124" s="61"/>
      <c r="B124" s="43"/>
      <c r="G124" s="50"/>
      <c r="I124" s="28"/>
      <c r="J124" s="28"/>
    </row>
    <row r="125">
      <c r="A125" s="61"/>
      <c r="B125" s="43"/>
      <c r="G125" s="50"/>
      <c r="I125" s="28"/>
      <c r="J125" s="28"/>
    </row>
    <row r="126">
      <c r="A126" s="61"/>
      <c r="B126" s="43"/>
      <c r="G126" s="50"/>
      <c r="I126" s="28"/>
      <c r="J126" s="28"/>
    </row>
    <row r="127">
      <c r="A127" s="61"/>
      <c r="B127" s="43"/>
      <c r="G127" s="50"/>
      <c r="I127" s="28"/>
      <c r="J127" s="28"/>
    </row>
    <row r="128">
      <c r="A128" s="61"/>
      <c r="B128" s="43"/>
      <c r="G128" s="50"/>
      <c r="I128" s="28"/>
      <c r="J128" s="28"/>
    </row>
    <row r="129">
      <c r="A129" s="61"/>
      <c r="B129" s="43"/>
      <c r="G129" s="50"/>
      <c r="I129" s="28"/>
      <c r="J129" s="28"/>
    </row>
    <row r="130">
      <c r="A130" s="61"/>
      <c r="B130" s="43"/>
      <c r="G130" s="50"/>
      <c r="I130" s="28"/>
      <c r="J130" s="28"/>
    </row>
    <row r="131">
      <c r="A131" s="61"/>
      <c r="B131" s="43"/>
      <c r="G131" s="50"/>
      <c r="I131" s="28"/>
      <c r="J131" s="28"/>
    </row>
    <row r="132">
      <c r="A132" s="61"/>
      <c r="B132" s="43"/>
      <c r="G132" s="50"/>
      <c r="I132" s="28"/>
      <c r="J132" s="28"/>
    </row>
    <row r="133">
      <c r="A133" s="61"/>
      <c r="B133" s="43"/>
      <c r="G133" s="50"/>
      <c r="I133" s="28"/>
      <c r="J133" s="28"/>
    </row>
    <row r="134">
      <c r="A134" s="61"/>
      <c r="B134" s="43"/>
      <c r="G134" s="50"/>
      <c r="I134" s="28"/>
      <c r="J134" s="28"/>
    </row>
    <row r="135">
      <c r="A135" s="61"/>
      <c r="B135" s="43"/>
      <c r="G135" s="50"/>
      <c r="I135" s="28"/>
      <c r="J135" s="28"/>
    </row>
    <row r="136">
      <c r="A136" s="61"/>
      <c r="B136" s="43"/>
      <c r="G136" s="50"/>
      <c r="I136" s="28"/>
      <c r="J136" s="28"/>
    </row>
    <row r="137">
      <c r="A137" s="61"/>
      <c r="B137" s="43"/>
      <c r="G137" s="50"/>
      <c r="I137" s="28"/>
      <c r="J137" s="28"/>
    </row>
    <row r="138">
      <c r="A138" s="61"/>
      <c r="B138" s="43"/>
      <c r="G138" s="50"/>
      <c r="I138" s="28"/>
      <c r="J138" s="28"/>
    </row>
    <row r="139">
      <c r="A139" s="61"/>
      <c r="B139" s="43"/>
      <c r="G139" s="50"/>
      <c r="I139" s="28"/>
      <c r="J139" s="28"/>
    </row>
    <row r="140">
      <c r="A140" s="61"/>
      <c r="B140" s="43"/>
      <c r="G140" s="50"/>
      <c r="I140" s="28"/>
      <c r="J140" s="28"/>
    </row>
    <row r="141">
      <c r="A141" s="61"/>
      <c r="B141" s="43"/>
      <c r="G141" s="50"/>
      <c r="I141" s="28"/>
      <c r="J141" s="28"/>
    </row>
    <row r="142">
      <c r="A142" s="61"/>
      <c r="B142" s="43"/>
      <c r="G142" s="50"/>
      <c r="I142" s="28"/>
      <c r="J142" s="28"/>
    </row>
    <row r="143">
      <c r="A143" s="61"/>
      <c r="B143" s="43"/>
      <c r="G143" s="50"/>
      <c r="I143" s="28"/>
      <c r="J143" s="28"/>
    </row>
    <row r="144">
      <c r="A144" s="61"/>
      <c r="B144" s="43"/>
      <c r="G144" s="50"/>
      <c r="I144" s="28"/>
      <c r="J144" s="28"/>
    </row>
    <row r="145">
      <c r="A145" s="61"/>
      <c r="B145" s="43"/>
      <c r="G145" s="50"/>
      <c r="I145" s="28"/>
      <c r="J145" s="28"/>
    </row>
    <row r="146">
      <c r="A146" s="61"/>
      <c r="B146" s="43"/>
      <c r="G146" s="50"/>
      <c r="I146" s="28"/>
      <c r="J146" s="28"/>
    </row>
    <row r="147">
      <c r="A147" s="61"/>
      <c r="B147" s="43"/>
      <c r="G147" s="50"/>
      <c r="I147" s="28"/>
      <c r="J147" s="28"/>
    </row>
    <row r="148">
      <c r="A148" s="61"/>
      <c r="B148" s="43"/>
      <c r="G148" s="50"/>
      <c r="I148" s="28"/>
      <c r="J148" s="28"/>
    </row>
    <row r="149">
      <c r="A149" s="61"/>
      <c r="B149" s="43"/>
      <c r="G149" s="50"/>
      <c r="I149" s="28"/>
      <c r="J149" s="28"/>
    </row>
    <row r="150">
      <c r="A150" s="61"/>
      <c r="B150" s="43"/>
      <c r="G150" s="50"/>
      <c r="I150" s="28"/>
      <c r="J150" s="28"/>
    </row>
    <row r="151">
      <c r="A151" s="61"/>
      <c r="B151" s="43"/>
      <c r="G151" s="50"/>
      <c r="I151" s="28"/>
      <c r="J151" s="28"/>
    </row>
    <row r="152">
      <c r="A152" s="61"/>
      <c r="B152" s="43"/>
      <c r="G152" s="50"/>
      <c r="I152" s="28"/>
      <c r="J152" s="28"/>
    </row>
    <row r="153">
      <c r="A153" s="61"/>
      <c r="B153" s="43"/>
      <c r="G153" s="50"/>
      <c r="I153" s="28"/>
      <c r="J153" s="28"/>
    </row>
    <row r="154">
      <c r="A154" s="61"/>
      <c r="B154" s="43"/>
      <c r="G154" s="50"/>
      <c r="I154" s="28"/>
      <c r="J154" s="28"/>
    </row>
    <row r="155">
      <c r="A155" s="61"/>
      <c r="B155" s="43"/>
      <c r="G155" s="50"/>
      <c r="I155" s="28"/>
      <c r="J155" s="28"/>
    </row>
    <row r="156">
      <c r="A156" s="61"/>
      <c r="B156" s="43"/>
      <c r="G156" s="50"/>
      <c r="I156" s="28"/>
      <c r="J156" s="28"/>
    </row>
    <row r="157">
      <c r="A157" s="61"/>
      <c r="B157" s="43"/>
      <c r="G157" s="50"/>
      <c r="I157" s="28"/>
      <c r="J157" s="28"/>
    </row>
    <row r="158">
      <c r="A158" s="61"/>
      <c r="B158" s="43"/>
      <c r="G158" s="50"/>
      <c r="I158" s="28"/>
      <c r="J158" s="28"/>
    </row>
    <row r="159">
      <c r="A159" s="61"/>
      <c r="B159" s="43"/>
      <c r="G159" s="50"/>
      <c r="I159" s="28"/>
      <c r="J159" s="28"/>
    </row>
    <row r="160">
      <c r="A160" s="61"/>
      <c r="B160" s="43"/>
      <c r="G160" s="50"/>
      <c r="I160" s="28"/>
      <c r="J160" s="28"/>
    </row>
    <row r="161">
      <c r="A161" s="61"/>
      <c r="B161" s="43"/>
      <c r="G161" s="50"/>
      <c r="I161" s="28"/>
      <c r="J161" s="28"/>
    </row>
    <row r="162">
      <c r="A162" s="61"/>
      <c r="B162" s="43"/>
      <c r="G162" s="50"/>
      <c r="I162" s="28"/>
      <c r="J162" s="28"/>
    </row>
    <row r="163">
      <c r="A163" s="61"/>
      <c r="B163" s="43"/>
      <c r="G163" s="50"/>
      <c r="I163" s="28"/>
      <c r="J163" s="28"/>
    </row>
    <row r="164">
      <c r="A164" s="61"/>
      <c r="B164" s="43"/>
      <c r="G164" s="50"/>
      <c r="I164" s="28"/>
      <c r="J164" s="28"/>
    </row>
    <row r="165">
      <c r="A165" s="61"/>
      <c r="B165" s="43"/>
      <c r="G165" s="50"/>
      <c r="I165" s="28"/>
      <c r="J165" s="28"/>
    </row>
    <row r="166">
      <c r="A166" s="61"/>
      <c r="B166" s="43"/>
      <c r="G166" s="50"/>
      <c r="I166" s="28"/>
      <c r="J166" s="28"/>
    </row>
    <row r="167">
      <c r="A167" s="61"/>
      <c r="B167" s="43"/>
      <c r="G167" s="50"/>
      <c r="I167" s="28"/>
      <c r="J167" s="28"/>
    </row>
    <row r="168">
      <c r="A168" s="61"/>
      <c r="B168" s="43"/>
      <c r="G168" s="50"/>
      <c r="I168" s="28"/>
      <c r="J168" s="28"/>
    </row>
    <row r="169">
      <c r="A169" s="61"/>
      <c r="B169" s="43"/>
      <c r="G169" s="50"/>
      <c r="I169" s="28"/>
      <c r="J169" s="28"/>
    </row>
    <row r="170">
      <c r="A170" s="61"/>
      <c r="B170" s="43"/>
      <c r="G170" s="50"/>
      <c r="I170" s="28"/>
      <c r="J170" s="28"/>
    </row>
    <row r="171">
      <c r="A171" s="61"/>
      <c r="B171" s="43"/>
      <c r="G171" s="50"/>
      <c r="I171" s="28"/>
      <c r="J171" s="28"/>
    </row>
    <row r="172">
      <c r="A172" s="61"/>
      <c r="B172" s="43"/>
      <c r="G172" s="50"/>
      <c r="I172" s="28"/>
      <c r="J172" s="28"/>
    </row>
    <row r="173">
      <c r="A173" s="61"/>
      <c r="B173" s="43"/>
      <c r="G173" s="50"/>
      <c r="I173" s="28"/>
      <c r="J173" s="28"/>
    </row>
    <row r="174">
      <c r="A174" s="61"/>
      <c r="B174" s="43"/>
      <c r="G174" s="50"/>
      <c r="I174" s="28"/>
      <c r="J174" s="28"/>
    </row>
    <row r="175">
      <c r="A175" s="61"/>
      <c r="B175" s="43"/>
      <c r="G175" s="50"/>
      <c r="I175" s="28"/>
      <c r="J175" s="28"/>
    </row>
    <row r="176">
      <c r="A176" s="61"/>
      <c r="B176" s="43"/>
      <c r="G176" s="50"/>
      <c r="I176" s="28"/>
      <c r="J176" s="28"/>
    </row>
    <row r="177">
      <c r="A177" s="61"/>
      <c r="B177" s="43"/>
      <c r="G177" s="50"/>
      <c r="I177" s="28"/>
      <c r="J177" s="28"/>
    </row>
    <row r="178">
      <c r="A178" s="61"/>
      <c r="B178" s="43"/>
      <c r="G178" s="50"/>
      <c r="I178" s="28"/>
      <c r="J178" s="28"/>
    </row>
    <row r="179">
      <c r="A179" s="61"/>
      <c r="B179" s="43"/>
      <c r="G179" s="50"/>
      <c r="I179" s="28"/>
      <c r="J179" s="28"/>
    </row>
    <row r="180">
      <c r="A180" s="61"/>
      <c r="B180" s="43"/>
      <c r="G180" s="50"/>
      <c r="I180" s="28"/>
      <c r="J180" s="28"/>
    </row>
    <row r="181">
      <c r="A181" s="61"/>
      <c r="B181" s="43"/>
      <c r="G181" s="50"/>
      <c r="I181" s="28"/>
      <c r="J181" s="28"/>
    </row>
    <row r="182">
      <c r="A182" s="61"/>
      <c r="B182" s="43"/>
      <c r="G182" s="50"/>
      <c r="I182" s="28"/>
      <c r="J182" s="28"/>
    </row>
    <row r="183">
      <c r="A183" s="61"/>
      <c r="B183" s="43"/>
      <c r="G183" s="50"/>
      <c r="I183" s="28"/>
      <c r="J183" s="28"/>
    </row>
    <row r="184">
      <c r="A184" s="61"/>
      <c r="B184" s="43"/>
      <c r="G184" s="50"/>
      <c r="I184" s="28"/>
      <c r="J184" s="28"/>
    </row>
    <row r="185">
      <c r="A185" s="61"/>
      <c r="B185" s="43"/>
      <c r="G185" s="50"/>
      <c r="I185" s="28"/>
      <c r="J185" s="28"/>
    </row>
    <row r="186">
      <c r="A186" s="61"/>
      <c r="B186" s="43"/>
      <c r="G186" s="50"/>
      <c r="I186" s="28"/>
      <c r="J186" s="28"/>
    </row>
    <row r="187">
      <c r="A187" s="61"/>
      <c r="B187" s="61"/>
      <c r="G187" s="50"/>
      <c r="I187" s="28"/>
      <c r="J187" s="28"/>
    </row>
    <row r="188">
      <c r="A188" s="61"/>
      <c r="B188" s="61"/>
      <c r="G188" s="50"/>
      <c r="I188" s="28"/>
      <c r="J188" s="28"/>
    </row>
    <row r="189">
      <c r="A189" s="61"/>
      <c r="B189" s="61"/>
      <c r="G189" s="50"/>
      <c r="I189" s="28"/>
      <c r="J189" s="28"/>
    </row>
    <row r="190">
      <c r="A190" s="61"/>
      <c r="B190" s="61"/>
      <c r="G190" s="50"/>
      <c r="I190" s="28"/>
      <c r="J190" s="28"/>
    </row>
    <row r="191">
      <c r="A191" s="61"/>
      <c r="B191" s="61"/>
      <c r="G191" s="50"/>
      <c r="I191" s="28"/>
      <c r="J191" s="28"/>
    </row>
    <row r="192">
      <c r="A192" s="61"/>
      <c r="B192" s="61"/>
      <c r="G192" s="50"/>
      <c r="I192" s="28"/>
      <c r="J192" s="28"/>
    </row>
    <row r="193">
      <c r="A193" s="61"/>
      <c r="B193" s="61"/>
      <c r="G193" s="50"/>
      <c r="I193" s="28"/>
      <c r="J193" s="28"/>
    </row>
    <row r="194">
      <c r="A194" s="61"/>
      <c r="B194" s="61"/>
      <c r="G194" s="50"/>
      <c r="I194" s="28"/>
      <c r="J194" s="28"/>
    </row>
    <row r="195">
      <c r="A195" s="61"/>
      <c r="B195" s="61"/>
      <c r="G195" s="50"/>
      <c r="I195" s="28"/>
      <c r="J195" s="28"/>
    </row>
    <row r="196">
      <c r="A196" s="61"/>
      <c r="B196" s="61"/>
      <c r="G196" s="50"/>
      <c r="I196" s="28"/>
      <c r="J196" s="28"/>
    </row>
    <row r="197">
      <c r="A197" s="61"/>
      <c r="B197" s="61"/>
      <c r="G197" s="50"/>
      <c r="I197" s="28"/>
      <c r="J197" s="28"/>
    </row>
    <row r="198">
      <c r="A198" s="61"/>
      <c r="B198" s="61"/>
      <c r="G198" s="50"/>
      <c r="I198" s="28"/>
      <c r="J198" s="28"/>
    </row>
    <row r="199">
      <c r="A199" s="61"/>
      <c r="B199" s="61"/>
      <c r="G199" s="50"/>
      <c r="I199" s="28"/>
      <c r="J199" s="28"/>
    </row>
    <row r="200">
      <c r="A200" s="61"/>
      <c r="B200" s="61"/>
      <c r="G200" s="50"/>
      <c r="I200" s="28"/>
      <c r="J200" s="28"/>
    </row>
    <row r="201">
      <c r="A201" s="61"/>
      <c r="B201" s="61"/>
      <c r="G201" s="50"/>
      <c r="I201" s="28"/>
      <c r="J201" s="28"/>
    </row>
    <row r="202">
      <c r="A202" s="61"/>
      <c r="B202" s="61"/>
      <c r="G202" s="50"/>
      <c r="I202" s="28"/>
      <c r="J202" s="28"/>
    </row>
    <row r="203">
      <c r="A203" s="61"/>
      <c r="B203" s="61"/>
      <c r="G203" s="50"/>
      <c r="I203" s="28"/>
      <c r="J203" s="28"/>
    </row>
    <row r="204">
      <c r="A204" s="61"/>
      <c r="B204" s="61"/>
      <c r="G204" s="50"/>
      <c r="I204" s="28"/>
      <c r="J204" s="28"/>
    </row>
    <row r="205">
      <c r="A205" s="61"/>
      <c r="B205" s="61"/>
      <c r="G205" s="50"/>
      <c r="I205" s="28"/>
      <c r="J205" s="28"/>
    </row>
    <row r="206">
      <c r="A206" s="61"/>
      <c r="B206" s="61"/>
      <c r="G206" s="50"/>
      <c r="I206" s="28"/>
      <c r="J206" s="28"/>
    </row>
    <row r="207">
      <c r="A207" s="61"/>
      <c r="B207" s="61"/>
      <c r="G207" s="50"/>
      <c r="I207" s="28"/>
      <c r="J207" s="28"/>
    </row>
    <row r="208">
      <c r="A208" s="61"/>
      <c r="B208" s="61"/>
      <c r="G208" s="50"/>
      <c r="I208" s="28"/>
      <c r="J208" s="28"/>
    </row>
    <row r="209">
      <c r="A209" s="61"/>
      <c r="B209" s="61"/>
      <c r="G209" s="50"/>
      <c r="I209" s="28"/>
      <c r="J209" s="28"/>
    </row>
    <row r="210">
      <c r="A210" s="61"/>
      <c r="B210" s="61"/>
      <c r="G210" s="50"/>
      <c r="I210" s="28"/>
      <c r="J210" s="28"/>
    </row>
    <row r="211">
      <c r="A211" s="61"/>
      <c r="B211" s="61"/>
      <c r="G211" s="50"/>
      <c r="I211" s="28"/>
      <c r="J211" s="28"/>
    </row>
    <row r="212">
      <c r="A212" s="61"/>
      <c r="B212" s="61"/>
      <c r="G212" s="50"/>
      <c r="I212" s="28"/>
      <c r="J212" s="28"/>
    </row>
    <row r="213">
      <c r="A213" s="61"/>
      <c r="B213" s="61"/>
      <c r="G213" s="50"/>
      <c r="I213" s="28"/>
      <c r="J213" s="28"/>
    </row>
    <row r="214">
      <c r="A214" s="61"/>
      <c r="B214" s="61"/>
      <c r="G214" s="50"/>
      <c r="I214" s="28"/>
      <c r="J214" s="28"/>
    </row>
    <row r="215">
      <c r="A215" s="61"/>
      <c r="B215" s="61"/>
      <c r="G215" s="50"/>
      <c r="I215" s="28"/>
      <c r="J215" s="28"/>
    </row>
    <row r="216">
      <c r="A216" s="61"/>
      <c r="B216" s="61"/>
      <c r="G216" s="50"/>
      <c r="I216" s="28"/>
      <c r="J216" s="28"/>
    </row>
    <row r="217">
      <c r="A217" s="61"/>
      <c r="B217" s="61"/>
      <c r="G217" s="50"/>
      <c r="I217" s="28"/>
      <c r="J217" s="28"/>
    </row>
    <row r="218">
      <c r="A218" s="61"/>
      <c r="B218" s="61"/>
      <c r="G218" s="50"/>
      <c r="I218" s="28"/>
      <c r="J218" s="28"/>
    </row>
    <row r="219">
      <c r="A219" s="61"/>
      <c r="B219" s="61"/>
      <c r="G219" s="50"/>
      <c r="I219" s="28"/>
      <c r="J219" s="28"/>
    </row>
    <row r="220">
      <c r="A220" s="61"/>
      <c r="B220" s="61"/>
      <c r="G220" s="50"/>
      <c r="I220" s="28"/>
      <c r="J220" s="28"/>
    </row>
    <row r="221">
      <c r="A221" s="61"/>
      <c r="B221" s="61"/>
      <c r="G221" s="50"/>
      <c r="I221" s="28"/>
      <c r="J221" s="28"/>
    </row>
    <row r="222">
      <c r="A222" s="61"/>
      <c r="B222" s="61"/>
      <c r="G222" s="50"/>
      <c r="I222" s="28"/>
      <c r="J222" s="28"/>
    </row>
    <row r="223">
      <c r="A223" s="61"/>
      <c r="B223" s="61"/>
      <c r="G223" s="50"/>
      <c r="I223" s="28"/>
      <c r="J223" s="28"/>
    </row>
    <row r="224">
      <c r="A224" s="61"/>
      <c r="B224" s="61"/>
      <c r="G224" s="50"/>
      <c r="I224" s="28"/>
      <c r="J224" s="28"/>
    </row>
    <row r="225">
      <c r="A225" s="61"/>
      <c r="B225" s="61"/>
      <c r="G225" s="50"/>
      <c r="I225" s="28"/>
      <c r="J225" s="28"/>
    </row>
    <row r="226">
      <c r="A226" s="61"/>
      <c r="B226" s="61"/>
      <c r="G226" s="50"/>
      <c r="I226" s="28"/>
      <c r="J226" s="28"/>
    </row>
    <row r="227">
      <c r="A227" s="61"/>
      <c r="B227" s="61"/>
      <c r="G227" s="50"/>
      <c r="I227" s="28"/>
      <c r="J227" s="28"/>
    </row>
    <row r="228">
      <c r="A228" s="61"/>
      <c r="B228" s="61"/>
      <c r="G228" s="50"/>
      <c r="I228" s="28"/>
      <c r="J228" s="28"/>
    </row>
    <row r="229">
      <c r="A229" s="61"/>
      <c r="B229" s="61"/>
      <c r="G229" s="50"/>
      <c r="I229" s="28"/>
      <c r="J229" s="28"/>
    </row>
    <row r="230">
      <c r="A230" s="61"/>
      <c r="B230" s="61"/>
      <c r="G230" s="50"/>
      <c r="I230" s="28"/>
      <c r="J230" s="28"/>
    </row>
    <row r="231">
      <c r="A231" s="61"/>
      <c r="B231" s="61"/>
      <c r="G231" s="50"/>
      <c r="I231" s="28"/>
      <c r="J231" s="28"/>
    </row>
    <row r="232">
      <c r="A232" s="61"/>
      <c r="B232" s="61"/>
      <c r="G232" s="50"/>
      <c r="I232" s="28"/>
      <c r="J232" s="28"/>
    </row>
    <row r="233">
      <c r="A233" s="61"/>
      <c r="B233" s="61"/>
      <c r="G233" s="50"/>
      <c r="I233" s="28"/>
      <c r="J233" s="28"/>
    </row>
    <row r="234">
      <c r="A234" s="61"/>
      <c r="B234" s="61"/>
      <c r="G234" s="50"/>
      <c r="I234" s="28"/>
      <c r="J234" s="28"/>
    </row>
    <row r="235">
      <c r="A235" s="61"/>
      <c r="B235" s="61"/>
      <c r="G235" s="50"/>
      <c r="I235" s="28"/>
      <c r="J235" s="28"/>
    </row>
    <row r="236">
      <c r="A236" s="61"/>
      <c r="B236" s="61"/>
      <c r="G236" s="50"/>
      <c r="I236" s="28"/>
      <c r="J236" s="28"/>
    </row>
    <row r="237">
      <c r="A237" s="61"/>
      <c r="B237" s="61"/>
      <c r="G237" s="50"/>
      <c r="I237" s="28"/>
      <c r="J237" s="28"/>
    </row>
    <row r="238">
      <c r="A238" s="61"/>
      <c r="B238" s="61"/>
      <c r="G238" s="50"/>
      <c r="I238" s="28"/>
      <c r="J238" s="28"/>
    </row>
    <row r="239">
      <c r="A239" s="61"/>
      <c r="B239" s="61"/>
      <c r="G239" s="50"/>
      <c r="I239" s="28"/>
      <c r="J239" s="28"/>
    </row>
    <row r="240">
      <c r="A240" s="61"/>
      <c r="B240" s="61"/>
      <c r="G240" s="50"/>
      <c r="I240" s="28"/>
      <c r="J240" s="28"/>
    </row>
    <row r="241">
      <c r="A241" s="61"/>
      <c r="B241" s="61"/>
      <c r="G241" s="50"/>
      <c r="I241" s="28"/>
      <c r="J241" s="28"/>
    </row>
    <row r="242">
      <c r="A242" s="61"/>
      <c r="B242" s="61"/>
      <c r="G242" s="50"/>
      <c r="I242" s="28"/>
      <c r="J242" s="28"/>
    </row>
    <row r="243">
      <c r="A243" s="61"/>
      <c r="B243" s="61"/>
      <c r="G243" s="50"/>
      <c r="I243" s="28"/>
      <c r="J243" s="28"/>
    </row>
    <row r="244">
      <c r="A244" s="61"/>
      <c r="B244" s="61"/>
      <c r="G244" s="50"/>
      <c r="I244" s="28"/>
      <c r="J244" s="28"/>
    </row>
    <row r="245">
      <c r="A245" s="61"/>
      <c r="B245" s="61"/>
      <c r="G245" s="50"/>
      <c r="I245" s="28"/>
      <c r="J245" s="28"/>
    </row>
    <row r="246">
      <c r="A246" s="61"/>
      <c r="B246" s="61"/>
      <c r="G246" s="50"/>
      <c r="I246" s="28"/>
      <c r="J246" s="28"/>
    </row>
    <row r="247">
      <c r="A247" s="61"/>
      <c r="B247" s="61"/>
      <c r="G247" s="50"/>
      <c r="I247" s="28"/>
      <c r="J247" s="28"/>
    </row>
    <row r="248">
      <c r="A248" s="61"/>
      <c r="B248" s="61"/>
      <c r="G248" s="50"/>
      <c r="I248" s="28"/>
      <c r="J248" s="28"/>
    </row>
    <row r="249">
      <c r="A249" s="61"/>
      <c r="B249" s="61"/>
      <c r="G249" s="50"/>
      <c r="I249" s="28"/>
      <c r="J249" s="28"/>
    </row>
    <row r="250">
      <c r="A250" s="61"/>
      <c r="B250" s="61"/>
      <c r="G250" s="50"/>
      <c r="I250" s="28"/>
      <c r="J250" s="28"/>
    </row>
    <row r="251">
      <c r="A251" s="61"/>
      <c r="B251" s="61"/>
      <c r="G251" s="50"/>
      <c r="I251" s="28"/>
      <c r="J251" s="28"/>
    </row>
    <row r="252">
      <c r="A252" s="61"/>
      <c r="B252" s="61"/>
      <c r="G252" s="50"/>
      <c r="I252" s="28"/>
      <c r="J252" s="28"/>
    </row>
    <row r="253">
      <c r="A253" s="61"/>
      <c r="B253" s="61"/>
      <c r="G253" s="50"/>
      <c r="I253" s="28"/>
      <c r="J253" s="28"/>
    </row>
    <row r="254">
      <c r="A254" s="61"/>
      <c r="B254" s="61"/>
      <c r="G254" s="50"/>
      <c r="I254" s="28"/>
      <c r="J254" s="28"/>
    </row>
    <row r="255">
      <c r="A255" s="61"/>
      <c r="B255" s="61"/>
      <c r="G255" s="50"/>
      <c r="I255" s="28"/>
      <c r="J255" s="28"/>
    </row>
    <row r="256">
      <c r="A256" s="61"/>
      <c r="B256" s="61"/>
      <c r="G256" s="50"/>
      <c r="I256" s="28"/>
      <c r="J256" s="28"/>
    </row>
    <row r="257">
      <c r="A257" s="61"/>
      <c r="B257" s="61"/>
      <c r="G257" s="50"/>
      <c r="I257" s="28"/>
      <c r="J257" s="28"/>
    </row>
    <row r="258">
      <c r="A258" s="61"/>
      <c r="B258" s="61"/>
      <c r="G258" s="50"/>
      <c r="I258" s="28"/>
      <c r="J258" s="28"/>
    </row>
    <row r="259">
      <c r="A259" s="61"/>
      <c r="B259" s="61"/>
      <c r="G259" s="50"/>
      <c r="I259" s="28"/>
      <c r="J259" s="28"/>
    </row>
    <row r="260">
      <c r="A260" s="61"/>
      <c r="B260" s="61"/>
      <c r="G260" s="50"/>
      <c r="I260" s="28"/>
      <c r="J260" s="28"/>
    </row>
    <row r="261">
      <c r="A261" s="61"/>
      <c r="B261" s="61"/>
      <c r="G261" s="50"/>
      <c r="I261" s="28"/>
      <c r="J261" s="28"/>
    </row>
    <row r="262">
      <c r="A262" s="61"/>
      <c r="B262" s="61"/>
      <c r="G262" s="50"/>
      <c r="I262" s="28"/>
      <c r="J262" s="28"/>
    </row>
    <row r="263">
      <c r="A263" s="61"/>
      <c r="B263" s="61"/>
      <c r="G263" s="50"/>
      <c r="I263" s="28"/>
      <c r="J263" s="28"/>
    </row>
    <row r="264">
      <c r="A264" s="61"/>
      <c r="B264" s="61"/>
      <c r="G264" s="50"/>
      <c r="I264" s="28"/>
      <c r="J264" s="28"/>
    </row>
    <row r="265">
      <c r="A265" s="61"/>
      <c r="B265" s="61"/>
      <c r="G265" s="50"/>
      <c r="I265" s="28"/>
      <c r="J265" s="28"/>
    </row>
    <row r="266">
      <c r="A266" s="61"/>
      <c r="B266" s="61"/>
      <c r="G266" s="50"/>
      <c r="I266" s="28"/>
      <c r="J266" s="28"/>
    </row>
    <row r="267">
      <c r="A267" s="61"/>
      <c r="B267" s="61"/>
      <c r="G267" s="50"/>
      <c r="I267" s="28"/>
      <c r="J267" s="28"/>
    </row>
    <row r="268">
      <c r="A268" s="61"/>
      <c r="B268" s="61"/>
      <c r="G268" s="50"/>
      <c r="I268" s="28"/>
      <c r="J268" s="28"/>
    </row>
    <row r="269">
      <c r="A269" s="61"/>
      <c r="B269" s="61"/>
      <c r="G269" s="50"/>
      <c r="I269" s="28"/>
      <c r="J269" s="28"/>
    </row>
    <row r="270">
      <c r="A270" s="61"/>
      <c r="B270" s="61"/>
      <c r="G270" s="50"/>
      <c r="I270" s="28"/>
      <c r="J270" s="28"/>
    </row>
    <row r="271">
      <c r="A271" s="61"/>
      <c r="B271" s="61"/>
      <c r="G271" s="50"/>
      <c r="I271" s="28"/>
      <c r="J271" s="28"/>
    </row>
    <row r="272">
      <c r="A272" s="61"/>
      <c r="B272" s="61"/>
      <c r="G272" s="50"/>
      <c r="I272" s="28"/>
      <c r="J272" s="28"/>
    </row>
    <row r="273">
      <c r="A273" s="61"/>
      <c r="B273" s="61"/>
      <c r="G273" s="50"/>
      <c r="I273" s="28"/>
      <c r="J273" s="28"/>
    </row>
    <row r="274">
      <c r="A274" s="61"/>
      <c r="B274" s="61"/>
      <c r="G274" s="50"/>
      <c r="I274" s="28"/>
      <c r="J274" s="28"/>
    </row>
    <row r="275">
      <c r="A275" s="61"/>
      <c r="B275" s="61"/>
      <c r="G275" s="50"/>
      <c r="I275" s="28"/>
      <c r="J275" s="28"/>
    </row>
    <row r="276">
      <c r="A276" s="61"/>
      <c r="B276" s="61"/>
      <c r="G276" s="50"/>
      <c r="I276" s="28"/>
      <c r="J276" s="28"/>
    </row>
    <row r="277">
      <c r="A277" s="61"/>
      <c r="B277" s="61"/>
      <c r="G277" s="50"/>
      <c r="I277" s="28"/>
      <c r="J277" s="28"/>
    </row>
    <row r="278">
      <c r="A278" s="61"/>
      <c r="B278" s="61"/>
      <c r="G278" s="50"/>
      <c r="I278" s="28"/>
      <c r="J278" s="28"/>
    </row>
    <row r="279">
      <c r="A279" s="61"/>
      <c r="B279" s="61"/>
      <c r="G279" s="50"/>
      <c r="I279" s="28"/>
      <c r="J279" s="28"/>
    </row>
    <row r="280">
      <c r="A280" s="61"/>
      <c r="B280" s="61"/>
      <c r="G280" s="50"/>
      <c r="I280" s="28"/>
      <c r="J280" s="28"/>
    </row>
    <row r="281">
      <c r="A281" s="61"/>
      <c r="B281" s="61"/>
      <c r="G281" s="50"/>
      <c r="I281" s="28"/>
      <c r="J281" s="28"/>
    </row>
    <row r="282">
      <c r="A282" s="61"/>
      <c r="B282" s="61"/>
      <c r="G282" s="50"/>
      <c r="I282" s="28"/>
      <c r="J282" s="28"/>
    </row>
    <row r="283">
      <c r="A283" s="61"/>
      <c r="B283" s="61"/>
      <c r="G283" s="50"/>
      <c r="I283" s="28"/>
      <c r="J283" s="28"/>
    </row>
    <row r="284">
      <c r="A284" s="61"/>
      <c r="B284" s="61"/>
      <c r="G284" s="50"/>
      <c r="I284" s="28"/>
      <c r="J284" s="28"/>
    </row>
    <row r="285">
      <c r="A285" s="61"/>
      <c r="B285" s="61"/>
      <c r="G285" s="50"/>
      <c r="I285" s="28"/>
      <c r="J285" s="28"/>
    </row>
    <row r="286">
      <c r="A286" s="61"/>
      <c r="B286" s="61"/>
      <c r="G286" s="50"/>
      <c r="I286" s="28"/>
      <c r="J286" s="28"/>
    </row>
    <row r="287">
      <c r="A287" s="61"/>
      <c r="B287" s="61"/>
      <c r="G287" s="50"/>
      <c r="I287" s="28"/>
      <c r="J287" s="28"/>
    </row>
    <row r="288">
      <c r="A288" s="61"/>
      <c r="B288" s="61"/>
      <c r="G288" s="50"/>
      <c r="I288" s="28"/>
      <c r="J288" s="28"/>
    </row>
    <row r="289">
      <c r="A289" s="61"/>
      <c r="B289" s="61"/>
      <c r="G289" s="50"/>
      <c r="I289" s="28"/>
      <c r="J289" s="28"/>
    </row>
    <row r="290">
      <c r="A290" s="61"/>
      <c r="B290" s="61"/>
      <c r="G290" s="50"/>
      <c r="I290" s="28"/>
      <c r="J290" s="28"/>
    </row>
    <row r="291">
      <c r="A291" s="61"/>
      <c r="B291" s="61"/>
      <c r="G291" s="50"/>
      <c r="I291" s="28"/>
      <c r="J291" s="28"/>
    </row>
    <row r="292">
      <c r="A292" s="61"/>
      <c r="B292" s="61"/>
      <c r="G292" s="50"/>
      <c r="I292" s="28"/>
      <c r="J292" s="28"/>
    </row>
    <row r="293">
      <c r="A293" s="61"/>
      <c r="B293" s="61"/>
      <c r="G293" s="50"/>
      <c r="I293" s="28"/>
      <c r="J293" s="28"/>
    </row>
    <row r="294">
      <c r="A294" s="61"/>
      <c r="B294" s="61"/>
      <c r="G294" s="50"/>
      <c r="I294" s="28"/>
      <c r="J294" s="28"/>
    </row>
    <row r="295">
      <c r="A295" s="61"/>
      <c r="B295" s="61"/>
      <c r="G295" s="50"/>
      <c r="I295" s="28"/>
      <c r="J295" s="28"/>
    </row>
    <row r="296">
      <c r="A296" s="61"/>
      <c r="B296" s="61"/>
      <c r="G296" s="50"/>
      <c r="I296" s="28"/>
      <c r="J296" s="28"/>
    </row>
    <row r="297">
      <c r="A297" s="61"/>
      <c r="B297" s="61"/>
      <c r="G297" s="50"/>
      <c r="I297" s="28"/>
      <c r="J297" s="28"/>
    </row>
    <row r="298">
      <c r="A298" s="61"/>
      <c r="B298" s="61"/>
      <c r="G298" s="50"/>
      <c r="I298" s="28"/>
      <c r="J298" s="28"/>
    </row>
    <row r="299">
      <c r="A299" s="61"/>
      <c r="B299" s="61"/>
      <c r="G299" s="50"/>
      <c r="I299" s="28"/>
      <c r="J299" s="28"/>
    </row>
    <row r="300">
      <c r="A300" s="61"/>
      <c r="B300" s="61"/>
      <c r="G300" s="50"/>
      <c r="I300" s="28"/>
      <c r="J300" s="28"/>
    </row>
    <row r="301">
      <c r="A301" s="61"/>
      <c r="B301" s="61"/>
      <c r="G301" s="50"/>
      <c r="I301" s="28"/>
      <c r="J301" s="28"/>
    </row>
    <row r="302">
      <c r="A302" s="61"/>
      <c r="B302" s="61"/>
      <c r="G302" s="50"/>
      <c r="I302" s="28"/>
      <c r="J302" s="28"/>
    </row>
    <row r="303">
      <c r="A303" s="61"/>
      <c r="B303" s="61"/>
      <c r="G303" s="50"/>
      <c r="I303" s="28"/>
      <c r="J303" s="28"/>
    </row>
    <row r="304">
      <c r="A304" s="61"/>
      <c r="B304" s="61"/>
      <c r="G304" s="50"/>
      <c r="I304" s="28"/>
      <c r="J304" s="28"/>
    </row>
    <row r="305">
      <c r="A305" s="61"/>
      <c r="B305" s="61"/>
      <c r="G305" s="50"/>
      <c r="I305" s="28"/>
      <c r="J305" s="28"/>
    </row>
    <row r="306">
      <c r="A306" s="61"/>
      <c r="B306" s="61"/>
      <c r="G306" s="50"/>
      <c r="I306" s="28"/>
      <c r="J306" s="28"/>
    </row>
    <row r="307">
      <c r="A307" s="61"/>
      <c r="B307" s="61"/>
      <c r="G307" s="50"/>
      <c r="I307" s="28"/>
      <c r="J307" s="28"/>
    </row>
    <row r="308">
      <c r="A308" s="61"/>
      <c r="B308" s="61"/>
      <c r="G308" s="50"/>
      <c r="I308" s="28"/>
      <c r="J308" s="28"/>
    </row>
    <row r="309">
      <c r="A309" s="61"/>
      <c r="B309" s="61"/>
      <c r="G309" s="50"/>
      <c r="I309" s="28"/>
      <c r="J309" s="28"/>
    </row>
    <row r="310">
      <c r="A310" s="61"/>
      <c r="B310" s="61"/>
      <c r="G310" s="50"/>
      <c r="I310" s="28"/>
      <c r="J310" s="28"/>
    </row>
    <row r="311">
      <c r="A311" s="61"/>
      <c r="B311" s="61"/>
      <c r="G311" s="50"/>
      <c r="I311" s="28"/>
      <c r="J311" s="28"/>
    </row>
    <row r="312">
      <c r="A312" s="61"/>
      <c r="B312" s="61"/>
      <c r="G312" s="50"/>
      <c r="I312" s="28"/>
      <c r="J312" s="28"/>
    </row>
    <row r="313">
      <c r="A313" s="61"/>
      <c r="B313" s="61"/>
      <c r="G313" s="50"/>
      <c r="I313" s="28"/>
      <c r="J313" s="28"/>
    </row>
    <row r="314">
      <c r="A314" s="61"/>
      <c r="B314" s="61"/>
      <c r="G314" s="50"/>
      <c r="I314" s="28"/>
      <c r="J314" s="28"/>
    </row>
    <row r="315">
      <c r="A315" s="61"/>
      <c r="B315" s="61"/>
      <c r="G315" s="50"/>
      <c r="I315" s="28"/>
      <c r="J315" s="28"/>
    </row>
    <row r="316">
      <c r="A316" s="61"/>
      <c r="B316" s="61"/>
      <c r="G316" s="50"/>
      <c r="I316" s="28"/>
      <c r="J316" s="28"/>
    </row>
    <row r="317">
      <c r="A317" s="61"/>
      <c r="B317" s="61"/>
      <c r="G317" s="50"/>
      <c r="I317" s="28"/>
      <c r="J317" s="28"/>
    </row>
    <row r="318">
      <c r="A318" s="61"/>
      <c r="B318" s="61"/>
      <c r="G318" s="50"/>
      <c r="I318" s="28"/>
      <c r="J318" s="28"/>
    </row>
    <row r="319">
      <c r="A319" s="61"/>
      <c r="B319" s="61"/>
      <c r="G319" s="50"/>
      <c r="I319" s="28"/>
      <c r="J319" s="28"/>
    </row>
    <row r="320">
      <c r="A320" s="61"/>
      <c r="B320" s="61"/>
      <c r="G320" s="50"/>
      <c r="I320" s="28"/>
      <c r="J320" s="28"/>
    </row>
    <row r="321">
      <c r="A321" s="61"/>
      <c r="B321" s="61"/>
      <c r="G321" s="50"/>
      <c r="I321" s="28"/>
      <c r="J321" s="28"/>
    </row>
    <row r="322">
      <c r="A322" s="61"/>
      <c r="B322" s="61"/>
      <c r="G322" s="50"/>
      <c r="I322" s="28"/>
      <c r="J322" s="28"/>
    </row>
    <row r="323">
      <c r="A323" s="61"/>
      <c r="B323" s="61"/>
      <c r="G323" s="50"/>
      <c r="I323" s="28"/>
      <c r="J323" s="28"/>
    </row>
    <row r="324">
      <c r="A324" s="61"/>
      <c r="B324" s="61"/>
      <c r="G324" s="50"/>
      <c r="I324" s="28"/>
      <c r="J324" s="28"/>
    </row>
    <row r="325">
      <c r="A325" s="61"/>
      <c r="B325" s="61"/>
      <c r="G325" s="50"/>
      <c r="I325" s="28"/>
      <c r="J325" s="28"/>
    </row>
    <row r="326">
      <c r="A326" s="61"/>
      <c r="B326" s="61"/>
      <c r="G326" s="50"/>
      <c r="I326" s="28"/>
      <c r="J326" s="28"/>
    </row>
    <row r="327">
      <c r="A327" s="61"/>
      <c r="B327" s="61"/>
      <c r="G327" s="50"/>
      <c r="I327" s="28"/>
      <c r="J327" s="28"/>
    </row>
    <row r="328">
      <c r="A328" s="61"/>
      <c r="B328" s="61"/>
      <c r="G328" s="50"/>
      <c r="I328" s="28"/>
      <c r="J328" s="28"/>
    </row>
    <row r="329">
      <c r="A329" s="61"/>
      <c r="B329" s="61"/>
      <c r="G329" s="50"/>
      <c r="I329" s="28"/>
      <c r="J329" s="28"/>
    </row>
    <row r="330">
      <c r="A330" s="61"/>
      <c r="B330" s="61"/>
      <c r="G330" s="50"/>
      <c r="I330" s="28"/>
      <c r="J330" s="28"/>
    </row>
    <row r="331">
      <c r="A331" s="61"/>
      <c r="B331" s="61"/>
      <c r="G331" s="50"/>
      <c r="I331" s="28"/>
      <c r="J331" s="28"/>
    </row>
    <row r="332">
      <c r="A332" s="61"/>
      <c r="B332" s="61"/>
      <c r="G332" s="50"/>
      <c r="I332" s="28"/>
      <c r="J332" s="28"/>
    </row>
    <row r="333">
      <c r="A333" s="61"/>
      <c r="B333" s="61"/>
      <c r="G333" s="50"/>
      <c r="I333" s="28"/>
      <c r="J333" s="28"/>
    </row>
    <row r="334">
      <c r="A334" s="61"/>
      <c r="B334" s="61"/>
      <c r="G334" s="50"/>
      <c r="I334" s="28"/>
      <c r="J334" s="28"/>
    </row>
    <row r="335">
      <c r="A335" s="61"/>
      <c r="B335" s="61"/>
      <c r="G335" s="50"/>
      <c r="I335" s="28"/>
      <c r="J335" s="28"/>
    </row>
    <row r="336">
      <c r="A336" s="61"/>
      <c r="B336" s="61"/>
      <c r="G336" s="50"/>
      <c r="I336" s="28"/>
      <c r="J336" s="28"/>
    </row>
    <row r="337">
      <c r="A337" s="61"/>
      <c r="B337" s="61"/>
      <c r="G337" s="50"/>
      <c r="I337" s="28"/>
      <c r="J337" s="28"/>
    </row>
    <row r="338">
      <c r="A338" s="61"/>
      <c r="B338" s="61"/>
      <c r="G338" s="50"/>
      <c r="I338" s="28"/>
      <c r="J338" s="28"/>
    </row>
    <row r="339">
      <c r="A339" s="61"/>
      <c r="B339" s="61"/>
      <c r="G339" s="50"/>
      <c r="I339" s="28"/>
      <c r="J339" s="28"/>
    </row>
    <row r="340">
      <c r="A340" s="61"/>
      <c r="B340" s="61"/>
      <c r="G340" s="50"/>
      <c r="I340" s="28"/>
      <c r="J340" s="28"/>
    </row>
    <row r="341">
      <c r="A341" s="61"/>
      <c r="B341" s="61"/>
      <c r="G341" s="50"/>
      <c r="I341" s="28"/>
      <c r="J341" s="28"/>
    </row>
    <row r="342">
      <c r="A342" s="61"/>
      <c r="B342" s="61"/>
      <c r="G342" s="50"/>
      <c r="I342" s="28"/>
      <c r="J342" s="28"/>
    </row>
    <row r="343">
      <c r="A343" s="61"/>
      <c r="B343" s="61"/>
      <c r="G343" s="50"/>
      <c r="I343" s="28"/>
      <c r="J343" s="28"/>
    </row>
    <row r="344">
      <c r="A344" s="61"/>
      <c r="B344" s="61"/>
      <c r="G344" s="50"/>
      <c r="I344" s="28"/>
      <c r="J344" s="28"/>
    </row>
    <row r="345">
      <c r="A345" s="61"/>
      <c r="B345" s="61"/>
      <c r="G345" s="50"/>
      <c r="I345" s="28"/>
      <c r="J345" s="28"/>
    </row>
    <row r="346">
      <c r="A346" s="61"/>
      <c r="B346" s="61"/>
      <c r="G346" s="50"/>
      <c r="I346" s="28"/>
      <c r="J346" s="28"/>
    </row>
    <row r="347">
      <c r="A347" s="61"/>
      <c r="B347" s="61"/>
      <c r="G347" s="50"/>
      <c r="I347" s="28"/>
      <c r="J347" s="28"/>
    </row>
    <row r="348">
      <c r="A348" s="61"/>
      <c r="B348" s="61"/>
      <c r="G348" s="50"/>
      <c r="I348" s="28"/>
      <c r="J348" s="28"/>
    </row>
    <row r="349">
      <c r="A349" s="61"/>
      <c r="B349" s="61"/>
      <c r="G349" s="50"/>
      <c r="I349" s="28"/>
      <c r="J349" s="28"/>
    </row>
    <row r="350">
      <c r="A350" s="61"/>
      <c r="B350" s="61"/>
      <c r="G350" s="50"/>
      <c r="I350" s="28"/>
      <c r="J350" s="28"/>
    </row>
    <row r="351">
      <c r="A351" s="61"/>
      <c r="B351" s="61"/>
      <c r="G351" s="50"/>
      <c r="I351" s="28"/>
      <c r="J351" s="28"/>
    </row>
    <row r="352">
      <c r="A352" s="61"/>
      <c r="B352" s="61"/>
      <c r="G352" s="50"/>
      <c r="I352" s="28"/>
      <c r="J352" s="28"/>
    </row>
    <row r="353">
      <c r="A353" s="61"/>
      <c r="B353" s="61"/>
      <c r="G353" s="50"/>
      <c r="I353" s="28"/>
      <c r="J353" s="28"/>
    </row>
    <row r="354">
      <c r="A354" s="61"/>
      <c r="B354" s="61"/>
      <c r="G354" s="50"/>
      <c r="I354" s="28"/>
      <c r="J354" s="28"/>
    </row>
    <row r="355">
      <c r="A355" s="61"/>
      <c r="B355" s="61"/>
      <c r="G355" s="50"/>
      <c r="I355" s="28"/>
      <c r="J355" s="28"/>
    </row>
    <row r="356">
      <c r="A356" s="61"/>
      <c r="B356" s="61"/>
      <c r="G356" s="50"/>
      <c r="I356" s="28"/>
      <c r="J356" s="28"/>
    </row>
    <row r="357">
      <c r="A357" s="61"/>
      <c r="B357" s="61"/>
      <c r="G357" s="50"/>
      <c r="I357" s="28"/>
      <c r="J357" s="28"/>
    </row>
    <row r="358">
      <c r="A358" s="61"/>
      <c r="B358" s="61"/>
      <c r="G358" s="50"/>
      <c r="I358" s="28"/>
      <c r="J358" s="28"/>
    </row>
    <row r="359">
      <c r="A359" s="61"/>
      <c r="B359" s="61"/>
      <c r="G359" s="50"/>
      <c r="I359" s="28"/>
      <c r="J359" s="28"/>
    </row>
    <row r="360">
      <c r="A360" s="61"/>
      <c r="B360" s="61"/>
      <c r="G360" s="50"/>
      <c r="I360" s="28"/>
      <c r="J360" s="28"/>
    </row>
    <row r="361">
      <c r="A361" s="61"/>
      <c r="B361" s="61"/>
      <c r="G361" s="50"/>
      <c r="I361" s="28"/>
      <c r="J361" s="28"/>
    </row>
    <row r="362">
      <c r="A362" s="61"/>
      <c r="B362" s="61"/>
      <c r="G362" s="50"/>
      <c r="I362" s="28"/>
      <c r="J362" s="28"/>
    </row>
    <row r="363">
      <c r="A363" s="61"/>
      <c r="B363" s="61"/>
      <c r="G363" s="50"/>
      <c r="I363" s="28"/>
      <c r="J363" s="28"/>
    </row>
    <row r="364">
      <c r="A364" s="61"/>
      <c r="B364" s="61"/>
      <c r="G364" s="50"/>
      <c r="I364" s="28"/>
      <c r="J364" s="28"/>
    </row>
    <row r="365">
      <c r="A365" s="61"/>
      <c r="B365" s="61"/>
      <c r="G365" s="50"/>
      <c r="I365" s="28"/>
      <c r="J365" s="28"/>
    </row>
    <row r="366">
      <c r="A366" s="61"/>
      <c r="B366" s="61"/>
      <c r="G366" s="50"/>
      <c r="I366" s="28"/>
      <c r="J366" s="28"/>
    </row>
    <row r="367">
      <c r="A367" s="61"/>
      <c r="B367" s="61"/>
      <c r="G367" s="50"/>
      <c r="I367" s="28"/>
      <c r="J367" s="28"/>
    </row>
    <row r="368">
      <c r="A368" s="61"/>
      <c r="B368" s="61"/>
      <c r="G368" s="50"/>
      <c r="I368" s="28"/>
      <c r="J368" s="28"/>
    </row>
    <row r="369">
      <c r="A369" s="61"/>
      <c r="B369" s="61"/>
      <c r="G369" s="50"/>
      <c r="I369" s="28"/>
      <c r="J369" s="28"/>
    </row>
    <row r="370">
      <c r="A370" s="61"/>
      <c r="B370" s="61"/>
      <c r="G370" s="50"/>
      <c r="I370" s="28"/>
      <c r="J370" s="28"/>
    </row>
    <row r="371">
      <c r="A371" s="61"/>
      <c r="B371" s="61"/>
      <c r="G371" s="50"/>
      <c r="I371" s="28"/>
      <c r="J371" s="28"/>
    </row>
    <row r="372">
      <c r="A372" s="61"/>
      <c r="B372" s="61"/>
      <c r="G372" s="50"/>
      <c r="I372" s="28"/>
      <c r="J372" s="28"/>
    </row>
    <row r="373">
      <c r="A373" s="61"/>
      <c r="B373" s="61"/>
      <c r="G373" s="50"/>
      <c r="I373" s="28"/>
      <c r="J373" s="28"/>
    </row>
    <row r="374">
      <c r="A374" s="61"/>
      <c r="B374" s="61"/>
      <c r="G374" s="50"/>
      <c r="I374" s="28"/>
      <c r="J374" s="28"/>
    </row>
    <row r="375">
      <c r="A375" s="61"/>
      <c r="B375" s="61"/>
      <c r="G375" s="50"/>
      <c r="I375" s="28"/>
      <c r="J375" s="28"/>
    </row>
    <row r="376">
      <c r="A376" s="61"/>
      <c r="B376" s="61"/>
      <c r="G376" s="50"/>
      <c r="I376" s="28"/>
      <c r="J376" s="28"/>
    </row>
    <row r="377">
      <c r="A377" s="61"/>
      <c r="B377" s="61"/>
      <c r="G377" s="50"/>
      <c r="I377" s="28"/>
      <c r="J377" s="28"/>
    </row>
    <row r="378">
      <c r="A378" s="61"/>
      <c r="B378" s="61"/>
      <c r="G378" s="50"/>
      <c r="I378" s="28"/>
      <c r="J378" s="28"/>
    </row>
    <row r="379">
      <c r="A379" s="61"/>
      <c r="B379" s="61"/>
      <c r="G379" s="50"/>
      <c r="I379" s="28"/>
      <c r="J379" s="28"/>
    </row>
    <row r="380">
      <c r="A380" s="61"/>
      <c r="B380" s="61"/>
      <c r="G380" s="50"/>
      <c r="I380" s="28"/>
      <c r="J380" s="28"/>
    </row>
    <row r="381">
      <c r="A381" s="61"/>
      <c r="B381" s="61"/>
      <c r="G381" s="50"/>
      <c r="I381" s="28"/>
      <c r="J381" s="28"/>
    </row>
    <row r="382">
      <c r="A382" s="61"/>
      <c r="B382" s="61"/>
      <c r="G382" s="50"/>
      <c r="I382" s="28"/>
      <c r="J382" s="28"/>
    </row>
    <row r="383">
      <c r="A383" s="61"/>
      <c r="B383" s="61"/>
      <c r="G383" s="50"/>
      <c r="I383" s="28"/>
      <c r="J383" s="28"/>
    </row>
    <row r="384">
      <c r="A384" s="61"/>
      <c r="B384" s="61"/>
      <c r="G384" s="50"/>
      <c r="I384" s="28"/>
      <c r="J384" s="28"/>
    </row>
    <row r="385">
      <c r="A385" s="61"/>
      <c r="B385" s="61"/>
      <c r="G385" s="50"/>
      <c r="I385" s="28"/>
      <c r="J385" s="28"/>
    </row>
    <row r="386">
      <c r="A386" s="61"/>
      <c r="B386" s="61"/>
      <c r="G386" s="50"/>
      <c r="I386" s="28"/>
      <c r="J386" s="28"/>
    </row>
    <row r="387">
      <c r="A387" s="61"/>
      <c r="B387" s="61"/>
      <c r="G387" s="50"/>
      <c r="I387" s="28"/>
      <c r="J387" s="28"/>
    </row>
    <row r="388">
      <c r="A388" s="61"/>
      <c r="B388" s="61"/>
      <c r="G388" s="50"/>
      <c r="I388" s="28"/>
      <c r="J388" s="28"/>
    </row>
    <row r="389">
      <c r="A389" s="61"/>
      <c r="B389" s="61"/>
      <c r="G389" s="50"/>
      <c r="I389" s="28"/>
      <c r="J389" s="28"/>
    </row>
    <row r="390">
      <c r="A390" s="61"/>
      <c r="B390" s="61"/>
      <c r="G390" s="50"/>
      <c r="I390" s="28"/>
      <c r="J390" s="28"/>
    </row>
    <row r="391">
      <c r="A391" s="61"/>
      <c r="B391" s="61"/>
      <c r="G391" s="50"/>
      <c r="I391" s="28"/>
      <c r="J391" s="28"/>
    </row>
    <row r="392">
      <c r="A392" s="61"/>
      <c r="B392" s="61"/>
      <c r="G392" s="50"/>
      <c r="I392" s="28"/>
      <c r="J392" s="28"/>
    </row>
    <row r="393">
      <c r="A393" s="61"/>
      <c r="B393" s="61"/>
      <c r="G393" s="50"/>
      <c r="I393" s="28"/>
      <c r="J393" s="28"/>
    </row>
    <row r="394">
      <c r="A394" s="61"/>
      <c r="B394" s="61"/>
      <c r="G394" s="50"/>
      <c r="I394" s="28"/>
      <c r="J394" s="28"/>
    </row>
    <row r="395">
      <c r="A395" s="61"/>
      <c r="B395" s="61"/>
      <c r="G395" s="50"/>
      <c r="I395" s="28"/>
      <c r="J395" s="28"/>
    </row>
    <row r="396">
      <c r="A396" s="61"/>
      <c r="B396" s="61"/>
      <c r="G396" s="50"/>
      <c r="I396" s="28"/>
      <c r="J396" s="28"/>
    </row>
    <row r="397">
      <c r="A397" s="61"/>
      <c r="B397" s="61"/>
      <c r="G397" s="50"/>
      <c r="I397" s="28"/>
      <c r="J397" s="28"/>
    </row>
    <row r="398">
      <c r="A398" s="61"/>
      <c r="B398" s="61"/>
      <c r="G398" s="50"/>
      <c r="I398" s="28"/>
      <c r="J398" s="28"/>
    </row>
    <row r="399">
      <c r="A399" s="61"/>
      <c r="B399" s="61"/>
      <c r="G399" s="50"/>
      <c r="I399" s="28"/>
      <c r="J399" s="28"/>
    </row>
    <row r="400">
      <c r="A400" s="61"/>
      <c r="B400" s="61"/>
      <c r="G400" s="50"/>
      <c r="I400" s="28"/>
      <c r="J400" s="28"/>
    </row>
    <row r="401">
      <c r="A401" s="61"/>
      <c r="B401" s="61"/>
      <c r="G401" s="50"/>
      <c r="I401" s="28"/>
      <c r="J401" s="28"/>
    </row>
    <row r="402">
      <c r="A402" s="61"/>
      <c r="B402" s="61"/>
      <c r="G402" s="50"/>
      <c r="I402" s="28"/>
      <c r="J402" s="28"/>
    </row>
    <row r="403">
      <c r="A403" s="61"/>
      <c r="B403" s="61"/>
      <c r="G403" s="50"/>
      <c r="I403" s="28"/>
      <c r="J403" s="28"/>
    </row>
    <row r="404">
      <c r="A404" s="61"/>
      <c r="B404" s="61"/>
      <c r="G404" s="50"/>
      <c r="I404" s="28"/>
      <c r="J404" s="28"/>
    </row>
    <row r="405">
      <c r="A405" s="61"/>
      <c r="B405" s="61"/>
      <c r="G405" s="50"/>
      <c r="I405" s="28"/>
      <c r="J405" s="28"/>
    </row>
    <row r="406">
      <c r="A406" s="61"/>
      <c r="B406" s="61"/>
      <c r="G406" s="50"/>
      <c r="I406" s="28"/>
      <c r="J406" s="28"/>
    </row>
    <row r="407">
      <c r="A407" s="61"/>
      <c r="B407" s="61"/>
      <c r="G407" s="50"/>
      <c r="I407" s="28"/>
      <c r="J407" s="28"/>
    </row>
    <row r="408">
      <c r="A408" s="61"/>
      <c r="B408" s="61"/>
      <c r="G408" s="50"/>
      <c r="I408" s="28"/>
      <c r="J408" s="28"/>
    </row>
    <row r="409">
      <c r="A409" s="61"/>
      <c r="B409" s="61"/>
      <c r="G409" s="50"/>
      <c r="I409" s="28"/>
      <c r="J409" s="28"/>
    </row>
    <row r="410">
      <c r="A410" s="61"/>
      <c r="B410" s="61"/>
      <c r="G410" s="50"/>
      <c r="I410" s="28"/>
      <c r="J410" s="28"/>
    </row>
    <row r="411">
      <c r="A411" s="61"/>
      <c r="B411" s="61"/>
      <c r="G411" s="50"/>
      <c r="I411" s="28"/>
      <c r="J411" s="28"/>
    </row>
    <row r="412">
      <c r="A412" s="61"/>
      <c r="B412" s="61"/>
      <c r="G412" s="50"/>
      <c r="I412" s="28"/>
      <c r="J412" s="28"/>
    </row>
    <row r="413">
      <c r="A413" s="61"/>
      <c r="B413" s="61"/>
      <c r="G413" s="50"/>
      <c r="I413" s="28"/>
      <c r="J413" s="28"/>
    </row>
    <row r="414">
      <c r="A414" s="61"/>
      <c r="B414" s="61"/>
      <c r="G414" s="50"/>
      <c r="I414" s="28"/>
      <c r="J414" s="28"/>
    </row>
    <row r="415">
      <c r="A415" s="61"/>
      <c r="B415" s="61"/>
      <c r="G415" s="50"/>
      <c r="I415" s="28"/>
      <c r="J415" s="28"/>
    </row>
    <row r="416">
      <c r="A416" s="61"/>
      <c r="B416" s="61"/>
      <c r="G416" s="50"/>
      <c r="I416" s="28"/>
      <c r="J416" s="28"/>
    </row>
    <row r="417">
      <c r="A417" s="61"/>
      <c r="B417" s="61"/>
      <c r="G417" s="50"/>
      <c r="I417" s="28"/>
      <c r="J417" s="28"/>
    </row>
    <row r="418">
      <c r="A418" s="61"/>
      <c r="B418" s="61"/>
      <c r="G418" s="50"/>
      <c r="I418" s="28"/>
      <c r="J418" s="28"/>
    </row>
    <row r="419">
      <c r="A419" s="61"/>
      <c r="B419" s="61"/>
      <c r="G419" s="50"/>
      <c r="I419" s="28"/>
      <c r="J419" s="28"/>
    </row>
    <row r="420">
      <c r="A420" s="61"/>
      <c r="B420" s="61"/>
      <c r="G420" s="50"/>
      <c r="I420" s="28"/>
      <c r="J420" s="28"/>
    </row>
    <row r="421">
      <c r="A421" s="61"/>
      <c r="B421" s="61"/>
      <c r="G421" s="50"/>
      <c r="I421" s="28"/>
      <c r="J421" s="28"/>
    </row>
    <row r="422">
      <c r="A422" s="61"/>
      <c r="B422" s="61"/>
      <c r="G422" s="50"/>
      <c r="I422" s="28"/>
      <c r="J422" s="28"/>
    </row>
    <row r="423">
      <c r="A423" s="61"/>
      <c r="B423" s="61"/>
      <c r="G423" s="50"/>
      <c r="I423" s="28"/>
      <c r="J423" s="28"/>
    </row>
    <row r="424">
      <c r="A424" s="61"/>
      <c r="B424" s="61"/>
      <c r="G424" s="50"/>
      <c r="I424" s="28"/>
      <c r="J424" s="28"/>
    </row>
    <row r="425">
      <c r="A425" s="61"/>
      <c r="B425" s="61"/>
      <c r="G425" s="50"/>
      <c r="I425" s="28"/>
      <c r="J425" s="28"/>
    </row>
    <row r="426">
      <c r="A426" s="61"/>
      <c r="B426" s="61"/>
      <c r="G426" s="50"/>
      <c r="I426" s="28"/>
      <c r="J426" s="28"/>
    </row>
    <row r="427">
      <c r="A427" s="61"/>
      <c r="B427" s="61"/>
      <c r="G427" s="50"/>
      <c r="I427" s="28"/>
      <c r="J427" s="28"/>
    </row>
    <row r="428">
      <c r="A428" s="61"/>
      <c r="B428" s="61"/>
      <c r="G428" s="50"/>
      <c r="I428" s="28"/>
      <c r="J428" s="28"/>
    </row>
    <row r="429">
      <c r="A429" s="61"/>
      <c r="B429" s="61"/>
      <c r="G429" s="50"/>
      <c r="I429" s="28"/>
      <c r="J429" s="28"/>
    </row>
    <row r="430">
      <c r="A430" s="61"/>
      <c r="B430" s="61"/>
      <c r="G430" s="50"/>
      <c r="I430" s="28"/>
      <c r="J430" s="28"/>
    </row>
    <row r="431">
      <c r="A431" s="61"/>
      <c r="B431" s="61"/>
      <c r="G431" s="50"/>
      <c r="I431" s="28"/>
      <c r="J431" s="28"/>
    </row>
    <row r="432">
      <c r="A432" s="61"/>
      <c r="B432" s="61"/>
      <c r="G432" s="50"/>
      <c r="I432" s="28"/>
      <c r="J432" s="28"/>
    </row>
    <row r="433">
      <c r="A433" s="61"/>
      <c r="B433" s="61"/>
      <c r="G433" s="50"/>
      <c r="I433" s="28"/>
      <c r="J433" s="28"/>
    </row>
    <row r="434">
      <c r="A434" s="61"/>
      <c r="B434" s="61"/>
      <c r="G434" s="50"/>
      <c r="I434" s="28"/>
      <c r="J434" s="28"/>
    </row>
    <row r="435">
      <c r="A435" s="61"/>
      <c r="B435" s="61"/>
      <c r="G435" s="50"/>
      <c r="I435" s="28"/>
      <c r="J435" s="28"/>
    </row>
    <row r="436">
      <c r="A436" s="61"/>
      <c r="B436" s="61"/>
      <c r="G436" s="50"/>
      <c r="I436" s="28"/>
      <c r="J436" s="28"/>
    </row>
    <row r="437">
      <c r="A437" s="61"/>
      <c r="B437" s="61"/>
      <c r="G437" s="50"/>
      <c r="I437" s="28"/>
      <c r="J437" s="28"/>
    </row>
    <row r="438">
      <c r="A438" s="61"/>
      <c r="B438" s="61"/>
      <c r="G438" s="50"/>
      <c r="I438" s="28"/>
      <c r="J438" s="28"/>
    </row>
    <row r="439">
      <c r="A439" s="61"/>
      <c r="B439" s="61"/>
      <c r="G439" s="50"/>
      <c r="I439" s="28"/>
      <c r="J439" s="28"/>
    </row>
    <row r="440">
      <c r="A440" s="61"/>
      <c r="B440" s="61"/>
      <c r="G440" s="50"/>
      <c r="I440" s="28"/>
      <c r="J440" s="28"/>
    </row>
    <row r="441">
      <c r="A441" s="61"/>
      <c r="B441" s="61"/>
      <c r="G441" s="50"/>
      <c r="I441" s="28"/>
      <c r="J441" s="28"/>
    </row>
    <row r="442">
      <c r="A442" s="61"/>
      <c r="B442" s="61"/>
      <c r="G442" s="50"/>
      <c r="I442" s="28"/>
      <c r="J442" s="28"/>
    </row>
    <row r="443">
      <c r="A443" s="61"/>
      <c r="B443" s="61"/>
      <c r="G443" s="50"/>
      <c r="I443" s="28"/>
      <c r="J443" s="28"/>
    </row>
    <row r="444">
      <c r="A444" s="61"/>
      <c r="B444" s="61"/>
      <c r="G444" s="50"/>
      <c r="I444" s="28"/>
      <c r="J444" s="28"/>
    </row>
    <row r="445">
      <c r="A445" s="61"/>
      <c r="B445" s="61"/>
      <c r="G445" s="50"/>
      <c r="I445" s="28"/>
      <c r="J445" s="28"/>
    </row>
    <row r="446">
      <c r="A446" s="61"/>
      <c r="B446" s="61"/>
      <c r="G446" s="50"/>
      <c r="I446" s="28"/>
      <c r="J446" s="28"/>
    </row>
    <row r="447">
      <c r="A447" s="61"/>
      <c r="B447" s="61"/>
      <c r="G447" s="50"/>
      <c r="I447" s="28"/>
      <c r="J447" s="28"/>
    </row>
    <row r="448">
      <c r="A448" s="61"/>
      <c r="B448" s="61"/>
      <c r="G448" s="50"/>
      <c r="I448" s="28"/>
      <c r="J448" s="28"/>
    </row>
    <row r="449">
      <c r="A449" s="61"/>
      <c r="B449" s="61"/>
      <c r="G449" s="50"/>
      <c r="I449" s="28"/>
      <c r="J449" s="28"/>
    </row>
    <row r="450">
      <c r="A450" s="61"/>
      <c r="B450" s="61"/>
      <c r="G450" s="50"/>
      <c r="I450" s="28"/>
      <c r="J450" s="28"/>
    </row>
    <row r="451">
      <c r="A451" s="61"/>
      <c r="B451" s="61"/>
      <c r="G451" s="50"/>
      <c r="I451" s="28"/>
      <c r="J451" s="28"/>
    </row>
    <row r="452">
      <c r="A452" s="61"/>
      <c r="B452" s="61"/>
      <c r="G452" s="50"/>
      <c r="I452" s="28"/>
      <c r="J452" s="28"/>
    </row>
    <row r="453">
      <c r="A453" s="61"/>
      <c r="B453" s="61"/>
      <c r="G453" s="50"/>
      <c r="I453" s="28"/>
      <c r="J453" s="28"/>
    </row>
    <row r="454">
      <c r="A454" s="61"/>
      <c r="B454" s="61"/>
      <c r="G454" s="50"/>
      <c r="I454" s="28"/>
      <c r="J454" s="28"/>
    </row>
    <row r="455">
      <c r="A455" s="61"/>
      <c r="B455" s="61"/>
      <c r="G455" s="50"/>
      <c r="I455" s="28"/>
      <c r="J455" s="28"/>
    </row>
    <row r="456">
      <c r="A456" s="61"/>
      <c r="B456" s="61"/>
      <c r="G456" s="50"/>
      <c r="I456" s="28"/>
      <c r="J456" s="28"/>
    </row>
    <row r="457">
      <c r="A457" s="61"/>
      <c r="B457" s="61"/>
      <c r="G457" s="50"/>
      <c r="I457" s="28"/>
      <c r="J457" s="28"/>
    </row>
    <row r="458">
      <c r="A458" s="61"/>
      <c r="B458" s="61"/>
      <c r="G458" s="50"/>
      <c r="I458" s="28"/>
      <c r="J458" s="28"/>
    </row>
    <row r="459">
      <c r="A459" s="61"/>
      <c r="B459" s="61"/>
      <c r="G459" s="50"/>
      <c r="I459" s="28"/>
      <c r="J459" s="28"/>
    </row>
    <row r="460">
      <c r="A460" s="61"/>
      <c r="B460" s="61"/>
      <c r="G460" s="50"/>
      <c r="I460" s="28"/>
      <c r="J460" s="28"/>
    </row>
    <row r="461">
      <c r="A461" s="61"/>
      <c r="B461" s="61"/>
      <c r="G461" s="50"/>
      <c r="I461" s="28"/>
      <c r="J461" s="28"/>
    </row>
    <row r="462">
      <c r="A462" s="61"/>
      <c r="B462" s="61"/>
      <c r="G462" s="50"/>
      <c r="I462" s="28"/>
      <c r="J462" s="28"/>
    </row>
    <row r="463">
      <c r="A463" s="61"/>
      <c r="B463" s="61"/>
      <c r="G463" s="50"/>
      <c r="I463" s="28"/>
      <c r="J463" s="28"/>
    </row>
    <row r="464">
      <c r="A464" s="61"/>
      <c r="B464" s="61"/>
      <c r="G464" s="50"/>
      <c r="I464" s="28"/>
      <c r="J464" s="28"/>
    </row>
    <row r="465">
      <c r="A465" s="61"/>
      <c r="B465" s="61"/>
      <c r="G465" s="50"/>
      <c r="I465" s="28"/>
      <c r="J465" s="28"/>
    </row>
    <row r="466">
      <c r="A466" s="61"/>
      <c r="B466" s="61"/>
      <c r="G466" s="50"/>
      <c r="I466" s="28"/>
      <c r="J466" s="28"/>
    </row>
    <row r="467">
      <c r="A467" s="61"/>
      <c r="B467" s="61"/>
      <c r="G467" s="50"/>
      <c r="I467" s="28"/>
      <c r="J467" s="28"/>
    </row>
    <row r="468">
      <c r="A468" s="61"/>
      <c r="B468" s="61"/>
      <c r="G468" s="50"/>
      <c r="I468" s="28"/>
      <c r="J468" s="28"/>
    </row>
    <row r="469">
      <c r="A469" s="61"/>
      <c r="B469" s="61"/>
      <c r="G469" s="50"/>
      <c r="I469" s="28"/>
      <c r="J469" s="28"/>
    </row>
    <row r="470">
      <c r="A470" s="61"/>
      <c r="B470" s="61"/>
      <c r="G470" s="50"/>
      <c r="I470" s="28"/>
      <c r="J470" s="28"/>
    </row>
    <row r="471">
      <c r="A471" s="61"/>
      <c r="B471" s="61"/>
      <c r="G471" s="50"/>
      <c r="I471" s="28"/>
      <c r="J471" s="28"/>
    </row>
    <row r="472">
      <c r="A472" s="61"/>
      <c r="B472" s="61"/>
      <c r="G472" s="50"/>
      <c r="I472" s="28"/>
      <c r="J472" s="28"/>
    </row>
    <row r="473">
      <c r="A473" s="61"/>
      <c r="B473" s="61"/>
      <c r="G473" s="50"/>
      <c r="I473" s="28"/>
      <c r="J473" s="28"/>
    </row>
    <row r="474">
      <c r="A474" s="61"/>
      <c r="B474" s="61"/>
      <c r="G474" s="50"/>
      <c r="I474" s="28"/>
      <c r="J474" s="28"/>
    </row>
    <row r="475">
      <c r="A475" s="61"/>
      <c r="B475" s="61"/>
      <c r="G475" s="50"/>
      <c r="I475" s="28"/>
      <c r="J475" s="28"/>
    </row>
    <row r="476">
      <c r="A476" s="61"/>
      <c r="B476" s="61"/>
      <c r="G476" s="50"/>
      <c r="I476" s="28"/>
      <c r="J476" s="28"/>
    </row>
    <row r="477">
      <c r="A477" s="61"/>
      <c r="B477" s="61"/>
      <c r="G477" s="50"/>
      <c r="I477" s="28"/>
      <c r="J477" s="28"/>
    </row>
    <row r="478">
      <c r="A478" s="61"/>
      <c r="B478" s="61"/>
      <c r="G478" s="50"/>
      <c r="I478" s="28"/>
      <c r="J478" s="28"/>
    </row>
    <row r="479">
      <c r="A479" s="61"/>
      <c r="B479" s="61"/>
      <c r="G479" s="50"/>
      <c r="I479" s="28"/>
      <c r="J479" s="28"/>
    </row>
    <row r="480">
      <c r="A480" s="61"/>
      <c r="B480" s="61"/>
      <c r="G480" s="50"/>
      <c r="I480" s="28"/>
      <c r="J480" s="28"/>
    </row>
    <row r="481">
      <c r="A481" s="61"/>
      <c r="B481" s="61"/>
      <c r="G481" s="50"/>
      <c r="I481" s="28"/>
      <c r="J481" s="28"/>
    </row>
    <row r="482">
      <c r="A482" s="61"/>
      <c r="B482" s="61"/>
      <c r="G482" s="50"/>
      <c r="I482" s="28"/>
      <c r="J482" s="28"/>
    </row>
    <row r="483">
      <c r="A483" s="61"/>
      <c r="B483" s="61"/>
      <c r="G483" s="50"/>
      <c r="I483" s="28"/>
      <c r="J483" s="28"/>
    </row>
    <row r="484">
      <c r="A484" s="61"/>
      <c r="B484" s="61"/>
      <c r="G484" s="50"/>
      <c r="I484" s="28"/>
      <c r="J484" s="28"/>
    </row>
    <row r="485">
      <c r="A485" s="61"/>
      <c r="B485" s="61"/>
      <c r="G485" s="50"/>
      <c r="I485" s="28"/>
      <c r="J485" s="28"/>
    </row>
    <row r="486">
      <c r="A486" s="61"/>
      <c r="B486" s="61"/>
      <c r="G486" s="50"/>
      <c r="I486" s="28"/>
      <c r="J486" s="28"/>
    </row>
    <row r="487">
      <c r="A487" s="61"/>
      <c r="B487" s="61"/>
      <c r="G487" s="50"/>
      <c r="I487" s="28"/>
      <c r="J487" s="28"/>
    </row>
    <row r="488">
      <c r="A488" s="61"/>
      <c r="B488" s="61"/>
      <c r="G488" s="50"/>
      <c r="I488" s="28"/>
      <c r="J488" s="28"/>
    </row>
    <row r="489">
      <c r="A489" s="61"/>
      <c r="B489" s="61"/>
      <c r="G489" s="50"/>
      <c r="I489" s="28"/>
      <c r="J489" s="28"/>
    </row>
    <row r="490">
      <c r="A490" s="61"/>
      <c r="B490" s="61"/>
      <c r="G490" s="50"/>
      <c r="I490" s="28"/>
      <c r="J490" s="28"/>
    </row>
    <row r="491">
      <c r="A491" s="61"/>
      <c r="B491" s="61"/>
      <c r="G491" s="50"/>
      <c r="I491" s="28"/>
      <c r="J491" s="28"/>
    </row>
    <row r="492">
      <c r="A492" s="61"/>
      <c r="B492" s="61"/>
      <c r="G492" s="50"/>
      <c r="I492" s="28"/>
      <c r="J492" s="28"/>
    </row>
    <row r="493">
      <c r="A493" s="61"/>
      <c r="B493" s="61"/>
      <c r="G493" s="50"/>
      <c r="I493" s="28"/>
      <c r="J493" s="28"/>
    </row>
    <row r="494">
      <c r="A494" s="61"/>
      <c r="B494" s="61"/>
      <c r="G494" s="50"/>
      <c r="I494" s="28"/>
      <c r="J494" s="28"/>
    </row>
    <row r="495">
      <c r="A495" s="61"/>
      <c r="B495" s="61"/>
      <c r="G495" s="50"/>
      <c r="I495" s="28"/>
      <c r="J495" s="28"/>
    </row>
    <row r="496">
      <c r="A496" s="61"/>
      <c r="B496" s="61"/>
      <c r="G496" s="50"/>
      <c r="I496" s="28"/>
      <c r="J496" s="28"/>
    </row>
    <row r="497">
      <c r="A497" s="61"/>
      <c r="B497" s="61"/>
      <c r="G497" s="50"/>
      <c r="I497" s="28"/>
      <c r="J497" s="28"/>
    </row>
    <row r="498">
      <c r="A498" s="61"/>
      <c r="B498" s="61"/>
      <c r="G498" s="50"/>
      <c r="I498" s="28"/>
      <c r="J498" s="28"/>
    </row>
    <row r="499">
      <c r="A499" s="61"/>
      <c r="B499" s="61"/>
      <c r="G499" s="50"/>
      <c r="I499" s="28"/>
      <c r="J499" s="28"/>
    </row>
    <row r="500">
      <c r="A500" s="61"/>
      <c r="B500" s="61"/>
      <c r="G500" s="50"/>
      <c r="I500" s="28"/>
      <c r="J500" s="28"/>
    </row>
    <row r="501">
      <c r="A501" s="61"/>
      <c r="B501" s="61"/>
      <c r="G501" s="50"/>
      <c r="I501" s="28"/>
      <c r="J501" s="28"/>
    </row>
    <row r="502">
      <c r="A502" s="61"/>
      <c r="B502" s="61"/>
      <c r="G502" s="50"/>
      <c r="I502" s="28"/>
      <c r="J502" s="28"/>
    </row>
    <row r="503">
      <c r="A503" s="61"/>
      <c r="B503" s="61"/>
      <c r="G503" s="50"/>
      <c r="I503" s="28"/>
      <c r="J503" s="28"/>
    </row>
    <row r="504">
      <c r="A504" s="61"/>
      <c r="B504" s="61"/>
      <c r="G504" s="50"/>
      <c r="I504" s="28"/>
      <c r="J504" s="28"/>
    </row>
    <row r="505">
      <c r="A505" s="61"/>
      <c r="B505" s="61"/>
      <c r="G505" s="50"/>
      <c r="I505" s="28"/>
      <c r="J505" s="28"/>
    </row>
    <row r="506">
      <c r="A506" s="61"/>
      <c r="B506" s="61"/>
      <c r="G506" s="50"/>
      <c r="I506" s="28"/>
      <c r="J506" s="28"/>
    </row>
    <row r="507">
      <c r="A507" s="61"/>
      <c r="B507" s="61"/>
      <c r="G507" s="50"/>
      <c r="I507" s="28"/>
      <c r="J507" s="28"/>
    </row>
    <row r="508">
      <c r="A508" s="61"/>
      <c r="B508" s="61"/>
      <c r="G508" s="50"/>
      <c r="I508" s="28"/>
      <c r="J508" s="28"/>
    </row>
    <row r="509">
      <c r="A509" s="61"/>
      <c r="B509" s="61"/>
      <c r="G509" s="50"/>
      <c r="I509" s="28"/>
      <c r="J509" s="28"/>
    </row>
    <row r="510">
      <c r="A510" s="61"/>
      <c r="B510" s="61"/>
      <c r="G510" s="50"/>
      <c r="I510" s="28"/>
      <c r="J510" s="28"/>
    </row>
    <row r="511">
      <c r="A511" s="61"/>
      <c r="B511" s="61"/>
      <c r="G511" s="50"/>
      <c r="I511" s="28"/>
      <c r="J511" s="28"/>
    </row>
    <row r="512">
      <c r="A512" s="61"/>
      <c r="B512" s="61"/>
      <c r="G512" s="50"/>
      <c r="I512" s="28"/>
      <c r="J512" s="28"/>
    </row>
    <row r="513">
      <c r="A513" s="61"/>
      <c r="B513" s="61"/>
      <c r="G513" s="50"/>
      <c r="I513" s="28"/>
      <c r="J513" s="28"/>
    </row>
    <row r="514">
      <c r="A514" s="61"/>
      <c r="B514" s="61"/>
      <c r="G514" s="50"/>
      <c r="I514" s="28"/>
      <c r="J514" s="28"/>
    </row>
    <row r="515">
      <c r="A515" s="61"/>
      <c r="B515" s="61"/>
      <c r="G515" s="50"/>
      <c r="I515" s="28"/>
      <c r="J515" s="28"/>
    </row>
    <row r="516">
      <c r="A516" s="61"/>
      <c r="B516" s="61"/>
      <c r="G516" s="50"/>
      <c r="I516" s="28"/>
      <c r="J516" s="28"/>
    </row>
    <row r="517">
      <c r="A517" s="61"/>
      <c r="B517" s="61"/>
      <c r="G517" s="50"/>
      <c r="I517" s="28"/>
      <c r="J517" s="28"/>
    </row>
    <row r="518">
      <c r="A518" s="61"/>
      <c r="B518" s="61"/>
      <c r="G518" s="50"/>
      <c r="I518" s="28"/>
      <c r="J518" s="28"/>
    </row>
    <row r="519">
      <c r="A519" s="61"/>
      <c r="B519" s="61"/>
      <c r="G519" s="50"/>
      <c r="I519" s="28"/>
      <c r="J519" s="28"/>
    </row>
    <row r="520">
      <c r="A520" s="61"/>
      <c r="B520" s="61"/>
      <c r="G520" s="50"/>
      <c r="I520" s="28"/>
      <c r="J520" s="28"/>
    </row>
    <row r="521">
      <c r="A521" s="61"/>
      <c r="B521" s="61"/>
      <c r="G521" s="50"/>
      <c r="I521" s="28"/>
      <c r="J521" s="28"/>
    </row>
    <row r="522">
      <c r="A522" s="61"/>
      <c r="B522" s="61"/>
      <c r="G522" s="50"/>
      <c r="I522" s="28"/>
      <c r="J522" s="28"/>
    </row>
    <row r="523">
      <c r="A523" s="61"/>
      <c r="B523" s="61"/>
      <c r="G523" s="50"/>
      <c r="I523" s="28"/>
      <c r="J523" s="28"/>
    </row>
    <row r="524">
      <c r="A524" s="61"/>
      <c r="B524" s="61"/>
      <c r="G524" s="50"/>
      <c r="I524" s="28"/>
      <c r="J524" s="28"/>
    </row>
    <row r="525">
      <c r="A525" s="61"/>
      <c r="B525" s="61"/>
      <c r="G525" s="50"/>
      <c r="I525" s="28"/>
      <c r="J525" s="28"/>
    </row>
    <row r="526">
      <c r="A526" s="61"/>
      <c r="B526" s="61"/>
      <c r="G526" s="50"/>
      <c r="I526" s="28"/>
      <c r="J526" s="28"/>
    </row>
    <row r="527">
      <c r="A527" s="61"/>
      <c r="B527" s="61"/>
      <c r="G527" s="50"/>
      <c r="I527" s="28"/>
      <c r="J527" s="28"/>
    </row>
    <row r="528">
      <c r="A528" s="61"/>
      <c r="B528" s="61"/>
      <c r="G528" s="50"/>
      <c r="I528" s="28"/>
      <c r="J528" s="28"/>
    </row>
    <row r="529">
      <c r="A529" s="61"/>
      <c r="B529" s="61"/>
      <c r="G529" s="50"/>
      <c r="I529" s="28"/>
      <c r="J529" s="28"/>
    </row>
    <row r="530">
      <c r="A530" s="61"/>
      <c r="B530" s="61"/>
      <c r="G530" s="50"/>
      <c r="I530" s="28"/>
      <c r="J530" s="28"/>
    </row>
    <row r="531">
      <c r="A531" s="61"/>
      <c r="B531" s="61"/>
      <c r="G531" s="50"/>
      <c r="I531" s="28"/>
      <c r="J531" s="28"/>
    </row>
    <row r="532">
      <c r="A532" s="61"/>
      <c r="B532" s="61"/>
      <c r="G532" s="50"/>
      <c r="I532" s="28"/>
      <c r="J532" s="28"/>
    </row>
    <row r="533">
      <c r="A533" s="61"/>
      <c r="B533" s="61"/>
      <c r="G533" s="50"/>
      <c r="I533" s="28"/>
      <c r="J533" s="28"/>
    </row>
    <row r="534">
      <c r="A534" s="61"/>
      <c r="B534" s="61"/>
      <c r="G534" s="50"/>
      <c r="I534" s="28"/>
      <c r="J534" s="28"/>
    </row>
    <row r="535">
      <c r="A535" s="61"/>
      <c r="B535" s="61"/>
      <c r="G535" s="50"/>
      <c r="I535" s="28"/>
      <c r="J535" s="28"/>
    </row>
    <row r="536">
      <c r="A536" s="61"/>
      <c r="B536" s="61"/>
      <c r="G536" s="50"/>
      <c r="I536" s="28"/>
      <c r="J536" s="28"/>
    </row>
    <row r="537">
      <c r="A537" s="61"/>
      <c r="B537" s="61"/>
      <c r="G537" s="50"/>
      <c r="I537" s="28"/>
      <c r="J537" s="28"/>
    </row>
    <row r="538">
      <c r="A538" s="61"/>
      <c r="B538" s="61"/>
      <c r="G538" s="50"/>
      <c r="I538" s="28"/>
      <c r="J538" s="28"/>
    </row>
    <row r="539">
      <c r="A539" s="61"/>
      <c r="B539" s="61"/>
      <c r="G539" s="50"/>
      <c r="I539" s="28"/>
      <c r="J539" s="28"/>
    </row>
    <row r="540">
      <c r="A540" s="61"/>
      <c r="B540" s="61"/>
      <c r="G540" s="50"/>
      <c r="I540" s="28"/>
      <c r="J540" s="28"/>
    </row>
    <row r="541">
      <c r="A541" s="61"/>
      <c r="B541" s="61"/>
      <c r="G541" s="50"/>
      <c r="I541" s="28"/>
      <c r="J541" s="28"/>
    </row>
    <row r="542">
      <c r="A542" s="61"/>
      <c r="B542" s="61"/>
      <c r="G542" s="50"/>
      <c r="I542" s="28"/>
      <c r="J542" s="28"/>
    </row>
    <row r="543">
      <c r="A543" s="61"/>
      <c r="B543" s="61"/>
      <c r="G543" s="50"/>
      <c r="I543" s="28"/>
      <c r="J543" s="28"/>
    </row>
    <row r="544">
      <c r="A544" s="61"/>
      <c r="B544" s="61"/>
      <c r="G544" s="50"/>
      <c r="I544" s="28"/>
      <c r="J544" s="28"/>
    </row>
    <row r="545">
      <c r="A545" s="61"/>
      <c r="B545" s="61"/>
      <c r="G545" s="50"/>
      <c r="I545" s="28"/>
      <c r="J545" s="28"/>
    </row>
    <row r="546">
      <c r="A546" s="61"/>
      <c r="B546" s="61"/>
      <c r="G546" s="50"/>
      <c r="I546" s="28"/>
      <c r="J546" s="28"/>
    </row>
    <row r="547">
      <c r="A547" s="61"/>
      <c r="B547" s="61"/>
      <c r="G547" s="50"/>
      <c r="I547" s="28"/>
      <c r="J547" s="28"/>
    </row>
    <row r="548">
      <c r="A548" s="61"/>
      <c r="B548" s="61"/>
      <c r="G548" s="50"/>
      <c r="I548" s="28"/>
      <c r="J548" s="28"/>
    </row>
    <row r="549">
      <c r="A549" s="61"/>
      <c r="B549" s="61"/>
      <c r="G549" s="50"/>
      <c r="I549" s="28"/>
      <c r="J549" s="28"/>
    </row>
    <row r="550">
      <c r="A550" s="61"/>
      <c r="B550" s="61"/>
      <c r="G550" s="50"/>
      <c r="I550" s="28"/>
      <c r="J550" s="28"/>
    </row>
    <row r="551">
      <c r="A551" s="61"/>
      <c r="B551" s="61"/>
      <c r="G551" s="50"/>
      <c r="I551" s="28"/>
      <c r="J551" s="28"/>
    </row>
    <row r="552">
      <c r="A552" s="61"/>
      <c r="B552" s="61"/>
      <c r="G552" s="50"/>
      <c r="I552" s="28"/>
      <c r="J552" s="28"/>
    </row>
    <row r="553">
      <c r="A553" s="61"/>
      <c r="B553" s="61"/>
      <c r="G553" s="50"/>
      <c r="I553" s="28"/>
      <c r="J553" s="28"/>
    </row>
    <row r="554">
      <c r="A554" s="61"/>
      <c r="B554" s="61"/>
      <c r="G554" s="50"/>
      <c r="I554" s="28"/>
      <c r="J554" s="28"/>
    </row>
    <row r="555">
      <c r="A555" s="61"/>
      <c r="B555" s="61"/>
      <c r="G555" s="50"/>
      <c r="I555" s="28"/>
      <c r="J555" s="28"/>
    </row>
    <row r="556">
      <c r="A556" s="61"/>
      <c r="B556" s="61"/>
      <c r="G556" s="50"/>
      <c r="I556" s="28"/>
      <c r="J556" s="28"/>
    </row>
    <row r="557">
      <c r="A557" s="61"/>
      <c r="B557" s="61"/>
      <c r="G557" s="50"/>
      <c r="I557" s="28"/>
      <c r="J557" s="28"/>
    </row>
    <row r="558">
      <c r="A558" s="61"/>
      <c r="B558" s="61"/>
      <c r="G558" s="50"/>
      <c r="I558" s="28"/>
      <c r="J558" s="28"/>
    </row>
    <row r="559">
      <c r="A559" s="61"/>
      <c r="B559" s="61"/>
      <c r="G559" s="50"/>
      <c r="I559" s="28"/>
      <c r="J559" s="28"/>
    </row>
    <row r="560">
      <c r="A560" s="61"/>
      <c r="B560" s="61"/>
      <c r="G560" s="50"/>
      <c r="I560" s="28"/>
      <c r="J560" s="28"/>
    </row>
    <row r="561">
      <c r="A561" s="61"/>
      <c r="B561" s="61"/>
      <c r="G561" s="50"/>
      <c r="I561" s="28"/>
      <c r="J561" s="28"/>
    </row>
    <row r="562">
      <c r="A562" s="61"/>
      <c r="B562" s="61"/>
      <c r="G562" s="50"/>
      <c r="I562" s="28"/>
      <c r="J562" s="28"/>
    </row>
    <row r="563">
      <c r="A563" s="61"/>
      <c r="B563" s="61"/>
      <c r="G563" s="50"/>
      <c r="I563" s="28"/>
      <c r="J563" s="28"/>
    </row>
    <row r="564">
      <c r="A564" s="61"/>
      <c r="B564" s="61"/>
      <c r="G564" s="50"/>
      <c r="I564" s="28"/>
      <c r="J564" s="28"/>
    </row>
    <row r="565">
      <c r="A565" s="61"/>
      <c r="B565" s="61"/>
      <c r="G565" s="50"/>
      <c r="I565" s="28"/>
      <c r="J565" s="28"/>
    </row>
    <row r="566">
      <c r="A566" s="61"/>
      <c r="B566" s="61"/>
      <c r="G566" s="50"/>
      <c r="I566" s="28"/>
      <c r="J566" s="28"/>
    </row>
    <row r="567">
      <c r="A567" s="61"/>
      <c r="B567" s="61"/>
      <c r="G567" s="50"/>
      <c r="I567" s="28"/>
      <c r="J567" s="28"/>
    </row>
    <row r="568">
      <c r="A568" s="61"/>
      <c r="B568" s="61"/>
      <c r="G568" s="50"/>
      <c r="I568" s="28"/>
      <c r="J568" s="28"/>
    </row>
    <row r="569">
      <c r="A569" s="61"/>
      <c r="B569" s="61"/>
      <c r="G569" s="50"/>
      <c r="I569" s="28"/>
      <c r="J569" s="28"/>
    </row>
    <row r="570">
      <c r="A570" s="61"/>
      <c r="B570" s="61"/>
      <c r="G570" s="50"/>
      <c r="I570" s="28"/>
      <c r="J570" s="28"/>
    </row>
    <row r="571">
      <c r="A571" s="61"/>
      <c r="B571" s="61"/>
      <c r="G571" s="50"/>
      <c r="I571" s="28"/>
      <c r="J571" s="28"/>
    </row>
    <row r="572">
      <c r="A572" s="61"/>
      <c r="B572" s="61"/>
      <c r="G572" s="50"/>
      <c r="I572" s="28"/>
      <c r="J572" s="28"/>
    </row>
    <row r="573">
      <c r="A573" s="61"/>
      <c r="B573" s="61"/>
      <c r="G573" s="50"/>
      <c r="I573" s="28"/>
      <c r="J573" s="28"/>
    </row>
    <row r="574">
      <c r="A574" s="61"/>
      <c r="B574" s="61"/>
      <c r="G574" s="50"/>
      <c r="I574" s="28"/>
      <c r="J574" s="28"/>
    </row>
    <row r="575">
      <c r="A575" s="61"/>
      <c r="B575" s="61"/>
      <c r="G575" s="50"/>
      <c r="I575" s="28"/>
      <c r="J575" s="28"/>
    </row>
    <row r="576">
      <c r="A576" s="61"/>
      <c r="B576" s="61"/>
      <c r="G576" s="50"/>
      <c r="I576" s="28"/>
      <c r="J576" s="28"/>
    </row>
    <row r="577">
      <c r="A577" s="61"/>
      <c r="B577" s="61"/>
      <c r="G577" s="50"/>
      <c r="I577" s="28"/>
      <c r="J577" s="28"/>
    </row>
    <row r="578">
      <c r="A578" s="61"/>
      <c r="B578" s="61"/>
      <c r="G578" s="50"/>
      <c r="I578" s="28"/>
      <c r="J578" s="28"/>
    </row>
    <row r="579">
      <c r="A579" s="61"/>
      <c r="B579" s="61"/>
      <c r="G579" s="50"/>
      <c r="I579" s="28"/>
      <c r="J579" s="28"/>
    </row>
    <row r="580">
      <c r="A580" s="61"/>
      <c r="B580" s="61"/>
      <c r="G580" s="50"/>
      <c r="I580" s="28"/>
      <c r="J580" s="28"/>
    </row>
    <row r="581">
      <c r="A581" s="61"/>
      <c r="B581" s="61"/>
      <c r="G581" s="50"/>
      <c r="I581" s="28"/>
      <c r="J581" s="28"/>
    </row>
    <row r="582">
      <c r="A582" s="61"/>
      <c r="B582" s="61"/>
      <c r="G582" s="50"/>
      <c r="I582" s="28"/>
      <c r="J582" s="28"/>
    </row>
    <row r="583">
      <c r="A583" s="61"/>
      <c r="B583" s="61"/>
      <c r="G583" s="50"/>
      <c r="I583" s="28"/>
      <c r="J583" s="28"/>
    </row>
    <row r="584">
      <c r="A584" s="61"/>
      <c r="B584" s="61"/>
      <c r="G584" s="50"/>
      <c r="I584" s="28"/>
      <c r="J584" s="28"/>
    </row>
    <row r="585">
      <c r="A585" s="61"/>
      <c r="B585" s="61"/>
      <c r="G585" s="50"/>
      <c r="I585" s="28"/>
      <c r="J585" s="28"/>
    </row>
    <row r="586">
      <c r="A586" s="61"/>
      <c r="B586" s="61"/>
      <c r="G586" s="50"/>
      <c r="I586" s="28"/>
      <c r="J586" s="28"/>
    </row>
    <row r="587">
      <c r="A587" s="61"/>
      <c r="B587" s="61"/>
      <c r="G587" s="50"/>
      <c r="I587" s="28"/>
      <c r="J587" s="28"/>
    </row>
    <row r="588">
      <c r="A588" s="61"/>
      <c r="B588" s="61"/>
      <c r="G588" s="50"/>
      <c r="I588" s="28"/>
      <c r="J588" s="28"/>
    </row>
    <row r="589">
      <c r="A589" s="61"/>
      <c r="B589" s="61"/>
      <c r="G589" s="50"/>
      <c r="I589" s="28"/>
      <c r="J589" s="28"/>
    </row>
    <row r="590">
      <c r="A590" s="61"/>
      <c r="B590" s="61"/>
      <c r="G590" s="50"/>
      <c r="I590" s="28"/>
      <c r="J590" s="28"/>
    </row>
    <row r="591">
      <c r="A591" s="61"/>
      <c r="B591" s="61"/>
      <c r="G591" s="50"/>
      <c r="I591" s="28"/>
      <c r="J591" s="28"/>
    </row>
    <row r="592">
      <c r="A592" s="61"/>
      <c r="B592" s="61"/>
      <c r="G592" s="50"/>
      <c r="I592" s="28"/>
      <c r="J592" s="28"/>
    </row>
    <row r="593">
      <c r="A593" s="61"/>
      <c r="B593" s="61"/>
      <c r="G593" s="50"/>
      <c r="I593" s="28"/>
      <c r="J593" s="28"/>
    </row>
    <row r="594">
      <c r="A594" s="61"/>
      <c r="B594" s="61"/>
      <c r="G594" s="50"/>
      <c r="I594" s="28"/>
      <c r="J594" s="28"/>
    </row>
    <row r="595">
      <c r="A595" s="61"/>
      <c r="B595" s="61"/>
      <c r="G595" s="50"/>
      <c r="I595" s="28"/>
      <c r="J595" s="28"/>
    </row>
    <row r="596">
      <c r="A596" s="61"/>
      <c r="B596" s="61"/>
      <c r="G596" s="50"/>
      <c r="I596" s="28"/>
      <c r="J596" s="28"/>
    </row>
    <row r="597">
      <c r="A597" s="61"/>
      <c r="B597" s="61"/>
      <c r="G597" s="50"/>
      <c r="I597" s="28"/>
      <c r="J597" s="28"/>
    </row>
    <row r="598">
      <c r="A598" s="61"/>
      <c r="B598" s="61"/>
      <c r="G598" s="50"/>
      <c r="I598" s="28"/>
      <c r="J598" s="28"/>
    </row>
    <row r="599">
      <c r="A599" s="61"/>
      <c r="B599" s="61"/>
      <c r="G599" s="50"/>
      <c r="I599" s="28"/>
      <c r="J599" s="28"/>
    </row>
    <row r="600">
      <c r="A600" s="61"/>
      <c r="B600" s="61"/>
      <c r="G600" s="50"/>
      <c r="I600" s="28"/>
      <c r="J600" s="28"/>
    </row>
    <row r="601">
      <c r="A601" s="61"/>
      <c r="B601" s="61"/>
      <c r="G601" s="50"/>
      <c r="I601" s="28"/>
      <c r="J601" s="28"/>
    </row>
    <row r="602">
      <c r="A602" s="61"/>
      <c r="B602" s="61"/>
      <c r="G602" s="50"/>
      <c r="I602" s="28"/>
      <c r="J602" s="28"/>
    </row>
    <row r="603">
      <c r="A603" s="61"/>
      <c r="B603" s="61"/>
      <c r="G603" s="50"/>
      <c r="I603" s="28"/>
      <c r="J603" s="28"/>
    </row>
    <row r="604">
      <c r="A604" s="61"/>
      <c r="B604" s="61"/>
      <c r="G604" s="50"/>
      <c r="I604" s="28"/>
      <c r="J604" s="28"/>
    </row>
    <row r="605">
      <c r="A605" s="61"/>
      <c r="B605" s="61"/>
      <c r="G605" s="50"/>
      <c r="I605" s="28"/>
      <c r="J605" s="28"/>
    </row>
    <row r="606">
      <c r="A606" s="61"/>
      <c r="B606" s="61"/>
      <c r="G606" s="50"/>
      <c r="I606" s="28"/>
      <c r="J606" s="28"/>
    </row>
    <row r="607">
      <c r="A607" s="61"/>
      <c r="B607" s="61"/>
      <c r="G607" s="50"/>
      <c r="I607" s="28"/>
      <c r="J607" s="28"/>
    </row>
    <row r="608">
      <c r="A608" s="61"/>
      <c r="B608" s="61"/>
      <c r="G608" s="50"/>
      <c r="I608" s="28"/>
      <c r="J608" s="28"/>
    </row>
    <row r="609">
      <c r="A609" s="61"/>
      <c r="B609" s="61"/>
      <c r="G609" s="50"/>
      <c r="I609" s="28"/>
      <c r="J609" s="28"/>
    </row>
    <row r="610">
      <c r="A610" s="61"/>
      <c r="B610" s="61"/>
      <c r="G610" s="50"/>
      <c r="I610" s="28"/>
      <c r="J610" s="28"/>
    </row>
    <row r="611">
      <c r="A611" s="61"/>
      <c r="B611" s="61"/>
      <c r="G611" s="50"/>
      <c r="I611" s="28"/>
      <c r="J611" s="28"/>
    </row>
    <row r="612">
      <c r="A612" s="61"/>
      <c r="B612" s="61"/>
      <c r="G612" s="50"/>
      <c r="I612" s="28"/>
      <c r="J612" s="28"/>
    </row>
    <row r="613">
      <c r="A613" s="61"/>
      <c r="B613" s="61"/>
      <c r="G613" s="50"/>
      <c r="I613" s="28"/>
      <c r="J613" s="28"/>
    </row>
    <row r="614">
      <c r="A614" s="61"/>
      <c r="B614" s="61"/>
      <c r="G614" s="50"/>
      <c r="I614" s="28"/>
      <c r="J614" s="28"/>
    </row>
    <row r="615">
      <c r="A615" s="61"/>
      <c r="B615" s="61"/>
      <c r="G615" s="50"/>
      <c r="I615" s="28"/>
      <c r="J615" s="28"/>
    </row>
    <row r="616">
      <c r="A616" s="61"/>
      <c r="B616" s="61"/>
      <c r="G616" s="50"/>
      <c r="I616" s="28"/>
      <c r="J616" s="28"/>
    </row>
    <row r="617">
      <c r="A617" s="61"/>
      <c r="B617" s="61"/>
      <c r="G617" s="50"/>
      <c r="I617" s="28"/>
      <c r="J617" s="28"/>
    </row>
    <row r="618">
      <c r="A618" s="61"/>
      <c r="B618" s="61"/>
      <c r="G618" s="50"/>
      <c r="I618" s="28"/>
      <c r="J618" s="28"/>
    </row>
    <row r="619">
      <c r="A619" s="61"/>
      <c r="B619" s="61"/>
      <c r="G619" s="50"/>
      <c r="I619" s="28"/>
      <c r="J619" s="28"/>
    </row>
    <row r="620">
      <c r="A620" s="61"/>
      <c r="B620" s="61"/>
      <c r="G620" s="50"/>
      <c r="I620" s="28"/>
      <c r="J620" s="28"/>
    </row>
    <row r="621">
      <c r="A621" s="61"/>
      <c r="B621" s="61"/>
      <c r="G621" s="50"/>
      <c r="I621" s="28"/>
      <c r="J621" s="28"/>
    </row>
    <row r="622">
      <c r="A622" s="61"/>
      <c r="B622" s="61"/>
      <c r="G622" s="50"/>
      <c r="I622" s="28"/>
      <c r="J622" s="28"/>
    </row>
    <row r="623">
      <c r="A623" s="61"/>
      <c r="B623" s="61"/>
      <c r="G623" s="50"/>
      <c r="I623" s="28"/>
      <c r="J623" s="28"/>
    </row>
    <row r="624">
      <c r="A624" s="61"/>
      <c r="B624" s="61"/>
      <c r="G624" s="50"/>
      <c r="I624" s="28"/>
      <c r="J624" s="28"/>
    </row>
    <row r="625">
      <c r="A625" s="61"/>
      <c r="B625" s="61"/>
      <c r="G625" s="50"/>
      <c r="I625" s="28"/>
      <c r="J625" s="28"/>
    </row>
    <row r="626">
      <c r="A626" s="61"/>
      <c r="B626" s="61"/>
      <c r="G626" s="50"/>
      <c r="I626" s="28"/>
      <c r="J626" s="28"/>
    </row>
    <row r="627">
      <c r="A627" s="61"/>
      <c r="B627" s="61"/>
      <c r="G627" s="50"/>
      <c r="I627" s="28"/>
      <c r="J627" s="28"/>
    </row>
    <row r="628">
      <c r="A628" s="61"/>
      <c r="B628" s="61"/>
      <c r="G628" s="50"/>
      <c r="I628" s="28"/>
      <c r="J628" s="28"/>
    </row>
    <row r="629">
      <c r="A629" s="61"/>
      <c r="B629" s="61"/>
      <c r="G629" s="50"/>
      <c r="I629" s="28"/>
      <c r="J629" s="28"/>
    </row>
    <row r="630">
      <c r="A630" s="61"/>
      <c r="B630" s="61"/>
      <c r="G630" s="50"/>
      <c r="I630" s="28"/>
      <c r="J630" s="28"/>
    </row>
    <row r="631">
      <c r="A631" s="61"/>
      <c r="B631" s="61"/>
      <c r="G631" s="50"/>
      <c r="I631" s="28"/>
      <c r="J631" s="28"/>
    </row>
    <row r="632">
      <c r="A632" s="61"/>
      <c r="B632" s="61"/>
      <c r="G632" s="50"/>
      <c r="I632" s="28"/>
      <c r="J632" s="28"/>
    </row>
    <row r="633">
      <c r="A633" s="61"/>
      <c r="B633" s="61"/>
      <c r="G633" s="50"/>
      <c r="I633" s="28"/>
      <c r="J633" s="28"/>
    </row>
    <row r="634">
      <c r="A634" s="61"/>
      <c r="B634" s="61"/>
      <c r="G634" s="50"/>
      <c r="I634" s="28"/>
      <c r="J634" s="28"/>
    </row>
    <row r="635">
      <c r="A635" s="61"/>
      <c r="B635" s="61"/>
      <c r="G635" s="50"/>
      <c r="I635" s="28"/>
      <c r="J635" s="28"/>
    </row>
    <row r="636">
      <c r="A636" s="61"/>
      <c r="B636" s="61"/>
      <c r="G636" s="50"/>
      <c r="I636" s="28"/>
      <c r="J636" s="28"/>
    </row>
    <row r="637">
      <c r="A637" s="61"/>
      <c r="B637" s="61"/>
      <c r="G637" s="50"/>
      <c r="I637" s="28"/>
      <c r="J637" s="28"/>
    </row>
    <row r="638">
      <c r="A638" s="61"/>
      <c r="B638" s="61"/>
      <c r="G638" s="50"/>
      <c r="I638" s="28"/>
      <c r="J638" s="28"/>
    </row>
    <row r="639">
      <c r="A639" s="61"/>
      <c r="B639" s="61"/>
      <c r="G639" s="50"/>
      <c r="I639" s="28"/>
      <c r="J639" s="28"/>
    </row>
    <row r="640">
      <c r="A640" s="61"/>
      <c r="B640" s="61"/>
      <c r="G640" s="50"/>
      <c r="I640" s="28"/>
      <c r="J640" s="28"/>
    </row>
    <row r="641">
      <c r="A641" s="61"/>
      <c r="B641" s="61"/>
      <c r="G641" s="50"/>
      <c r="I641" s="28"/>
      <c r="J641" s="28"/>
    </row>
    <row r="642">
      <c r="A642" s="61"/>
      <c r="B642" s="61"/>
      <c r="G642" s="50"/>
      <c r="I642" s="28"/>
      <c r="J642" s="28"/>
    </row>
    <row r="643">
      <c r="A643" s="61"/>
      <c r="B643" s="61"/>
      <c r="G643" s="50"/>
      <c r="I643" s="28"/>
      <c r="J643" s="28"/>
    </row>
    <row r="644">
      <c r="A644" s="61"/>
      <c r="B644" s="61"/>
      <c r="G644" s="50"/>
      <c r="I644" s="28"/>
      <c r="J644" s="28"/>
    </row>
    <row r="645">
      <c r="A645" s="61"/>
      <c r="B645" s="61"/>
      <c r="G645" s="50"/>
      <c r="I645" s="28"/>
      <c r="J645" s="28"/>
    </row>
    <row r="646">
      <c r="A646" s="61"/>
      <c r="B646" s="61"/>
      <c r="G646" s="50"/>
      <c r="I646" s="28"/>
      <c r="J646" s="28"/>
    </row>
    <row r="647">
      <c r="A647" s="61"/>
      <c r="B647" s="61"/>
      <c r="G647" s="50"/>
      <c r="I647" s="28"/>
      <c r="J647" s="28"/>
    </row>
    <row r="648">
      <c r="A648" s="61"/>
      <c r="B648" s="61"/>
      <c r="G648" s="50"/>
      <c r="I648" s="28"/>
      <c r="J648" s="28"/>
    </row>
    <row r="649">
      <c r="A649" s="61"/>
      <c r="B649" s="61"/>
      <c r="G649" s="50"/>
      <c r="I649" s="28"/>
      <c r="J649" s="28"/>
    </row>
    <row r="650">
      <c r="A650" s="61"/>
      <c r="B650" s="61"/>
      <c r="G650" s="50"/>
      <c r="I650" s="28"/>
      <c r="J650" s="28"/>
    </row>
    <row r="651">
      <c r="A651" s="61"/>
      <c r="B651" s="61"/>
      <c r="G651" s="50"/>
      <c r="I651" s="28"/>
      <c r="J651" s="28"/>
    </row>
    <row r="652">
      <c r="A652" s="61"/>
      <c r="B652" s="61"/>
      <c r="G652" s="50"/>
      <c r="I652" s="28"/>
      <c r="J652" s="28"/>
    </row>
    <row r="653">
      <c r="A653" s="61"/>
      <c r="B653" s="61"/>
      <c r="G653" s="50"/>
      <c r="I653" s="28"/>
      <c r="J653" s="28"/>
    </row>
    <row r="654">
      <c r="A654" s="61"/>
      <c r="B654" s="61"/>
      <c r="G654" s="50"/>
      <c r="I654" s="28"/>
      <c r="J654" s="28"/>
    </row>
    <row r="655">
      <c r="A655" s="61"/>
      <c r="B655" s="61"/>
      <c r="G655" s="50"/>
      <c r="I655" s="28"/>
      <c r="J655" s="28"/>
    </row>
    <row r="656">
      <c r="A656" s="61"/>
      <c r="B656" s="61"/>
      <c r="G656" s="50"/>
      <c r="I656" s="28"/>
      <c r="J656" s="28"/>
    </row>
    <row r="657">
      <c r="A657" s="61"/>
      <c r="B657" s="61"/>
      <c r="G657" s="50"/>
      <c r="I657" s="28"/>
      <c r="J657" s="28"/>
    </row>
    <row r="658">
      <c r="A658" s="61"/>
      <c r="B658" s="61"/>
      <c r="G658" s="50"/>
      <c r="I658" s="28"/>
      <c r="J658" s="28"/>
    </row>
    <row r="659">
      <c r="A659" s="61"/>
      <c r="B659" s="61"/>
      <c r="G659" s="50"/>
      <c r="I659" s="28"/>
      <c r="J659" s="28"/>
    </row>
    <row r="660">
      <c r="A660" s="61"/>
      <c r="B660" s="61"/>
      <c r="G660" s="50"/>
      <c r="I660" s="28"/>
      <c r="J660" s="28"/>
    </row>
    <row r="661">
      <c r="A661" s="61"/>
      <c r="B661" s="61"/>
      <c r="G661" s="50"/>
      <c r="I661" s="28"/>
      <c r="J661" s="28"/>
    </row>
    <row r="662">
      <c r="A662" s="61"/>
      <c r="B662" s="61"/>
      <c r="G662" s="50"/>
      <c r="I662" s="28"/>
      <c r="J662" s="28"/>
    </row>
    <row r="663">
      <c r="A663" s="61"/>
      <c r="B663" s="61"/>
      <c r="G663" s="50"/>
      <c r="I663" s="28"/>
      <c r="J663" s="28"/>
    </row>
    <row r="664">
      <c r="A664" s="61"/>
      <c r="B664" s="61"/>
      <c r="G664" s="50"/>
      <c r="I664" s="28"/>
      <c r="J664" s="28"/>
    </row>
    <row r="665">
      <c r="A665" s="61"/>
      <c r="B665" s="61"/>
      <c r="G665" s="50"/>
      <c r="I665" s="28"/>
      <c r="J665" s="28"/>
    </row>
    <row r="666">
      <c r="A666" s="61"/>
      <c r="B666" s="61"/>
      <c r="G666" s="50"/>
      <c r="I666" s="28"/>
      <c r="J666" s="28"/>
    </row>
    <row r="667">
      <c r="A667" s="61"/>
      <c r="B667" s="61"/>
      <c r="G667" s="50"/>
      <c r="I667" s="28"/>
      <c r="J667" s="28"/>
    </row>
    <row r="668">
      <c r="A668" s="61"/>
      <c r="B668" s="61"/>
      <c r="G668" s="50"/>
      <c r="I668" s="28"/>
      <c r="J668" s="28"/>
    </row>
    <row r="669">
      <c r="A669" s="61"/>
      <c r="B669" s="61"/>
      <c r="G669" s="50"/>
      <c r="I669" s="28"/>
      <c r="J669" s="28"/>
    </row>
    <row r="670">
      <c r="A670" s="61"/>
      <c r="B670" s="61"/>
      <c r="G670" s="50"/>
      <c r="I670" s="28"/>
      <c r="J670" s="28"/>
    </row>
    <row r="671">
      <c r="A671" s="61"/>
      <c r="B671" s="61"/>
      <c r="G671" s="50"/>
      <c r="I671" s="28"/>
      <c r="J671" s="28"/>
    </row>
    <row r="672">
      <c r="A672" s="61"/>
      <c r="B672" s="61"/>
      <c r="G672" s="50"/>
      <c r="I672" s="28"/>
      <c r="J672" s="28"/>
    </row>
    <row r="673">
      <c r="A673" s="61"/>
      <c r="B673" s="61"/>
      <c r="G673" s="50"/>
      <c r="I673" s="28"/>
      <c r="J673" s="28"/>
    </row>
    <row r="674">
      <c r="A674" s="61"/>
      <c r="B674" s="61"/>
      <c r="G674" s="50"/>
      <c r="I674" s="28"/>
      <c r="J674" s="28"/>
    </row>
    <row r="675">
      <c r="A675" s="61"/>
      <c r="B675" s="61"/>
      <c r="G675" s="50"/>
      <c r="I675" s="28"/>
      <c r="J675" s="28"/>
    </row>
    <row r="676">
      <c r="A676" s="61"/>
      <c r="B676" s="61"/>
      <c r="G676" s="50"/>
      <c r="I676" s="28"/>
      <c r="J676" s="28"/>
    </row>
    <row r="677">
      <c r="A677" s="61"/>
      <c r="B677" s="61"/>
      <c r="G677" s="50"/>
      <c r="I677" s="28"/>
      <c r="J677" s="28"/>
    </row>
    <row r="678">
      <c r="A678" s="61"/>
      <c r="B678" s="61"/>
      <c r="G678" s="50"/>
      <c r="I678" s="28"/>
      <c r="J678" s="28"/>
    </row>
    <row r="679">
      <c r="A679" s="61"/>
      <c r="B679" s="61"/>
      <c r="G679" s="50"/>
      <c r="I679" s="28"/>
      <c r="J679" s="28"/>
    </row>
    <row r="680">
      <c r="A680" s="61"/>
      <c r="B680" s="61"/>
      <c r="G680" s="50"/>
      <c r="I680" s="28"/>
      <c r="J680" s="28"/>
    </row>
    <row r="681">
      <c r="A681" s="61"/>
      <c r="B681" s="61"/>
      <c r="G681" s="50"/>
      <c r="I681" s="28"/>
      <c r="J681" s="28"/>
    </row>
    <row r="682">
      <c r="A682" s="61"/>
      <c r="B682" s="61"/>
      <c r="G682" s="50"/>
      <c r="I682" s="28"/>
      <c r="J682" s="28"/>
    </row>
    <row r="683">
      <c r="A683" s="61"/>
      <c r="B683" s="61"/>
      <c r="G683" s="50"/>
      <c r="I683" s="28"/>
      <c r="J683" s="28"/>
    </row>
    <row r="684">
      <c r="A684" s="61"/>
      <c r="B684" s="61"/>
      <c r="G684" s="50"/>
      <c r="I684" s="28"/>
      <c r="J684" s="28"/>
    </row>
    <row r="685">
      <c r="A685" s="61"/>
      <c r="B685" s="61"/>
      <c r="G685" s="50"/>
      <c r="I685" s="28"/>
      <c r="J685" s="28"/>
    </row>
    <row r="686">
      <c r="A686" s="61"/>
      <c r="B686" s="61"/>
      <c r="G686" s="50"/>
      <c r="I686" s="28"/>
      <c r="J686" s="28"/>
    </row>
    <row r="687">
      <c r="A687" s="61"/>
      <c r="B687" s="61"/>
      <c r="G687" s="50"/>
      <c r="I687" s="28"/>
      <c r="J687" s="28"/>
    </row>
    <row r="688">
      <c r="A688" s="61"/>
      <c r="B688" s="61"/>
      <c r="G688" s="50"/>
      <c r="I688" s="28"/>
      <c r="J688" s="28"/>
    </row>
    <row r="689">
      <c r="A689" s="61"/>
      <c r="B689" s="61"/>
      <c r="G689" s="50"/>
      <c r="I689" s="28"/>
      <c r="J689" s="28"/>
    </row>
    <row r="690">
      <c r="A690" s="61"/>
      <c r="B690" s="61"/>
      <c r="G690" s="50"/>
      <c r="I690" s="28"/>
      <c r="J690" s="28"/>
    </row>
    <row r="691">
      <c r="A691" s="61"/>
      <c r="B691" s="61"/>
      <c r="G691" s="50"/>
      <c r="I691" s="28"/>
      <c r="J691" s="28"/>
    </row>
    <row r="692">
      <c r="A692" s="61"/>
      <c r="B692" s="61"/>
      <c r="G692" s="50"/>
      <c r="I692" s="28"/>
      <c r="J692" s="28"/>
    </row>
    <row r="693">
      <c r="A693" s="61"/>
      <c r="B693" s="61"/>
      <c r="G693" s="50"/>
      <c r="I693" s="28"/>
      <c r="J693" s="28"/>
    </row>
    <row r="694">
      <c r="A694" s="61"/>
      <c r="B694" s="61"/>
      <c r="G694" s="50"/>
      <c r="I694" s="28"/>
      <c r="J694" s="28"/>
    </row>
    <row r="695">
      <c r="A695" s="61"/>
      <c r="B695" s="61"/>
      <c r="G695" s="50"/>
      <c r="I695" s="28"/>
      <c r="J695" s="28"/>
    </row>
    <row r="696">
      <c r="A696" s="61"/>
      <c r="B696" s="61"/>
      <c r="G696" s="50"/>
      <c r="I696" s="28"/>
      <c r="J696" s="28"/>
    </row>
    <row r="697">
      <c r="A697" s="61"/>
      <c r="B697" s="61"/>
      <c r="G697" s="50"/>
      <c r="I697" s="28"/>
      <c r="J697" s="28"/>
    </row>
    <row r="698">
      <c r="A698" s="61"/>
      <c r="B698" s="61"/>
      <c r="G698" s="50"/>
      <c r="I698" s="28"/>
      <c r="J698" s="28"/>
    </row>
    <row r="699">
      <c r="A699" s="61"/>
      <c r="B699" s="61"/>
      <c r="G699" s="50"/>
      <c r="I699" s="28"/>
      <c r="J699" s="28"/>
    </row>
    <row r="700">
      <c r="A700" s="61"/>
      <c r="B700" s="61"/>
      <c r="G700" s="50"/>
      <c r="I700" s="28"/>
      <c r="J700" s="28"/>
    </row>
    <row r="701">
      <c r="A701" s="61"/>
      <c r="B701" s="61"/>
      <c r="G701" s="50"/>
      <c r="I701" s="28"/>
      <c r="J701" s="28"/>
    </row>
    <row r="702">
      <c r="A702" s="61"/>
      <c r="B702" s="61"/>
      <c r="G702" s="50"/>
      <c r="I702" s="28"/>
      <c r="J702" s="28"/>
    </row>
    <row r="703">
      <c r="A703" s="61"/>
      <c r="B703" s="61"/>
      <c r="G703" s="50"/>
      <c r="I703" s="28"/>
      <c r="J703" s="28"/>
    </row>
    <row r="704">
      <c r="A704" s="61"/>
      <c r="B704" s="61"/>
      <c r="G704" s="50"/>
      <c r="I704" s="28"/>
      <c r="J704" s="28"/>
    </row>
    <row r="705">
      <c r="A705" s="61"/>
      <c r="B705" s="61"/>
      <c r="G705" s="50"/>
      <c r="I705" s="28"/>
      <c r="J705" s="28"/>
    </row>
    <row r="706">
      <c r="A706" s="61"/>
      <c r="B706" s="61"/>
      <c r="G706" s="50"/>
      <c r="I706" s="28"/>
      <c r="J706" s="28"/>
    </row>
    <row r="707">
      <c r="A707" s="61"/>
      <c r="B707" s="61"/>
      <c r="G707" s="50"/>
      <c r="I707" s="28"/>
      <c r="J707" s="28"/>
    </row>
    <row r="708">
      <c r="A708" s="61"/>
      <c r="B708" s="61"/>
      <c r="G708" s="50"/>
      <c r="I708" s="28"/>
      <c r="J708" s="28"/>
    </row>
    <row r="709">
      <c r="A709" s="61"/>
      <c r="B709" s="61"/>
      <c r="G709" s="50"/>
      <c r="I709" s="28"/>
      <c r="J709" s="28"/>
    </row>
    <row r="710">
      <c r="A710" s="61"/>
      <c r="B710" s="61"/>
      <c r="G710" s="50"/>
      <c r="I710" s="28"/>
      <c r="J710" s="28"/>
    </row>
    <row r="711">
      <c r="A711" s="61"/>
      <c r="B711" s="61"/>
      <c r="G711" s="50"/>
      <c r="I711" s="28"/>
      <c r="J711" s="28"/>
    </row>
    <row r="712">
      <c r="A712" s="61"/>
      <c r="B712" s="61"/>
      <c r="G712" s="50"/>
      <c r="I712" s="28"/>
      <c r="J712" s="28"/>
    </row>
    <row r="713">
      <c r="A713" s="61"/>
      <c r="B713" s="61"/>
      <c r="G713" s="50"/>
      <c r="I713" s="28"/>
      <c r="J713" s="28"/>
    </row>
    <row r="714">
      <c r="A714" s="61"/>
      <c r="B714" s="61"/>
      <c r="G714" s="50"/>
      <c r="I714" s="28"/>
      <c r="J714" s="28"/>
    </row>
    <row r="715">
      <c r="A715" s="61"/>
      <c r="B715" s="61"/>
      <c r="G715" s="50"/>
      <c r="I715" s="28"/>
      <c r="J715" s="28"/>
    </row>
    <row r="716">
      <c r="A716" s="61"/>
      <c r="B716" s="61"/>
      <c r="G716" s="50"/>
      <c r="I716" s="28"/>
      <c r="J716" s="28"/>
    </row>
    <row r="717">
      <c r="A717" s="61"/>
      <c r="B717" s="61"/>
      <c r="G717" s="50"/>
      <c r="I717" s="28"/>
      <c r="J717" s="28"/>
    </row>
    <row r="718">
      <c r="A718" s="61"/>
      <c r="B718" s="61"/>
      <c r="G718" s="50"/>
      <c r="I718" s="28"/>
      <c r="J718" s="28"/>
    </row>
    <row r="719">
      <c r="A719" s="61"/>
      <c r="B719" s="61"/>
      <c r="G719" s="50"/>
      <c r="I719" s="28"/>
      <c r="J719" s="28"/>
    </row>
    <row r="720">
      <c r="A720" s="61"/>
      <c r="B720" s="61"/>
      <c r="G720" s="50"/>
      <c r="I720" s="28"/>
      <c r="J720" s="28"/>
    </row>
    <row r="721">
      <c r="A721" s="61"/>
      <c r="B721" s="61"/>
      <c r="G721" s="50"/>
      <c r="I721" s="28"/>
      <c r="J721" s="28"/>
    </row>
    <row r="722">
      <c r="A722" s="61"/>
      <c r="B722" s="61"/>
      <c r="G722" s="50"/>
      <c r="I722" s="28"/>
      <c r="J722" s="28"/>
    </row>
    <row r="723">
      <c r="A723" s="61"/>
      <c r="B723" s="61"/>
      <c r="G723" s="50"/>
      <c r="I723" s="28"/>
      <c r="J723" s="28"/>
    </row>
    <row r="724">
      <c r="A724" s="61"/>
      <c r="B724" s="61"/>
      <c r="G724" s="50"/>
      <c r="I724" s="28"/>
      <c r="J724" s="28"/>
    </row>
    <row r="725">
      <c r="A725" s="61"/>
      <c r="B725" s="61"/>
      <c r="G725" s="50"/>
      <c r="I725" s="28"/>
      <c r="J725" s="28"/>
    </row>
    <row r="726">
      <c r="A726" s="61"/>
      <c r="B726" s="61"/>
      <c r="G726" s="50"/>
      <c r="I726" s="28"/>
      <c r="J726" s="28"/>
    </row>
    <row r="727">
      <c r="A727" s="61"/>
      <c r="B727" s="61"/>
      <c r="G727" s="50"/>
      <c r="I727" s="28"/>
      <c r="J727" s="28"/>
    </row>
    <row r="728">
      <c r="A728" s="61"/>
      <c r="B728" s="61"/>
      <c r="G728" s="50"/>
      <c r="I728" s="28"/>
      <c r="J728" s="28"/>
    </row>
    <row r="729">
      <c r="A729" s="61"/>
      <c r="B729" s="61"/>
      <c r="G729" s="50"/>
      <c r="I729" s="28"/>
      <c r="J729" s="28"/>
    </row>
    <row r="730">
      <c r="A730" s="61"/>
      <c r="B730" s="61"/>
      <c r="G730" s="50"/>
      <c r="I730" s="28"/>
      <c r="J730" s="28"/>
    </row>
    <row r="731">
      <c r="A731" s="61"/>
      <c r="B731" s="61"/>
      <c r="G731" s="50"/>
      <c r="I731" s="28"/>
      <c r="J731" s="28"/>
    </row>
    <row r="732">
      <c r="A732" s="61"/>
      <c r="B732" s="61"/>
      <c r="G732" s="50"/>
      <c r="I732" s="28"/>
      <c r="J732" s="28"/>
    </row>
    <row r="733">
      <c r="A733" s="61"/>
      <c r="B733" s="61"/>
      <c r="G733" s="50"/>
      <c r="I733" s="28"/>
      <c r="J733" s="28"/>
    </row>
    <row r="734">
      <c r="A734" s="61"/>
      <c r="B734" s="61"/>
      <c r="G734" s="50"/>
      <c r="I734" s="28"/>
      <c r="J734" s="28"/>
    </row>
    <row r="735">
      <c r="A735" s="61"/>
      <c r="B735" s="61"/>
      <c r="G735" s="50"/>
      <c r="I735" s="28"/>
      <c r="J735" s="28"/>
    </row>
    <row r="736">
      <c r="A736" s="61"/>
      <c r="B736" s="61"/>
      <c r="G736" s="50"/>
      <c r="I736" s="28"/>
      <c r="J736" s="28"/>
    </row>
    <row r="737">
      <c r="A737" s="61"/>
      <c r="B737" s="61"/>
      <c r="G737" s="50"/>
      <c r="I737" s="28"/>
      <c r="J737" s="28"/>
    </row>
    <row r="738">
      <c r="A738" s="61"/>
      <c r="B738" s="61"/>
      <c r="G738" s="50"/>
      <c r="I738" s="28"/>
      <c r="J738" s="28"/>
    </row>
    <row r="739">
      <c r="A739" s="61"/>
      <c r="B739" s="61"/>
      <c r="G739" s="50"/>
      <c r="I739" s="28"/>
      <c r="J739" s="28"/>
    </row>
    <row r="740">
      <c r="A740" s="61"/>
      <c r="B740" s="61"/>
      <c r="G740" s="50"/>
      <c r="I740" s="28"/>
      <c r="J740" s="28"/>
    </row>
    <row r="741">
      <c r="A741" s="61"/>
      <c r="B741" s="61"/>
      <c r="G741" s="50"/>
      <c r="I741" s="28"/>
      <c r="J741" s="28"/>
    </row>
    <row r="742">
      <c r="A742" s="61"/>
      <c r="B742" s="61"/>
      <c r="G742" s="50"/>
      <c r="I742" s="28"/>
      <c r="J742" s="28"/>
    </row>
    <row r="743">
      <c r="A743" s="61"/>
      <c r="B743" s="61"/>
      <c r="G743" s="50"/>
      <c r="I743" s="28"/>
      <c r="J743" s="28"/>
    </row>
    <row r="744">
      <c r="A744" s="61"/>
      <c r="B744" s="61"/>
      <c r="G744" s="50"/>
      <c r="I744" s="28"/>
      <c r="J744" s="28"/>
    </row>
    <row r="745">
      <c r="A745" s="61"/>
      <c r="B745" s="61"/>
      <c r="G745" s="50"/>
      <c r="I745" s="28"/>
      <c r="J745" s="28"/>
    </row>
    <row r="746">
      <c r="A746" s="61"/>
      <c r="B746" s="61"/>
      <c r="G746" s="50"/>
      <c r="I746" s="28"/>
      <c r="J746" s="28"/>
    </row>
    <row r="747">
      <c r="A747" s="61"/>
      <c r="B747" s="61"/>
      <c r="G747" s="50"/>
      <c r="I747" s="28"/>
      <c r="J747" s="28"/>
    </row>
    <row r="748">
      <c r="A748" s="61"/>
      <c r="B748" s="61"/>
      <c r="G748" s="50"/>
      <c r="I748" s="28"/>
      <c r="J748" s="28"/>
    </row>
    <row r="749">
      <c r="A749" s="61"/>
      <c r="B749" s="61"/>
      <c r="G749" s="50"/>
      <c r="I749" s="28"/>
      <c r="J749" s="28"/>
    </row>
    <row r="750">
      <c r="A750" s="61"/>
      <c r="B750" s="61"/>
      <c r="G750" s="50"/>
      <c r="I750" s="28"/>
      <c r="J750" s="28"/>
    </row>
    <row r="751">
      <c r="A751" s="61"/>
      <c r="B751" s="61"/>
      <c r="G751" s="50"/>
      <c r="I751" s="28"/>
      <c r="J751" s="28"/>
    </row>
    <row r="752">
      <c r="A752" s="61"/>
      <c r="B752" s="61"/>
      <c r="G752" s="50"/>
      <c r="I752" s="28"/>
      <c r="J752" s="28"/>
    </row>
    <row r="753">
      <c r="A753" s="61"/>
      <c r="B753" s="61"/>
      <c r="G753" s="50"/>
      <c r="I753" s="28"/>
      <c r="J753" s="28"/>
    </row>
    <row r="754">
      <c r="A754" s="61"/>
      <c r="B754" s="61"/>
      <c r="G754" s="50"/>
      <c r="I754" s="28"/>
      <c r="J754" s="28"/>
    </row>
    <row r="755">
      <c r="A755" s="61"/>
      <c r="B755" s="61"/>
      <c r="G755" s="50"/>
      <c r="I755" s="28"/>
      <c r="J755" s="28"/>
    </row>
    <row r="756">
      <c r="A756" s="61"/>
      <c r="B756" s="61"/>
      <c r="G756" s="50"/>
      <c r="I756" s="28"/>
      <c r="J756" s="28"/>
    </row>
    <row r="757">
      <c r="A757" s="61"/>
      <c r="B757" s="61"/>
      <c r="G757" s="50"/>
      <c r="I757" s="28"/>
      <c r="J757" s="28"/>
    </row>
    <row r="758">
      <c r="A758" s="61"/>
      <c r="B758" s="61"/>
      <c r="G758" s="50"/>
      <c r="I758" s="28"/>
      <c r="J758" s="28"/>
    </row>
    <row r="759">
      <c r="A759" s="61"/>
      <c r="B759" s="61"/>
      <c r="G759" s="50"/>
      <c r="I759" s="28"/>
      <c r="J759" s="28"/>
    </row>
    <row r="760">
      <c r="A760" s="61"/>
      <c r="B760" s="61"/>
      <c r="G760" s="50"/>
      <c r="I760" s="28"/>
      <c r="J760" s="28"/>
    </row>
    <row r="761">
      <c r="A761" s="61"/>
      <c r="B761" s="61"/>
      <c r="G761" s="50"/>
      <c r="I761" s="28"/>
      <c r="J761" s="28"/>
    </row>
    <row r="762">
      <c r="A762" s="61"/>
      <c r="B762" s="61"/>
      <c r="G762" s="50"/>
      <c r="I762" s="28"/>
      <c r="J762" s="28"/>
    </row>
    <row r="763">
      <c r="A763" s="61"/>
      <c r="B763" s="61"/>
      <c r="G763" s="50"/>
      <c r="I763" s="28"/>
      <c r="J763" s="28"/>
    </row>
    <row r="764">
      <c r="A764" s="61"/>
      <c r="B764" s="61"/>
      <c r="G764" s="50"/>
      <c r="I764" s="28"/>
      <c r="J764" s="28"/>
    </row>
    <row r="765">
      <c r="A765" s="61"/>
      <c r="B765" s="61"/>
      <c r="G765" s="50"/>
      <c r="I765" s="28"/>
      <c r="J765" s="28"/>
    </row>
    <row r="766">
      <c r="A766" s="61"/>
      <c r="B766" s="61"/>
      <c r="G766" s="50"/>
      <c r="I766" s="28"/>
      <c r="J766" s="28"/>
    </row>
    <row r="767">
      <c r="A767" s="61"/>
      <c r="B767" s="61"/>
      <c r="G767" s="50"/>
      <c r="I767" s="28"/>
      <c r="J767" s="28"/>
    </row>
    <row r="768">
      <c r="A768" s="61"/>
      <c r="B768" s="61"/>
      <c r="G768" s="50"/>
      <c r="I768" s="28"/>
      <c r="J768" s="28"/>
    </row>
    <row r="769">
      <c r="A769" s="61"/>
      <c r="B769" s="61"/>
      <c r="G769" s="50"/>
      <c r="I769" s="28"/>
      <c r="J769" s="28"/>
    </row>
    <row r="770">
      <c r="A770" s="61"/>
      <c r="B770" s="61"/>
      <c r="G770" s="50"/>
      <c r="I770" s="28"/>
      <c r="J770" s="28"/>
    </row>
    <row r="771">
      <c r="A771" s="61"/>
      <c r="B771" s="61"/>
      <c r="G771" s="50"/>
      <c r="I771" s="28"/>
      <c r="J771" s="28"/>
    </row>
    <row r="772">
      <c r="A772" s="61"/>
      <c r="B772" s="61"/>
      <c r="G772" s="50"/>
      <c r="I772" s="28"/>
      <c r="J772" s="28"/>
    </row>
    <row r="773">
      <c r="A773" s="61"/>
      <c r="B773" s="61"/>
      <c r="G773" s="50"/>
      <c r="I773" s="28"/>
      <c r="J773" s="28"/>
    </row>
    <row r="774">
      <c r="A774" s="61"/>
      <c r="B774" s="61"/>
      <c r="G774" s="50"/>
      <c r="I774" s="28"/>
      <c r="J774" s="28"/>
    </row>
    <row r="775">
      <c r="A775" s="61"/>
      <c r="B775" s="61"/>
      <c r="G775" s="50"/>
      <c r="I775" s="28"/>
      <c r="J775" s="28"/>
    </row>
    <row r="776">
      <c r="A776" s="61"/>
      <c r="B776" s="61"/>
      <c r="G776" s="50"/>
      <c r="I776" s="28"/>
      <c r="J776" s="28"/>
    </row>
    <row r="777">
      <c r="A777" s="61"/>
      <c r="B777" s="61"/>
      <c r="G777" s="50"/>
      <c r="I777" s="28"/>
      <c r="J777" s="28"/>
    </row>
    <row r="778">
      <c r="A778" s="61"/>
      <c r="B778" s="61"/>
      <c r="G778" s="50"/>
      <c r="I778" s="28"/>
      <c r="J778" s="28"/>
    </row>
    <row r="779">
      <c r="A779" s="61"/>
      <c r="B779" s="61"/>
      <c r="G779" s="50"/>
      <c r="I779" s="28"/>
      <c r="J779" s="28"/>
    </row>
    <row r="780">
      <c r="A780" s="61"/>
      <c r="B780" s="61"/>
      <c r="G780" s="50"/>
      <c r="I780" s="28"/>
      <c r="J780" s="28"/>
    </row>
    <row r="781">
      <c r="A781" s="61"/>
      <c r="B781" s="61"/>
      <c r="G781" s="50"/>
      <c r="I781" s="28"/>
      <c r="J781" s="28"/>
    </row>
    <row r="782">
      <c r="A782" s="61"/>
      <c r="B782" s="61"/>
      <c r="G782" s="50"/>
      <c r="I782" s="28"/>
      <c r="J782" s="28"/>
    </row>
    <row r="783">
      <c r="A783" s="61"/>
      <c r="B783" s="61"/>
      <c r="G783" s="50"/>
      <c r="I783" s="28"/>
      <c r="J783" s="28"/>
    </row>
    <row r="784">
      <c r="A784" s="61"/>
      <c r="B784" s="61"/>
      <c r="G784" s="50"/>
      <c r="I784" s="28"/>
      <c r="J784" s="28"/>
    </row>
    <row r="785">
      <c r="A785" s="61"/>
      <c r="B785" s="61"/>
      <c r="G785" s="50"/>
      <c r="I785" s="28"/>
      <c r="J785" s="28"/>
    </row>
    <row r="786">
      <c r="A786" s="61"/>
      <c r="B786" s="61"/>
      <c r="G786" s="50"/>
      <c r="I786" s="28"/>
      <c r="J786" s="28"/>
    </row>
    <row r="787">
      <c r="A787" s="61"/>
      <c r="B787" s="61"/>
      <c r="G787" s="50"/>
      <c r="I787" s="28"/>
      <c r="J787" s="28"/>
    </row>
    <row r="788">
      <c r="A788" s="61"/>
      <c r="B788" s="61"/>
      <c r="G788" s="50"/>
      <c r="I788" s="28"/>
      <c r="J788" s="28"/>
    </row>
    <row r="789">
      <c r="A789" s="61"/>
      <c r="B789" s="61"/>
      <c r="G789" s="50"/>
      <c r="I789" s="28"/>
      <c r="J789" s="28"/>
    </row>
    <row r="790">
      <c r="A790" s="61"/>
      <c r="B790" s="61"/>
      <c r="G790" s="50"/>
      <c r="I790" s="28"/>
      <c r="J790" s="28"/>
    </row>
    <row r="791">
      <c r="A791" s="61"/>
      <c r="B791" s="61"/>
      <c r="G791" s="50"/>
      <c r="I791" s="28"/>
      <c r="J791" s="28"/>
    </row>
    <row r="792">
      <c r="A792" s="61"/>
      <c r="B792" s="61"/>
      <c r="G792" s="50"/>
      <c r="I792" s="28"/>
      <c r="J792" s="28"/>
    </row>
    <row r="793">
      <c r="A793" s="61"/>
      <c r="B793" s="61"/>
      <c r="G793" s="50"/>
      <c r="I793" s="28"/>
      <c r="J793" s="28"/>
    </row>
    <row r="794">
      <c r="A794" s="61"/>
      <c r="B794" s="61"/>
      <c r="G794" s="50"/>
      <c r="I794" s="28"/>
      <c r="J794" s="28"/>
    </row>
    <row r="795">
      <c r="A795" s="61"/>
      <c r="B795" s="61"/>
      <c r="G795" s="50"/>
      <c r="I795" s="28"/>
      <c r="J795" s="28"/>
    </row>
    <row r="796">
      <c r="A796" s="61"/>
      <c r="B796" s="61"/>
      <c r="G796" s="50"/>
      <c r="I796" s="28"/>
      <c r="J796" s="28"/>
    </row>
    <row r="797">
      <c r="A797" s="61"/>
      <c r="B797" s="61"/>
      <c r="G797" s="50"/>
      <c r="I797" s="28"/>
      <c r="J797" s="28"/>
    </row>
    <row r="798">
      <c r="A798" s="61"/>
      <c r="B798" s="61"/>
      <c r="G798" s="50"/>
      <c r="I798" s="28"/>
      <c r="J798" s="28"/>
    </row>
    <row r="799">
      <c r="A799" s="61"/>
      <c r="B799" s="61"/>
      <c r="G799" s="50"/>
      <c r="I799" s="28"/>
      <c r="J799" s="28"/>
    </row>
    <row r="800">
      <c r="A800" s="61"/>
      <c r="B800" s="61"/>
      <c r="G800" s="50"/>
      <c r="I800" s="28"/>
      <c r="J800" s="28"/>
    </row>
    <row r="801">
      <c r="A801" s="61"/>
      <c r="B801" s="61"/>
      <c r="G801" s="50"/>
      <c r="I801" s="28"/>
      <c r="J801" s="28"/>
    </row>
    <row r="802">
      <c r="A802" s="61"/>
      <c r="B802" s="61"/>
      <c r="G802" s="50"/>
      <c r="I802" s="28"/>
      <c r="J802" s="28"/>
    </row>
    <row r="803">
      <c r="A803" s="61"/>
      <c r="B803" s="61"/>
      <c r="G803" s="50"/>
      <c r="I803" s="28"/>
      <c r="J803" s="28"/>
    </row>
    <row r="804">
      <c r="A804" s="61"/>
      <c r="B804" s="61"/>
      <c r="G804" s="50"/>
      <c r="I804" s="28"/>
      <c r="J804" s="28"/>
    </row>
    <row r="805">
      <c r="A805" s="61"/>
      <c r="B805" s="61"/>
      <c r="G805" s="50"/>
      <c r="I805" s="28"/>
      <c r="J805" s="28"/>
    </row>
    <row r="806">
      <c r="A806" s="61"/>
      <c r="B806" s="61"/>
      <c r="G806" s="50"/>
      <c r="I806" s="28"/>
      <c r="J806" s="28"/>
    </row>
    <row r="807">
      <c r="A807" s="61"/>
      <c r="B807" s="61"/>
      <c r="G807" s="50"/>
      <c r="I807" s="28"/>
      <c r="J807" s="28"/>
    </row>
    <row r="808">
      <c r="A808" s="61"/>
      <c r="B808" s="61"/>
      <c r="G808" s="50"/>
      <c r="I808" s="28"/>
      <c r="J808" s="28"/>
    </row>
    <row r="809">
      <c r="A809" s="61"/>
      <c r="B809" s="61"/>
      <c r="G809" s="50"/>
      <c r="I809" s="28"/>
      <c r="J809" s="28"/>
    </row>
    <row r="810">
      <c r="A810" s="61"/>
      <c r="B810" s="61"/>
      <c r="G810" s="50"/>
      <c r="I810" s="28"/>
      <c r="J810" s="28"/>
    </row>
    <row r="811">
      <c r="A811" s="61"/>
      <c r="B811" s="61"/>
      <c r="G811" s="50"/>
      <c r="I811" s="28"/>
      <c r="J811" s="28"/>
    </row>
    <row r="812">
      <c r="A812" s="61"/>
      <c r="B812" s="61"/>
      <c r="G812" s="50"/>
      <c r="I812" s="28"/>
      <c r="J812" s="28"/>
    </row>
    <row r="813">
      <c r="A813" s="61"/>
      <c r="B813" s="61"/>
      <c r="G813" s="50"/>
      <c r="I813" s="28"/>
      <c r="J813" s="28"/>
    </row>
    <row r="814">
      <c r="A814" s="61"/>
      <c r="B814" s="61"/>
      <c r="G814" s="50"/>
      <c r="I814" s="28"/>
      <c r="J814" s="28"/>
    </row>
    <row r="815">
      <c r="A815" s="61"/>
      <c r="B815" s="61"/>
      <c r="G815" s="50"/>
      <c r="I815" s="28"/>
      <c r="J815" s="28"/>
    </row>
    <row r="816">
      <c r="A816" s="61"/>
      <c r="B816" s="61"/>
      <c r="G816" s="50"/>
      <c r="I816" s="28"/>
      <c r="J816" s="28"/>
    </row>
    <row r="817">
      <c r="A817" s="61"/>
      <c r="B817" s="61"/>
      <c r="G817" s="50"/>
      <c r="I817" s="28"/>
      <c r="J817" s="28"/>
    </row>
    <row r="818">
      <c r="A818" s="61"/>
      <c r="B818" s="61"/>
      <c r="G818" s="50"/>
      <c r="I818" s="28"/>
      <c r="J818" s="28"/>
    </row>
    <row r="819">
      <c r="A819" s="61"/>
      <c r="B819" s="61"/>
      <c r="G819" s="50"/>
      <c r="I819" s="28"/>
      <c r="J819" s="28"/>
    </row>
    <row r="820">
      <c r="A820" s="61"/>
      <c r="B820" s="61"/>
      <c r="G820" s="50"/>
      <c r="I820" s="28"/>
      <c r="J820" s="28"/>
    </row>
    <row r="821">
      <c r="A821" s="61"/>
      <c r="B821" s="61"/>
      <c r="G821" s="50"/>
      <c r="I821" s="28"/>
      <c r="J821" s="28"/>
    </row>
    <row r="822">
      <c r="A822" s="61"/>
      <c r="B822" s="61"/>
      <c r="G822" s="50"/>
      <c r="I822" s="28"/>
      <c r="J822" s="28"/>
    </row>
    <row r="823">
      <c r="A823" s="61"/>
      <c r="B823" s="61"/>
      <c r="G823" s="50"/>
      <c r="I823" s="28"/>
      <c r="J823" s="28"/>
    </row>
    <row r="824">
      <c r="A824" s="61"/>
      <c r="B824" s="61"/>
      <c r="G824" s="50"/>
      <c r="I824" s="28"/>
      <c r="J824" s="28"/>
    </row>
    <row r="825">
      <c r="A825" s="61"/>
      <c r="B825" s="61"/>
      <c r="G825" s="50"/>
      <c r="I825" s="28"/>
      <c r="J825" s="28"/>
    </row>
    <row r="826">
      <c r="A826" s="61"/>
      <c r="B826" s="61"/>
      <c r="G826" s="50"/>
      <c r="I826" s="28"/>
      <c r="J826" s="28"/>
    </row>
    <row r="827">
      <c r="A827" s="61"/>
      <c r="B827" s="61"/>
      <c r="G827" s="50"/>
      <c r="I827" s="28"/>
      <c r="J827" s="28"/>
    </row>
    <row r="828">
      <c r="A828" s="61"/>
      <c r="B828" s="61"/>
      <c r="G828" s="50"/>
      <c r="I828" s="28"/>
      <c r="J828" s="28"/>
    </row>
    <row r="829">
      <c r="A829" s="61"/>
      <c r="B829" s="61"/>
      <c r="G829" s="50"/>
      <c r="I829" s="28"/>
      <c r="J829" s="28"/>
    </row>
    <row r="830">
      <c r="A830" s="61"/>
      <c r="B830" s="61"/>
      <c r="G830" s="50"/>
      <c r="I830" s="28"/>
      <c r="J830" s="28"/>
    </row>
    <row r="831">
      <c r="A831" s="61"/>
      <c r="B831" s="61"/>
      <c r="G831" s="50"/>
      <c r="I831" s="28"/>
      <c r="J831" s="28"/>
    </row>
    <row r="832">
      <c r="A832" s="61"/>
      <c r="B832" s="61"/>
      <c r="G832" s="50"/>
      <c r="I832" s="28"/>
      <c r="J832" s="28"/>
    </row>
    <row r="833">
      <c r="A833" s="61"/>
      <c r="B833" s="61"/>
      <c r="G833" s="50"/>
      <c r="I833" s="28"/>
      <c r="J833" s="28"/>
    </row>
    <row r="834">
      <c r="A834" s="61"/>
      <c r="B834" s="61"/>
      <c r="G834" s="50"/>
      <c r="I834" s="28"/>
      <c r="J834" s="28"/>
    </row>
    <row r="835">
      <c r="A835" s="61"/>
      <c r="B835" s="61"/>
      <c r="G835" s="50"/>
      <c r="I835" s="28"/>
      <c r="J835" s="28"/>
    </row>
    <row r="836">
      <c r="A836" s="61"/>
      <c r="B836" s="61"/>
      <c r="G836" s="50"/>
      <c r="I836" s="28"/>
      <c r="J836" s="28"/>
    </row>
    <row r="837">
      <c r="A837" s="61"/>
      <c r="B837" s="61"/>
      <c r="G837" s="50"/>
      <c r="I837" s="28"/>
      <c r="J837" s="28"/>
    </row>
    <row r="838">
      <c r="A838" s="61"/>
      <c r="B838" s="61"/>
      <c r="G838" s="50"/>
      <c r="I838" s="28"/>
      <c r="J838" s="28"/>
    </row>
    <row r="839">
      <c r="A839" s="61"/>
      <c r="B839" s="61"/>
      <c r="G839" s="50"/>
      <c r="I839" s="28"/>
      <c r="J839" s="28"/>
    </row>
    <row r="840">
      <c r="A840" s="61"/>
      <c r="B840" s="61"/>
      <c r="G840" s="50"/>
      <c r="I840" s="28"/>
      <c r="J840" s="28"/>
    </row>
    <row r="841">
      <c r="A841" s="61"/>
      <c r="B841" s="61"/>
      <c r="G841" s="50"/>
      <c r="I841" s="28"/>
      <c r="J841" s="28"/>
    </row>
    <row r="842">
      <c r="A842" s="61"/>
      <c r="B842" s="61"/>
      <c r="G842" s="50"/>
      <c r="I842" s="28"/>
      <c r="J842" s="28"/>
    </row>
    <row r="843">
      <c r="A843" s="61"/>
      <c r="B843" s="61"/>
      <c r="G843" s="50"/>
      <c r="I843" s="28"/>
      <c r="J843" s="28"/>
    </row>
    <row r="844">
      <c r="A844" s="61"/>
      <c r="B844" s="61"/>
      <c r="G844" s="50"/>
      <c r="I844" s="28"/>
      <c r="J844" s="28"/>
    </row>
    <row r="845">
      <c r="A845" s="61"/>
      <c r="B845" s="61"/>
      <c r="G845" s="50"/>
      <c r="I845" s="28"/>
      <c r="J845" s="28"/>
    </row>
    <row r="846">
      <c r="A846" s="61"/>
      <c r="B846" s="61"/>
      <c r="G846" s="50"/>
      <c r="I846" s="28"/>
      <c r="J846" s="28"/>
    </row>
    <row r="847">
      <c r="A847" s="61"/>
      <c r="B847" s="61"/>
      <c r="G847" s="50"/>
      <c r="I847" s="28"/>
      <c r="J847" s="28"/>
    </row>
    <row r="848">
      <c r="A848" s="61"/>
      <c r="B848" s="61"/>
      <c r="G848" s="50"/>
      <c r="I848" s="28"/>
      <c r="J848" s="28"/>
    </row>
    <row r="849">
      <c r="A849" s="61"/>
      <c r="B849" s="61"/>
      <c r="G849" s="50"/>
      <c r="I849" s="28"/>
      <c r="J849" s="28"/>
    </row>
    <row r="850">
      <c r="A850" s="61"/>
      <c r="B850" s="61"/>
      <c r="G850" s="50"/>
      <c r="I850" s="28"/>
      <c r="J850" s="28"/>
    </row>
    <row r="851">
      <c r="A851" s="61"/>
      <c r="B851" s="61"/>
      <c r="G851" s="50"/>
      <c r="I851" s="28"/>
      <c r="J851" s="28"/>
    </row>
    <row r="852">
      <c r="A852" s="61"/>
      <c r="B852" s="61"/>
      <c r="G852" s="50"/>
      <c r="I852" s="28"/>
      <c r="J852" s="28"/>
    </row>
    <row r="853">
      <c r="A853" s="61"/>
      <c r="B853" s="61"/>
      <c r="G853" s="50"/>
      <c r="I853" s="28"/>
      <c r="J853" s="28"/>
    </row>
    <row r="854">
      <c r="A854" s="61"/>
      <c r="B854" s="61"/>
      <c r="G854" s="50"/>
      <c r="I854" s="28"/>
      <c r="J854" s="28"/>
    </row>
    <row r="855">
      <c r="A855" s="61"/>
      <c r="B855" s="61"/>
      <c r="G855" s="50"/>
      <c r="I855" s="28"/>
      <c r="J855" s="28"/>
    </row>
    <row r="856">
      <c r="A856" s="61"/>
      <c r="B856" s="61"/>
      <c r="G856" s="50"/>
      <c r="I856" s="28"/>
      <c r="J856" s="28"/>
    </row>
    <row r="857">
      <c r="A857" s="61"/>
      <c r="B857" s="61"/>
      <c r="G857" s="50"/>
      <c r="I857" s="28"/>
      <c r="J857" s="28"/>
    </row>
    <row r="858">
      <c r="A858" s="61"/>
      <c r="B858" s="61"/>
      <c r="G858" s="50"/>
      <c r="I858" s="28"/>
      <c r="J858" s="28"/>
    </row>
    <row r="859">
      <c r="A859" s="61"/>
      <c r="B859" s="61"/>
      <c r="G859" s="50"/>
      <c r="I859" s="28"/>
      <c r="J859" s="28"/>
    </row>
    <row r="860">
      <c r="A860" s="61"/>
      <c r="B860" s="61"/>
      <c r="G860" s="50"/>
      <c r="I860" s="28"/>
      <c r="J860" s="28"/>
    </row>
    <row r="861">
      <c r="A861" s="61"/>
      <c r="B861" s="61"/>
      <c r="G861" s="50"/>
      <c r="I861" s="28"/>
      <c r="J861" s="28"/>
    </row>
    <row r="862">
      <c r="A862" s="61"/>
      <c r="B862" s="61"/>
      <c r="G862" s="50"/>
      <c r="I862" s="28"/>
      <c r="J862" s="28"/>
    </row>
    <row r="863">
      <c r="A863" s="61"/>
      <c r="B863" s="61"/>
      <c r="G863" s="50"/>
      <c r="I863" s="28"/>
      <c r="J863" s="28"/>
    </row>
    <row r="864">
      <c r="A864" s="61"/>
      <c r="B864" s="61"/>
      <c r="G864" s="50"/>
      <c r="I864" s="28"/>
      <c r="J864" s="28"/>
    </row>
    <row r="865">
      <c r="A865" s="61"/>
      <c r="B865" s="61"/>
      <c r="G865" s="50"/>
      <c r="I865" s="28"/>
      <c r="J865" s="28"/>
    </row>
    <row r="866">
      <c r="A866" s="61"/>
      <c r="B866" s="61"/>
      <c r="G866" s="50"/>
      <c r="I866" s="28"/>
      <c r="J866" s="28"/>
    </row>
    <row r="867">
      <c r="A867" s="61"/>
      <c r="B867" s="61"/>
      <c r="G867" s="50"/>
      <c r="I867" s="28"/>
      <c r="J867" s="28"/>
    </row>
    <row r="868">
      <c r="A868" s="61"/>
      <c r="B868" s="61"/>
      <c r="G868" s="50"/>
      <c r="I868" s="28"/>
      <c r="J868" s="28"/>
    </row>
    <row r="869">
      <c r="A869" s="61"/>
      <c r="B869" s="61"/>
      <c r="G869" s="50"/>
      <c r="I869" s="28"/>
      <c r="J869" s="28"/>
    </row>
    <row r="870">
      <c r="A870" s="61"/>
      <c r="B870" s="61"/>
      <c r="G870" s="50"/>
      <c r="I870" s="28"/>
      <c r="J870" s="28"/>
    </row>
    <row r="871">
      <c r="A871" s="61"/>
      <c r="B871" s="61"/>
      <c r="G871" s="50"/>
      <c r="I871" s="28"/>
      <c r="J871" s="28"/>
    </row>
    <row r="872">
      <c r="A872" s="61"/>
      <c r="B872" s="61"/>
      <c r="G872" s="50"/>
      <c r="I872" s="28"/>
      <c r="J872" s="28"/>
    </row>
    <row r="873">
      <c r="A873" s="61"/>
      <c r="B873" s="61"/>
      <c r="G873" s="50"/>
      <c r="I873" s="28"/>
      <c r="J873" s="28"/>
    </row>
    <row r="874">
      <c r="A874" s="61"/>
      <c r="B874" s="61"/>
      <c r="G874" s="50"/>
      <c r="I874" s="28"/>
      <c r="J874" s="28"/>
    </row>
    <row r="875">
      <c r="A875" s="61"/>
      <c r="B875" s="61"/>
      <c r="G875" s="50"/>
      <c r="I875" s="28"/>
      <c r="J875" s="28"/>
    </row>
    <row r="876">
      <c r="A876" s="61"/>
      <c r="B876" s="61"/>
      <c r="G876" s="50"/>
      <c r="I876" s="28"/>
      <c r="J876" s="28"/>
    </row>
    <row r="877">
      <c r="A877" s="61"/>
      <c r="B877" s="61"/>
      <c r="G877" s="50"/>
      <c r="I877" s="28"/>
      <c r="J877" s="28"/>
    </row>
    <row r="878">
      <c r="A878" s="61"/>
      <c r="B878" s="61"/>
      <c r="G878" s="50"/>
      <c r="I878" s="28"/>
      <c r="J878" s="28"/>
    </row>
    <row r="879">
      <c r="A879" s="61"/>
      <c r="B879" s="61"/>
      <c r="G879" s="50"/>
      <c r="I879" s="28"/>
      <c r="J879" s="28"/>
    </row>
    <row r="880">
      <c r="A880" s="61"/>
      <c r="B880" s="61"/>
      <c r="G880" s="50"/>
      <c r="I880" s="28"/>
      <c r="J880" s="28"/>
    </row>
    <row r="881">
      <c r="A881" s="61"/>
      <c r="B881" s="61"/>
      <c r="G881" s="50"/>
      <c r="I881" s="28"/>
      <c r="J881" s="28"/>
    </row>
    <row r="882">
      <c r="A882" s="61"/>
      <c r="B882" s="61"/>
      <c r="G882" s="50"/>
      <c r="I882" s="28"/>
      <c r="J882" s="28"/>
    </row>
    <row r="883">
      <c r="A883" s="61"/>
      <c r="B883" s="61"/>
      <c r="G883" s="50"/>
      <c r="I883" s="28"/>
      <c r="J883" s="28"/>
    </row>
    <row r="884">
      <c r="A884" s="61"/>
      <c r="B884" s="61"/>
      <c r="G884" s="50"/>
      <c r="I884" s="28"/>
      <c r="J884" s="28"/>
    </row>
    <row r="885">
      <c r="A885" s="61"/>
      <c r="B885" s="61"/>
      <c r="G885" s="50"/>
      <c r="I885" s="28"/>
      <c r="J885" s="28"/>
    </row>
    <row r="886">
      <c r="A886" s="61"/>
      <c r="B886" s="61"/>
      <c r="G886" s="50"/>
      <c r="I886" s="28"/>
      <c r="J886" s="28"/>
    </row>
    <row r="887">
      <c r="A887" s="61"/>
      <c r="B887" s="61"/>
      <c r="G887" s="50"/>
      <c r="I887" s="28"/>
      <c r="J887" s="28"/>
    </row>
    <row r="888">
      <c r="A888" s="61"/>
      <c r="B888" s="61"/>
      <c r="G888" s="50"/>
      <c r="I888" s="28"/>
      <c r="J888" s="28"/>
    </row>
    <row r="889">
      <c r="A889" s="61"/>
      <c r="B889" s="61"/>
      <c r="G889" s="50"/>
      <c r="I889" s="28"/>
      <c r="J889" s="28"/>
    </row>
    <row r="890">
      <c r="A890" s="61"/>
      <c r="B890" s="61"/>
      <c r="G890" s="50"/>
      <c r="I890" s="28"/>
      <c r="J890" s="28"/>
    </row>
    <row r="891">
      <c r="A891" s="61"/>
      <c r="B891" s="61"/>
      <c r="G891" s="50"/>
      <c r="I891" s="28"/>
      <c r="J891" s="28"/>
    </row>
    <row r="892">
      <c r="A892" s="61"/>
      <c r="B892" s="61"/>
      <c r="G892" s="50"/>
      <c r="I892" s="28"/>
      <c r="J892" s="28"/>
    </row>
    <row r="893">
      <c r="A893" s="61"/>
      <c r="B893" s="61"/>
      <c r="G893" s="50"/>
      <c r="I893" s="28"/>
      <c r="J893" s="28"/>
    </row>
    <row r="894">
      <c r="A894" s="61"/>
      <c r="B894" s="61"/>
      <c r="G894" s="50"/>
      <c r="I894" s="28"/>
      <c r="J894" s="28"/>
    </row>
    <row r="895">
      <c r="A895" s="61"/>
      <c r="B895" s="61"/>
      <c r="G895" s="50"/>
      <c r="I895" s="28"/>
      <c r="J895" s="28"/>
    </row>
    <row r="896">
      <c r="A896" s="61"/>
      <c r="B896" s="61"/>
      <c r="G896" s="50"/>
      <c r="I896" s="28"/>
      <c r="J896" s="28"/>
    </row>
    <row r="897">
      <c r="A897" s="61"/>
      <c r="B897" s="61"/>
      <c r="G897" s="50"/>
      <c r="I897" s="28"/>
      <c r="J897" s="28"/>
    </row>
    <row r="898">
      <c r="A898" s="61"/>
      <c r="B898" s="61"/>
      <c r="G898" s="50"/>
      <c r="I898" s="28"/>
      <c r="J898" s="28"/>
    </row>
    <row r="899">
      <c r="A899" s="61"/>
      <c r="B899" s="61"/>
      <c r="G899" s="50"/>
      <c r="I899" s="28"/>
      <c r="J899" s="28"/>
    </row>
    <row r="900">
      <c r="A900" s="61"/>
      <c r="B900" s="61"/>
      <c r="G900" s="50"/>
      <c r="I900" s="28"/>
      <c r="J900" s="28"/>
    </row>
    <row r="901">
      <c r="A901" s="61"/>
      <c r="B901" s="61"/>
      <c r="G901" s="50"/>
      <c r="I901" s="28"/>
      <c r="J901" s="28"/>
    </row>
    <row r="902">
      <c r="A902" s="61"/>
      <c r="B902" s="61"/>
      <c r="G902" s="50"/>
      <c r="I902" s="28"/>
      <c r="J902" s="28"/>
    </row>
    <row r="903">
      <c r="A903" s="61"/>
      <c r="B903" s="61"/>
      <c r="G903" s="50"/>
      <c r="I903" s="28"/>
      <c r="J903" s="28"/>
    </row>
    <row r="904">
      <c r="A904" s="61"/>
      <c r="B904" s="61"/>
      <c r="G904" s="50"/>
      <c r="I904" s="28"/>
      <c r="J904" s="28"/>
    </row>
    <row r="905">
      <c r="A905" s="61"/>
      <c r="B905" s="61"/>
      <c r="G905" s="50"/>
      <c r="I905" s="28"/>
      <c r="J905" s="28"/>
    </row>
    <row r="906">
      <c r="A906" s="61"/>
      <c r="B906" s="61"/>
      <c r="G906" s="50"/>
      <c r="I906" s="28"/>
      <c r="J906" s="28"/>
    </row>
    <row r="907">
      <c r="A907" s="61"/>
      <c r="B907" s="61"/>
      <c r="G907" s="50"/>
      <c r="I907" s="28"/>
      <c r="J907" s="28"/>
    </row>
    <row r="908">
      <c r="A908" s="61"/>
      <c r="B908" s="61"/>
      <c r="G908" s="50"/>
      <c r="I908" s="28"/>
      <c r="J908" s="28"/>
    </row>
    <row r="909">
      <c r="A909" s="61"/>
      <c r="B909" s="61"/>
      <c r="G909" s="50"/>
      <c r="I909" s="28"/>
      <c r="J909" s="28"/>
    </row>
    <row r="910">
      <c r="A910" s="61"/>
      <c r="B910" s="61"/>
      <c r="G910" s="50"/>
      <c r="I910" s="28"/>
      <c r="J910" s="28"/>
    </row>
    <row r="911">
      <c r="A911" s="61"/>
      <c r="B911" s="61"/>
      <c r="G911" s="50"/>
      <c r="I911" s="28"/>
      <c r="J911" s="28"/>
    </row>
    <row r="912">
      <c r="A912" s="61"/>
      <c r="B912" s="61"/>
      <c r="G912" s="50"/>
      <c r="I912" s="28"/>
      <c r="J912" s="28"/>
    </row>
    <row r="913">
      <c r="A913" s="61"/>
      <c r="B913" s="61"/>
      <c r="G913" s="50"/>
      <c r="I913" s="28"/>
      <c r="J913" s="28"/>
    </row>
    <row r="914">
      <c r="A914" s="61"/>
      <c r="B914" s="61"/>
      <c r="G914" s="50"/>
      <c r="I914" s="28"/>
      <c r="J914" s="28"/>
    </row>
    <row r="915">
      <c r="A915" s="61"/>
      <c r="B915" s="61"/>
      <c r="G915" s="50"/>
      <c r="I915" s="28"/>
      <c r="J915" s="28"/>
    </row>
    <row r="916">
      <c r="A916" s="61"/>
      <c r="B916" s="61"/>
      <c r="G916" s="50"/>
      <c r="I916" s="28"/>
      <c r="J916" s="28"/>
    </row>
    <row r="917">
      <c r="A917" s="61"/>
      <c r="B917" s="61"/>
      <c r="G917" s="50"/>
      <c r="I917" s="28"/>
      <c r="J917" s="28"/>
    </row>
    <row r="918">
      <c r="A918" s="61"/>
      <c r="B918" s="61"/>
      <c r="G918" s="50"/>
      <c r="I918" s="28"/>
      <c r="J918" s="28"/>
    </row>
    <row r="919">
      <c r="A919" s="61"/>
      <c r="B919" s="61"/>
      <c r="G919" s="50"/>
      <c r="I919" s="28"/>
      <c r="J919" s="28"/>
    </row>
    <row r="920">
      <c r="A920" s="61"/>
      <c r="B920" s="61"/>
      <c r="G920" s="50"/>
      <c r="I920" s="28"/>
      <c r="J920" s="28"/>
    </row>
    <row r="921">
      <c r="A921" s="61"/>
      <c r="B921" s="61"/>
      <c r="G921" s="50"/>
      <c r="I921" s="28"/>
      <c r="J921" s="28"/>
    </row>
    <row r="922">
      <c r="A922" s="61"/>
      <c r="B922" s="61"/>
      <c r="G922" s="50"/>
      <c r="I922" s="28"/>
      <c r="J922" s="28"/>
    </row>
    <row r="923">
      <c r="A923" s="61"/>
      <c r="B923" s="61"/>
      <c r="G923" s="50"/>
      <c r="I923" s="28"/>
      <c r="J923" s="28"/>
    </row>
    <row r="924">
      <c r="A924" s="61"/>
      <c r="B924" s="61"/>
      <c r="G924" s="50"/>
      <c r="I924" s="28"/>
      <c r="J924" s="28"/>
    </row>
    <row r="925">
      <c r="A925" s="61"/>
      <c r="B925" s="61"/>
      <c r="G925" s="50"/>
      <c r="I925" s="28"/>
      <c r="J925" s="28"/>
    </row>
    <row r="926">
      <c r="A926" s="61"/>
      <c r="B926" s="61"/>
      <c r="G926" s="50"/>
      <c r="I926" s="28"/>
      <c r="J926" s="28"/>
    </row>
    <row r="927">
      <c r="A927" s="61"/>
      <c r="B927" s="61"/>
      <c r="G927" s="50"/>
      <c r="I927" s="28"/>
      <c r="J927" s="28"/>
    </row>
    <row r="928">
      <c r="A928" s="61"/>
      <c r="B928" s="61"/>
      <c r="G928" s="50"/>
      <c r="I928" s="28"/>
      <c r="J928" s="28"/>
    </row>
    <row r="929">
      <c r="A929" s="61"/>
      <c r="B929" s="61"/>
      <c r="G929" s="50"/>
      <c r="I929" s="28"/>
      <c r="J929" s="28"/>
    </row>
    <row r="930">
      <c r="A930" s="61"/>
      <c r="B930" s="61"/>
      <c r="G930" s="50"/>
      <c r="I930" s="28"/>
      <c r="J930" s="28"/>
    </row>
    <row r="931">
      <c r="A931" s="61"/>
      <c r="B931" s="61"/>
      <c r="G931" s="50"/>
      <c r="I931" s="28"/>
      <c r="J931" s="28"/>
    </row>
    <row r="932">
      <c r="A932" s="61"/>
      <c r="B932" s="61"/>
      <c r="G932" s="50"/>
      <c r="I932" s="28"/>
      <c r="J932" s="28"/>
    </row>
    <row r="933">
      <c r="A933" s="61"/>
      <c r="B933" s="61"/>
      <c r="G933" s="50"/>
      <c r="I933" s="28"/>
      <c r="J933" s="28"/>
    </row>
    <row r="934">
      <c r="A934" s="61"/>
      <c r="B934" s="61"/>
      <c r="G934" s="50"/>
      <c r="I934" s="28"/>
      <c r="J934" s="28"/>
    </row>
    <row r="935">
      <c r="A935" s="61"/>
      <c r="B935" s="61"/>
      <c r="G935" s="50"/>
      <c r="I935" s="28"/>
      <c r="J935" s="28"/>
    </row>
    <row r="936">
      <c r="A936" s="61"/>
      <c r="B936" s="61"/>
      <c r="G936" s="50"/>
      <c r="I936" s="28"/>
      <c r="J936" s="28"/>
    </row>
    <row r="937">
      <c r="A937" s="61"/>
      <c r="B937" s="61"/>
      <c r="G937" s="50"/>
      <c r="I937" s="28"/>
      <c r="J937" s="28"/>
    </row>
    <row r="938">
      <c r="A938" s="61"/>
      <c r="B938" s="61"/>
      <c r="G938" s="50"/>
      <c r="I938" s="28"/>
      <c r="J938" s="28"/>
    </row>
    <row r="939">
      <c r="A939" s="61"/>
      <c r="B939" s="61"/>
      <c r="G939" s="50"/>
      <c r="I939" s="28"/>
      <c r="J939" s="28"/>
    </row>
    <row r="940">
      <c r="A940" s="61"/>
      <c r="B940" s="61"/>
      <c r="G940" s="50"/>
      <c r="I940" s="28"/>
      <c r="J940" s="28"/>
    </row>
    <row r="941">
      <c r="A941" s="61"/>
      <c r="B941" s="61"/>
      <c r="G941" s="50"/>
      <c r="I941" s="28"/>
      <c r="J941" s="28"/>
    </row>
    <row r="942">
      <c r="A942" s="61"/>
      <c r="B942" s="61"/>
      <c r="G942" s="50"/>
      <c r="I942" s="28"/>
      <c r="J942" s="28"/>
    </row>
    <row r="943">
      <c r="A943" s="61"/>
      <c r="B943" s="61"/>
      <c r="G943" s="50"/>
      <c r="I943" s="28"/>
      <c r="J943" s="28"/>
    </row>
    <row r="944">
      <c r="A944" s="61"/>
      <c r="B944" s="61"/>
      <c r="G944" s="50"/>
      <c r="I944" s="28"/>
      <c r="J944" s="28"/>
    </row>
    <row r="945">
      <c r="A945" s="61"/>
      <c r="B945" s="61"/>
      <c r="G945" s="50"/>
      <c r="I945" s="28"/>
      <c r="J945" s="28"/>
    </row>
    <row r="946">
      <c r="A946" s="61"/>
      <c r="B946" s="61"/>
      <c r="G946" s="50"/>
      <c r="I946" s="28"/>
      <c r="J946" s="28"/>
    </row>
    <row r="947">
      <c r="A947" s="61"/>
      <c r="B947" s="61"/>
      <c r="G947" s="50"/>
      <c r="I947" s="28"/>
      <c r="J947" s="28"/>
    </row>
    <row r="948">
      <c r="A948" s="61"/>
      <c r="B948" s="61"/>
      <c r="G948" s="50"/>
      <c r="I948" s="28"/>
      <c r="J948" s="28"/>
    </row>
    <row r="949">
      <c r="A949" s="61"/>
      <c r="B949" s="61"/>
      <c r="G949" s="50"/>
      <c r="I949" s="28"/>
      <c r="J949" s="28"/>
    </row>
    <row r="950">
      <c r="A950" s="61"/>
      <c r="B950" s="61"/>
      <c r="G950" s="50"/>
      <c r="I950" s="28"/>
      <c r="J950" s="28"/>
    </row>
    <row r="951">
      <c r="A951" s="61"/>
      <c r="B951" s="61"/>
      <c r="G951" s="50"/>
      <c r="I951" s="28"/>
      <c r="J951" s="28"/>
    </row>
    <row r="952">
      <c r="A952" s="61"/>
      <c r="B952" s="61"/>
      <c r="G952" s="50"/>
      <c r="I952" s="28"/>
      <c r="J952" s="28"/>
    </row>
    <row r="953">
      <c r="A953" s="61"/>
      <c r="B953" s="61"/>
      <c r="G953" s="50"/>
      <c r="I953" s="28"/>
      <c r="J953" s="28"/>
    </row>
    <row r="954">
      <c r="A954" s="61"/>
      <c r="B954" s="61"/>
      <c r="G954" s="50"/>
      <c r="I954" s="28"/>
      <c r="J954" s="28"/>
    </row>
    <row r="955">
      <c r="A955" s="61"/>
      <c r="B955" s="61"/>
      <c r="G955" s="50"/>
      <c r="I955" s="28"/>
      <c r="J955" s="28"/>
    </row>
    <row r="956">
      <c r="A956" s="61"/>
      <c r="B956" s="61"/>
      <c r="G956" s="50"/>
      <c r="I956" s="28"/>
      <c r="J956" s="28"/>
    </row>
    <row r="957">
      <c r="A957" s="61"/>
      <c r="B957" s="61"/>
      <c r="G957" s="50"/>
      <c r="I957" s="28"/>
      <c r="J957" s="28"/>
    </row>
    <row r="958">
      <c r="A958" s="61"/>
      <c r="B958" s="61"/>
      <c r="G958" s="50"/>
      <c r="I958" s="28"/>
      <c r="J958" s="28"/>
    </row>
    <row r="959">
      <c r="A959" s="61"/>
      <c r="B959" s="61"/>
      <c r="G959" s="50"/>
      <c r="I959" s="28"/>
      <c r="J959" s="28"/>
    </row>
    <row r="960">
      <c r="A960" s="61"/>
      <c r="B960" s="61"/>
      <c r="G960" s="50"/>
      <c r="I960" s="28"/>
      <c r="J960" s="28"/>
    </row>
    <row r="961">
      <c r="A961" s="61"/>
      <c r="B961" s="61"/>
      <c r="G961" s="50"/>
      <c r="I961" s="28"/>
      <c r="J961" s="28"/>
    </row>
    <row r="962">
      <c r="A962" s="61"/>
      <c r="B962" s="61"/>
      <c r="G962" s="50"/>
      <c r="I962" s="28"/>
      <c r="J962" s="28"/>
    </row>
    <row r="963">
      <c r="A963" s="61"/>
      <c r="B963" s="61"/>
      <c r="G963" s="50"/>
      <c r="I963" s="28"/>
      <c r="J963" s="28"/>
    </row>
    <row r="964">
      <c r="A964" s="61"/>
      <c r="B964" s="61"/>
      <c r="G964" s="50"/>
      <c r="I964" s="28"/>
      <c r="J964" s="28"/>
    </row>
    <row r="965">
      <c r="A965" s="61"/>
      <c r="B965" s="61"/>
      <c r="G965" s="50"/>
      <c r="I965" s="28"/>
      <c r="J965" s="28"/>
    </row>
    <row r="966">
      <c r="A966" s="61"/>
      <c r="B966" s="61"/>
      <c r="G966" s="50"/>
      <c r="I966" s="28"/>
      <c r="J966" s="28"/>
    </row>
    <row r="967">
      <c r="A967" s="61"/>
      <c r="B967" s="61"/>
      <c r="G967" s="50"/>
      <c r="I967" s="28"/>
      <c r="J967" s="28"/>
    </row>
    <row r="968">
      <c r="A968" s="61"/>
      <c r="B968" s="61"/>
      <c r="G968" s="50"/>
      <c r="I968" s="28"/>
      <c r="J968" s="28"/>
    </row>
    <row r="969">
      <c r="A969" s="61"/>
      <c r="B969" s="61"/>
      <c r="G969" s="50"/>
      <c r="I969" s="28"/>
      <c r="J969" s="28"/>
    </row>
    <row r="970">
      <c r="A970" s="61"/>
      <c r="B970" s="61"/>
      <c r="G970" s="50"/>
      <c r="I970" s="28"/>
      <c r="J970" s="28"/>
    </row>
    <row r="971">
      <c r="A971" s="61"/>
      <c r="B971" s="61"/>
      <c r="G971" s="50"/>
      <c r="I971" s="28"/>
      <c r="J971" s="28"/>
    </row>
    <row r="972">
      <c r="A972" s="61"/>
      <c r="B972" s="61"/>
      <c r="G972" s="50"/>
      <c r="I972" s="28"/>
      <c r="J972" s="28"/>
    </row>
    <row r="973">
      <c r="A973" s="61"/>
      <c r="B973" s="61"/>
      <c r="G973" s="50"/>
      <c r="I973" s="28"/>
      <c r="J973" s="28"/>
    </row>
    <row r="974">
      <c r="A974" s="61"/>
      <c r="B974" s="61"/>
      <c r="G974" s="50"/>
      <c r="I974" s="28"/>
      <c r="J974" s="28"/>
    </row>
    <row r="975">
      <c r="A975" s="61"/>
      <c r="B975" s="61"/>
      <c r="G975" s="50"/>
      <c r="I975" s="28"/>
      <c r="J975" s="28"/>
    </row>
    <row r="976">
      <c r="A976" s="61"/>
      <c r="B976" s="61"/>
      <c r="G976" s="50"/>
      <c r="I976" s="28"/>
      <c r="J976" s="28"/>
    </row>
    <row r="977">
      <c r="A977" s="61"/>
      <c r="B977" s="61"/>
      <c r="G977" s="50"/>
      <c r="I977" s="28"/>
      <c r="J977" s="28"/>
    </row>
    <row r="978">
      <c r="A978" s="61"/>
      <c r="B978" s="61"/>
      <c r="G978" s="50"/>
      <c r="I978" s="28"/>
      <c r="J978" s="28"/>
    </row>
    <row r="979">
      <c r="A979" s="61"/>
      <c r="B979" s="61"/>
      <c r="G979" s="50"/>
      <c r="I979" s="28"/>
      <c r="J979" s="28"/>
    </row>
    <row r="980">
      <c r="A980" s="61"/>
      <c r="B980" s="61"/>
      <c r="G980" s="50"/>
      <c r="I980" s="28"/>
      <c r="J980" s="28"/>
    </row>
    <row r="981">
      <c r="A981" s="61"/>
      <c r="B981" s="61"/>
      <c r="G981" s="50"/>
      <c r="I981" s="28"/>
      <c r="J981" s="28"/>
    </row>
    <row r="982">
      <c r="A982" s="61"/>
      <c r="B982" s="61"/>
      <c r="G982" s="50"/>
      <c r="I982" s="28"/>
      <c r="J982" s="28"/>
    </row>
    <row r="983">
      <c r="A983" s="61"/>
      <c r="B983" s="61"/>
      <c r="G983" s="50"/>
      <c r="I983" s="28"/>
      <c r="J983" s="28"/>
    </row>
    <row r="984">
      <c r="A984" s="61"/>
      <c r="B984" s="61"/>
      <c r="G984" s="50"/>
      <c r="I984" s="28"/>
      <c r="J984" s="28"/>
    </row>
    <row r="985">
      <c r="A985" s="61"/>
      <c r="B985" s="61"/>
      <c r="G985" s="50"/>
      <c r="I985" s="28"/>
      <c r="J985" s="28"/>
    </row>
    <row r="986">
      <c r="A986" s="61"/>
      <c r="B986" s="61"/>
      <c r="G986" s="50"/>
      <c r="I986" s="28"/>
      <c r="J986" s="28"/>
    </row>
    <row r="987">
      <c r="A987" s="61"/>
      <c r="B987" s="61"/>
      <c r="G987" s="50"/>
      <c r="I987" s="28"/>
      <c r="J987" s="28"/>
    </row>
    <row r="988">
      <c r="A988" s="61"/>
      <c r="B988" s="61"/>
      <c r="G988" s="50"/>
      <c r="I988" s="28"/>
      <c r="J988" s="28"/>
    </row>
    <row r="989">
      <c r="A989" s="61"/>
      <c r="B989" s="61"/>
      <c r="G989" s="50"/>
      <c r="I989" s="28"/>
      <c r="J989" s="28"/>
    </row>
    <row r="990">
      <c r="A990" s="61"/>
      <c r="B990" s="61"/>
      <c r="G990" s="50"/>
      <c r="I990" s="28"/>
      <c r="J990" s="28"/>
    </row>
    <row r="991">
      <c r="A991" s="61"/>
      <c r="B991" s="61"/>
      <c r="G991" s="50"/>
      <c r="I991" s="28"/>
      <c r="J991" s="28"/>
    </row>
    <row r="992">
      <c r="A992" s="61"/>
      <c r="B992" s="61"/>
      <c r="G992" s="50"/>
      <c r="I992" s="28"/>
      <c r="J992" s="28"/>
    </row>
    <row r="993">
      <c r="A993" s="61"/>
      <c r="B993" s="61"/>
      <c r="G993" s="50"/>
      <c r="I993" s="28"/>
      <c r="J993" s="28"/>
    </row>
    <row r="994">
      <c r="A994" s="61"/>
      <c r="B994" s="61"/>
      <c r="G994" s="50"/>
      <c r="I994" s="28"/>
      <c r="J994" s="28"/>
    </row>
    <row r="995">
      <c r="A995" s="61"/>
      <c r="B995" s="61"/>
      <c r="G995" s="50"/>
      <c r="I995" s="28"/>
      <c r="J995" s="28"/>
    </row>
    <row r="996">
      <c r="A996" s="61"/>
      <c r="B996" s="61"/>
      <c r="G996" s="50"/>
      <c r="I996" s="28"/>
      <c r="J996" s="28"/>
    </row>
    <row r="997">
      <c r="A997" s="61"/>
      <c r="B997" s="61"/>
      <c r="G997" s="50"/>
      <c r="I997" s="28"/>
      <c r="J997" s="28"/>
    </row>
    <row r="998">
      <c r="A998" s="61"/>
      <c r="B998" s="61"/>
      <c r="G998" s="50"/>
      <c r="I998" s="28"/>
      <c r="J998" s="28"/>
    </row>
    <row r="999">
      <c r="A999" s="61"/>
      <c r="B999" s="61"/>
      <c r="G999" s="50"/>
      <c r="I999" s="28"/>
      <c r="J999" s="28"/>
    </row>
    <row r="1000">
      <c r="A1000" s="61"/>
      <c r="B1000" s="61"/>
      <c r="G1000" s="50"/>
      <c r="I1000" s="28"/>
      <c r="J1000" s="28"/>
    </row>
  </sheetData>
  <drawing r:id="rId4"/>
  <legacyDrawing r:id="rId5"/>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3.88"/>
    <col customWidth="1" min="3" max="3" width="16.13"/>
  </cols>
  <sheetData>
    <row r="1">
      <c r="A1" s="66" t="s">
        <v>8624</v>
      </c>
      <c r="B1" s="187" t="s">
        <v>8625</v>
      </c>
      <c r="C1" s="66" t="s">
        <v>8626</v>
      </c>
      <c r="D1" s="187" t="s">
        <v>8625</v>
      </c>
      <c r="E1" s="7" t="str">
        <f> "Last Column " &amp; Checks!$D$7</f>
        <v>Last Column E</v>
      </c>
      <c r="G1" s="66" t="s">
        <v>8627</v>
      </c>
    </row>
    <row r="2">
      <c r="A2" s="13"/>
      <c r="B2" s="12"/>
    </row>
    <row r="3">
      <c r="A3" s="13" t="s">
        <v>8628</v>
      </c>
      <c r="B3" s="12" t="s">
        <v>8629</v>
      </c>
      <c r="C3" s="13" t="s">
        <v>0</v>
      </c>
      <c r="D3" s="12" t="s">
        <v>8630</v>
      </c>
    </row>
    <row r="4">
      <c r="A4" s="13" t="s">
        <v>8631</v>
      </c>
      <c r="B4" s="12" t="s">
        <v>8632</v>
      </c>
      <c r="C4" s="13" t="s">
        <v>108</v>
      </c>
      <c r="D4" s="12" t="s">
        <v>8633</v>
      </c>
    </row>
    <row r="5">
      <c r="A5" s="13" t="s">
        <v>8634</v>
      </c>
      <c r="B5" s="12" t="s">
        <v>8635</v>
      </c>
      <c r="C5" s="13" t="s">
        <v>8636</v>
      </c>
      <c r="D5" s="12" t="s">
        <v>8632</v>
      </c>
    </row>
    <row r="6">
      <c r="A6" s="13" t="s">
        <v>8637</v>
      </c>
      <c r="B6" s="12" t="s">
        <v>8638</v>
      </c>
      <c r="C6" s="13" t="s">
        <v>8639</v>
      </c>
      <c r="D6" s="12" t="s">
        <v>8632</v>
      </c>
    </row>
    <row r="7">
      <c r="A7" s="13" t="s">
        <v>8640</v>
      </c>
      <c r="B7" s="12" t="s">
        <v>8641</v>
      </c>
      <c r="C7" s="13" t="s">
        <v>4407</v>
      </c>
      <c r="D7" s="12" t="s">
        <v>8642</v>
      </c>
    </row>
    <row r="8">
      <c r="B8" s="28"/>
      <c r="C8" s="13" t="s">
        <v>8643</v>
      </c>
      <c r="D8" s="12" t="s">
        <v>8642</v>
      </c>
    </row>
    <row r="9">
      <c r="C9" s="13" t="s">
        <v>8644</v>
      </c>
      <c r="D9" s="12" t="s">
        <v>8642</v>
      </c>
    </row>
    <row r="10">
      <c r="B10" s="12"/>
      <c r="C10" s="13" t="s">
        <v>7696</v>
      </c>
      <c r="D10" s="12" t="s">
        <v>8645</v>
      </c>
    </row>
    <row r="11">
      <c r="B11" s="12"/>
    </row>
    <row r="12">
      <c r="B12" s="12"/>
    </row>
    <row r="16">
      <c r="B16" s="28"/>
    </row>
    <row r="17">
      <c r="B17" s="28"/>
    </row>
    <row r="18">
      <c r="B18" s="28"/>
    </row>
    <row r="19">
      <c r="B19" s="28"/>
    </row>
    <row r="20">
      <c r="B20" s="28"/>
    </row>
    <row r="21">
      <c r="B21" s="28"/>
    </row>
    <row r="22">
      <c r="B22" s="28"/>
    </row>
    <row r="23">
      <c r="B23" s="28"/>
    </row>
    <row r="24">
      <c r="B24" s="28"/>
    </row>
    <row r="25">
      <c r="B25" s="28"/>
    </row>
    <row r="26">
      <c r="B26" s="28"/>
    </row>
    <row r="27">
      <c r="B27" s="28"/>
    </row>
    <row r="28">
      <c r="B28" s="28"/>
    </row>
    <row r="29">
      <c r="B29" s="28"/>
    </row>
    <row r="30">
      <c r="B30" s="28"/>
    </row>
    <row r="31">
      <c r="B31" s="28"/>
    </row>
    <row r="32">
      <c r="B32" s="28"/>
    </row>
    <row r="33">
      <c r="B33" s="28"/>
    </row>
    <row r="34">
      <c r="B34" s="28"/>
    </row>
    <row r="35">
      <c r="B35" s="28"/>
    </row>
    <row r="36">
      <c r="B36" s="28"/>
    </row>
    <row r="37">
      <c r="B37" s="28"/>
    </row>
    <row r="38">
      <c r="B38" s="28"/>
    </row>
    <row r="39">
      <c r="B39" s="28"/>
    </row>
    <row r="40">
      <c r="B40" s="28"/>
    </row>
    <row r="41">
      <c r="B41" s="28"/>
    </row>
    <row r="42">
      <c r="B42" s="28"/>
    </row>
    <row r="43">
      <c r="B43" s="28"/>
    </row>
    <row r="44">
      <c r="B44" s="28"/>
    </row>
    <row r="45">
      <c r="B45" s="28"/>
    </row>
    <row r="46">
      <c r="B46" s="28"/>
    </row>
    <row r="47">
      <c r="B47" s="28"/>
    </row>
    <row r="48">
      <c r="B48" s="28"/>
    </row>
    <row r="49">
      <c r="B49" s="28"/>
    </row>
    <row r="50">
      <c r="B50" s="28"/>
    </row>
    <row r="51">
      <c r="B51" s="28"/>
    </row>
    <row r="52">
      <c r="B52" s="28"/>
    </row>
    <row r="53">
      <c r="B53" s="28"/>
    </row>
    <row r="54">
      <c r="B54" s="28"/>
    </row>
    <row r="55">
      <c r="B55" s="28"/>
    </row>
    <row r="56">
      <c r="B56" s="28"/>
    </row>
    <row r="57">
      <c r="B57" s="28"/>
    </row>
    <row r="58">
      <c r="B58" s="28"/>
    </row>
    <row r="59">
      <c r="B59" s="28"/>
    </row>
    <row r="60">
      <c r="B60" s="28"/>
    </row>
    <row r="61">
      <c r="B61" s="28"/>
    </row>
    <row r="62">
      <c r="B62" s="28"/>
    </row>
    <row r="63">
      <c r="B63" s="28"/>
    </row>
    <row r="64">
      <c r="B64" s="28"/>
    </row>
    <row r="65">
      <c r="B65" s="28"/>
    </row>
    <row r="66">
      <c r="B66" s="28"/>
    </row>
    <row r="67">
      <c r="B67" s="28"/>
    </row>
    <row r="68">
      <c r="B68" s="28"/>
    </row>
    <row r="69">
      <c r="B69" s="28"/>
    </row>
    <row r="70">
      <c r="B70" s="28"/>
    </row>
    <row r="71">
      <c r="B71" s="28"/>
    </row>
    <row r="72">
      <c r="B72" s="28"/>
    </row>
    <row r="73">
      <c r="B73" s="28"/>
    </row>
    <row r="74">
      <c r="B74" s="28"/>
    </row>
    <row r="75">
      <c r="B75" s="28"/>
    </row>
    <row r="76">
      <c r="B76" s="28"/>
    </row>
    <row r="77">
      <c r="B77" s="28"/>
    </row>
    <row r="78">
      <c r="B78" s="28"/>
    </row>
    <row r="79">
      <c r="B79" s="28"/>
    </row>
    <row r="80">
      <c r="B80" s="28"/>
    </row>
    <row r="81">
      <c r="B81" s="28"/>
    </row>
    <row r="82">
      <c r="B82" s="28"/>
    </row>
    <row r="83">
      <c r="B83" s="28"/>
    </row>
    <row r="84">
      <c r="B84" s="28"/>
    </row>
    <row r="85">
      <c r="B85" s="28"/>
    </row>
    <row r="86">
      <c r="B86" s="28"/>
    </row>
    <row r="87">
      <c r="B87" s="28"/>
    </row>
    <row r="88">
      <c r="B88" s="28"/>
    </row>
    <row r="89">
      <c r="B89" s="28"/>
    </row>
    <row r="90">
      <c r="B90" s="28"/>
    </row>
    <row r="91">
      <c r="B91" s="28"/>
    </row>
    <row r="92">
      <c r="B92" s="28"/>
    </row>
    <row r="93">
      <c r="B93" s="28"/>
    </row>
    <row r="94">
      <c r="B94" s="28"/>
    </row>
    <row r="95">
      <c r="B95" s="28"/>
    </row>
    <row r="96">
      <c r="B96" s="28"/>
    </row>
    <row r="97">
      <c r="B97" s="28"/>
    </row>
    <row r="98">
      <c r="B98" s="28"/>
    </row>
    <row r="99">
      <c r="B99" s="28"/>
    </row>
    <row r="100">
      <c r="B100" s="28"/>
    </row>
    <row r="101">
      <c r="B101" s="28"/>
    </row>
    <row r="102">
      <c r="B102" s="28"/>
    </row>
    <row r="103">
      <c r="B103" s="28"/>
    </row>
    <row r="104">
      <c r="B104" s="28"/>
    </row>
    <row r="105">
      <c r="B105" s="28"/>
    </row>
    <row r="106">
      <c r="B106" s="28"/>
    </row>
    <row r="107">
      <c r="B107" s="28"/>
    </row>
    <row r="108">
      <c r="B108" s="28"/>
    </row>
    <row r="109">
      <c r="B109" s="28"/>
    </row>
    <row r="110">
      <c r="B110" s="28"/>
    </row>
    <row r="111">
      <c r="B111" s="28"/>
    </row>
    <row r="112">
      <c r="B112" s="28"/>
    </row>
    <row r="113">
      <c r="B113" s="28"/>
    </row>
    <row r="114">
      <c r="B114" s="28"/>
    </row>
    <row r="115">
      <c r="B115" s="28"/>
    </row>
    <row r="116">
      <c r="B116" s="28"/>
    </row>
    <row r="117">
      <c r="B117" s="28"/>
    </row>
    <row r="118">
      <c r="B118" s="28"/>
    </row>
    <row r="119">
      <c r="B119" s="28"/>
    </row>
    <row r="120">
      <c r="B120" s="28"/>
    </row>
    <row r="121">
      <c r="B121" s="28"/>
    </row>
    <row r="122">
      <c r="B122" s="28"/>
    </row>
    <row r="123">
      <c r="B123" s="28"/>
    </row>
    <row r="124">
      <c r="B124" s="28"/>
    </row>
    <row r="125">
      <c r="B125" s="28"/>
    </row>
    <row r="126">
      <c r="B126" s="28"/>
    </row>
    <row r="127">
      <c r="B127" s="28"/>
    </row>
    <row r="128">
      <c r="B128" s="28"/>
    </row>
    <row r="129">
      <c r="B129" s="28"/>
    </row>
    <row r="130">
      <c r="B130" s="28"/>
    </row>
    <row r="131">
      <c r="B131" s="28"/>
    </row>
    <row r="132">
      <c r="B132" s="28"/>
    </row>
    <row r="133">
      <c r="B133" s="28"/>
    </row>
    <row r="134">
      <c r="B134" s="28"/>
    </row>
    <row r="135">
      <c r="B135" s="28"/>
    </row>
    <row r="136">
      <c r="B136" s="28"/>
    </row>
    <row r="137">
      <c r="B137" s="28"/>
    </row>
    <row r="138">
      <c r="B138" s="28"/>
    </row>
    <row r="139">
      <c r="B139" s="28"/>
    </row>
    <row r="140">
      <c r="B140" s="28"/>
    </row>
    <row r="141">
      <c r="B141" s="28"/>
    </row>
    <row r="142">
      <c r="B142" s="28"/>
    </row>
    <row r="143">
      <c r="B143" s="28"/>
    </row>
    <row r="144">
      <c r="B144" s="28"/>
    </row>
    <row r="145">
      <c r="B145" s="28"/>
    </row>
    <row r="146">
      <c r="B146" s="28"/>
    </row>
    <row r="147">
      <c r="B147" s="28"/>
    </row>
    <row r="148">
      <c r="B148" s="28"/>
    </row>
    <row r="149">
      <c r="B149" s="28"/>
    </row>
    <row r="150">
      <c r="B150" s="28"/>
    </row>
    <row r="151">
      <c r="B151" s="28"/>
    </row>
    <row r="152">
      <c r="B152" s="28"/>
    </row>
    <row r="153">
      <c r="B153" s="28"/>
    </row>
    <row r="154">
      <c r="B154" s="28"/>
    </row>
    <row r="155">
      <c r="B155" s="28"/>
    </row>
    <row r="156">
      <c r="B156" s="28"/>
    </row>
    <row r="157">
      <c r="B157" s="28"/>
    </row>
    <row r="158">
      <c r="B158" s="28"/>
    </row>
    <row r="159">
      <c r="B159" s="28"/>
    </row>
    <row r="160">
      <c r="B160" s="28"/>
    </row>
    <row r="161">
      <c r="B161" s="28"/>
    </row>
    <row r="162">
      <c r="B162" s="28"/>
    </row>
    <row r="163">
      <c r="B163" s="28"/>
    </row>
    <row r="164">
      <c r="B164" s="28"/>
    </row>
    <row r="165">
      <c r="B165" s="28"/>
    </row>
    <row r="166">
      <c r="B166" s="28"/>
    </row>
    <row r="167">
      <c r="B167" s="28"/>
    </row>
    <row r="168">
      <c r="B168" s="28"/>
    </row>
    <row r="169">
      <c r="B169" s="28"/>
    </row>
    <row r="170">
      <c r="B170" s="28"/>
    </row>
    <row r="171">
      <c r="B171" s="28"/>
    </row>
    <row r="172">
      <c r="B172" s="28"/>
    </row>
    <row r="173">
      <c r="B173" s="28"/>
    </row>
    <row r="174">
      <c r="B174" s="28"/>
    </row>
    <row r="175">
      <c r="B175" s="28"/>
    </row>
    <row r="176">
      <c r="B176" s="28"/>
    </row>
    <row r="177">
      <c r="B177" s="28"/>
    </row>
    <row r="178">
      <c r="B178" s="28"/>
    </row>
    <row r="179">
      <c r="B179" s="28"/>
    </row>
    <row r="180">
      <c r="B180" s="28"/>
    </row>
    <row r="181">
      <c r="B181" s="28"/>
    </row>
    <row r="182">
      <c r="B182" s="28"/>
    </row>
    <row r="183">
      <c r="B183" s="28"/>
    </row>
    <row r="184">
      <c r="B184" s="28"/>
    </row>
    <row r="185">
      <c r="B185" s="28"/>
    </row>
    <row r="186">
      <c r="B186" s="28"/>
    </row>
    <row r="187">
      <c r="B187" s="28"/>
    </row>
    <row r="188">
      <c r="B188" s="28"/>
    </row>
    <row r="189">
      <c r="B189" s="28"/>
    </row>
    <row r="190">
      <c r="B190" s="28"/>
    </row>
    <row r="191">
      <c r="B191" s="28"/>
    </row>
    <row r="192">
      <c r="B192" s="28"/>
    </row>
    <row r="193">
      <c r="B193" s="28"/>
    </row>
    <row r="194">
      <c r="B194" s="28"/>
    </row>
    <row r="195">
      <c r="B195" s="28"/>
    </row>
    <row r="196">
      <c r="B196" s="28"/>
    </row>
    <row r="197">
      <c r="B197" s="28"/>
    </row>
    <row r="198">
      <c r="B198" s="28"/>
    </row>
    <row r="199">
      <c r="B199" s="28"/>
    </row>
    <row r="200">
      <c r="B200" s="28"/>
    </row>
    <row r="201">
      <c r="B201" s="28"/>
    </row>
    <row r="202">
      <c r="B202" s="28"/>
    </row>
    <row r="203">
      <c r="B203" s="28"/>
    </row>
    <row r="204">
      <c r="B204" s="28"/>
    </row>
    <row r="205">
      <c r="B205" s="28"/>
    </row>
    <row r="206">
      <c r="B206" s="28"/>
    </row>
    <row r="207">
      <c r="B207" s="28"/>
    </row>
    <row r="208">
      <c r="B208" s="28"/>
    </row>
    <row r="209">
      <c r="B209" s="28"/>
    </row>
    <row r="210">
      <c r="B210" s="28"/>
    </row>
    <row r="211">
      <c r="B211" s="28"/>
    </row>
    <row r="212">
      <c r="B212" s="28"/>
    </row>
    <row r="213">
      <c r="B213" s="28"/>
    </row>
    <row r="214">
      <c r="B214" s="28"/>
    </row>
    <row r="215">
      <c r="B215" s="28"/>
    </row>
    <row r="216">
      <c r="B216" s="28"/>
    </row>
    <row r="217">
      <c r="B217" s="28"/>
    </row>
    <row r="218">
      <c r="B218" s="28"/>
    </row>
    <row r="219">
      <c r="B219" s="28"/>
    </row>
    <row r="220">
      <c r="B220" s="28"/>
    </row>
    <row r="221">
      <c r="B221" s="28"/>
    </row>
    <row r="222">
      <c r="B222" s="28"/>
    </row>
    <row r="223">
      <c r="B223" s="28"/>
    </row>
    <row r="224">
      <c r="B224" s="28"/>
    </row>
    <row r="225">
      <c r="B225" s="28"/>
    </row>
    <row r="226">
      <c r="B226" s="28"/>
    </row>
    <row r="227">
      <c r="B227" s="28"/>
    </row>
    <row r="228">
      <c r="B228" s="28"/>
    </row>
    <row r="229">
      <c r="B229" s="28"/>
    </row>
    <row r="230">
      <c r="B230" s="28"/>
    </row>
    <row r="231">
      <c r="B231" s="28"/>
    </row>
    <row r="232">
      <c r="B232" s="28"/>
    </row>
    <row r="233">
      <c r="B233" s="28"/>
    </row>
    <row r="234">
      <c r="B234" s="28"/>
    </row>
    <row r="235">
      <c r="B235" s="28"/>
    </row>
    <row r="236">
      <c r="B236" s="28"/>
    </row>
    <row r="237">
      <c r="B237" s="28"/>
    </row>
    <row r="238">
      <c r="B238" s="28"/>
    </row>
    <row r="239">
      <c r="B239" s="28"/>
    </row>
    <row r="240">
      <c r="B240" s="28"/>
    </row>
    <row r="241">
      <c r="B241" s="28"/>
    </row>
    <row r="242">
      <c r="B242" s="28"/>
    </row>
    <row r="243">
      <c r="B243" s="28"/>
    </row>
    <row r="244">
      <c r="B244" s="28"/>
    </row>
    <row r="245">
      <c r="B245" s="28"/>
    </row>
    <row r="246">
      <c r="B246" s="28"/>
    </row>
    <row r="247">
      <c r="B247" s="28"/>
    </row>
    <row r="248">
      <c r="B248" s="28"/>
    </row>
    <row r="249">
      <c r="B249" s="28"/>
    </row>
    <row r="250">
      <c r="B250" s="28"/>
    </row>
    <row r="251">
      <c r="B251" s="28"/>
    </row>
    <row r="252">
      <c r="B252" s="28"/>
    </row>
    <row r="253">
      <c r="B253" s="28"/>
    </row>
    <row r="254">
      <c r="B254" s="28"/>
    </row>
    <row r="255">
      <c r="B255" s="28"/>
    </row>
    <row r="256">
      <c r="B256" s="28"/>
    </row>
    <row r="257">
      <c r="B257" s="28"/>
    </row>
    <row r="258">
      <c r="B258" s="28"/>
    </row>
    <row r="259">
      <c r="B259" s="28"/>
    </row>
    <row r="260">
      <c r="B260" s="28"/>
    </row>
    <row r="261">
      <c r="B261" s="28"/>
    </row>
    <row r="262">
      <c r="B262" s="28"/>
    </row>
    <row r="263">
      <c r="B263" s="28"/>
    </row>
    <row r="264">
      <c r="B264" s="28"/>
    </row>
    <row r="265">
      <c r="B265" s="28"/>
    </row>
    <row r="266">
      <c r="B266" s="28"/>
    </row>
    <row r="267">
      <c r="B267" s="28"/>
    </row>
    <row r="268">
      <c r="B268" s="28"/>
    </row>
    <row r="269">
      <c r="B269" s="28"/>
    </row>
    <row r="270">
      <c r="B270" s="28"/>
    </row>
    <row r="271">
      <c r="B271" s="28"/>
    </row>
    <row r="272">
      <c r="B272" s="28"/>
    </row>
    <row r="273">
      <c r="B273" s="28"/>
    </row>
    <row r="274">
      <c r="B274" s="28"/>
    </row>
    <row r="275">
      <c r="B275" s="28"/>
    </row>
    <row r="276">
      <c r="B276" s="28"/>
    </row>
    <row r="277">
      <c r="B277" s="28"/>
    </row>
    <row r="278">
      <c r="B278" s="28"/>
    </row>
    <row r="279">
      <c r="B279" s="28"/>
    </row>
    <row r="280">
      <c r="B280" s="28"/>
    </row>
    <row r="281">
      <c r="B281" s="28"/>
    </row>
    <row r="282">
      <c r="B282" s="28"/>
    </row>
    <row r="283">
      <c r="B283" s="28"/>
    </row>
    <row r="284">
      <c r="B284" s="28"/>
    </row>
    <row r="285">
      <c r="B285" s="28"/>
    </row>
    <row r="286">
      <c r="B286" s="28"/>
    </row>
    <row r="287">
      <c r="B287" s="28"/>
    </row>
    <row r="288">
      <c r="B288" s="28"/>
    </row>
    <row r="289">
      <c r="B289" s="28"/>
    </row>
    <row r="290">
      <c r="B290" s="28"/>
    </row>
    <row r="291">
      <c r="B291" s="28"/>
    </row>
    <row r="292">
      <c r="B292" s="28"/>
    </row>
    <row r="293">
      <c r="B293" s="28"/>
    </row>
    <row r="294">
      <c r="B294" s="28"/>
    </row>
    <row r="295">
      <c r="B295" s="28"/>
    </row>
    <row r="296">
      <c r="B296" s="28"/>
    </row>
    <row r="297">
      <c r="B297" s="28"/>
    </row>
    <row r="298">
      <c r="B298" s="28"/>
    </row>
    <row r="299">
      <c r="B299" s="28"/>
    </row>
    <row r="300">
      <c r="B300" s="28"/>
    </row>
    <row r="301">
      <c r="B301" s="28"/>
    </row>
    <row r="302">
      <c r="B302" s="28"/>
    </row>
    <row r="303">
      <c r="B303" s="28"/>
    </row>
    <row r="304">
      <c r="B304" s="28"/>
    </row>
    <row r="305">
      <c r="B305" s="28"/>
    </row>
    <row r="306">
      <c r="B306" s="28"/>
    </row>
    <row r="307">
      <c r="B307" s="28"/>
    </row>
    <row r="308">
      <c r="B308" s="28"/>
    </row>
    <row r="309">
      <c r="B309" s="28"/>
    </row>
    <row r="310">
      <c r="B310" s="28"/>
    </row>
    <row r="311">
      <c r="B311" s="28"/>
    </row>
    <row r="312">
      <c r="B312" s="28"/>
    </row>
    <row r="313">
      <c r="B313" s="28"/>
    </row>
    <row r="314">
      <c r="B314" s="28"/>
    </row>
    <row r="315">
      <c r="B315" s="28"/>
    </row>
    <row r="316">
      <c r="B316" s="28"/>
    </row>
    <row r="317">
      <c r="B317" s="28"/>
    </row>
    <row r="318">
      <c r="B318" s="28"/>
    </row>
    <row r="319">
      <c r="B319" s="28"/>
    </row>
    <row r="320">
      <c r="B320" s="28"/>
    </row>
    <row r="321">
      <c r="B321" s="28"/>
    </row>
    <row r="322">
      <c r="B322" s="28"/>
    </row>
    <row r="323">
      <c r="B323" s="28"/>
    </row>
    <row r="324">
      <c r="B324" s="28"/>
    </row>
    <row r="325">
      <c r="B325" s="28"/>
    </row>
    <row r="326">
      <c r="B326" s="28"/>
    </row>
    <row r="327">
      <c r="B327" s="28"/>
    </row>
    <row r="328">
      <c r="B328" s="28"/>
    </row>
    <row r="329">
      <c r="B329" s="28"/>
    </row>
    <row r="330">
      <c r="B330" s="28"/>
    </row>
    <row r="331">
      <c r="B331" s="28"/>
    </row>
    <row r="332">
      <c r="B332" s="28"/>
    </row>
    <row r="333">
      <c r="B333" s="28"/>
    </row>
    <row r="334">
      <c r="B334" s="28"/>
    </row>
    <row r="335">
      <c r="B335" s="28"/>
    </row>
    <row r="336">
      <c r="B336" s="28"/>
    </row>
    <row r="337">
      <c r="B337" s="28"/>
    </row>
    <row r="338">
      <c r="B338" s="28"/>
    </row>
    <row r="339">
      <c r="B339" s="28"/>
    </row>
    <row r="340">
      <c r="B340" s="28"/>
    </row>
    <row r="341">
      <c r="B341" s="28"/>
    </row>
    <row r="342">
      <c r="B342" s="28"/>
    </row>
    <row r="343">
      <c r="B343" s="28"/>
    </row>
    <row r="344">
      <c r="B344" s="28"/>
    </row>
    <row r="345">
      <c r="B345" s="28"/>
    </row>
    <row r="346">
      <c r="B346" s="28"/>
    </row>
    <row r="347">
      <c r="B347" s="28"/>
    </row>
    <row r="348">
      <c r="B348" s="28"/>
    </row>
    <row r="349">
      <c r="B349" s="28"/>
    </row>
    <row r="350">
      <c r="B350" s="28"/>
    </row>
    <row r="351">
      <c r="B351" s="28"/>
    </row>
    <row r="352">
      <c r="B352" s="28"/>
    </row>
    <row r="353">
      <c r="B353" s="28"/>
    </row>
    <row r="354">
      <c r="B354" s="28"/>
    </row>
    <row r="355">
      <c r="B355" s="28"/>
    </row>
    <row r="356">
      <c r="B356" s="28"/>
    </row>
    <row r="357">
      <c r="B357" s="28"/>
    </row>
    <row r="358">
      <c r="B358" s="28"/>
    </row>
    <row r="359">
      <c r="B359" s="28"/>
    </row>
    <row r="360">
      <c r="B360" s="28"/>
    </row>
    <row r="361">
      <c r="B361" s="28"/>
    </row>
    <row r="362">
      <c r="B362" s="28"/>
    </row>
    <row r="363">
      <c r="B363" s="28"/>
    </row>
    <row r="364">
      <c r="B364" s="28"/>
    </row>
    <row r="365">
      <c r="B365" s="28"/>
    </row>
    <row r="366">
      <c r="B366" s="28"/>
    </row>
    <row r="367">
      <c r="B367" s="28"/>
    </row>
    <row r="368">
      <c r="B368" s="28"/>
    </row>
    <row r="369">
      <c r="B369" s="28"/>
    </row>
    <row r="370">
      <c r="B370" s="28"/>
    </row>
    <row r="371">
      <c r="B371" s="28"/>
    </row>
    <row r="372">
      <c r="B372" s="28"/>
    </row>
    <row r="373">
      <c r="B373" s="28"/>
    </row>
    <row r="374">
      <c r="B374" s="28"/>
    </row>
    <row r="375">
      <c r="B375" s="28"/>
    </row>
    <row r="376">
      <c r="B376" s="28"/>
    </row>
    <row r="377">
      <c r="B377" s="28"/>
    </row>
    <row r="378">
      <c r="B378" s="28"/>
    </row>
    <row r="379">
      <c r="B379" s="28"/>
    </row>
    <row r="380">
      <c r="B380" s="28"/>
    </row>
    <row r="381">
      <c r="B381" s="28"/>
    </row>
    <row r="382">
      <c r="B382" s="28"/>
    </row>
    <row r="383">
      <c r="B383" s="28"/>
    </row>
    <row r="384">
      <c r="B384" s="28"/>
    </row>
    <row r="385">
      <c r="B385" s="28"/>
    </row>
    <row r="386">
      <c r="B386" s="28"/>
    </row>
    <row r="387">
      <c r="B387" s="28"/>
    </row>
    <row r="388">
      <c r="B388" s="28"/>
    </row>
    <row r="389">
      <c r="B389" s="28"/>
    </row>
    <row r="390">
      <c r="B390" s="28"/>
    </row>
    <row r="391">
      <c r="B391" s="28"/>
    </row>
    <row r="392">
      <c r="B392" s="28"/>
    </row>
    <row r="393">
      <c r="B393" s="28"/>
    </row>
    <row r="394">
      <c r="B394" s="28"/>
    </row>
    <row r="395">
      <c r="B395" s="28"/>
    </row>
    <row r="396">
      <c r="B396" s="28"/>
    </row>
    <row r="397">
      <c r="B397" s="28"/>
    </row>
    <row r="398">
      <c r="B398" s="28"/>
    </row>
    <row r="399">
      <c r="B399" s="28"/>
    </row>
    <row r="400">
      <c r="B400" s="28"/>
    </row>
    <row r="401">
      <c r="B401" s="28"/>
    </row>
    <row r="402">
      <c r="B402" s="28"/>
    </row>
    <row r="403">
      <c r="B403" s="28"/>
    </row>
    <row r="404">
      <c r="B404" s="28"/>
    </row>
    <row r="405">
      <c r="B405" s="28"/>
    </row>
    <row r="406">
      <c r="B406" s="28"/>
    </row>
    <row r="407">
      <c r="B407" s="28"/>
    </row>
    <row r="408">
      <c r="B408" s="28"/>
    </row>
    <row r="409">
      <c r="B409" s="28"/>
    </row>
    <row r="410">
      <c r="B410" s="28"/>
    </row>
    <row r="411">
      <c r="B411" s="28"/>
    </row>
    <row r="412">
      <c r="B412" s="28"/>
    </row>
    <row r="413">
      <c r="B413" s="28"/>
    </row>
    <row r="414">
      <c r="B414" s="28"/>
    </row>
    <row r="415">
      <c r="B415" s="28"/>
    </row>
    <row r="416">
      <c r="B416" s="28"/>
    </row>
    <row r="417">
      <c r="B417" s="28"/>
    </row>
    <row r="418">
      <c r="B418" s="28"/>
    </row>
    <row r="419">
      <c r="B419" s="28"/>
    </row>
    <row r="420">
      <c r="B420" s="28"/>
    </row>
    <row r="421">
      <c r="B421" s="28"/>
    </row>
    <row r="422">
      <c r="B422" s="28"/>
    </row>
    <row r="423">
      <c r="B423" s="28"/>
    </row>
    <row r="424">
      <c r="B424" s="28"/>
    </row>
    <row r="425">
      <c r="B425" s="28"/>
    </row>
    <row r="426">
      <c r="B426" s="28"/>
    </row>
    <row r="427">
      <c r="B427" s="28"/>
    </row>
    <row r="428">
      <c r="B428" s="28"/>
    </row>
    <row r="429">
      <c r="B429" s="28"/>
    </row>
    <row r="430">
      <c r="B430" s="28"/>
    </row>
    <row r="431">
      <c r="B431" s="28"/>
    </row>
    <row r="432">
      <c r="B432" s="28"/>
    </row>
    <row r="433">
      <c r="B433" s="28"/>
    </row>
    <row r="434">
      <c r="B434" s="28"/>
    </row>
    <row r="435">
      <c r="B435" s="28"/>
    </row>
    <row r="436">
      <c r="B436" s="28"/>
    </row>
    <row r="437">
      <c r="B437" s="28"/>
    </row>
    <row r="438">
      <c r="B438" s="28"/>
    </row>
    <row r="439">
      <c r="B439" s="28"/>
    </row>
    <row r="440">
      <c r="B440" s="28"/>
    </row>
    <row r="441">
      <c r="B441" s="28"/>
    </row>
    <row r="442">
      <c r="B442" s="28"/>
    </row>
    <row r="443">
      <c r="B443" s="28"/>
    </row>
    <row r="444">
      <c r="B444" s="28"/>
    </row>
    <row r="445">
      <c r="B445" s="28"/>
    </row>
    <row r="446">
      <c r="B446" s="28"/>
    </row>
    <row r="447">
      <c r="B447" s="28"/>
    </row>
    <row r="448">
      <c r="B448" s="28"/>
    </row>
    <row r="449">
      <c r="B449" s="28"/>
    </row>
    <row r="450">
      <c r="B450" s="28"/>
    </row>
    <row r="451">
      <c r="B451" s="28"/>
    </row>
    <row r="452">
      <c r="B452" s="28"/>
    </row>
    <row r="453">
      <c r="B453" s="28"/>
    </row>
    <row r="454">
      <c r="B454" s="28"/>
    </row>
    <row r="455">
      <c r="B455" s="28"/>
    </row>
    <row r="456">
      <c r="B456" s="28"/>
    </row>
    <row r="457">
      <c r="B457" s="28"/>
    </row>
    <row r="458">
      <c r="B458" s="28"/>
    </row>
    <row r="459">
      <c r="B459" s="28"/>
    </row>
    <row r="460">
      <c r="B460" s="28"/>
    </row>
    <row r="461">
      <c r="B461" s="28"/>
    </row>
    <row r="462">
      <c r="B462" s="28"/>
    </row>
    <row r="463">
      <c r="B463" s="28"/>
    </row>
    <row r="464">
      <c r="B464" s="28"/>
    </row>
    <row r="465">
      <c r="B465" s="28"/>
    </row>
    <row r="466">
      <c r="B466" s="28"/>
    </row>
    <row r="467">
      <c r="B467" s="28"/>
    </row>
    <row r="468">
      <c r="B468" s="28"/>
    </row>
    <row r="469">
      <c r="B469" s="28"/>
    </row>
    <row r="470">
      <c r="B470" s="28"/>
    </row>
    <row r="471">
      <c r="B471" s="28"/>
    </row>
    <row r="472">
      <c r="B472" s="28"/>
    </row>
    <row r="473">
      <c r="B473" s="28"/>
    </row>
    <row r="474">
      <c r="B474" s="28"/>
    </row>
    <row r="475">
      <c r="B475" s="28"/>
    </row>
    <row r="476">
      <c r="B476" s="28"/>
    </row>
    <row r="477">
      <c r="B477" s="28"/>
    </row>
    <row r="478">
      <c r="B478" s="28"/>
    </row>
    <row r="479">
      <c r="B479" s="28"/>
    </row>
    <row r="480">
      <c r="B480" s="28"/>
    </row>
    <row r="481">
      <c r="B481" s="28"/>
    </row>
    <row r="482">
      <c r="B482" s="28"/>
    </row>
    <row r="483">
      <c r="B483" s="28"/>
    </row>
    <row r="484">
      <c r="B484" s="28"/>
    </row>
    <row r="485">
      <c r="B485" s="28"/>
    </row>
    <row r="486">
      <c r="B486" s="28"/>
    </row>
    <row r="487">
      <c r="B487" s="28"/>
    </row>
    <row r="488">
      <c r="B488" s="28"/>
    </row>
    <row r="489">
      <c r="B489" s="28"/>
    </row>
    <row r="490">
      <c r="B490" s="28"/>
    </row>
    <row r="491">
      <c r="B491" s="28"/>
    </row>
    <row r="492">
      <c r="B492" s="28"/>
    </row>
    <row r="493">
      <c r="B493" s="28"/>
    </row>
    <row r="494">
      <c r="B494" s="28"/>
    </row>
    <row r="495">
      <c r="B495" s="28"/>
    </row>
    <row r="496">
      <c r="B496" s="28"/>
    </row>
    <row r="497">
      <c r="B497" s="28"/>
    </row>
    <row r="498">
      <c r="B498" s="28"/>
    </row>
    <row r="499">
      <c r="B499" s="28"/>
    </row>
    <row r="500">
      <c r="B500" s="28"/>
    </row>
    <row r="501">
      <c r="B501" s="28"/>
    </row>
    <row r="502">
      <c r="B502" s="28"/>
    </row>
    <row r="503">
      <c r="B503" s="28"/>
    </row>
    <row r="504">
      <c r="B504" s="28"/>
    </row>
    <row r="505">
      <c r="B505" s="28"/>
    </row>
    <row r="506">
      <c r="B506" s="28"/>
    </row>
    <row r="507">
      <c r="B507" s="28"/>
    </row>
    <row r="508">
      <c r="B508" s="28"/>
    </row>
    <row r="509">
      <c r="B509" s="28"/>
    </row>
    <row r="510">
      <c r="B510" s="28"/>
    </row>
    <row r="511">
      <c r="B511" s="28"/>
    </row>
    <row r="512">
      <c r="B512" s="28"/>
    </row>
    <row r="513">
      <c r="B513" s="28"/>
    </row>
    <row r="514">
      <c r="B514" s="28"/>
    </row>
    <row r="515">
      <c r="B515" s="28"/>
    </row>
    <row r="516">
      <c r="B516" s="28"/>
    </row>
    <row r="517">
      <c r="B517" s="28"/>
    </row>
    <row r="518">
      <c r="B518" s="28"/>
    </row>
    <row r="519">
      <c r="B519" s="28"/>
    </row>
    <row r="520">
      <c r="B520" s="28"/>
    </row>
    <row r="521">
      <c r="B521" s="28"/>
    </row>
    <row r="522">
      <c r="B522" s="28"/>
    </row>
    <row r="523">
      <c r="B523" s="28"/>
    </row>
    <row r="524">
      <c r="B524" s="28"/>
    </row>
    <row r="525">
      <c r="B525" s="28"/>
    </row>
    <row r="526">
      <c r="B526" s="28"/>
    </row>
    <row r="527">
      <c r="B527" s="28"/>
    </row>
    <row r="528">
      <c r="B528" s="28"/>
    </row>
    <row r="529">
      <c r="B529" s="28"/>
    </row>
    <row r="530">
      <c r="B530" s="28"/>
    </row>
    <row r="531">
      <c r="B531" s="28"/>
    </row>
    <row r="532">
      <c r="B532" s="28"/>
    </row>
    <row r="533">
      <c r="B533" s="28"/>
    </row>
    <row r="534">
      <c r="B534" s="28"/>
    </row>
    <row r="535">
      <c r="B535" s="28"/>
    </row>
    <row r="536">
      <c r="B536" s="28"/>
    </row>
    <row r="537">
      <c r="B537" s="28"/>
    </row>
    <row r="538">
      <c r="B538" s="28"/>
    </row>
    <row r="539">
      <c r="B539" s="28"/>
    </row>
    <row r="540">
      <c r="B540" s="28"/>
    </row>
    <row r="541">
      <c r="B541" s="28"/>
    </row>
    <row r="542">
      <c r="B542" s="28"/>
    </row>
    <row r="543">
      <c r="B543" s="28"/>
    </row>
    <row r="544">
      <c r="B544" s="28"/>
    </row>
    <row r="545">
      <c r="B545" s="28"/>
    </row>
    <row r="546">
      <c r="B546" s="28"/>
    </row>
    <row r="547">
      <c r="B547" s="28"/>
    </row>
    <row r="548">
      <c r="B548" s="28"/>
    </row>
    <row r="549">
      <c r="B549" s="28"/>
    </row>
    <row r="550">
      <c r="B550" s="28"/>
    </row>
    <row r="551">
      <c r="B551" s="28"/>
    </row>
    <row r="552">
      <c r="B552" s="28"/>
    </row>
    <row r="553">
      <c r="B553" s="28"/>
    </row>
    <row r="554">
      <c r="B554" s="28"/>
    </row>
    <row r="555">
      <c r="B555" s="28"/>
    </row>
    <row r="556">
      <c r="B556" s="28"/>
    </row>
    <row r="557">
      <c r="B557" s="28"/>
    </row>
    <row r="558">
      <c r="B558" s="28"/>
    </row>
    <row r="559">
      <c r="B559" s="28"/>
    </row>
    <row r="560">
      <c r="B560" s="28"/>
    </row>
    <row r="561">
      <c r="B561" s="28"/>
    </row>
    <row r="562">
      <c r="B562" s="28"/>
    </row>
    <row r="563">
      <c r="B563" s="28"/>
    </row>
    <row r="564">
      <c r="B564" s="28"/>
    </row>
    <row r="565">
      <c r="B565" s="28"/>
    </row>
    <row r="566">
      <c r="B566" s="28"/>
    </row>
    <row r="567">
      <c r="B567" s="28"/>
    </row>
    <row r="568">
      <c r="B568" s="28"/>
    </row>
    <row r="569">
      <c r="B569" s="28"/>
    </row>
    <row r="570">
      <c r="B570" s="28"/>
    </row>
    <row r="571">
      <c r="B571" s="28"/>
    </row>
    <row r="572">
      <c r="B572" s="28"/>
    </row>
    <row r="573">
      <c r="B573" s="28"/>
    </row>
    <row r="574">
      <c r="B574" s="28"/>
    </row>
    <row r="575">
      <c r="B575" s="28"/>
    </row>
    <row r="576">
      <c r="B576" s="28"/>
    </row>
    <row r="577">
      <c r="B577" s="28"/>
    </row>
    <row r="578">
      <c r="B578" s="28"/>
    </row>
    <row r="579">
      <c r="B579" s="28"/>
    </row>
    <row r="580">
      <c r="B580" s="28"/>
    </row>
    <row r="581">
      <c r="B581" s="28"/>
    </row>
    <row r="582">
      <c r="B582" s="28"/>
    </row>
    <row r="583">
      <c r="B583" s="28"/>
    </row>
    <row r="584">
      <c r="B584" s="28"/>
    </row>
    <row r="585">
      <c r="B585" s="28"/>
    </row>
    <row r="586">
      <c r="B586" s="28"/>
    </row>
    <row r="587">
      <c r="B587" s="28"/>
    </row>
    <row r="588">
      <c r="B588" s="28"/>
    </row>
    <row r="589">
      <c r="B589" s="28"/>
    </row>
    <row r="590">
      <c r="B590" s="28"/>
    </row>
    <row r="591">
      <c r="B591" s="28"/>
    </row>
    <row r="592">
      <c r="B592" s="28"/>
    </row>
    <row r="593">
      <c r="B593" s="28"/>
    </row>
    <row r="594">
      <c r="B594" s="28"/>
    </row>
    <row r="595">
      <c r="B595" s="28"/>
    </row>
    <row r="596">
      <c r="B596" s="28"/>
    </row>
    <row r="597">
      <c r="B597" s="28"/>
    </row>
    <row r="598">
      <c r="B598" s="28"/>
    </row>
    <row r="599">
      <c r="B599" s="28"/>
    </row>
    <row r="600">
      <c r="B600" s="28"/>
    </row>
    <row r="601">
      <c r="B601" s="28"/>
    </row>
    <row r="602">
      <c r="B602" s="28"/>
    </row>
    <row r="603">
      <c r="B603" s="28"/>
    </row>
    <row r="604">
      <c r="B604" s="28"/>
    </row>
    <row r="605">
      <c r="B605" s="28"/>
    </row>
    <row r="606">
      <c r="B606" s="28"/>
    </row>
    <row r="607">
      <c r="B607" s="28"/>
    </row>
    <row r="608">
      <c r="B608" s="28"/>
    </row>
    <row r="609">
      <c r="B609" s="28"/>
    </row>
    <row r="610">
      <c r="B610" s="28"/>
    </row>
    <row r="611">
      <c r="B611" s="28"/>
    </row>
    <row r="612">
      <c r="B612" s="28"/>
    </row>
    <row r="613">
      <c r="B613" s="28"/>
    </row>
    <row r="614">
      <c r="B614" s="28"/>
    </row>
    <row r="615">
      <c r="B615" s="28"/>
    </row>
    <row r="616">
      <c r="B616" s="28"/>
    </row>
    <row r="617">
      <c r="B617" s="28"/>
    </row>
    <row r="618">
      <c r="B618" s="28"/>
    </row>
    <row r="619">
      <c r="B619" s="28"/>
    </row>
    <row r="620">
      <c r="B620" s="28"/>
    </row>
    <row r="621">
      <c r="B621" s="28"/>
    </row>
    <row r="622">
      <c r="B622" s="28"/>
    </row>
    <row r="623">
      <c r="B623" s="28"/>
    </row>
    <row r="624">
      <c r="B624" s="28"/>
    </row>
    <row r="625">
      <c r="B625" s="28"/>
    </row>
    <row r="626">
      <c r="B626" s="28"/>
    </row>
    <row r="627">
      <c r="B627" s="28"/>
    </row>
    <row r="628">
      <c r="B628" s="28"/>
    </row>
    <row r="629">
      <c r="B629" s="28"/>
    </row>
    <row r="630">
      <c r="B630" s="28"/>
    </row>
    <row r="631">
      <c r="B631" s="28"/>
    </row>
    <row r="632">
      <c r="B632" s="28"/>
    </row>
    <row r="633">
      <c r="B633" s="28"/>
    </row>
    <row r="634">
      <c r="B634" s="28"/>
    </row>
    <row r="635">
      <c r="B635" s="28"/>
    </row>
    <row r="636">
      <c r="B636" s="28"/>
    </row>
    <row r="637">
      <c r="B637" s="28"/>
    </row>
    <row r="638">
      <c r="B638" s="28"/>
    </row>
    <row r="639">
      <c r="B639" s="28"/>
    </row>
    <row r="640">
      <c r="B640" s="28"/>
    </row>
    <row r="641">
      <c r="B641" s="28"/>
    </row>
    <row r="642">
      <c r="B642" s="28"/>
    </row>
    <row r="643">
      <c r="B643" s="28"/>
    </row>
    <row r="644">
      <c r="B644" s="28"/>
    </row>
    <row r="645">
      <c r="B645" s="28"/>
    </row>
    <row r="646">
      <c r="B646" s="28"/>
    </row>
    <row r="647">
      <c r="B647" s="28"/>
    </row>
    <row r="648">
      <c r="B648" s="28"/>
    </row>
    <row r="649">
      <c r="B649" s="28"/>
    </row>
    <row r="650">
      <c r="B650" s="28"/>
    </row>
    <row r="651">
      <c r="B651" s="28"/>
    </row>
    <row r="652">
      <c r="B652" s="28"/>
    </row>
    <row r="653">
      <c r="B653" s="28"/>
    </row>
    <row r="654">
      <c r="B654" s="28"/>
    </row>
    <row r="655">
      <c r="B655" s="28"/>
    </row>
    <row r="656">
      <c r="B656" s="28"/>
    </row>
    <row r="657">
      <c r="B657" s="28"/>
    </row>
    <row r="658">
      <c r="B658" s="28"/>
    </row>
    <row r="659">
      <c r="B659" s="28"/>
    </row>
    <row r="660">
      <c r="B660" s="28"/>
    </row>
    <row r="661">
      <c r="B661" s="28"/>
    </row>
    <row r="662">
      <c r="B662" s="28"/>
    </row>
    <row r="663">
      <c r="B663" s="28"/>
    </row>
    <row r="664">
      <c r="B664" s="28"/>
    </row>
    <row r="665">
      <c r="B665" s="28"/>
    </row>
    <row r="666">
      <c r="B666" s="28"/>
    </row>
    <row r="667">
      <c r="B667" s="28"/>
    </row>
    <row r="668">
      <c r="B668" s="28"/>
    </row>
    <row r="669">
      <c r="B669" s="28"/>
    </row>
    <row r="670">
      <c r="B670" s="28"/>
    </row>
    <row r="671">
      <c r="B671" s="28"/>
    </row>
    <row r="672">
      <c r="B672" s="28"/>
    </row>
    <row r="673">
      <c r="B673" s="28"/>
    </row>
    <row r="674">
      <c r="B674" s="28"/>
    </row>
    <row r="675">
      <c r="B675" s="28"/>
    </row>
    <row r="676">
      <c r="B676" s="28"/>
    </row>
    <row r="677">
      <c r="B677" s="28"/>
    </row>
    <row r="678">
      <c r="B678" s="28"/>
    </row>
    <row r="679">
      <c r="B679" s="28"/>
    </row>
    <row r="680">
      <c r="B680" s="28"/>
    </row>
    <row r="681">
      <c r="B681" s="28"/>
    </row>
    <row r="682">
      <c r="B682" s="28"/>
    </row>
    <row r="683">
      <c r="B683" s="28"/>
    </row>
    <row r="684">
      <c r="B684" s="28"/>
    </row>
    <row r="685">
      <c r="B685" s="28"/>
    </row>
    <row r="686">
      <c r="B686" s="28"/>
    </row>
    <row r="687">
      <c r="B687" s="28"/>
    </row>
    <row r="688">
      <c r="B688" s="28"/>
    </row>
    <row r="689">
      <c r="B689" s="28"/>
    </row>
    <row r="690">
      <c r="B690" s="28"/>
    </row>
    <row r="691">
      <c r="B691" s="28"/>
    </row>
    <row r="692">
      <c r="B692" s="28"/>
    </row>
    <row r="693">
      <c r="B693" s="28"/>
    </row>
    <row r="694">
      <c r="B694" s="28"/>
    </row>
    <row r="695">
      <c r="B695" s="28"/>
    </row>
    <row r="696">
      <c r="B696" s="28"/>
    </row>
    <row r="697">
      <c r="B697" s="28"/>
    </row>
    <row r="698">
      <c r="B698" s="28"/>
    </row>
    <row r="699">
      <c r="B699" s="28"/>
    </row>
    <row r="700">
      <c r="B700" s="28"/>
    </row>
    <row r="701">
      <c r="B701" s="28"/>
    </row>
    <row r="702">
      <c r="B702" s="28"/>
    </row>
    <row r="703">
      <c r="B703" s="28"/>
    </row>
    <row r="704">
      <c r="B704" s="28"/>
    </row>
    <row r="705">
      <c r="B705" s="28"/>
    </row>
    <row r="706">
      <c r="B706" s="28"/>
    </row>
    <row r="707">
      <c r="B707" s="28"/>
    </row>
    <row r="708">
      <c r="B708" s="28"/>
    </row>
    <row r="709">
      <c r="B709" s="28"/>
    </row>
    <row r="710">
      <c r="B710" s="28"/>
    </row>
    <row r="711">
      <c r="B711" s="28"/>
    </row>
    <row r="712">
      <c r="B712" s="28"/>
    </row>
    <row r="713">
      <c r="B713" s="28"/>
    </row>
    <row r="714">
      <c r="B714" s="28"/>
    </row>
    <row r="715">
      <c r="B715" s="28"/>
    </row>
    <row r="716">
      <c r="B716" s="28"/>
    </row>
    <row r="717">
      <c r="B717" s="28"/>
    </row>
    <row r="718">
      <c r="B718" s="28"/>
    </row>
    <row r="719">
      <c r="B719" s="28"/>
    </row>
    <row r="720">
      <c r="B720" s="28"/>
    </row>
    <row r="721">
      <c r="B721" s="28"/>
    </row>
    <row r="722">
      <c r="B722" s="28"/>
    </row>
    <row r="723">
      <c r="B723" s="28"/>
    </row>
    <row r="724">
      <c r="B724" s="28"/>
    </row>
    <row r="725">
      <c r="B725" s="28"/>
    </row>
    <row r="726">
      <c r="B726" s="28"/>
    </row>
    <row r="727">
      <c r="B727" s="28"/>
    </row>
    <row r="728">
      <c r="B728" s="28"/>
    </row>
    <row r="729">
      <c r="B729" s="28"/>
    </row>
    <row r="730">
      <c r="B730" s="28"/>
    </row>
    <row r="731">
      <c r="B731" s="28"/>
    </row>
    <row r="732">
      <c r="B732" s="28"/>
    </row>
    <row r="733">
      <c r="B733" s="28"/>
    </row>
    <row r="734">
      <c r="B734" s="28"/>
    </row>
    <row r="735">
      <c r="B735" s="28"/>
    </row>
    <row r="736">
      <c r="B736" s="28"/>
    </row>
    <row r="737">
      <c r="B737" s="28"/>
    </row>
    <row r="738">
      <c r="B738" s="28"/>
    </row>
    <row r="739">
      <c r="B739" s="28"/>
    </row>
    <row r="740">
      <c r="B740" s="28"/>
    </row>
    <row r="741">
      <c r="B741" s="28"/>
    </row>
    <row r="742">
      <c r="B742" s="28"/>
    </row>
    <row r="743">
      <c r="B743" s="28"/>
    </row>
    <row r="744">
      <c r="B744" s="28"/>
    </row>
    <row r="745">
      <c r="B745" s="28"/>
    </row>
    <row r="746">
      <c r="B746" s="28"/>
    </row>
    <row r="747">
      <c r="B747" s="28"/>
    </row>
    <row r="748">
      <c r="B748" s="28"/>
    </row>
    <row r="749">
      <c r="B749" s="28"/>
    </row>
    <row r="750">
      <c r="B750" s="28"/>
    </row>
    <row r="751">
      <c r="B751" s="28"/>
    </row>
    <row r="752">
      <c r="B752" s="28"/>
    </row>
    <row r="753">
      <c r="B753" s="28"/>
    </row>
    <row r="754">
      <c r="B754" s="28"/>
    </row>
    <row r="755">
      <c r="B755" s="28"/>
    </row>
    <row r="756">
      <c r="B756" s="28"/>
    </row>
    <row r="757">
      <c r="B757" s="28"/>
    </row>
    <row r="758">
      <c r="B758" s="28"/>
    </row>
    <row r="759">
      <c r="B759" s="28"/>
    </row>
    <row r="760">
      <c r="B760" s="28"/>
    </row>
    <row r="761">
      <c r="B761" s="28"/>
    </row>
    <row r="762">
      <c r="B762" s="28"/>
    </row>
    <row r="763">
      <c r="B763" s="28"/>
    </row>
    <row r="764">
      <c r="B764" s="28"/>
    </row>
    <row r="765">
      <c r="B765" s="28"/>
    </row>
    <row r="766">
      <c r="B766" s="28"/>
    </row>
    <row r="767">
      <c r="B767" s="28"/>
    </row>
    <row r="768">
      <c r="B768" s="28"/>
    </row>
    <row r="769">
      <c r="B769" s="28"/>
    </row>
    <row r="770">
      <c r="B770" s="28"/>
    </row>
    <row r="771">
      <c r="B771" s="28"/>
    </row>
    <row r="772">
      <c r="B772" s="28"/>
    </row>
    <row r="773">
      <c r="B773" s="28"/>
    </row>
    <row r="774">
      <c r="B774" s="28"/>
    </row>
    <row r="775">
      <c r="B775" s="28"/>
    </row>
    <row r="776">
      <c r="B776" s="28"/>
    </row>
    <row r="777">
      <c r="B777" s="28"/>
    </row>
    <row r="778">
      <c r="B778" s="28"/>
    </row>
    <row r="779">
      <c r="B779" s="28"/>
    </row>
    <row r="780">
      <c r="B780" s="28"/>
    </row>
    <row r="781">
      <c r="B781" s="28"/>
    </row>
    <row r="782">
      <c r="B782" s="28"/>
    </row>
    <row r="783">
      <c r="B783" s="28"/>
    </row>
    <row r="784">
      <c r="B784" s="28"/>
    </row>
    <row r="785">
      <c r="B785" s="28"/>
    </row>
    <row r="786">
      <c r="B786" s="28"/>
    </row>
    <row r="787">
      <c r="B787" s="28"/>
    </row>
    <row r="788">
      <c r="B788" s="28"/>
    </row>
    <row r="789">
      <c r="B789" s="28"/>
    </row>
    <row r="790">
      <c r="B790" s="28"/>
    </row>
    <row r="791">
      <c r="B791" s="28"/>
    </row>
    <row r="792">
      <c r="B792" s="28"/>
    </row>
    <row r="793">
      <c r="B793" s="28"/>
    </row>
    <row r="794">
      <c r="B794" s="28"/>
    </row>
    <row r="795">
      <c r="B795" s="28"/>
    </row>
    <row r="796">
      <c r="B796" s="28"/>
    </row>
    <row r="797">
      <c r="B797" s="28"/>
    </row>
    <row r="798">
      <c r="B798" s="28"/>
    </row>
    <row r="799">
      <c r="B799" s="28"/>
    </row>
    <row r="800">
      <c r="B800" s="28"/>
    </row>
    <row r="801">
      <c r="B801" s="28"/>
    </row>
    <row r="802">
      <c r="B802" s="28"/>
    </row>
    <row r="803">
      <c r="B803" s="28"/>
    </row>
    <row r="804">
      <c r="B804" s="28"/>
    </row>
    <row r="805">
      <c r="B805" s="28"/>
    </row>
    <row r="806">
      <c r="B806" s="28"/>
    </row>
    <row r="807">
      <c r="B807" s="28"/>
    </row>
    <row r="808">
      <c r="B808" s="28"/>
    </row>
    <row r="809">
      <c r="B809" s="28"/>
    </row>
    <row r="810">
      <c r="B810" s="28"/>
    </row>
    <row r="811">
      <c r="B811" s="28"/>
    </row>
    <row r="812">
      <c r="B812" s="28"/>
    </row>
    <row r="813">
      <c r="B813" s="28"/>
    </row>
    <row r="814">
      <c r="B814" s="28"/>
    </row>
    <row r="815">
      <c r="B815" s="28"/>
    </row>
    <row r="816">
      <c r="B816" s="28"/>
    </row>
    <row r="817">
      <c r="B817" s="28"/>
    </row>
    <row r="818">
      <c r="B818" s="28"/>
    </row>
    <row r="819">
      <c r="B819" s="28"/>
    </row>
    <row r="820">
      <c r="B820" s="28"/>
    </row>
    <row r="821">
      <c r="B821" s="28"/>
    </row>
    <row r="822">
      <c r="B822" s="28"/>
    </row>
    <row r="823">
      <c r="B823" s="28"/>
    </row>
    <row r="824">
      <c r="B824" s="28"/>
    </row>
    <row r="825">
      <c r="B825" s="28"/>
    </row>
    <row r="826">
      <c r="B826" s="28"/>
    </row>
    <row r="827">
      <c r="B827" s="28"/>
    </row>
    <row r="828">
      <c r="B828" s="28"/>
    </row>
    <row r="829">
      <c r="B829" s="28"/>
    </row>
    <row r="830">
      <c r="B830" s="28"/>
    </row>
    <row r="831">
      <c r="B831" s="28"/>
    </row>
    <row r="832">
      <c r="B832" s="28"/>
    </row>
    <row r="833">
      <c r="B833" s="28"/>
    </row>
    <row r="834">
      <c r="B834" s="28"/>
    </row>
    <row r="835">
      <c r="B835" s="28"/>
    </row>
    <row r="836">
      <c r="B836" s="28"/>
    </row>
    <row r="837">
      <c r="B837" s="28"/>
    </row>
    <row r="838">
      <c r="B838" s="28"/>
    </row>
    <row r="839">
      <c r="B839" s="28"/>
    </row>
    <row r="840">
      <c r="B840" s="28"/>
    </row>
    <row r="841">
      <c r="B841" s="28"/>
    </row>
    <row r="842">
      <c r="B842" s="28"/>
    </row>
    <row r="843">
      <c r="B843" s="28"/>
    </row>
    <row r="844">
      <c r="B844" s="28"/>
    </row>
    <row r="845">
      <c r="B845" s="28"/>
    </row>
    <row r="846">
      <c r="B846" s="28"/>
    </row>
    <row r="847">
      <c r="B847" s="28"/>
    </row>
    <row r="848">
      <c r="B848" s="28"/>
    </row>
    <row r="849">
      <c r="B849" s="28"/>
    </row>
    <row r="850">
      <c r="B850" s="28"/>
    </row>
    <row r="851">
      <c r="B851" s="28"/>
    </row>
    <row r="852">
      <c r="B852" s="28"/>
    </row>
    <row r="853">
      <c r="B853" s="28"/>
    </row>
    <row r="854">
      <c r="B854" s="28"/>
    </row>
    <row r="855">
      <c r="B855" s="28"/>
    </row>
    <row r="856">
      <c r="B856" s="28"/>
    </row>
    <row r="857">
      <c r="B857" s="28"/>
    </row>
    <row r="858">
      <c r="B858" s="28"/>
    </row>
    <row r="859">
      <c r="B859" s="28"/>
    </row>
    <row r="860">
      <c r="B860" s="28"/>
    </row>
    <row r="861">
      <c r="B861" s="28"/>
    </row>
    <row r="862">
      <c r="B862" s="28"/>
    </row>
    <row r="863">
      <c r="B863" s="28"/>
    </row>
    <row r="864">
      <c r="B864" s="28"/>
    </row>
    <row r="865">
      <c r="B865" s="28"/>
    </row>
    <row r="866">
      <c r="B866" s="28"/>
    </row>
    <row r="867">
      <c r="B867" s="28"/>
    </row>
    <row r="868">
      <c r="B868" s="28"/>
    </row>
    <row r="869">
      <c r="B869" s="28"/>
    </row>
    <row r="870">
      <c r="B870" s="28"/>
    </row>
    <row r="871">
      <c r="B871" s="28"/>
    </row>
    <row r="872">
      <c r="B872" s="28"/>
    </row>
    <row r="873">
      <c r="B873" s="28"/>
    </row>
    <row r="874">
      <c r="B874" s="28"/>
    </row>
    <row r="875">
      <c r="B875" s="28"/>
    </row>
    <row r="876">
      <c r="B876" s="28"/>
    </row>
    <row r="877">
      <c r="B877" s="28"/>
    </row>
    <row r="878">
      <c r="B878" s="28"/>
    </row>
    <row r="879">
      <c r="B879" s="28"/>
    </row>
    <row r="880">
      <c r="B880" s="28"/>
    </row>
    <row r="881">
      <c r="B881" s="28"/>
    </row>
    <row r="882">
      <c r="B882" s="28"/>
    </row>
    <row r="883">
      <c r="B883" s="28"/>
    </row>
    <row r="884">
      <c r="B884" s="28"/>
    </row>
    <row r="885">
      <c r="B885" s="28"/>
    </row>
    <row r="886">
      <c r="B886" s="28"/>
    </row>
    <row r="887">
      <c r="B887" s="28"/>
    </row>
    <row r="888">
      <c r="B888" s="28"/>
    </row>
    <row r="889">
      <c r="B889" s="28"/>
    </row>
    <row r="890">
      <c r="B890" s="28"/>
    </row>
    <row r="891">
      <c r="B891" s="28"/>
    </row>
    <row r="892">
      <c r="B892" s="28"/>
    </row>
    <row r="893">
      <c r="B893" s="28"/>
    </row>
    <row r="894">
      <c r="B894" s="28"/>
    </row>
    <row r="895">
      <c r="B895" s="28"/>
    </row>
    <row r="896">
      <c r="B896" s="28"/>
    </row>
    <row r="897">
      <c r="B897" s="28"/>
    </row>
    <row r="898">
      <c r="B898" s="28"/>
    </row>
    <row r="899">
      <c r="B899" s="28"/>
    </row>
    <row r="900">
      <c r="B900" s="28"/>
    </row>
    <row r="901">
      <c r="B901" s="28"/>
    </row>
    <row r="902">
      <c r="B902" s="28"/>
    </row>
    <row r="903">
      <c r="B903" s="28"/>
    </row>
    <row r="904">
      <c r="B904" s="28"/>
    </row>
    <row r="905">
      <c r="B905" s="28"/>
    </row>
    <row r="906">
      <c r="B906" s="28"/>
    </row>
    <row r="907">
      <c r="B907" s="28"/>
    </row>
    <row r="908">
      <c r="B908" s="28"/>
    </row>
    <row r="909">
      <c r="B909" s="28"/>
    </row>
    <row r="910">
      <c r="B910" s="28"/>
    </row>
    <row r="911">
      <c r="B911" s="28"/>
    </row>
    <row r="912">
      <c r="B912" s="28"/>
    </row>
    <row r="913">
      <c r="B913" s="28"/>
    </row>
    <row r="914">
      <c r="B914" s="28"/>
    </row>
    <row r="915">
      <c r="B915" s="28"/>
    </row>
    <row r="916">
      <c r="B916" s="28"/>
    </row>
    <row r="917">
      <c r="B917" s="28"/>
    </row>
    <row r="918">
      <c r="B918" s="28"/>
    </row>
    <row r="919">
      <c r="B919" s="28"/>
    </row>
    <row r="920">
      <c r="B920" s="28"/>
    </row>
    <row r="921">
      <c r="B921" s="28"/>
    </row>
    <row r="922">
      <c r="B922" s="28"/>
    </row>
    <row r="923">
      <c r="B923" s="28"/>
    </row>
    <row r="924">
      <c r="B924" s="28"/>
    </row>
    <row r="925">
      <c r="B925" s="28"/>
    </row>
    <row r="926">
      <c r="B926" s="28"/>
    </row>
    <row r="927">
      <c r="B927" s="28"/>
    </row>
    <row r="928">
      <c r="B928" s="28"/>
    </row>
    <row r="929">
      <c r="B929" s="28"/>
    </row>
    <row r="930">
      <c r="B930" s="28"/>
    </row>
    <row r="931">
      <c r="B931" s="28"/>
    </row>
    <row r="932">
      <c r="B932" s="28"/>
    </row>
    <row r="933">
      <c r="B933" s="28"/>
    </row>
    <row r="934">
      <c r="B934" s="28"/>
    </row>
    <row r="935">
      <c r="B935" s="28"/>
    </row>
    <row r="936">
      <c r="B936" s="28"/>
    </row>
    <row r="937">
      <c r="B937" s="28"/>
    </row>
    <row r="938">
      <c r="B938" s="28"/>
    </row>
    <row r="939">
      <c r="B939" s="28"/>
    </row>
    <row r="940">
      <c r="B940" s="28"/>
    </row>
    <row r="941">
      <c r="B941" s="28"/>
    </row>
    <row r="942">
      <c r="B942" s="28"/>
    </row>
    <row r="943">
      <c r="B943" s="28"/>
    </row>
    <row r="944">
      <c r="B944" s="28"/>
    </row>
    <row r="945">
      <c r="B945" s="28"/>
    </row>
    <row r="946">
      <c r="B946" s="28"/>
    </row>
    <row r="947">
      <c r="B947" s="28"/>
    </row>
    <row r="948">
      <c r="B948" s="28"/>
    </row>
    <row r="949">
      <c r="B949" s="28"/>
    </row>
    <row r="950">
      <c r="B950" s="28"/>
    </row>
    <row r="951">
      <c r="B951" s="28"/>
    </row>
    <row r="952">
      <c r="B952" s="28"/>
    </row>
    <row r="953">
      <c r="B953" s="28"/>
    </row>
    <row r="954">
      <c r="B954" s="28"/>
    </row>
    <row r="955">
      <c r="B955" s="28"/>
    </row>
    <row r="956">
      <c r="B956" s="28"/>
    </row>
    <row r="957">
      <c r="B957" s="28"/>
    </row>
    <row r="958">
      <c r="B958" s="28"/>
    </row>
    <row r="959">
      <c r="B959" s="28"/>
    </row>
    <row r="960">
      <c r="B960" s="28"/>
    </row>
    <row r="961">
      <c r="B961" s="28"/>
    </row>
    <row r="962">
      <c r="B962" s="28"/>
    </row>
    <row r="963">
      <c r="B963" s="28"/>
    </row>
    <row r="964">
      <c r="B964" s="28"/>
    </row>
    <row r="965">
      <c r="B965" s="28"/>
    </row>
    <row r="966">
      <c r="B966" s="28"/>
    </row>
    <row r="967">
      <c r="B967" s="28"/>
    </row>
    <row r="968">
      <c r="B968" s="28"/>
    </row>
    <row r="969">
      <c r="B969" s="28"/>
    </row>
    <row r="970">
      <c r="B970" s="28"/>
    </row>
    <row r="971">
      <c r="B971" s="28"/>
    </row>
    <row r="972">
      <c r="B972" s="28"/>
    </row>
    <row r="973">
      <c r="B973" s="28"/>
    </row>
    <row r="974">
      <c r="B974" s="28"/>
    </row>
    <row r="975">
      <c r="B975" s="28"/>
    </row>
    <row r="976">
      <c r="B976" s="28"/>
    </row>
    <row r="977">
      <c r="B977" s="28"/>
    </row>
    <row r="978">
      <c r="B978" s="28"/>
    </row>
    <row r="979">
      <c r="B979" s="28"/>
    </row>
    <row r="980">
      <c r="B980" s="28"/>
    </row>
    <row r="981">
      <c r="B981" s="28"/>
    </row>
    <row r="982">
      <c r="B982" s="28"/>
    </row>
    <row r="983">
      <c r="B983" s="28"/>
    </row>
    <row r="984">
      <c r="B984" s="28"/>
    </row>
    <row r="985">
      <c r="B985" s="28"/>
    </row>
    <row r="986">
      <c r="B986" s="28"/>
    </row>
    <row r="987">
      <c r="B987" s="28"/>
    </row>
    <row r="988">
      <c r="B988" s="28"/>
    </row>
    <row r="989">
      <c r="B989" s="28"/>
    </row>
    <row r="990">
      <c r="B990" s="28"/>
    </row>
    <row r="991">
      <c r="B991" s="28"/>
    </row>
    <row r="992">
      <c r="B992" s="28"/>
    </row>
    <row r="993">
      <c r="B993" s="28"/>
    </row>
    <row r="994">
      <c r="B994" s="28"/>
    </row>
    <row r="995">
      <c r="B995" s="28"/>
    </row>
    <row r="996">
      <c r="B996" s="28"/>
    </row>
    <row r="997">
      <c r="B997" s="28"/>
    </row>
    <row r="998">
      <c r="B998" s="28"/>
    </row>
    <row r="999">
      <c r="B999" s="28"/>
    </row>
    <row r="1000">
      <c r="B1000" s="28"/>
    </row>
    <row r="1001">
      <c r="B1001" s="28"/>
    </row>
  </sheetData>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0.25"/>
    <col customWidth="1" min="5" max="5" width="24.25"/>
    <col customWidth="1" min="6" max="6" width="6.25"/>
  </cols>
  <sheetData>
    <row r="1">
      <c r="A1" s="188" t="s">
        <v>8646</v>
      </c>
      <c r="B1" s="189" t="s">
        <v>8647</v>
      </c>
      <c r="C1" s="138"/>
      <c r="D1" s="137" t="s">
        <v>8648</v>
      </c>
      <c r="E1" s="137" t="s">
        <v>8649</v>
      </c>
      <c r="F1" s="137" t="s">
        <v>8650</v>
      </c>
      <c r="G1" s="138"/>
      <c r="H1" s="138"/>
      <c r="I1" s="138"/>
      <c r="J1" s="138"/>
      <c r="K1" s="138"/>
      <c r="L1" s="138"/>
      <c r="M1" s="138"/>
      <c r="N1" s="138"/>
      <c r="O1" s="138"/>
      <c r="P1" s="138"/>
      <c r="Q1" s="138"/>
      <c r="R1" s="138"/>
      <c r="S1" s="138"/>
      <c r="T1" s="138"/>
      <c r="U1" s="138"/>
      <c r="V1" s="138"/>
    </row>
    <row r="2">
      <c r="A2" s="190">
        <v>43001.0</v>
      </c>
      <c r="B2" s="48">
        <v>40.17</v>
      </c>
      <c r="D2" s="13" t="s">
        <v>8651</v>
      </c>
      <c r="E2" s="191" t="s">
        <v>8297</v>
      </c>
      <c r="F2" s="191" t="s">
        <v>8652</v>
      </c>
    </row>
    <row r="3">
      <c r="A3" s="192">
        <v>43002.0</v>
      </c>
      <c r="B3" s="48">
        <v>8.15</v>
      </c>
      <c r="D3" s="13" t="s">
        <v>8653</v>
      </c>
      <c r="E3" s="191" t="s">
        <v>8654</v>
      </c>
      <c r="F3" s="191" t="s">
        <v>8655</v>
      </c>
    </row>
    <row r="4">
      <c r="A4" s="192">
        <v>43003.0</v>
      </c>
      <c r="B4" s="48">
        <v>29.05</v>
      </c>
      <c r="D4" s="13" t="s">
        <v>8656</v>
      </c>
      <c r="E4" s="191" t="s">
        <v>8296</v>
      </c>
      <c r="F4" s="191" t="s">
        <v>8657</v>
      </c>
    </row>
    <row r="5">
      <c r="A5" s="192">
        <v>43004.0</v>
      </c>
      <c r="B5" s="48">
        <v>33.45</v>
      </c>
      <c r="D5" s="13" t="s">
        <v>8656</v>
      </c>
      <c r="E5" s="191" t="s">
        <v>8299</v>
      </c>
      <c r="F5" s="191" t="s">
        <v>8658</v>
      </c>
    </row>
    <row r="6">
      <c r="A6" s="192">
        <v>43005.0</v>
      </c>
      <c r="B6" s="48">
        <v>60.22</v>
      </c>
      <c r="D6" s="13" t="s">
        <v>8656</v>
      </c>
      <c r="E6" s="191" t="s">
        <v>8298</v>
      </c>
      <c r="F6" s="191" t="s">
        <v>8659</v>
      </c>
    </row>
    <row r="7">
      <c r="A7" s="192">
        <v>43006.0</v>
      </c>
      <c r="B7" s="48">
        <v>83.02</v>
      </c>
      <c r="D7" s="13" t="s">
        <v>8656</v>
      </c>
      <c r="E7" s="191" t="s">
        <v>8300</v>
      </c>
      <c r="F7" s="191" t="s">
        <v>8660</v>
      </c>
    </row>
    <row r="8">
      <c r="A8" s="192">
        <v>43007.0</v>
      </c>
      <c r="B8" s="48">
        <v>22.21</v>
      </c>
      <c r="D8" s="13" t="s">
        <v>8651</v>
      </c>
      <c r="E8" s="191" t="s">
        <v>8301</v>
      </c>
      <c r="F8" s="191" t="s">
        <v>8661</v>
      </c>
    </row>
    <row r="9">
      <c r="A9" s="192">
        <v>43008.0</v>
      </c>
      <c r="B9" s="48">
        <v>55.99</v>
      </c>
      <c r="D9" s="13" t="s">
        <v>8651</v>
      </c>
      <c r="E9" s="191" t="s">
        <v>8303</v>
      </c>
      <c r="F9" s="191" t="s">
        <v>8662</v>
      </c>
    </row>
    <row r="10">
      <c r="A10" s="192">
        <v>43009.0</v>
      </c>
      <c r="B10" s="48">
        <v>23.6</v>
      </c>
      <c r="D10" s="13" t="s">
        <v>8651</v>
      </c>
      <c r="E10" s="191" t="s">
        <v>8305</v>
      </c>
      <c r="F10" s="191" t="s">
        <v>8663</v>
      </c>
    </row>
    <row r="11">
      <c r="A11" s="192">
        <v>43010.0</v>
      </c>
      <c r="B11" s="48">
        <v>29.48</v>
      </c>
      <c r="D11" s="13" t="s">
        <v>8651</v>
      </c>
      <c r="E11" s="191" t="s">
        <v>8307</v>
      </c>
      <c r="F11" s="191" t="s">
        <v>8664</v>
      </c>
    </row>
    <row r="12">
      <c r="A12" s="192">
        <v>43011.0</v>
      </c>
      <c r="B12" s="48">
        <v>45.05</v>
      </c>
      <c r="D12" s="13" t="s">
        <v>8651</v>
      </c>
      <c r="E12" s="191" t="s">
        <v>8309</v>
      </c>
      <c r="F12" s="191" t="s">
        <v>8665</v>
      </c>
    </row>
    <row r="13">
      <c r="A13" s="192">
        <v>43013.0</v>
      </c>
      <c r="B13" s="48">
        <v>41.48</v>
      </c>
      <c r="D13" s="13" t="s">
        <v>8653</v>
      </c>
      <c r="E13" s="191" t="s">
        <v>8666</v>
      </c>
      <c r="F13" s="191" t="s">
        <v>8667</v>
      </c>
    </row>
    <row r="14">
      <c r="A14" s="192">
        <v>43014.0</v>
      </c>
      <c r="B14" s="48">
        <v>72.33</v>
      </c>
      <c r="D14" s="13" t="s">
        <v>8656</v>
      </c>
      <c r="E14" s="191" t="s">
        <v>8302</v>
      </c>
      <c r="F14" s="191" t="s">
        <v>8668</v>
      </c>
    </row>
    <row r="15">
      <c r="A15" s="192">
        <v>43015.0</v>
      </c>
      <c r="B15" s="48">
        <v>18.52</v>
      </c>
      <c r="D15" s="13" t="s">
        <v>8651</v>
      </c>
      <c r="E15" s="191" t="s">
        <v>8311</v>
      </c>
      <c r="F15" s="191" t="s">
        <v>8669</v>
      </c>
    </row>
    <row r="16">
      <c r="A16" s="192">
        <v>43016.0</v>
      </c>
      <c r="B16" s="48">
        <v>11.22</v>
      </c>
      <c r="D16" s="13" t="s">
        <v>8651</v>
      </c>
      <c r="E16" s="191" t="s">
        <v>8313</v>
      </c>
      <c r="F16" s="191" t="s">
        <v>8670</v>
      </c>
    </row>
    <row r="17">
      <c r="A17" s="192">
        <v>43017.0</v>
      </c>
      <c r="B17" s="48">
        <v>10.97</v>
      </c>
      <c r="D17" s="13" t="s">
        <v>8656</v>
      </c>
      <c r="E17" s="191" t="s">
        <v>8304</v>
      </c>
      <c r="F17" s="191" t="s">
        <v>8671</v>
      </c>
    </row>
    <row r="18">
      <c r="A18" s="192">
        <v>43018.0</v>
      </c>
      <c r="B18" s="48">
        <v>44.41</v>
      </c>
      <c r="D18" s="13" t="s">
        <v>8656</v>
      </c>
      <c r="E18" s="191" t="s">
        <v>8306</v>
      </c>
      <c r="F18" s="191" t="s">
        <v>8672</v>
      </c>
    </row>
    <row r="19">
      <c r="A19" s="192">
        <v>43019.0</v>
      </c>
      <c r="B19" s="48">
        <v>59.59</v>
      </c>
      <c r="D19" s="13" t="s">
        <v>8651</v>
      </c>
      <c r="E19" s="191" t="s">
        <v>8315</v>
      </c>
      <c r="F19" s="191" t="s">
        <v>8673</v>
      </c>
    </row>
    <row r="20">
      <c r="A20" s="192">
        <v>43021.0</v>
      </c>
      <c r="B20" s="48">
        <v>30.05</v>
      </c>
      <c r="D20" s="13" t="s">
        <v>8656</v>
      </c>
      <c r="E20" s="191" t="s">
        <v>8317</v>
      </c>
      <c r="F20" s="191" t="s">
        <v>8674</v>
      </c>
    </row>
    <row r="21">
      <c r="A21" s="192">
        <v>43022.0</v>
      </c>
      <c r="B21" s="48">
        <v>60.97</v>
      </c>
      <c r="D21" s="13" t="s">
        <v>8651</v>
      </c>
      <c r="E21" s="191" t="s">
        <v>8319</v>
      </c>
      <c r="F21" s="191" t="s">
        <v>8675</v>
      </c>
    </row>
    <row r="22">
      <c r="A22" s="192">
        <v>43023.0</v>
      </c>
      <c r="B22" s="48">
        <v>44.31</v>
      </c>
      <c r="D22" s="13" t="s">
        <v>8651</v>
      </c>
      <c r="E22" s="191" t="s">
        <v>8321</v>
      </c>
      <c r="F22" s="191" t="s">
        <v>8676</v>
      </c>
    </row>
    <row r="23">
      <c r="A23" s="192">
        <v>43025.0</v>
      </c>
      <c r="B23" s="48">
        <v>53.73</v>
      </c>
      <c r="D23" s="13" t="s">
        <v>8651</v>
      </c>
      <c r="E23" s="191" t="s">
        <v>8323</v>
      </c>
      <c r="F23" s="191" t="s">
        <v>8677</v>
      </c>
    </row>
    <row r="24">
      <c r="A24" s="192">
        <v>43026.0</v>
      </c>
      <c r="B24" s="48">
        <v>12.08</v>
      </c>
      <c r="D24" s="13" t="s">
        <v>8651</v>
      </c>
      <c r="E24" s="191" t="s">
        <v>8325</v>
      </c>
      <c r="F24" s="191" t="s">
        <v>8678</v>
      </c>
    </row>
    <row r="25">
      <c r="A25" s="192">
        <v>43027.0</v>
      </c>
      <c r="B25" s="48">
        <v>48.08</v>
      </c>
      <c r="D25" s="13" t="s">
        <v>8656</v>
      </c>
      <c r="E25" s="191" t="s">
        <v>8308</v>
      </c>
      <c r="F25" s="191" t="s">
        <v>8679</v>
      </c>
    </row>
    <row r="26">
      <c r="A26" s="192">
        <v>43028.0</v>
      </c>
      <c r="B26" s="48">
        <v>67.62</v>
      </c>
      <c r="D26" s="13" t="s">
        <v>8651</v>
      </c>
      <c r="E26" s="191" t="s">
        <v>8326</v>
      </c>
      <c r="F26" s="191" t="s">
        <v>8680</v>
      </c>
    </row>
    <row r="27">
      <c r="A27" s="192">
        <v>43029.0</v>
      </c>
      <c r="B27" s="48">
        <v>12.17</v>
      </c>
      <c r="D27" s="13" t="s">
        <v>8656</v>
      </c>
      <c r="E27" s="191" t="s">
        <v>8333</v>
      </c>
      <c r="F27" s="191" t="s">
        <v>8681</v>
      </c>
    </row>
    <row r="28">
      <c r="A28" s="192">
        <v>43030.0</v>
      </c>
      <c r="B28" s="48">
        <v>59.55</v>
      </c>
      <c r="D28" s="13" t="s">
        <v>8656</v>
      </c>
      <c r="E28" s="191" t="s">
        <v>8310</v>
      </c>
      <c r="F28" s="191" t="s">
        <v>8682</v>
      </c>
    </row>
    <row r="29">
      <c r="A29" s="192">
        <v>43031.0</v>
      </c>
      <c r="B29" s="48">
        <v>38.22</v>
      </c>
      <c r="D29" s="13" t="s">
        <v>8656</v>
      </c>
      <c r="E29" s="191" t="s">
        <v>8312</v>
      </c>
      <c r="F29" s="191" t="s">
        <v>8683</v>
      </c>
    </row>
    <row r="30">
      <c r="A30" s="192">
        <v>43032.0</v>
      </c>
      <c r="B30" s="48">
        <v>25.23</v>
      </c>
      <c r="D30" s="13" t="s">
        <v>8656</v>
      </c>
      <c r="E30" s="191" t="s">
        <v>8314</v>
      </c>
      <c r="F30" s="191" t="s">
        <v>8684</v>
      </c>
    </row>
    <row r="31">
      <c r="A31" s="192">
        <v>43033.0</v>
      </c>
      <c r="B31" s="48">
        <v>50.45</v>
      </c>
      <c r="D31" s="13" t="s">
        <v>8651</v>
      </c>
      <c r="E31" s="191" t="s">
        <v>8328</v>
      </c>
      <c r="F31" s="191" t="s">
        <v>8685</v>
      </c>
    </row>
    <row r="32">
      <c r="A32" s="192">
        <v>43035.0</v>
      </c>
      <c r="B32" s="48">
        <v>21.07</v>
      </c>
      <c r="D32" s="13" t="s">
        <v>8651</v>
      </c>
      <c r="E32" s="191" t="s">
        <v>8330</v>
      </c>
      <c r="F32" s="191" t="s">
        <v>8686</v>
      </c>
    </row>
    <row r="33">
      <c r="A33" s="192">
        <v>43036.0</v>
      </c>
      <c r="B33" s="48">
        <v>24.44</v>
      </c>
      <c r="D33" s="13" t="s">
        <v>8656</v>
      </c>
      <c r="E33" s="191" t="s">
        <v>8316</v>
      </c>
      <c r="F33" s="191" t="s">
        <v>8687</v>
      </c>
    </row>
    <row r="34">
      <c r="A34" s="192">
        <v>43037.0</v>
      </c>
      <c r="B34" s="48">
        <v>58.21</v>
      </c>
      <c r="D34" s="13" t="s">
        <v>8651</v>
      </c>
      <c r="E34" s="191" t="s">
        <v>8332</v>
      </c>
      <c r="F34" s="191" t="s">
        <v>8688</v>
      </c>
    </row>
    <row r="35">
      <c r="A35" s="192">
        <v>43040.0</v>
      </c>
      <c r="B35" s="48">
        <v>15.62</v>
      </c>
      <c r="D35" s="13" t="s">
        <v>8651</v>
      </c>
      <c r="E35" s="191" t="s">
        <v>8334</v>
      </c>
      <c r="F35" s="191" t="s">
        <v>8689</v>
      </c>
    </row>
    <row r="36">
      <c r="A36" s="192">
        <v>43044.0</v>
      </c>
      <c r="B36" s="48">
        <v>18.49</v>
      </c>
      <c r="D36" s="13" t="s">
        <v>8656</v>
      </c>
      <c r="E36" s="191" t="s">
        <v>8318</v>
      </c>
      <c r="F36" s="191" t="s">
        <v>8690</v>
      </c>
    </row>
    <row r="37">
      <c r="A37" s="192">
        <v>43045.0</v>
      </c>
      <c r="B37" s="48">
        <v>12.0</v>
      </c>
      <c r="E37" s="191" t="s">
        <v>8691</v>
      </c>
      <c r="F37" s="191" t="s">
        <v>8692</v>
      </c>
    </row>
    <row r="38">
      <c r="A38" s="192">
        <v>43046.0</v>
      </c>
      <c r="B38" s="48">
        <v>53.75</v>
      </c>
      <c r="D38" s="13" t="s">
        <v>8656</v>
      </c>
      <c r="E38" s="191" t="s">
        <v>8320</v>
      </c>
      <c r="F38" s="191" t="s">
        <v>8693</v>
      </c>
    </row>
    <row r="39">
      <c r="A39" s="192">
        <v>43047.0</v>
      </c>
      <c r="B39" s="48">
        <v>25.88</v>
      </c>
      <c r="D39" s="13" t="s">
        <v>8656</v>
      </c>
      <c r="E39" s="191" t="s">
        <v>8322</v>
      </c>
      <c r="F39" s="191" t="s">
        <v>8694</v>
      </c>
    </row>
    <row r="40">
      <c r="A40" s="192">
        <v>43050.0</v>
      </c>
      <c r="B40" s="48">
        <v>53.95</v>
      </c>
      <c r="D40" s="13" t="s">
        <v>8651</v>
      </c>
      <c r="E40" s="191" t="s">
        <v>8335</v>
      </c>
      <c r="F40" s="191" t="s">
        <v>8695</v>
      </c>
    </row>
    <row r="41">
      <c r="A41" s="192">
        <v>43054.0</v>
      </c>
      <c r="B41" s="48">
        <v>28.52</v>
      </c>
      <c r="D41" s="13" t="s">
        <v>8651</v>
      </c>
      <c r="E41" s="191" t="s">
        <v>8336</v>
      </c>
      <c r="F41" s="191" t="s">
        <v>8696</v>
      </c>
    </row>
    <row r="42">
      <c r="A42" s="192">
        <v>43055.0</v>
      </c>
      <c r="B42" s="48">
        <v>56.77</v>
      </c>
      <c r="D42" s="13" t="s">
        <v>8651</v>
      </c>
      <c r="E42" s="191" t="s">
        <v>8337</v>
      </c>
      <c r="F42" s="191" t="s">
        <v>8697</v>
      </c>
    </row>
    <row r="43">
      <c r="A43" s="192">
        <v>43056.0</v>
      </c>
      <c r="B43" s="48">
        <v>58.07</v>
      </c>
      <c r="D43" s="13" t="s">
        <v>8656</v>
      </c>
      <c r="E43" s="191" t="s">
        <v>8324</v>
      </c>
      <c r="F43" s="191" t="s">
        <v>8698</v>
      </c>
    </row>
    <row r="44">
      <c r="A44" s="192">
        <v>43060.0</v>
      </c>
      <c r="B44" s="48">
        <v>19.25</v>
      </c>
      <c r="D44" s="13" t="s">
        <v>8651</v>
      </c>
      <c r="E44" s="191" t="s">
        <v>8338</v>
      </c>
      <c r="F44" s="191" t="s">
        <v>8699</v>
      </c>
    </row>
    <row r="45">
      <c r="A45" s="192">
        <v>43061.0</v>
      </c>
      <c r="B45" s="48">
        <v>12.99</v>
      </c>
      <c r="D45" s="13" t="s">
        <v>8656</v>
      </c>
      <c r="E45" s="191" t="s">
        <v>6485</v>
      </c>
      <c r="F45" s="191" t="s">
        <v>8700</v>
      </c>
    </row>
    <row r="46">
      <c r="A46" s="192">
        <v>43062.0</v>
      </c>
      <c r="B46" s="48">
        <v>39.74</v>
      </c>
      <c r="D46" s="13" t="s">
        <v>8656</v>
      </c>
      <c r="E46" s="191" t="s">
        <v>8327</v>
      </c>
      <c r="F46" s="191" t="s">
        <v>8701</v>
      </c>
    </row>
    <row r="47">
      <c r="A47" s="192">
        <v>43064.0</v>
      </c>
      <c r="B47" s="48">
        <v>2.06</v>
      </c>
      <c r="D47" s="13" t="s">
        <v>8651</v>
      </c>
      <c r="E47" s="191" t="s">
        <v>8339</v>
      </c>
      <c r="F47" s="191" t="s">
        <v>8702</v>
      </c>
    </row>
    <row r="48">
      <c r="A48" s="192">
        <v>43065.0</v>
      </c>
      <c r="B48" s="48">
        <v>14.77</v>
      </c>
      <c r="D48" s="13" t="s">
        <v>8651</v>
      </c>
      <c r="E48" s="191" t="s">
        <v>8340</v>
      </c>
      <c r="F48" s="191" t="s">
        <v>8703</v>
      </c>
    </row>
    <row r="49">
      <c r="A49" s="192">
        <v>43066.0</v>
      </c>
      <c r="B49" s="48">
        <v>24.57</v>
      </c>
      <c r="D49" s="13" t="s">
        <v>8656</v>
      </c>
      <c r="E49" s="191" t="s">
        <v>8329</v>
      </c>
      <c r="F49" s="191" t="s">
        <v>8704</v>
      </c>
    </row>
    <row r="50">
      <c r="A50" s="192">
        <v>43067.0</v>
      </c>
      <c r="B50" s="48">
        <v>28.01</v>
      </c>
      <c r="D50" s="13" t="s">
        <v>8651</v>
      </c>
      <c r="E50" s="191" t="s">
        <v>8341</v>
      </c>
      <c r="F50" s="191" t="s">
        <v>8705</v>
      </c>
    </row>
    <row r="51">
      <c r="A51" s="192">
        <v>43068.0</v>
      </c>
      <c r="B51" s="48">
        <v>36.41</v>
      </c>
      <c r="D51" s="13" t="s">
        <v>8656</v>
      </c>
      <c r="E51" s="191" t="s">
        <v>8342</v>
      </c>
      <c r="F51" s="191" t="s">
        <v>8706</v>
      </c>
    </row>
    <row r="52">
      <c r="A52" s="192">
        <v>43070.0</v>
      </c>
      <c r="B52" s="48">
        <v>44.64</v>
      </c>
      <c r="D52" s="13" t="s">
        <v>8656</v>
      </c>
      <c r="E52" s="191" t="s">
        <v>8331</v>
      </c>
      <c r="F52" s="191" t="s">
        <v>8707</v>
      </c>
    </row>
    <row r="53">
      <c r="A53" s="192">
        <v>43071.0</v>
      </c>
      <c r="B53" s="48">
        <v>61.05</v>
      </c>
    </row>
    <row r="54">
      <c r="A54" s="192">
        <v>43072.0</v>
      </c>
      <c r="B54" s="48">
        <v>38.54</v>
      </c>
    </row>
    <row r="55">
      <c r="A55" s="192">
        <v>43074.0</v>
      </c>
      <c r="B55" s="48">
        <v>33.41</v>
      </c>
    </row>
    <row r="56">
      <c r="A56" s="192">
        <v>43076.0</v>
      </c>
      <c r="B56" s="48">
        <v>63.88</v>
      </c>
    </row>
    <row r="57">
      <c r="A57" s="192">
        <v>43077.0</v>
      </c>
      <c r="B57" s="48">
        <v>4.35</v>
      </c>
    </row>
    <row r="58">
      <c r="A58" s="192">
        <v>43078.0</v>
      </c>
      <c r="B58" s="48">
        <v>30.35</v>
      </c>
    </row>
    <row r="59">
      <c r="A59" s="192">
        <v>43080.0</v>
      </c>
      <c r="B59" s="48">
        <v>52.5</v>
      </c>
    </row>
    <row r="60">
      <c r="A60" s="192">
        <v>43081.0</v>
      </c>
      <c r="B60" s="48">
        <v>22.58</v>
      </c>
    </row>
    <row r="61">
      <c r="A61" s="192">
        <v>43082.0</v>
      </c>
      <c r="B61" s="48">
        <v>24.87</v>
      </c>
    </row>
    <row r="62">
      <c r="A62" s="192">
        <v>43084.0</v>
      </c>
      <c r="B62" s="48">
        <v>16.27</v>
      </c>
    </row>
    <row r="63">
      <c r="A63" s="192">
        <v>43085.0</v>
      </c>
      <c r="B63" s="48">
        <v>15.92</v>
      </c>
    </row>
    <row r="64">
      <c r="A64" s="192">
        <v>43101.0</v>
      </c>
      <c r="B64" s="48">
        <v>65.58</v>
      </c>
    </row>
    <row r="65">
      <c r="A65" s="192">
        <v>43102.0</v>
      </c>
      <c r="B65" s="48">
        <v>62.66</v>
      </c>
    </row>
    <row r="66">
      <c r="A66" s="192">
        <v>43103.0</v>
      </c>
      <c r="B66" s="48">
        <v>43.95</v>
      </c>
    </row>
    <row r="67">
      <c r="A67" s="192">
        <v>43105.0</v>
      </c>
      <c r="B67" s="48">
        <v>50.58</v>
      </c>
    </row>
    <row r="68">
      <c r="A68" s="192">
        <v>43106.0</v>
      </c>
      <c r="B68" s="48">
        <v>36.55</v>
      </c>
    </row>
    <row r="69">
      <c r="A69" s="192">
        <v>43107.0</v>
      </c>
      <c r="B69" s="48">
        <v>69.63</v>
      </c>
    </row>
    <row r="70">
      <c r="A70" s="192">
        <v>43109.0</v>
      </c>
      <c r="B70" s="48">
        <v>36.5</v>
      </c>
    </row>
    <row r="71">
      <c r="A71" s="192">
        <v>43110.0</v>
      </c>
      <c r="B71" s="48">
        <v>41.79</v>
      </c>
    </row>
    <row r="72">
      <c r="A72" s="192">
        <v>43111.0</v>
      </c>
      <c r="B72" s="48">
        <v>85.38</v>
      </c>
    </row>
    <row r="73">
      <c r="A73" s="192">
        <v>43112.0</v>
      </c>
      <c r="B73" s="48">
        <v>46.48</v>
      </c>
    </row>
    <row r="74">
      <c r="A74" s="192">
        <v>43113.0</v>
      </c>
      <c r="B74" s="48">
        <v>50.85</v>
      </c>
    </row>
    <row r="75">
      <c r="A75" s="192">
        <v>43115.0</v>
      </c>
      <c r="B75" s="48">
        <v>52.09</v>
      </c>
    </row>
    <row r="76">
      <c r="A76" s="192">
        <v>43116.0</v>
      </c>
      <c r="B76" s="48">
        <v>38.2</v>
      </c>
    </row>
    <row r="77">
      <c r="A77" s="192">
        <v>43117.0</v>
      </c>
      <c r="B77" s="48">
        <v>28.53</v>
      </c>
    </row>
    <row r="78">
      <c r="A78" s="192">
        <v>43119.0</v>
      </c>
      <c r="B78" s="48">
        <v>16.68</v>
      </c>
    </row>
    <row r="79">
      <c r="A79" s="192">
        <v>43123.0</v>
      </c>
      <c r="B79" s="48">
        <v>25.68</v>
      </c>
    </row>
    <row r="80">
      <c r="A80" s="192">
        <v>43125.0</v>
      </c>
      <c r="B80" s="48">
        <v>37.77</v>
      </c>
    </row>
    <row r="81">
      <c r="A81" s="192">
        <v>43126.0</v>
      </c>
      <c r="B81" s="48">
        <v>26.31</v>
      </c>
    </row>
    <row r="82">
      <c r="A82" s="192">
        <v>43127.0</v>
      </c>
      <c r="B82" s="48">
        <v>80.55</v>
      </c>
    </row>
    <row r="83">
      <c r="A83" s="192">
        <v>43128.0</v>
      </c>
      <c r="B83" s="48">
        <v>40.26</v>
      </c>
    </row>
    <row r="84">
      <c r="A84" s="192">
        <v>43130.0</v>
      </c>
      <c r="B84" s="48">
        <v>58.28</v>
      </c>
    </row>
    <row r="85">
      <c r="A85" s="192">
        <v>43135.0</v>
      </c>
      <c r="B85" s="48">
        <v>67.64</v>
      </c>
    </row>
    <row r="86">
      <c r="A86" s="192">
        <v>43136.0</v>
      </c>
      <c r="B86" s="48">
        <v>41.77</v>
      </c>
    </row>
    <row r="87">
      <c r="A87" s="192">
        <v>43137.0</v>
      </c>
      <c r="B87" s="48">
        <v>35.9</v>
      </c>
    </row>
    <row r="88">
      <c r="A88" s="192">
        <v>43138.0</v>
      </c>
      <c r="B88" s="48">
        <v>74.01</v>
      </c>
    </row>
    <row r="89">
      <c r="A89" s="192">
        <v>43140.0</v>
      </c>
      <c r="B89" s="48">
        <v>17.75</v>
      </c>
    </row>
    <row r="90">
      <c r="A90" s="192">
        <v>43142.0</v>
      </c>
      <c r="B90" s="48">
        <v>44.72</v>
      </c>
    </row>
    <row r="91">
      <c r="A91" s="192">
        <v>43143.0</v>
      </c>
      <c r="B91" s="48">
        <v>34.52</v>
      </c>
    </row>
    <row r="92">
      <c r="A92" s="192">
        <v>43144.0</v>
      </c>
      <c r="B92" s="48">
        <v>94.26</v>
      </c>
    </row>
    <row r="93">
      <c r="A93" s="192">
        <v>43145.0</v>
      </c>
      <c r="B93" s="48">
        <v>45.6</v>
      </c>
    </row>
    <row r="94">
      <c r="A94" s="192">
        <v>43146.0</v>
      </c>
      <c r="B94" s="48">
        <v>31.81</v>
      </c>
    </row>
    <row r="95">
      <c r="A95" s="192">
        <v>43147.0</v>
      </c>
      <c r="B95" s="48">
        <v>41.11</v>
      </c>
    </row>
    <row r="96">
      <c r="A96" s="192">
        <v>43148.0</v>
      </c>
      <c r="B96" s="48">
        <v>57.27</v>
      </c>
    </row>
    <row r="97">
      <c r="A97" s="192">
        <v>43149.0</v>
      </c>
      <c r="B97" s="48">
        <v>70.79</v>
      </c>
    </row>
    <row r="98">
      <c r="A98" s="192">
        <v>43150.0</v>
      </c>
      <c r="B98" s="48">
        <v>62.92</v>
      </c>
    </row>
    <row r="99">
      <c r="A99" s="192">
        <v>43151.0</v>
      </c>
      <c r="B99" s="48">
        <v>29.52</v>
      </c>
    </row>
    <row r="100">
      <c r="A100" s="192">
        <v>43152.0</v>
      </c>
      <c r="B100" s="48">
        <v>77.31</v>
      </c>
    </row>
    <row r="101">
      <c r="A101" s="192">
        <v>43153.0</v>
      </c>
      <c r="B101" s="48">
        <v>34.23</v>
      </c>
    </row>
    <row r="102">
      <c r="A102" s="192">
        <v>43154.0</v>
      </c>
      <c r="B102" s="48">
        <v>55.04</v>
      </c>
    </row>
    <row r="103">
      <c r="A103" s="192">
        <v>43155.0</v>
      </c>
      <c r="B103" s="48">
        <v>63.36</v>
      </c>
    </row>
    <row r="104">
      <c r="A104" s="192">
        <v>43156.0</v>
      </c>
      <c r="B104" s="48">
        <v>60.75</v>
      </c>
    </row>
    <row r="105">
      <c r="A105" s="192">
        <v>43157.0</v>
      </c>
      <c r="B105" s="48">
        <v>58.42</v>
      </c>
    </row>
    <row r="106">
      <c r="A106" s="192">
        <v>43158.0</v>
      </c>
      <c r="B106" s="48">
        <v>80.36</v>
      </c>
    </row>
    <row r="107">
      <c r="A107" s="192">
        <v>43160.0</v>
      </c>
      <c r="B107" s="48">
        <v>48.55</v>
      </c>
    </row>
    <row r="108">
      <c r="A108" s="192">
        <v>43162.0</v>
      </c>
      <c r="B108" s="48">
        <v>14.6</v>
      </c>
    </row>
    <row r="109">
      <c r="A109" s="192">
        <v>43164.0</v>
      </c>
      <c r="B109" s="48">
        <v>45.78</v>
      </c>
    </row>
    <row r="110">
      <c r="A110" s="192">
        <v>43201.0</v>
      </c>
      <c r="B110" s="48">
        <v>26.67</v>
      </c>
    </row>
    <row r="111">
      <c r="A111" s="192">
        <v>43202.0</v>
      </c>
      <c r="B111" s="48">
        <v>21.34</v>
      </c>
    </row>
    <row r="112">
      <c r="A112" s="192">
        <v>43203.0</v>
      </c>
      <c r="B112" s="48">
        <v>28.06</v>
      </c>
    </row>
    <row r="113">
      <c r="A113" s="192">
        <v>43204.0</v>
      </c>
      <c r="B113" s="48">
        <v>21.1</v>
      </c>
    </row>
    <row r="114">
      <c r="A114" s="192">
        <v>43205.0</v>
      </c>
      <c r="B114" s="48">
        <v>27.51</v>
      </c>
    </row>
    <row r="115">
      <c r="A115" s="192">
        <v>43206.0</v>
      </c>
      <c r="B115" s="48">
        <v>27.32</v>
      </c>
    </row>
    <row r="116">
      <c r="A116" s="192">
        <v>43207.0</v>
      </c>
      <c r="B116" s="48">
        <v>30.21</v>
      </c>
    </row>
    <row r="117">
      <c r="A117" s="192">
        <v>43209.0</v>
      </c>
      <c r="B117" s="48">
        <v>30.08</v>
      </c>
    </row>
    <row r="118">
      <c r="A118" s="192">
        <v>43210.0</v>
      </c>
      <c r="B118" s="48">
        <v>21.86</v>
      </c>
    </row>
    <row r="119">
      <c r="A119" s="192">
        <v>43211.0</v>
      </c>
      <c r="B119" s="48">
        <v>25.55</v>
      </c>
    </row>
    <row r="120">
      <c r="A120" s="192">
        <v>43212.0</v>
      </c>
      <c r="B120" s="48">
        <v>23.86</v>
      </c>
    </row>
    <row r="121">
      <c r="A121" s="192">
        <v>43213.0</v>
      </c>
      <c r="B121" s="48">
        <v>32.51</v>
      </c>
    </row>
    <row r="122">
      <c r="A122" s="192">
        <v>43214.0</v>
      </c>
      <c r="B122" s="48">
        <v>19.12</v>
      </c>
    </row>
    <row r="123">
      <c r="A123" s="192">
        <v>43215.0</v>
      </c>
      <c r="B123" s="48">
        <v>24.8</v>
      </c>
    </row>
    <row r="124">
      <c r="A124" s="192">
        <v>43217.0</v>
      </c>
      <c r="B124" s="48">
        <v>36.78</v>
      </c>
    </row>
    <row r="125">
      <c r="A125" s="192">
        <v>43218.0</v>
      </c>
      <c r="B125" s="48">
        <v>27.91</v>
      </c>
    </row>
    <row r="126">
      <c r="A126" s="192">
        <v>43219.0</v>
      </c>
      <c r="B126" s="48">
        <v>30.72</v>
      </c>
    </row>
    <row r="127">
      <c r="A127" s="192">
        <v>43220.0</v>
      </c>
      <c r="B127" s="48">
        <v>16.2</v>
      </c>
    </row>
    <row r="128">
      <c r="A128" s="192">
        <v>43221.0</v>
      </c>
      <c r="B128" s="48">
        <v>18.24</v>
      </c>
    </row>
    <row r="129">
      <c r="A129" s="192">
        <v>43222.0</v>
      </c>
      <c r="B129" s="48">
        <v>23.48</v>
      </c>
    </row>
    <row r="130">
      <c r="A130" s="192">
        <v>43223.0</v>
      </c>
      <c r="B130" s="48">
        <v>25.32</v>
      </c>
    </row>
    <row r="131">
      <c r="A131" s="192">
        <v>43224.0</v>
      </c>
      <c r="B131" s="48">
        <v>23.97</v>
      </c>
    </row>
    <row r="132">
      <c r="A132" s="192">
        <v>43227.0</v>
      </c>
      <c r="B132" s="48">
        <v>33.72</v>
      </c>
    </row>
    <row r="133">
      <c r="A133" s="192">
        <v>43228.0</v>
      </c>
      <c r="B133" s="48">
        <v>15.85</v>
      </c>
    </row>
    <row r="134">
      <c r="A134" s="192">
        <v>43229.0</v>
      </c>
      <c r="B134" s="48">
        <v>19.25</v>
      </c>
    </row>
    <row r="135">
      <c r="A135" s="192">
        <v>43230.0</v>
      </c>
      <c r="B135" s="48">
        <v>26.29</v>
      </c>
    </row>
    <row r="136">
      <c r="A136" s="192">
        <v>43231.0</v>
      </c>
      <c r="B136" s="48">
        <v>23.47</v>
      </c>
    </row>
    <row r="137">
      <c r="A137" s="192">
        <v>43232.0</v>
      </c>
      <c r="B137" s="48">
        <v>34.58</v>
      </c>
    </row>
    <row r="138">
      <c r="A138" s="192">
        <v>43235.0</v>
      </c>
      <c r="B138" s="48">
        <v>13.46</v>
      </c>
    </row>
    <row r="139">
      <c r="A139" s="192">
        <v>43240.0</v>
      </c>
      <c r="B139" s="48">
        <v>20.94</v>
      </c>
    </row>
    <row r="140">
      <c r="A140" s="192">
        <v>43302.0</v>
      </c>
      <c r="B140" s="48">
        <v>39.41</v>
      </c>
    </row>
    <row r="141">
      <c r="A141" s="192">
        <v>43310.0</v>
      </c>
      <c r="B141" s="48">
        <v>51.36</v>
      </c>
    </row>
    <row r="142">
      <c r="A142" s="192">
        <v>43311.0</v>
      </c>
      <c r="B142" s="48">
        <v>38.66</v>
      </c>
    </row>
    <row r="143">
      <c r="A143" s="192">
        <v>43314.0</v>
      </c>
      <c r="B143" s="48">
        <v>45.21</v>
      </c>
    </row>
    <row r="144">
      <c r="A144" s="192">
        <v>43315.0</v>
      </c>
      <c r="B144" s="48">
        <v>37.06</v>
      </c>
    </row>
    <row r="145">
      <c r="A145" s="192">
        <v>43316.0</v>
      </c>
      <c r="B145" s="48">
        <v>72.19</v>
      </c>
    </row>
    <row r="146">
      <c r="A146" s="192">
        <v>43317.0</v>
      </c>
      <c r="B146" s="48">
        <v>51.63</v>
      </c>
    </row>
    <row r="147">
      <c r="A147" s="192">
        <v>43318.0</v>
      </c>
      <c r="B147" s="48">
        <v>47.58</v>
      </c>
    </row>
    <row r="148">
      <c r="A148" s="192">
        <v>43319.0</v>
      </c>
      <c r="B148" s="48">
        <v>32.3</v>
      </c>
    </row>
    <row r="149">
      <c r="A149" s="192">
        <v>43320.0</v>
      </c>
      <c r="B149" s="48">
        <v>47.39</v>
      </c>
    </row>
    <row r="150">
      <c r="A150" s="192">
        <v>43321.0</v>
      </c>
      <c r="B150" s="48">
        <v>45.12</v>
      </c>
    </row>
    <row r="151">
      <c r="A151" s="192">
        <v>43322.0</v>
      </c>
      <c r="B151" s="48">
        <v>37.02</v>
      </c>
    </row>
    <row r="152">
      <c r="A152" s="192">
        <v>43323.0</v>
      </c>
      <c r="B152" s="48">
        <v>54.63</v>
      </c>
    </row>
    <row r="153">
      <c r="A153" s="192">
        <v>43324.0</v>
      </c>
      <c r="B153" s="48">
        <v>44.57</v>
      </c>
    </row>
    <row r="154">
      <c r="A154" s="192">
        <v>43325.0</v>
      </c>
      <c r="B154" s="48">
        <v>52.67</v>
      </c>
    </row>
    <row r="155">
      <c r="A155" s="192">
        <v>43326.0</v>
      </c>
      <c r="B155" s="48">
        <v>47.18</v>
      </c>
    </row>
    <row r="156">
      <c r="A156" s="192">
        <v>43330.0</v>
      </c>
      <c r="B156" s="48">
        <v>56.58</v>
      </c>
    </row>
    <row r="157">
      <c r="A157" s="192">
        <v>43331.0</v>
      </c>
      <c r="B157" s="48">
        <v>52.67</v>
      </c>
    </row>
    <row r="158">
      <c r="A158" s="192">
        <v>43332.0</v>
      </c>
      <c r="B158" s="48">
        <v>38.56</v>
      </c>
    </row>
    <row r="159">
      <c r="A159" s="192">
        <v>43333.0</v>
      </c>
      <c r="B159" s="48">
        <v>51.84</v>
      </c>
    </row>
    <row r="160">
      <c r="A160" s="192">
        <v>43334.0</v>
      </c>
      <c r="B160" s="48">
        <v>41.81</v>
      </c>
    </row>
    <row r="161">
      <c r="A161" s="192">
        <v>43336.0</v>
      </c>
      <c r="B161" s="48">
        <v>27.88</v>
      </c>
    </row>
    <row r="162">
      <c r="A162" s="192">
        <v>43337.0</v>
      </c>
      <c r="B162" s="48">
        <v>48.38</v>
      </c>
    </row>
    <row r="163">
      <c r="A163" s="192">
        <v>43338.0</v>
      </c>
      <c r="B163" s="48">
        <v>54.74</v>
      </c>
    </row>
    <row r="164">
      <c r="A164" s="192">
        <v>43340.0</v>
      </c>
      <c r="B164" s="48">
        <v>39.05</v>
      </c>
    </row>
    <row r="165">
      <c r="A165" s="192">
        <v>43341.0</v>
      </c>
      <c r="B165" s="48">
        <v>42.77</v>
      </c>
    </row>
    <row r="166">
      <c r="A166" s="192">
        <v>43342.0</v>
      </c>
      <c r="B166" s="48">
        <v>28.03</v>
      </c>
    </row>
    <row r="167">
      <c r="A167" s="192">
        <v>43343.0</v>
      </c>
      <c r="B167" s="48">
        <v>54.24</v>
      </c>
    </row>
    <row r="168">
      <c r="A168" s="192">
        <v>43344.0</v>
      </c>
      <c r="B168" s="48">
        <v>27.13</v>
      </c>
    </row>
    <row r="169">
      <c r="A169" s="192">
        <v>43345.0</v>
      </c>
      <c r="B169" s="48">
        <v>40.46</v>
      </c>
    </row>
    <row r="170">
      <c r="A170" s="192">
        <v>43346.0</v>
      </c>
      <c r="B170" s="48">
        <v>52.94</v>
      </c>
    </row>
    <row r="171">
      <c r="A171" s="192">
        <v>43347.0</v>
      </c>
      <c r="B171" s="48">
        <v>42.57</v>
      </c>
    </row>
    <row r="172">
      <c r="A172" s="192">
        <v>43348.0</v>
      </c>
      <c r="B172" s="48">
        <v>50.07</v>
      </c>
    </row>
    <row r="173">
      <c r="A173" s="192">
        <v>43350.0</v>
      </c>
      <c r="B173" s="48">
        <v>44.41</v>
      </c>
    </row>
    <row r="174">
      <c r="A174" s="192">
        <v>43351.0</v>
      </c>
      <c r="B174" s="48">
        <v>58.9</v>
      </c>
    </row>
    <row r="175">
      <c r="A175" s="192">
        <v>43356.0</v>
      </c>
      <c r="B175" s="48">
        <v>30.78</v>
      </c>
    </row>
    <row r="176">
      <c r="A176" s="192">
        <v>43357.0</v>
      </c>
      <c r="B176" s="48">
        <v>35.04</v>
      </c>
    </row>
    <row r="177">
      <c r="A177" s="192">
        <v>43358.0</v>
      </c>
      <c r="B177" s="48">
        <v>33.81</v>
      </c>
    </row>
    <row r="178">
      <c r="A178" s="192">
        <v>43359.0</v>
      </c>
      <c r="B178" s="48">
        <v>64.24</v>
      </c>
    </row>
    <row r="179">
      <c r="A179" s="192">
        <v>43360.0</v>
      </c>
      <c r="B179" s="48">
        <v>33.23</v>
      </c>
    </row>
    <row r="180">
      <c r="A180" s="192">
        <v>43402.0</v>
      </c>
      <c r="B180" s="48">
        <v>102.9</v>
      </c>
    </row>
    <row r="181">
      <c r="A181" s="192">
        <v>43403.0</v>
      </c>
      <c r="B181" s="48">
        <v>99.14</v>
      </c>
    </row>
    <row r="182">
      <c r="A182" s="192">
        <v>43406.0</v>
      </c>
      <c r="B182" s="48">
        <v>103.55</v>
      </c>
    </row>
    <row r="183">
      <c r="A183" s="192">
        <v>43407.0</v>
      </c>
      <c r="B183" s="48">
        <v>93.54</v>
      </c>
    </row>
    <row r="184">
      <c r="A184" s="192">
        <v>43408.0</v>
      </c>
      <c r="B184" s="48">
        <v>116.87</v>
      </c>
    </row>
    <row r="185">
      <c r="A185" s="192">
        <v>43410.0</v>
      </c>
      <c r="B185" s="48">
        <v>90.29</v>
      </c>
    </row>
    <row r="186">
      <c r="A186" s="192">
        <v>43412.0</v>
      </c>
      <c r="B186" s="48">
        <v>118.67</v>
      </c>
    </row>
    <row r="187">
      <c r="A187" s="192">
        <v>43413.0</v>
      </c>
      <c r="B187" s="48">
        <v>90.01</v>
      </c>
    </row>
    <row r="188">
      <c r="A188" s="192">
        <v>43414.0</v>
      </c>
      <c r="B188" s="48">
        <v>104.08</v>
      </c>
    </row>
    <row r="189">
      <c r="A189" s="192">
        <v>43416.0</v>
      </c>
      <c r="B189" s="48">
        <v>108.83</v>
      </c>
    </row>
    <row r="190">
      <c r="A190" s="192">
        <v>43420.0</v>
      </c>
      <c r="B190" s="48">
        <v>99.97</v>
      </c>
    </row>
    <row r="191">
      <c r="A191" s="192">
        <v>43430.0</v>
      </c>
      <c r="B191" s="48">
        <v>113.3</v>
      </c>
    </row>
    <row r="192">
      <c r="A192" s="192">
        <v>43431.0</v>
      </c>
      <c r="B192" s="48">
        <v>102.38</v>
      </c>
    </row>
    <row r="193">
      <c r="A193" s="192">
        <v>43432.0</v>
      </c>
      <c r="B193" s="48">
        <v>114.1</v>
      </c>
    </row>
    <row r="194">
      <c r="A194" s="192">
        <v>43433.0</v>
      </c>
      <c r="B194" s="48">
        <v>112.07</v>
      </c>
    </row>
    <row r="195">
      <c r="A195" s="192">
        <v>43434.0</v>
      </c>
      <c r="B195" s="48">
        <v>124.44</v>
      </c>
    </row>
    <row r="196">
      <c r="A196" s="192">
        <v>43435.0</v>
      </c>
      <c r="B196" s="48">
        <v>97.62</v>
      </c>
    </row>
    <row r="197">
      <c r="A197" s="193">
        <v>43436.0</v>
      </c>
      <c r="B197" s="194">
        <v>0.0</v>
      </c>
    </row>
    <row r="198">
      <c r="A198" s="192">
        <v>43437.0</v>
      </c>
      <c r="B198" s="48">
        <v>92.06</v>
      </c>
    </row>
    <row r="199">
      <c r="A199" s="192">
        <v>43438.0</v>
      </c>
      <c r="B199" s="48">
        <v>122.77</v>
      </c>
    </row>
    <row r="200">
      <c r="A200" s="192">
        <v>43439.0</v>
      </c>
      <c r="B200" s="48">
        <v>115.72</v>
      </c>
    </row>
    <row r="201">
      <c r="A201" s="192">
        <v>43440.0</v>
      </c>
      <c r="B201" s="48">
        <v>117.0</v>
      </c>
    </row>
    <row r="202">
      <c r="A202" s="192">
        <v>43442.0</v>
      </c>
      <c r="B202" s="48">
        <v>104.75</v>
      </c>
    </row>
    <row r="203">
      <c r="A203" s="192">
        <v>43443.0</v>
      </c>
      <c r="B203" s="48">
        <v>111.51</v>
      </c>
    </row>
    <row r="204">
      <c r="A204" s="192">
        <v>43445.0</v>
      </c>
      <c r="B204" s="48">
        <v>114.51</v>
      </c>
    </row>
    <row r="205">
      <c r="A205" s="192">
        <v>43446.0</v>
      </c>
      <c r="B205" s="48">
        <v>125.73</v>
      </c>
    </row>
    <row r="206">
      <c r="A206" s="192">
        <v>43447.0</v>
      </c>
      <c r="B206" s="48">
        <v>114.94</v>
      </c>
    </row>
    <row r="207">
      <c r="A207" s="192">
        <v>43449.0</v>
      </c>
      <c r="B207" s="48">
        <v>112.24</v>
      </c>
    </row>
    <row r="208">
      <c r="A208" s="192">
        <v>43450.0</v>
      </c>
      <c r="B208" s="48">
        <v>104.73</v>
      </c>
    </row>
    <row r="209">
      <c r="A209" s="192">
        <v>43451.0</v>
      </c>
      <c r="B209" s="48">
        <v>93.47</v>
      </c>
    </row>
    <row r="210">
      <c r="A210" s="192">
        <v>43452.0</v>
      </c>
      <c r="B210" s="48">
        <v>111.97</v>
      </c>
    </row>
    <row r="211">
      <c r="A211" s="192">
        <v>43456.0</v>
      </c>
      <c r="B211" s="48">
        <v>123.11</v>
      </c>
    </row>
    <row r="212">
      <c r="A212" s="192">
        <v>43457.0</v>
      </c>
      <c r="B212" s="48">
        <v>94.51</v>
      </c>
    </row>
    <row r="213">
      <c r="A213" s="192">
        <v>43458.0</v>
      </c>
      <c r="B213" s="48">
        <v>112.31</v>
      </c>
    </row>
    <row r="214">
      <c r="A214" s="192">
        <v>43460.0</v>
      </c>
      <c r="B214" s="48">
        <v>115.21</v>
      </c>
    </row>
    <row r="215">
      <c r="A215" s="192">
        <v>43462.0</v>
      </c>
      <c r="B215" s="48">
        <v>95.61</v>
      </c>
    </row>
    <row r="216">
      <c r="A216" s="192">
        <v>43463.0</v>
      </c>
      <c r="B216" s="48">
        <v>113.23</v>
      </c>
    </row>
    <row r="217">
      <c r="A217" s="192">
        <v>43464.0</v>
      </c>
      <c r="B217" s="48">
        <v>99.14</v>
      </c>
    </row>
    <row r="218">
      <c r="A218" s="192">
        <v>43465.0</v>
      </c>
      <c r="B218" s="48">
        <v>116.45</v>
      </c>
    </row>
    <row r="219">
      <c r="A219" s="192">
        <v>43466.0</v>
      </c>
      <c r="B219" s="48">
        <v>98.74</v>
      </c>
    </row>
    <row r="220">
      <c r="A220" s="192">
        <v>43467.0</v>
      </c>
      <c r="B220" s="48">
        <v>95.51</v>
      </c>
    </row>
    <row r="221">
      <c r="A221" s="192">
        <v>43468.0</v>
      </c>
      <c r="B221" s="48">
        <v>118.57</v>
      </c>
    </row>
    <row r="222">
      <c r="A222" s="192">
        <v>43469.0</v>
      </c>
      <c r="B222" s="48">
        <v>107.56</v>
      </c>
    </row>
    <row r="223">
      <c r="A223" s="192">
        <v>43501.0</v>
      </c>
      <c r="B223" s="48">
        <v>152.31</v>
      </c>
    </row>
    <row r="224">
      <c r="A224" s="192">
        <v>43502.0</v>
      </c>
      <c r="B224" s="48">
        <v>136.27</v>
      </c>
    </row>
    <row r="225">
      <c r="A225" s="192">
        <v>43504.0</v>
      </c>
      <c r="B225" s="48">
        <v>129.51</v>
      </c>
    </row>
    <row r="226">
      <c r="A226" s="192">
        <v>43505.0</v>
      </c>
      <c r="B226" s="48">
        <v>146.76</v>
      </c>
    </row>
    <row r="227">
      <c r="A227" s="192">
        <v>43506.0</v>
      </c>
      <c r="B227" s="48">
        <v>134.35</v>
      </c>
    </row>
    <row r="228">
      <c r="A228" s="192">
        <v>43510.0</v>
      </c>
      <c r="B228" s="48">
        <v>120.52</v>
      </c>
    </row>
    <row r="229">
      <c r="A229" s="192">
        <v>43511.0</v>
      </c>
      <c r="B229" s="48">
        <v>98.65</v>
      </c>
    </row>
    <row r="230">
      <c r="A230" s="192">
        <v>43512.0</v>
      </c>
      <c r="B230" s="48">
        <v>118.3</v>
      </c>
    </row>
    <row r="231">
      <c r="A231" s="192">
        <v>43515.0</v>
      </c>
      <c r="B231" s="48">
        <v>136.11</v>
      </c>
    </row>
    <row r="232">
      <c r="A232" s="192">
        <v>43516.0</v>
      </c>
      <c r="B232" s="48">
        <v>102.15</v>
      </c>
    </row>
    <row r="233">
      <c r="A233" s="192">
        <v>43517.0</v>
      </c>
      <c r="B233" s="48">
        <v>150.37</v>
      </c>
    </row>
    <row r="234">
      <c r="A234" s="192">
        <v>43518.0</v>
      </c>
      <c r="B234" s="48">
        <v>158.49</v>
      </c>
    </row>
    <row r="235">
      <c r="A235" s="192">
        <v>43519.0</v>
      </c>
      <c r="B235" s="48">
        <v>128.11</v>
      </c>
    </row>
    <row r="236">
      <c r="A236" s="192">
        <v>43520.0</v>
      </c>
      <c r="B236" s="48">
        <v>134.09</v>
      </c>
    </row>
    <row r="237">
      <c r="A237" s="192">
        <v>43521.0</v>
      </c>
      <c r="B237" s="48">
        <v>156.04</v>
      </c>
    </row>
    <row r="238">
      <c r="A238" s="192">
        <v>43522.0</v>
      </c>
      <c r="B238" s="48">
        <v>111.75</v>
      </c>
    </row>
    <row r="239">
      <c r="A239" s="192">
        <v>43523.0</v>
      </c>
      <c r="B239" s="48">
        <v>113.49</v>
      </c>
    </row>
    <row r="240">
      <c r="A240" s="192">
        <v>43524.0</v>
      </c>
      <c r="B240" s="48">
        <v>104.28</v>
      </c>
    </row>
    <row r="241">
      <c r="A241" s="192">
        <v>43525.0</v>
      </c>
      <c r="B241" s="48">
        <v>108.48</v>
      </c>
    </row>
    <row r="242">
      <c r="A242" s="192">
        <v>43526.0</v>
      </c>
      <c r="B242" s="48">
        <v>141.28</v>
      </c>
    </row>
    <row r="243">
      <c r="A243" s="192">
        <v>43527.0</v>
      </c>
      <c r="B243" s="48">
        <v>108.58</v>
      </c>
    </row>
    <row r="244">
      <c r="A244" s="192">
        <v>43528.0</v>
      </c>
      <c r="B244" s="48">
        <v>121.36</v>
      </c>
    </row>
    <row r="245">
      <c r="A245" s="192">
        <v>43529.0</v>
      </c>
      <c r="B245" s="48">
        <v>91.33</v>
      </c>
    </row>
    <row r="246">
      <c r="A246" s="192">
        <v>43530.0</v>
      </c>
      <c r="B246" s="48">
        <v>121.77</v>
      </c>
    </row>
    <row r="247">
      <c r="A247" s="192">
        <v>43531.0</v>
      </c>
      <c r="B247" s="48">
        <v>149.27</v>
      </c>
    </row>
    <row r="248">
      <c r="A248" s="192">
        <v>43532.0</v>
      </c>
      <c r="B248" s="48">
        <v>122.88</v>
      </c>
    </row>
    <row r="249">
      <c r="A249" s="192">
        <v>43533.0</v>
      </c>
      <c r="B249" s="48">
        <v>144.08</v>
      </c>
    </row>
    <row r="250">
      <c r="A250" s="192">
        <v>43534.0</v>
      </c>
      <c r="B250" s="48">
        <v>109.76</v>
      </c>
    </row>
    <row r="251">
      <c r="A251" s="192">
        <v>43535.0</v>
      </c>
      <c r="B251" s="48">
        <v>110.79</v>
      </c>
    </row>
    <row r="252">
      <c r="A252" s="192">
        <v>43536.0</v>
      </c>
      <c r="B252" s="48">
        <v>137.59</v>
      </c>
    </row>
    <row r="253">
      <c r="A253" s="192">
        <v>43537.0</v>
      </c>
      <c r="B253" s="48">
        <v>115.3</v>
      </c>
    </row>
    <row r="254">
      <c r="A254" s="192">
        <v>43540.0</v>
      </c>
      <c r="B254" s="48">
        <v>135.29</v>
      </c>
    </row>
    <row r="255">
      <c r="A255" s="192">
        <v>43541.0</v>
      </c>
      <c r="B255" s="48">
        <v>101.63</v>
      </c>
    </row>
    <row r="256">
      <c r="A256" s="192">
        <v>43542.0</v>
      </c>
      <c r="B256" s="48">
        <v>119.4</v>
      </c>
    </row>
    <row r="257">
      <c r="A257" s="192">
        <v>43543.0</v>
      </c>
      <c r="B257" s="48">
        <v>169.84</v>
      </c>
    </row>
    <row r="258">
      <c r="A258" s="192">
        <v>43545.0</v>
      </c>
      <c r="B258" s="48">
        <v>123.52</v>
      </c>
    </row>
    <row r="259">
      <c r="A259" s="192">
        <v>43547.0</v>
      </c>
      <c r="B259" s="48">
        <v>118.36</v>
      </c>
    </row>
    <row r="260">
      <c r="A260" s="192">
        <v>43548.0</v>
      </c>
      <c r="B260" s="48">
        <v>107.13</v>
      </c>
    </row>
    <row r="261">
      <c r="A261" s="192">
        <v>43549.0</v>
      </c>
      <c r="B261" s="48">
        <v>130.11</v>
      </c>
    </row>
    <row r="262">
      <c r="A262" s="192">
        <v>43551.0</v>
      </c>
      <c r="B262" s="48">
        <v>110.2</v>
      </c>
    </row>
    <row r="263">
      <c r="A263" s="192">
        <v>43553.0</v>
      </c>
      <c r="B263" s="48">
        <v>131.17</v>
      </c>
    </row>
    <row r="264">
      <c r="A264" s="192">
        <v>43554.0</v>
      </c>
      <c r="B264" s="48">
        <v>148.23</v>
      </c>
    </row>
    <row r="265">
      <c r="A265" s="192">
        <v>43555.0</v>
      </c>
      <c r="B265" s="48">
        <v>129.53</v>
      </c>
    </row>
    <row r="266">
      <c r="A266" s="192">
        <v>43556.0</v>
      </c>
      <c r="B266" s="48">
        <v>134.43</v>
      </c>
    </row>
    <row r="267">
      <c r="A267" s="192">
        <v>43557.0</v>
      </c>
      <c r="B267" s="48">
        <v>132.79</v>
      </c>
    </row>
    <row r="268">
      <c r="A268" s="192">
        <v>43558.0</v>
      </c>
      <c r="B268" s="48">
        <v>129.36</v>
      </c>
    </row>
    <row r="269">
      <c r="A269" s="192">
        <v>43560.0</v>
      </c>
      <c r="B269" s="48">
        <v>125.2</v>
      </c>
    </row>
    <row r="270">
      <c r="A270" s="192">
        <v>43565.0</v>
      </c>
      <c r="B270" s="48">
        <v>106.16</v>
      </c>
    </row>
    <row r="271">
      <c r="A271" s="192">
        <v>43566.0</v>
      </c>
      <c r="B271" s="48">
        <v>118.72</v>
      </c>
    </row>
    <row r="272">
      <c r="A272" s="192">
        <v>43567.0</v>
      </c>
      <c r="B272" s="48">
        <v>144.38</v>
      </c>
    </row>
    <row r="273">
      <c r="A273" s="192">
        <v>43569.0</v>
      </c>
      <c r="B273" s="48">
        <v>102.95</v>
      </c>
    </row>
    <row r="274">
      <c r="A274" s="192">
        <v>43570.0</v>
      </c>
      <c r="B274" s="48">
        <v>146.08</v>
      </c>
    </row>
    <row r="275">
      <c r="A275" s="192">
        <v>43571.0</v>
      </c>
      <c r="B275" s="48">
        <v>117.31</v>
      </c>
    </row>
    <row r="276">
      <c r="A276" s="192">
        <v>43604.0</v>
      </c>
      <c r="B276" s="48">
        <v>118.9</v>
      </c>
    </row>
    <row r="277">
      <c r="A277" s="192">
        <v>43605.0</v>
      </c>
      <c r="B277" s="48">
        <v>120.23</v>
      </c>
    </row>
    <row r="278">
      <c r="A278" s="192">
        <v>43606.0</v>
      </c>
      <c r="B278" s="48">
        <v>124.79</v>
      </c>
    </row>
    <row r="279">
      <c r="A279" s="192">
        <v>43607.0</v>
      </c>
      <c r="B279" s="48">
        <v>120.42</v>
      </c>
    </row>
    <row r="280">
      <c r="A280" s="192">
        <v>43608.0</v>
      </c>
      <c r="B280" s="48">
        <v>123.46</v>
      </c>
    </row>
    <row r="281">
      <c r="A281" s="192">
        <v>43609.0</v>
      </c>
      <c r="B281" s="48">
        <v>118.67</v>
      </c>
    </row>
    <row r="282">
      <c r="A282" s="192">
        <v>43610.0</v>
      </c>
      <c r="B282" s="48">
        <v>120.68</v>
      </c>
    </row>
    <row r="283">
      <c r="A283" s="192">
        <v>43611.0</v>
      </c>
      <c r="B283" s="48">
        <v>126.66</v>
      </c>
    </row>
    <row r="284">
      <c r="A284" s="192">
        <v>43612.0</v>
      </c>
      <c r="B284" s="48">
        <v>125.49</v>
      </c>
    </row>
    <row r="285">
      <c r="A285" s="192">
        <v>43613.0</v>
      </c>
      <c r="B285" s="48">
        <v>124.16</v>
      </c>
    </row>
    <row r="286">
      <c r="A286" s="192">
        <v>43614.0</v>
      </c>
      <c r="B286" s="48">
        <v>117.72</v>
      </c>
    </row>
    <row r="287">
      <c r="A287" s="192">
        <v>43615.0</v>
      </c>
      <c r="B287" s="48">
        <v>121.33</v>
      </c>
    </row>
    <row r="288">
      <c r="A288" s="192">
        <v>43616.0</v>
      </c>
      <c r="B288" s="48">
        <v>124.79</v>
      </c>
    </row>
    <row r="289">
      <c r="A289" s="192">
        <v>43617.0</v>
      </c>
      <c r="B289" s="48">
        <v>122.74</v>
      </c>
    </row>
    <row r="290">
      <c r="A290" s="192">
        <v>43619.0</v>
      </c>
      <c r="B290" s="48">
        <v>118.44</v>
      </c>
    </row>
    <row r="291">
      <c r="A291" s="192">
        <v>43620.0</v>
      </c>
      <c r="B291" s="48">
        <v>120.7</v>
      </c>
    </row>
    <row r="292">
      <c r="A292" s="192">
        <v>43623.0</v>
      </c>
      <c r="B292" s="48">
        <v>125.57</v>
      </c>
    </row>
    <row r="293">
      <c r="A293" s="192">
        <v>43701.0</v>
      </c>
      <c r="B293" s="48">
        <v>87.54</v>
      </c>
    </row>
    <row r="294">
      <c r="A294" s="192">
        <v>43711.0</v>
      </c>
      <c r="B294" s="48">
        <v>114.87</v>
      </c>
    </row>
    <row r="295">
      <c r="A295" s="192">
        <v>43713.0</v>
      </c>
      <c r="B295" s="48">
        <v>133.44</v>
      </c>
    </row>
    <row r="296">
      <c r="A296" s="192">
        <v>43716.0</v>
      </c>
      <c r="B296" s="48">
        <v>154.81</v>
      </c>
    </row>
    <row r="297">
      <c r="A297" s="192">
        <v>43717.0</v>
      </c>
      <c r="B297" s="48">
        <v>120.67</v>
      </c>
    </row>
    <row r="298">
      <c r="A298" s="192">
        <v>43718.0</v>
      </c>
      <c r="B298" s="48">
        <v>138.74</v>
      </c>
    </row>
    <row r="299">
      <c r="A299" s="192">
        <v>43719.0</v>
      </c>
      <c r="B299" s="48">
        <v>137.15</v>
      </c>
    </row>
    <row r="300">
      <c r="A300" s="192">
        <v>43720.0</v>
      </c>
      <c r="B300" s="48">
        <v>94.1</v>
      </c>
    </row>
    <row r="301">
      <c r="A301" s="192">
        <v>43721.0</v>
      </c>
      <c r="B301" s="48">
        <v>67.38</v>
      </c>
    </row>
    <row r="302">
      <c r="A302" s="192">
        <v>43722.0</v>
      </c>
      <c r="B302" s="48">
        <v>111.72</v>
      </c>
    </row>
    <row r="303">
      <c r="A303" s="192">
        <v>43723.0</v>
      </c>
      <c r="B303" s="48">
        <v>107.86</v>
      </c>
    </row>
    <row r="304">
      <c r="A304" s="192">
        <v>43724.0</v>
      </c>
      <c r="B304" s="48">
        <v>127.54</v>
      </c>
    </row>
    <row r="305">
      <c r="A305" s="192">
        <v>43725.0</v>
      </c>
      <c r="B305" s="48">
        <v>108.8</v>
      </c>
    </row>
    <row r="306">
      <c r="A306" s="192">
        <v>43727.0</v>
      </c>
      <c r="B306" s="48">
        <v>95.02</v>
      </c>
    </row>
    <row r="307">
      <c r="A307" s="192">
        <v>43728.0</v>
      </c>
      <c r="B307" s="48">
        <v>117.13</v>
      </c>
    </row>
    <row r="308">
      <c r="A308" s="192">
        <v>43730.0</v>
      </c>
      <c r="B308" s="48">
        <v>94.06</v>
      </c>
    </row>
    <row r="309">
      <c r="A309" s="192">
        <v>43731.0</v>
      </c>
      <c r="B309" s="48">
        <v>88.67</v>
      </c>
    </row>
    <row r="310">
      <c r="A310" s="192">
        <v>43732.0</v>
      </c>
      <c r="B310" s="48">
        <v>108.01</v>
      </c>
    </row>
    <row r="311">
      <c r="A311" s="192">
        <v>43733.0</v>
      </c>
      <c r="B311" s="48">
        <v>112.16</v>
      </c>
    </row>
    <row r="312">
      <c r="A312" s="192">
        <v>43734.0</v>
      </c>
      <c r="B312" s="48">
        <v>89.33</v>
      </c>
    </row>
    <row r="313">
      <c r="A313" s="192">
        <v>43735.0</v>
      </c>
      <c r="B313" s="48">
        <v>79.67</v>
      </c>
    </row>
    <row r="314">
      <c r="A314" s="192">
        <v>43736.0</v>
      </c>
      <c r="B314" s="48">
        <v>124.21</v>
      </c>
    </row>
    <row r="315">
      <c r="A315" s="192">
        <v>43738.0</v>
      </c>
      <c r="B315" s="48">
        <v>78.36</v>
      </c>
    </row>
    <row r="316">
      <c r="A316" s="192">
        <v>43739.0</v>
      </c>
      <c r="B316" s="48">
        <v>66.4</v>
      </c>
    </row>
    <row r="317">
      <c r="A317" s="192">
        <v>43740.0</v>
      </c>
      <c r="B317" s="48">
        <v>69.3</v>
      </c>
    </row>
    <row r="318">
      <c r="A318" s="192">
        <v>43746.0</v>
      </c>
      <c r="B318" s="48">
        <v>72.38</v>
      </c>
    </row>
    <row r="319">
      <c r="A319" s="192">
        <v>43747.0</v>
      </c>
      <c r="B319" s="48">
        <v>145.58</v>
      </c>
    </row>
    <row r="320">
      <c r="A320" s="192">
        <v>43748.0</v>
      </c>
      <c r="B320" s="48">
        <v>72.41</v>
      </c>
    </row>
    <row r="321">
      <c r="A321" s="192">
        <v>43749.0</v>
      </c>
      <c r="B321" s="48">
        <v>121.5</v>
      </c>
    </row>
    <row r="322">
      <c r="A322" s="192">
        <v>43750.0</v>
      </c>
      <c r="B322" s="48">
        <v>112.43</v>
      </c>
    </row>
    <row r="323">
      <c r="A323" s="192">
        <v>43754.0</v>
      </c>
      <c r="B323" s="48">
        <v>136.95</v>
      </c>
    </row>
    <row r="324">
      <c r="A324" s="192">
        <v>43755.0</v>
      </c>
      <c r="B324" s="48">
        <v>114.47</v>
      </c>
    </row>
    <row r="325">
      <c r="A325" s="192">
        <v>43756.0</v>
      </c>
      <c r="B325" s="48">
        <v>110.83</v>
      </c>
    </row>
    <row r="326">
      <c r="A326" s="192">
        <v>43758.0</v>
      </c>
      <c r="B326" s="48">
        <v>99.86</v>
      </c>
    </row>
    <row r="327">
      <c r="A327" s="192">
        <v>43759.0</v>
      </c>
      <c r="B327" s="48">
        <v>132.84</v>
      </c>
    </row>
    <row r="328">
      <c r="A328" s="192">
        <v>43760.0</v>
      </c>
      <c r="B328" s="48">
        <v>72.62</v>
      </c>
    </row>
    <row r="329">
      <c r="A329" s="192">
        <v>43761.0</v>
      </c>
      <c r="B329" s="48">
        <v>86.9</v>
      </c>
    </row>
    <row r="330">
      <c r="A330" s="192">
        <v>43762.0</v>
      </c>
      <c r="B330" s="48">
        <v>97.21</v>
      </c>
    </row>
    <row r="331">
      <c r="A331" s="192">
        <v>43764.0</v>
      </c>
      <c r="B331" s="48">
        <v>82.12</v>
      </c>
    </row>
    <row r="332">
      <c r="A332" s="192">
        <v>43766.0</v>
      </c>
      <c r="B332" s="48">
        <v>86.68</v>
      </c>
    </row>
    <row r="333">
      <c r="A333" s="192">
        <v>43767.0</v>
      </c>
      <c r="B333" s="48">
        <v>90.4</v>
      </c>
    </row>
    <row r="334">
      <c r="A334" s="192">
        <v>43768.0</v>
      </c>
      <c r="B334" s="48">
        <v>112.63</v>
      </c>
    </row>
    <row r="335">
      <c r="A335" s="192">
        <v>43771.0</v>
      </c>
      <c r="B335" s="48">
        <v>91.69</v>
      </c>
    </row>
    <row r="336">
      <c r="A336" s="192">
        <v>43772.0</v>
      </c>
      <c r="B336" s="48">
        <v>113.99</v>
      </c>
    </row>
    <row r="337">
      <c r="A337" s="192">
        <v>43773.0</v>
      </c>
      <c r="B337" s="48">
        <v>124.43</v>
      </c>
    </row>
    <row r="338">
      <c r="A338" s="192">
        <v>43777.0</v>
      </c>
      <c r="B338" s="48">
        <v>83.57</v>
      </c>
    </row>
    <row r="339">
      <c r="A339" s="192">
        <v>43778.0</v>
      </c>
      <c r="B339" s="48">
        <v>118.51</v>
      </c>
    </row>
    <row r="340">
      <c r="A340" s="192">
        <v>43779.0</v>
      </c>
      <c r="B340" s="48">
        <v>121.47</v>
      </c>
    </row>
    <row r="341">
      <c r="A341" s="192">
        <v>43780.0</v>
      </c>
      <c r="B341" s="48">
        <v>117.46</v>
      </c>
    </row>
    <row r="342">
      <c r="A342" s="192">
        <v>43782.0</v>
      </c>
      <c r="B342" s="48">
        <v>87.5</v>
      </c>
    </row>
    <row r="343">
      <c r="A343" s="192">
        <v>43783.0</v>
      </c>
      <c r="B343" s="48">
        <v>73.52</v>
      </c>
    </row>
    <row r="344">
      <c r="A344" s="192">
        <v>43786.0</v>
      </c>
      <c r="B344" s="48">
        <v>133.22</v>
      </c>
    </row>
    <row r="345">
      <c r="A345" s="192">
        <v>43787.0</v>
      </c>
      <c r="B345" s="48">
        <v>118.54</v>
      </c>
    </row>
    <row r="346">
      <c r="A346" s="192">
        <v>43788.0</v>
      </c>
      <c r="B346" s="48">
        <v>130.6</v>
      </c>
    </row>
    <row r="347">
      <c r="A347" s="192">
        <v>43791.0</v>
      </c>
      <c r="B347" s="48">
        <v>79.66</v>
      </c>
    </row>
    <row r="348">
      <c r="A348" s="192">
        <v>43793.0</v>
      </c>
      <c r="B348" s="48">
        <v>148.94</v>
      </c>
    </row>
    <row r="349">
      <c r="A349" s="192">
        <v>43802.0</v>
      </c>
      <c r="B349" s="48">
        <v>86.37</v>
      </c>
    </row>
    <row r="350">
      <c r="A350" s="192">
        <v>43804.0</v>
      </c>
      <c r="B350" s="48">
        <v>102.42</v>
      </c>
    </row>
    <row r="351">
      <c r="A351" s="192">
        <v>43805.0</v>
      </c>
      <c r="B351" s="48">
        <v>97.02</v>
      </c>
    </row>
    <row r="352">
      <c r="A352" s="192">
        <v>43811.0</v>
      </c>
      <c r="B352" s="48">
        <v>78.63</v>
      </c>
    </row>
    <row r="353">
      <c r="A353" s="192">
        <v>43812.0</v>
      </c>
      <c r="B353" s="48">
        <v>87.66</v>
      </c>
    </row>
    <row r="354">
      <c r="A354" s="192">
        <v>43821.0</v>
      </c>
      <c r="B354" s="48">
        <v>77.74</v>
      </c>
    </row>
    <row r="355">
      <c r="A355" s="192">
        <v>43822.0</v>
      </c>
      <c r="B355" s="48">
        <v>70.1</v>
      </c>
    </row>
    <row r="356">
      <c r="A356" s="192">
        <v>43824.0</v>
      </c>
      <c r="B356" s="48">
        <v>96.47</v>
      </c>
    </row>
    <row r="357">
      <c r="A357" s="192">
        <v>43830.0</v>
      </c>
      <c r="B357" s="48">
        <v>65.07</v>
      </c>
    </row>
    <row r="358">
      <c r="A358" s="192">
        <v>43832.0</v>
      </c>
      <c r="B358" s="48">
        <v>104.22</v>
      </c>
    </row>
    <row r="359">
      <c r="A359" s="192">
        <v>43836.0</v>
      </c>
      <c r="B359" s="48">
        <v>93.97</v>
      </c>
    </row>
    <row r="360">
      <c r="A360" s="192">
        <v>43837.0</v>
      </c>
      <c r="B360" s="48">
        <v>107.93</v>
      </c>
    </row>
    <row r="361">
      <c r="A361" s="192">
        <v>43840.0</v>
      </c>
      <c r="B361" s="48">
        <v>109.04</v>
      </c>
    </row>
    <row r="362">
      <c r="A362" s="192">
        <v>43842.0</v>
      </c>
      <c r="B362" s="48">
        <v>74.76</v>
      </c>
    </row>
    <row r="363">
      <c r="A363" s="192">
        <v>43843.0</v>
      </c>
      <c r="B363" s="48">
        <v>67.57</v>
      </c>
    </row>
    <row r="364">
      <c r="A364" s="192">
        <v>43844.0</v>
      </c>
      <c r="B364" s="48">
        <v>80.85</v>
      </c>
    </row>
    <row r="365">
      <c r="A365" s="192">
        <v>43845.0</v>
      </c>
      <c r="B365" s="48">
        <v>96.85</v>
      </c>
    </row>
    <row r="366">
      <c r="A366" s="192">
        <v>43901.0</v>
      </c>
      <c r="B366" s="48">
        <v>154.78</v>
      </c>
    </row>
    <row r="367">
      <c r="A367" s="192">
        <v>43902.0</v>
      </c>
      <c r="B367" s="48">
        <v>152.86</v>
      </c>
    </row>
    <row r="368">
      <c r="A368" s="192">
        <v>43903.0</v>
      </c>
      <c r="B368" s="48">
        <v>148.4</v>
      </c>
    </row>
    <row r="369">
      <c r="A369" s="192">
        <v>43905.0</v>
      </c>
      <c r="B369" s="48">
        <v>147.2</v>
      </c>
    </row>
    <row r="370">
      <c r="A370" s="192">
        <v>43906.0</v>
      </c>
      <c r="B370" s="48">
        <v>151.61</v>
      </c>
    </row>
    <row r="371">
      <c r="A371" s="192">
        <v>43907.0</v>
      </c>
      <c r="B371" s="48">
        <v>142.76</v>
      </c>
    </row>
    <row r="372">
      <c r="A372" s="192">
        <v>43908.0</v>
      </c>
      <c r="B372" s="48">
        <v>157.83</v>
      </c>
    </row>
    <row r="373">
      <c r="A373" s="192">
        <v>43909.0</v>
      </c>
      <c r="B373" s="48">
        <v>149.16</v>
      </c>
    </row>
    <row r="374">
      <c r="A374" s="192">
        <v>43910.0</v>
      </c>
      <c r="B374" s="48">
        <v>159.0</v>
      </c>
    </row>
    <row r="375">
      <c r="A375" s="192">
        <v>43912.0</v>
      </c>
      <c r="B375" s="48">
        <v>156.1</v>
      </c>
    </row>
    <row r="376">
      <c r="A376" s="192">
        <v>43913.0</v>
      </c>
      <c r="B376" s="48">
        <v>167.44</v>
      </c>
    </row>
    <row r="377">
      <c r="A377" s="192">
        <v>43914.0</v>
      </c>
      <c r="B377" s="48">
        <v>155.8</v>
      </c>
    </row>
    <row r="378">
      <c r="A378" s="192">
        <v>43915.0</v>
      </c>
      <c r="B378" s="48">
        <v>157.77</v>
      </c>
    </row>
    <row r="379">
      <c r="A379" s="192">
        <v>43917.0</v>
      </c>
      <c r="B379" s="48">
        <v>157.69</v>
      </c>
    </row>
    <row r="380">
      <c r="A380" s="192">
        <v>43920.0</v>
      </c>
      <c r="B380" s="48">
        <v>181.29</v>
      </c>
    </row>
    <row r="381">
      <c r="A381" s="192">
        <v>43925.0</v>
      </c>
      <c r="B381" s="48">
        <v>153.93</v>
      </c>
    </row>
    <row r="382">
      <c r="A382" s="192">
        <v>43926.0</v>
      </c>
      <c r="B382" s="48">
        <v>187.87</v>
      </c>
    </row>
    <row r="383">
      <c r="A383" s="192">
        <v>43928.0</v>
      </c>
      <c r="B383" s="48">
        <v>146.81</v>
      </c>
    </row>
    <row r="384">
      <c r="A384" s="192">
        <v>43930.0</v>
      </c>
      <c r="B384" s="48">
        <v>165.53</v>
      </c>
    </row>
    <row r="385">
      <c r="A385" s="192">
        <v>43931.0</v>
      </c>
      <c r="B385" s="48">
        <v>185.2</v>
      </c>
    </row>
    <row r="386">
      <c r="A386" s="192">
        <v>43932.0</v>
      </c>
      <c r="B386" s="48">
        <v>160.29</v>
      </c>
    </row>
    <row r="387">
      <c r="A387" s="192">
        <v>43933.0</v>
      </c>
      <c r="B387" s="48">
        <v>149.1</v>
      </c>
    </row>
    <row r="388">
      <c r="A388" s="192">
        <v>43934.0</v>
      </c>
      <c r="B388" s="48">
        <v>153.33</v>
      </c>
    </row>
    <row r="389">
      <c r="A389" s="192">
        <v>43935.0</v>
      </c>
      <c r="B389" s="48">
        <v>156.29</v>
      </c>
    </row>
    <row r="390">
      <c r="A390" s="192">
        <v>43938.0</v>
      </c>
      <c r="B390" s="48">
        <v>170.64</v>
      </c>
    </row>
    <row r="391">
      <c r="A391" s="192">
        <v>43939.0</v>
      </c>
      <c r="B391" s="48">
        <v>152.97</v>
      </c>
    </row>
    <row r="392">
      <c r="A392" s="192">
        <v>43940.0</v>
      </c>
      <c r="B392" s="48">
        <v>149.34</v>
      </c>
    </row>
    <row r="393">
      <c r="A393" s="192">
        <v>43942.0</v>
      </c>
      <c r="B393" s="48">
        <v>160.34</v>
      </c>
    </row>
    <row r="394">
      <c r="A394" s="192">
        <v>43943.0</v>
      </c>
      <c r="B394" s="48">
        <v>165.6</v>
      </c>
    </row>
    <row r="395">
      <c r="A395" s="192">
        <v>43944.0</v>
      </c>
      <c r="B395" s="48">
        <v>167.73</v>
      </c>
    </row>
    <row r="396">
      <c r="A396" s="192">
        <v>43945.0</v>
      </c>
      <c r="B396" s="48">
        <v>168.46</v>
      </c>
    </row>
    <row r="397">
      <c r="A397" s="192">
        <v>43946.0</v>
      </c>
      <c r="B397" s="48">
        <v>160.51</v>
      </c>
    </row>
    <row r="398">
      <c r="A398" s="192">
        <v>43947.0</v>
      </c>
      <c r="B398" s="48">
        <v>159.98</v>
      </c>
    </row>
    <row r="399">
      <c r="A399" s="192">
        <v>43948.0</v>
      </c>
      <c r="B399" s="48">
        <v>161.64</v>
      </c>
    </row>
    <row r="400">
      <c r="A400" s="192">
        <v>43950.0</v>
      </c>
      <c r="B400" s="48">
        <v>143.39</v>
      </c>
    </row>
    <row r="401">
      <c r="A401" s="192">
        <v>43951.0</v>
      </c>
      <c r="B401" s="48">
        <v>139.0</v>
      </c>
    </row>
    <row r="402">
      <c r="A402" s="192">
        <v>43952.0</v>
      </c>
      <c r="B402" s="48">
        <v>170.59</v>
      </c>
    </row>
    <row r="403">
      <c r="A403" s="192">
        <v>43953.0</v>
      </c>
      <c r="B403" s="48">
        <v>163.83</v>
      </c>
    </row>
    <row r="404">
      <c r="A404" s="192">
        <v>43961.0</v>
      </c>
      <c r="B404" s="48">
        <v>186.81</v>
      </c>
    </row>
    <row r="405">
      <c r="A405" s="192">
        <v>43962.0</v>
      </c>
      <c r="B405" s="48">
        <v>164.11</v>
      </c>
    </row>
    <row r="406">
      <c r="A406" s="192">
        <v>43963.0</v>
      </c>
      <c r="B406" s="48">
        <v>158.85</v>
      </c>
    </row>
    <row r="407">
      <c r="A407" s="192">
        <v>43964.0</v>
      </c>
      <c r="B407" s="48">
        <v>176.73</v>
      </c>
    </row>
    <row r="408">
      <c r="A408" s="192">
        <v>43967.0</v>
      </c>
      <c r="B408" s="48">
        <v>143.83</v>
      </c>
    </row>
    <row r="409">
      <c r="A409" s="192">
        <v>43968.0</v>
      </c>
      <c r="B409" s="48">
        <v>177.72</v>
      </c>
    </row>
    <row r="410">
      <c r="A410" s="192">
        <v>43971.0</v>
      </c>
      <c r="B410" s="48">
        <v>157.71</v>
      </c>
    </row>
    <row r="411">
      <c r="A411" s="192">
        <v>43972.0</v>
      </c>
      <c r="B411" s="48">
        <v>140.31</v>
      </c>
    </row>
    <row r="412">
      <c r="A412" s="192">
        <v>43973.0</v>
      </c>
      <c r="B412" s="48">
        <v>125.33</v>
      </c>
    </row>
    <row r="413">
      <c r="A413" s="192">
        <v>43974.0</v>
      </c>
      <c r="B413" s="48">
        <v>151.64</v>
      </c>
    </row>
    <row r="414">
      <c r="A414" s="192">
        <v>43976.0</v>
      </c>
      <c r="B414" s="48">
        <v>155.44</v>
      </c>
    </row>
    <row r="415">
      <c r="A415" s="192">
        <v>43977.0</v>
      </c>
      <c r="B415" s="48">
        <v>141.93</v>
      </c>
    </row>
    <row r="416">
      <c r="A416" s="192">
        <v>43981.0</v>
      </c>
      <c r="B416" s="48">
        <v>146.81</v>
      </c>
    </row>
    <row r="417">
      <c r="A417" s="192">
        <v>43983.0</v>
      </c>
      <c r="B417" s="48">
        <v>130.93</v>
      </c>
    </row>
    <row r="418">
      <c r="A418" s="192">
        <v>43985.0</v>
      </c>
      <c r="B418" s="48">
        <v>136.32</v>
      </c>
    </row>
    <row r="419">
      <c r="A419" s="192">
        <v>43986.0</v>
      </c>
      <c r="B419" s="48">
        <v>141.64</v>
      </c>
    </row>
    <row r="420">
      <c r="A420" s="192">
        <v>43988.0</v>
      </c>
      <c r="B420" s="48">
        <v>135.82</v>
      </c>
    </row>
    <row r="421">
      <c r="A421" s="192">
        <v>44001.0</v>
      </c>
      <c r="B421" s="48">
        <v>125.82</v>
      </c>
    </row>
    <row r="422">
      <c r="A422" s="192">
        <v>44003.0</v>
      </c>
      <c r="B422" s="48">
        <v>221.73</v>
      </c>
    </row>
    <row r="423">
      <c r="A423" s="192">
        <v>44004.0</v>
      </c>
      <c r="B423" s="48">
        <v>200.01</v>
      </c>
    </row>
    <row r="424">
      <c r="A424" s="192">
        <v>44010.0</v>
      </c>
      <c r="B424" s="48">
        <v>196.04</v>
      </c>
    </row>
    <row r="425">
      <c r="A425" s="192">
        <v>44011.0</v>
      </c>
      <c r="B425" s="48">
        <v>133.77</v>
      </c>
    </row>
    <row r="426">
      <c r="A426" s="192">
        <v>44012.0</v>
      </c>
      <c r="B426" s="48">
        <v>136.09</v>
      </c>
    </row>
    <row r="427">
      <c r="A427" s="192">
        <v>44017.0</v>
      </c>
      <c r="B427" s="48">
        <v>136.17</v>
      </c>
    </row>
    <row r="428">
      <c r="A428" s="192">
        <v>44021.0</v>
      </c>
      <c r="B428" s="48">
        <v>169.08</v>
      </c>
    </row>
    <row r="429">
      <c r="A429" s="192">
        <v>44022.0</v>
      </c>
      <c r="B429" s="48">
        <v>154.36</v>
      </c>
    </row>
    <row r="430">
      <c r="A430" s="192">
        <v>44023.0</v>
      </c>
      <c r="B430" s="48">
        <v>160.67</v>
      </c>
    </row>
    <row r="431">
      <c r="A431" s="192">
        <v>44024.0</v>
      </c>
      <c r="B431" s="48">
        <v>167.52</v>
      </c>
    </row>
    <row r="432">
      <c r="A432" s="192">
        <v>44026.0</v>
      </c>
      <c r="B432" s="48">
        <v>159.34</v>
      </c>
    </row>
    <row r="433">
      <c r="A433" s="192">
        <v>44028.0</v>
      </c>
      <c r="B433" s="48">
        <v>126.22</v>
      </c>
    </row>
    <row r="434">
      <c r="A434" s="192">
        <v>44030.0</v>
      </c>
      <c r="B434" s="48">
        <v>211.95</v>
      </c>
    </row>
    <row r="435">
      <c r="A435" s="192">
        <v>44032.0</v>
      </c>
      <c r="B435" s="48">
        <v>212.35</v>
      </c>
    </row>
    <row r="436">
      <c r="A436" s="192">
        <v>44035.0</v>
      </c>
      <c r="B436" s="48">
        <v>125.1</v>
      </c>
    </row>
    <row r="437">
      <c r="A437" s="192">
        <v>44039.0</v>
      </c>
      <c r="B437" s="48">
        <v>127.88</v>
      </c>
    </row>
    <row r="438">
      <c r="A438" s="192">
        <v>44040.0</v>
      </c>
      <c r="B438" s="48">
        <v>156.27</v>
      </c>
    </row>
    <row r="439">
      <c r="A439" s="192">
        <v>44041.0</v>
      </c>
      <c r="B439" s="48">
        <v>188.9</v>
      </c>
    </row>
    <row r="440">
      <c r="A440" s="192">
        <v>44044.0</v>
      </c>
      <c r="B440" s="48">
        <v>119.13</v>
      </c>
    </row>
    <row r="441">
      <c r="A441" s="192">
        <v>44045.0</v>
      </c>
      <c r="B441" s="48">
        <v>175.86</v>
      </c>
    </row>
    <row r="442">
      <c r="A442" s="192">
        <v>44046.0</v>
      </c>
      <c r="B442" s="48">
        <v>181.44</v>
      </c>
    </row>
    <row r="443">
      <c r="A443" s="192">
        <v>44047.0</v>
      </c>
      <c r="B443" s="48">
        <v>202.19</v>
      </c>
    </row>
    <row r="444">
      <c r="A444" s="192">
        <v>44048.0</v>
      </c>
      <c r="B444" s="48">
        <v>208.85</v>
      </c>
    </row>
    <row r="445">
      <c r="A445" s="192">
        <v>44049.0</v>
      </c>
      <c r="B445" s="48">
        <v>118.07</v>
      </c>
    </row>
    <row r="446">
      <c r="A446" s="192">
        <v>44050.0</v>
      </c>
      <c r="B446" s="48">
        <v>117.07</v>
      </c>
    </row>
    <row r="447">
      <c r="A447" s="192">
        <v>44052.0</v>
      </c>
      <c r="B447" s="48">
        <v>133.12</v>
      </c>
    </row>
    <row r="448">
      <c r="A448" s="192">
        <v>44053.0</v>
      </c>
      <c r="B448" s="48">
        <v>128.31</v>
      </c>
    </row>
    <row r="449">
      <c r="A449" s="192">
        <v>44054.0</v>
      </c>
      <c r="B449" s="48">
        <v>135.83</v>
      </c>
    </row>
    <row r="450">
      <c r="A450" s="192">
        <v>44055.0</v>
      </c>
      <c r="B450" s="48">
        <v>130.93</v>
      </c>
    </row>
    <row r="451">
      <c r="A451" s="192">
        <v>44056.0</v>
      </c>
      <c r="B451" s="48">
        <v>138.87</v>
      </c>
    </row>
    <row r="452">
      <c r="A452" s="192">
        <v>44057.0</v>
      </c>
      <c r="B452" s="48">
        <v>183.73</v>
      </c>
    </row>
    <row r="453">
      <c r="A453" s="192">
        <v>44060.0</v>
      </c>
      <c r="B453" s="48">
        <v>170.73</v>
      </c>
    </row>
    <row r="454">
      <c r="A454" s="192">
        <v>44062.0</v>
      </c>
      <c r="B454" s="48">
        <v>180.25</v>
      </c>
    </row>
    <row r="455">
      <c r="A455" s="192">
        <v>44064.0</v>
      </c>
      <c r="B455" s="48">
        <v>187.5</v>
      </c>
    </row>
    <row r="456">
      <c r="A456" s="192">
        <v>44065.0</v>
      </c>
      <c r="B456" s="48">
        <v>165.85</v>
      </c>
    </row>
    <row r="457">
      <c r="A457" s="192">
        <v>44067.0</v>
      </c>
      <c r="B457" s="48">
        <v>139.85</v>
      </c>
    </row>
    <row r="458">
      <c r="A458" s="192">
        <v>44068.0</v>
      </c>
      <c r="B458" s="48">
        <v>207.69</v>
      </c>
    </row>
    <row r="459">
      <c r="A459" s="192">
        <v>44070.0</v>
      </c>
      <c r="B459" s="48">
        <v>143.23</v>
      </c>
    </row>
    <row r="460">
      <c r="A460" s="192">
        <v>44072.0</v>
      </c>
      <c r="B460" s="48">
        <v>157.35</v>
      </c>
    </row>
    <row r="461">
      <c r="A461" s="192">
        <v>44074.0</v>
      </c>
      <c r="B461" s="48">
        <v>117.75</v>
      </c>
    </row>
    <row r="462">
      <c r="A462" s="192">
        <v>44076.0</v>
      </c>
      <c r="B462" s="48">
        <v>190.37</v>
      </c>
    </row>
    <row r="463">
      <c r="A463" s="192">
        <v>44077.0</v>
      </c>
      <c r="B463" s="48">
        <v>173.21</v>
      </c>
    </row>
    <row r="464">
      <c r="A464" s="192">
        <v>44080.0</v>
      </c>
      <c r="B464" s="48">
        <v>170.54</v>
      </c>
    </row>
    <row r="465">
      <c r="A465" s="192">
        <v>44081.0</v>
      </c>
      <c r="B465" s="48">
        <v>180.8</v>
      </c>
    </row>
    <row r="466">
      <c r="A466" s="192">
        <v>44082.0</v>
      </c>
      <c r="B466" s="48">
        <v>213.1</v>
      </c>
    </row>
    <row r="467">
      <c r="A467" s="192">
        <v>44084.0</v>
      </c>
      <c r="B467" s="48">
        <v>192.21</v>
      </c>
    </row>
    <row r="468">
      <c r="A468" s="192">
        <v>44085.0</v>
      </c>
      <c r="B468" s="48">
        <v>195.8</v>
      </c>
    </row>
    <row r="469">
      <c r="A469" s="192">
        <v>44086.0</v>
      </c>
      <c r="B469" s="48">
        <v>184.79</v>
      </c>
    </row>
    <row r="470">
      <c r="A470" s="192">
        <v>44087.0</v>
      </c>
      <c r="B470" s="48">
        <v>142.34</v>
      </c>
    </row>
    <row r="471">
      <c r="A471" s="192">
        <v>44089.0</v>
      </c>
      <c r="B471" s="48">
        <v>122.8</v>
      </c>
    </row>
    <row r="472">
      <c r="A472" s="192">
        <v>44090.0</v>
      </c>
      <c r="B472" s="48">
        <v>109.99</v>
      </c>
    </row>
    <row r="473">
      <c r="A473" s="192">
        <v>44092.0</v>
      </c>
      <c r="B473" s="48">
        <v>162.15</v>
      </c>
    </row>
    <row r="474">
      <c r="A474" s="192">
        <v>44093.0</v>
      </c>
      <c r="B474" s="48">
        <v>208.88</v>
      </c>
    </row>
    <row r="475">
      <c r="A475" s="192">
        <v>44094.0</v>
      </c>
      <c r="B475" s="48">
        <v>163.97</v>
      </c>
    </row>
    <row r="476">
      <c r="A476" s="192">
        <v>44095.0</v>
      </c>
      <c r="B476" s="48">
        <v>164.08</v>
      </c>
    </row>
    <row r="477">
      <c r="A477" s="192">
        <v>44099.0</v>
      </c>
      <c r="B477" s="48">
        <v>185.16</v>
      </c>
    </row>
    <row r="478">
      <c r="A478" s="192">
        <v>44101.0</v>
      </c>
      <c r="B478" s="48">
        <v>148.08</v>
      </c>
    </row>
    <row r="479">
      <c r="A479" s="192">
        <v>44102.0</v>
      </c>
      <c r="B479" s="48">
        <v>145.44</v>
      </c>
    </row>
    <row r="480">
      <c r="A480" s="192">
        <v>44103.0</v>
      </c>
      <c r="B480" s="48">
        <v>150.84</v>
      </c>
    </row>
    <row r="481">
      <c r="A481" s="192">
        <v>44104.0</v>
      </c>
      <c r="B481" s="48">
        <v>149.29</v>
      </c>
    </row>
    <row r="482">
      <c r="A482" s="192">
        <v>44105.0</v>
      </c>
      <c r="B482" s="48">
        <v>146.09</v>
      </c>
    </row>
    <row r="483">
      <c r="A483" s="192">
        <v>44106.0</v>
      </c>
      <c r="B483" s="48">
        <v>151.58</v>
      </c>
    </row>
    <row r="484">
      <c r="A484" s="192">
        <v>44107.0</v>
      </c>
      <c r="B484" s="48">
        <v>142.61</v>
      </c>
    </row>
    <row r="485">
      <c r="A485" s="192">
        <v>44108.0</v>
      </c>
      <c r="B485" s="48">
        <v>153.94</v>
      </c>
    </row>
    <row r="486">
      <c r="A486" s="192">
        <v>44109.0</v>
      </c>
      <c r="B486" s="48">
        <v>144.81</v>
      </c>
    </row>
    <row r="487">
      <c r="A487" s="192">
        <v>44110.0</v>
      </c>
      <c r="B487" s="48">
        <v>156.56</v>
      </c>
    </row>
    <row r="488">
      <c r="A488" s="192">
        <v>44111.0</v>
      </c>
      <c r="B488" s="48">
        <v>140.87</v>
      </c>
    </row>
    <row r="489">
      <c r="A489" s="192">
        <v>44112.0</v>
      </c>
      <c r="B489" s="48">
        <v>156.11</v>
      </c>
    </row>
    <row r="490">
      <c r="A490" s="192">
        <v>44113.0</v>
      </c>
      <c r="B490" s="48">
        <v>147.08</v>
      </c>
    </row>
    <row r="491">
      <c r="A491" s="192">
        <v>44114.0</v>
      </c>
      <c r="B491" s="48">
        <v>149.68</v>
      </c>
    </row>
    <row r="492">
      <c r="A492" s="192">
        <v>44115.0</v>
      </c>
      <c r="B492" s="48">
        <v>149.04</v>
      </c>
    </row>
    <row r="493">
      <c r="A493" s="192">
        <v>44116.0</v>
      </c>
      <c r="B493" s="48">
        <v>144.53</v>
      </c>
    </row>
    <row r="494">
      <c r="A494" s="192">
        <v>44117.0</v>
      </c>
      <c r="B494" s="48">
        <v>159.86</v>
      </c>
    </row>
    <row r="495">
      <c r="A495" s="192">
        <v>44118.0</v>
      </c>
      <c r="B495" s="48">
        <v>155.85</v>
      </c>
    </row>
    <row r="496">
      <c r="A496" s="192">
        <v>44119.0</v>
      </c>
      <c r="B496" s="48">
        <v>158.38</v>
      </c>
    </row>
    <row r="497">
      <c r="A497" s="192">
        <v>44120.0</v>
      </c>
      <c r="B497" s="48">
        <v>152.18</v>
      </c>
    </row>
    <row r="498">
      <c r="A498" s="192">
        <v>44121.0</v>
      </c>
      <c r="B498" s="48">
        <v>156.06</v>
      </c>
    </row>
    <row r="499">
      <c r="A499" s="192">
        <v>44122.0</v>
      </c>
      <c r="B499" s="48">
        <v>150.39</v>
      </c>
    </row>
    <row r="500">
      <c r="A500" s="192">
        <v>44123.0</v>
      </c>
      <c r="B500" s="48">
        <v>160.28</v>
      </c>
    </row>
    <row r="501">
      <c r="A501" s="192">
        <v>44124.0</v>
      </c>
      <c r="B501" s="48">
        <v>153.3</v>
      </c>
    </row>
    <row r="502">
      <c r="A502" s="192">
        <v>44125.0</v>
      </c>
      <c r="B502" s="48">
        <v>143.89</v>
      </c>
    </row>
    <row r="503">
      <c r="A503" s="192">
        <v>44126.0</v>
      </c>
      <c r="B503" s="48">
        <v>142.33</v>
      </c>
    </row>
    <row r="504">
      <c r="A504" s="192">
        <v>44127.0</v>
      </c>
      <c r="B504" s="48">
        <v>147.1</v>
      </c>
    </row>
    <row r="505">
      <c r="A505" s="192">
        <v>44128.0</v>
      </c>
      <c r="B505" s="48">
        <v>147.5</v>
      </c>
    </row>
    <row r="506">
      <c r="A506" s="192">
        <v>44129.0</v>
      </c>
      <c r="B506" s="48">
        <v>139.34</v>
      </c>
    </row>
    <row r="507">
      <c r="A507" s="192">
        <v>44130.0</v>
      </c>
      <c r="B507" s="48">
        <v>136.56</v>
      </c>
    </row>
    <row r="508">
      <c r="A508" s="192">
        <v>44131.0</v>
      </c>
      <c r="B508" s="48">
        <v>143.4</v>
      </c>
    </row>
    <row r="509">
      <c r="A509" s="192">
        <v>44132.0</v>
      </c>
      <c r="B509" s="48">
        <v>161.11</v>
      </c>
    </row>
    <row r="510">
      <c r="A510" s="192">
        <v>44133.0</v>
      </c>
      <c r="B510" s="48">
        <v>133.32</v>
      </c>
    </row>
    <row r="511">
      <c r="A511" s="192">
        <v>44134.0</v>
      </c>
      <c r="B511" s="48">
        <v>145.1</v>
      </c>
    </row>
    <row r="512">
      <c r="A512" s="192">
        <v>44135.0</v>
      </c>
      <c r="B512" s="48">
        <v>138.43</v>
      </c>
    </row>
    <row r="513">
      <c r="A513" s="192">
        <v>44136.0</v>
      </c>
      <c r="B513" s="48">
        <v>129.99</v>
      </c>
    </row>
    <row r="514">
      <c r="A514" s="192">
        <v>44137.0</v>
      </c>
      <c r="B514" s="48">
        <v>146.02</v>
      </c>
    </row>
    <row r="515">
      <c r="A515" s="192">
        <v>44138.0</v>
      </c>
      <c r="B515" s="48">
        <v>139.24</v>
      </c>
    </row>
    <row r="516">
      <c r="A516" s="192">
        <v>44139.0</v>
      </c>
      <c r="B516" s="48">
        <v>146.57</v>
      </c>
    </row>
    <row r="517">
      <c r="A517" s="192">
        <v>44140.0</v>
      </c>
      <c r="B517" s="48">
        <v>149.54</v>
      </c>
    </row>
    <row r="518">
      <c r="A518" s="192">
        <v>44141.0</v>
      </c>
      <c r="B518" s="48">
        <v>135.45</v>
      </c>
    </row>
    <row r="519">
      <c r="A519" s="192">
        <v>44142.0</v>
      </c>
      <c r="B519" s="48">
        <v>136.33</v>
      </c>
    </row>
    <row r="520">
      <c r="A520" s="192">
        <v>44143.0</v>
      </c>
      <c r="B520" s="48">
        <v>155.51</v>
      </c>
    </row>
    <row r="521">
      <c r="A521" s="192">
        <v>44144.0</v>
      </c>
      <c r="B521" s="48">
        <v>141.7</v>
      </c>
    </row>
    <row r="522">
      <c r="A522" s="192">
        <v>44145.0</v>
      </c>
      <c r="B522" s="48">
        <v>144.97</v>
      </c>
    </row>
    <row r="523">
      <c r="A523" s="192">
        <v>44146.0</v>
      </c>
      <c r="B523" s="48">
        <v>143.2</v>
      </c>
    </row>
    <row r="524">
      <c r="A524" s="192">
        <v>44147.0</v>
      </c>
      <c r="B524" s="48">
        <v>138.5</v>
      </c>
    </row>
    <row r="525">
      <c r="A525" s="192">
        <v>44149.0</v>
      </c>
      <c r="B525" s="48">
        <v>132.62</v>
      </c>
    </row>
    <row r="526">
      <c r="A526" s="192">
        <v>44201.0</v>
      </c>
      <c r="B526" s="48">
        <v>149.34</v>
      </c>
    </row>
    <row r="527">
      <c r="A527" s="192">
        <v>44202.0</v>
      </c>
      <c r="B527" s="48">
        <v>151.59</v>
      </c>
    </row>
    <row r="528">
      <c r="A528" s="192">
        <v>44203.0</v>
      </c>
      <c r="B528" s="48">
        <v>122.84</v>
      </c>
    </row>
    <row r="529">
      <c r="A529" s="192">
        <v>44212.0</v>
      </c>
      <c r="B529" s="48">
        <v>126.64</v>
      </c>
    </row>
    <row r="530">
      <c r="A530" s="192">
        <v>44214.0</v>
      </c>
      <c r="B530" s="48">
        <v>102.54</v>
      </c>
    </row>
    <row r="531">
      <c r="A531" s="192">
        <v>44215.0</v>
      </c>
      <c r="B531" s="48">
        <v>113.12</v>
      </c>
    </row>
    <row r="532">
      <c r="A532" s="192">
        <v>44216.0</v>
      </c>
      <c r="B532" s="48">
        <v>131.09</v>
      </c>
    </row>
    <row r="533">
      <c r="A533" s="192">
        <v>44217.0</v>
      </c>
      <c r="B533" s="48">
        <v>105.95</v>
      </c>
    </row>
    <row r="534">
      <c r="A534" s="192">
        <v>44221.0</v>
      </c>
      <c r="B534" s="48">
        <v>136.43</v>
      </c>
    </row>
    <row r="535">
      <c r="A535" s="192">
        <v>44223.0</v>
      </c>
      <c r="B535" s="48">
        <v>133.89</v>
      </c>
    </row>
    <row r="536">
      <c r="A536" s="192">
        <v>44224.0</v>
      </c>
      <c r="B536" s="48">
        <v>140.49</v>
      </c>
    </row>
    <row r="537">
      <c r="A537" s="192">
        <v>44230.0</v>
      </c>
      <c r="B537" s="48">
        <v>126.3</v>
      </c>
    </row>
    <row r="538">
      <c r="A538" s="192">
        <v>44231.0</v>
      </c>
      <c r="B538" s="48">
        <v>167.31</v>
      </c>
    </row>
    <row r="539">
      <c r="A539" s="192">
        <v>44232.0</v>
      </c>
      <c r="B539" s="48">
        <v>136.61</v>
      </c>
    </row>
    <row r="540">
      <c r="A540" s="192">
        <v>44233.0</v>
      </c>
      <c r="B540" s="48">
        <v>127.41</v>
      </c>
    </row>
    <row r="541">
      <c r="A541" s="192">
        <v>44234.0</v>
      </c>
      <c r="B541" s="48">
        <v>162.3</v>
      </c>
    </row>
    <row r="542">
      <c r="A542" s="192">
        <v>44235.0</v>
      </c>
      <c r="B542" s="48">
        <v>102.35</v>
      </c>
    </row>
    <row r="543">
      <c r="A543" s="192">
        <v>44236.0</v>
      </c>
      <c r="B543" s="48">
        <v>143.75</v>
      </c>
    </row>
    <row r="544">
      <c r="A544" s="192">
        <v>44240.0</v>
      </c>
      <c r="B544" s="48">
        <v>141.81</v>
      </c>
    </row>
    <row r="545">
      <c r="A545" s="192">
        <v>44241.0</v>
      </c>
      <c r="B545" s="48">
        <v>149.75</v>
      </c>
    </row>
    <row r="546">
      <c r="A546" s="192">
        <v>44243.0</v>
      </c>
      <c r="B546" s="48">
        <v>144.71</v>
      </c>
    </row>
    <row r="547">
      <c r="A547" s="192">
        <v>44250.0</v>
      </c>
      <c r="B547" s="48">
        <v>134.32</v>
      </c>
    </row>
    <row r="548">
      <c r="A548" s="192">
        <v>44251.0</v>
      </c>
      <c r="B548" s="48">
        <v>107.96</v>
      </c>
    </row>
    <row r="549">
      <c r="A549" s="192">
        <v>44253.0</v>
      </c>
      <c r="B549" s="48">
        <v>113.59</v>
      </c>
    </row>
    <row r="550">
      <c r="A550" s="192">
        <v>44254.0</v>
      </c>
      <c r="B550" s="48">
        <v>106.15</v>
      </c>
    </row>
    <row r="551">
      <c r="A551" s="192">
        <v>44255.0</v>
      </c>
      <c r="B551" s="48">
        <v>159.05</v>
      </c>
    </row>
    <row r="552">
      <c r="A552" s="192">
        <v>44256.0</v>
      </c>
      <c r="B552" s="48">
        <v>117.96</v>
      </c>
    </row>
    <row r="553">
      <c r="A553" s="192">
        <v>44260.0</v>
      </c>
      <c r="B553" s="48">
        <v>137.88</v>
      </c>
    </row>
    <row r="554">
      <c r="A554" s="192">
        <v>44262.0</v>
      </c>
      <c r="B554" s="48">
        <v>138.97</v>
      </c>
    </row>
    <row r="555">
      <c r="A555" s="192">
        <v>44264.0</v>
      </c>
      <c r="B555" s="48">
        <v>133.56</v>
      </c>
    </row>
    <row r="556">
      <c r="A556" s="192">
        <v>44266.0</v>
      </c>
      <c r="B556" s="48">
        <v>151.86</v>
      </c>
    </row>
    <row r="557">
      <c r="A557" s="192">
        <v>44270.0</v>
      </c>
      <c r="B557" s="48">
        <v>114.82</v>
      </c>
    </row>
    <row r="558">
      <c r="A558" s="192">
        <v>44272.0</v>
      </c>
      <c r="B558" s="48">
        <v>152.49</v>
      </c>
    </row>
    <row r="559">
      <c r="A559" s="192">
        <v>44273.0</v>
      </c>
      <c r="B559" s="48">
        <v>112.31</v>
      </c>
    </row>
    <row r="560">
      <c r="A560" s="192">
        <v>44274.0</v>
      </c>
      <c r="B560" s="48">
        <v>120.92</v>
      </c>
    </row>
    <row r="561">
      <c r="A561" s="192">
        <v>44275.0</v>
      </c>
      <c r="B561" s="48">
        <v>108.46</v>
      </c>
    </row>
    <row r="562">
      <c r="A562" s="192">
        <v>44276.0</v>
      </c>
      <c r="B562" s="48">
        <v>110.89</v>
      </c>
    </row>
    <row r="563">
      <c r="A563" s="192">
        <v>44278.0</v>
      </c>
      <c r="B563" s="48">
        <v>137.61</v>
      </c>
    </row>
    <row r="564">
      <c r="A564" s="192">
        <v>44280.0</v>
      </c>
      <c r="B564" s="48">
        <v>121.73</v>
      </c>
    </row>
    <row r="565">
      <c r="A565" s="192">
        <v>44281.0</v>
      </c>
      <c r="B565" s="48">
        <v>117.43</v>
      </c>
    </row>
    <row r="566">
      <c r="A566" s="192">
        <v>44285.0</v>
      </c>
      <c r="B566" s="48">
        <v>158.29</v>
      </c>
    </row>
    <row r="567">
      <c r="A567" s="192">
        <v>44286.0</v>
      </c>
      <c r="B567" s="48">
        <v>128.65</v>
      </c>
    </row>
    <row r="568">
      <c r="A568" s="192">
        <v>44287.0</v>
      </c>
      <c r="B568" s="48">
        <v>96.03</v>
      </c>
    </row>
    <row r="569">
      <c r="A569" s="192">
        <v>44288.0</v>
      </c>
      <c r="B569" s="48">
        <v>159.91</v>
      </c>
    </row>
    <row r="570">
      <c r="A570" s="192">
        <v>44301.0</v>
      </c>
      <c r="B570" s="48">
        <v>129.15</v>
      </c>
    </row>
    <row r="571">
      <c r="A571" s="192">
        <v>44302.0</v>
      </c>
      <c r="B571" s="48">
        <v>131.51</v>
      </c>
    </row>
    <row r="572">
      <c r="A572" s="192">
        <v>44303.0</v>
      </c>
      <c r="B572" s="48">
        <v>133.08</v>
      </c>
    </row>
    <row r="573">
      <c r="A573" s="192">
        <v>44304.0</v>
      </c>
      <c r="B573" s="48">
        <v>132.2</v>
      </c>
    </row>
    <row r="574">
      <c r="A574" s="192">
        <v>44305.0</v>
      </c>
      <c r="B574" s="48">
        <v>134.26</v>
      </c>
    </row>
    <row r="575">
      <c r="A575" s="192">
        <v>44306.0</v>
      </c>
      <c r="B575" s="48">
        <v>131.25</v>
      </c>
    </row>
    <row r="576">
      <c r="A576" s="192">
        <v>44307.0</v>
      </c>
      <c r="B576" s="48">
        <v>129.75</v>
      </c>
    </row>
    <row r="577">
      <c r="A577" s="192">
        <v>44308.0</v>
      </c>
      <c r="B577" s="48">
        <v>131.47</v>
      </c>
    </row>
    <row r="578">
      <c r="A578" s="192">
        <v>44310.0</v>
      </c>
      <c r="B578" s="48">
        <v>133.69</v>
      </c>
    </row>
    <row r="579">
      <c r="A579" s="192">
        <v>44311.0</v>
      </c>
      <c r="B579" s="48">
        <v>129.93</v>
      </c>
    </row>
    <row r="580">
      <c r="A580" s="192">
        <v>44312.0</v>
      </c>
      <c r="B580" s="48">
        <v>132.98</v>
      </c>
    </row>
    <row r="581">
      <c r="A581" s="192">
        <v>44313.0</v>
      </c>
      <c r="B581" s="48">
        <v>128.84</v>
      </c>
    </row>
    <row r="582">
      <c r="A582" s="192">
        <v>44314.0</v>
      </c>
      <c r="B582" s="48">
        <v>128.09</v>
      </c>
    </row>
    <row r="583">
      <c r="A583" s="192">
        <v>44319.0</v>
      </c>
      <c r="B583" s="48">
        <v>131.53</v>
      </c>
    </row>
    <row r="584">
      <c r="A584" s="192">
        <v>44320.0</v>
      </c>
      <c r="B584" s="48">
        <v>127.09</v>
      </c>
    </row>
    <row r="585">
      <c r="A585" s="192">
        <v>44321.0</v>
      </c>
      <c r="B585" s="48">
        <v>125.52</v>
      </c>
    </row>
    <row r="586">
      <c r="A586" s="192">
        <v>44325.0</v>
      </c>
      <c r="B586" s="48">
        <v>131.55</v>
      </c>
    </row>
    <row r="587">
      <c r="A587" s="192">
        <v>44333.0</v>
      </c>
      <c r="B587" s="48">
        <v>127.58</v>
      </c>
    </row>
    <row r="588">
      <c r="A588" s="192">
        <v>44401.0</v>
      </c>
      <c r="B588" s="48">
        <v>166.72</v>
      </c>
    </row>
    <row r="589">
      <c r="A589" s="192">
        <v>44402.0</v>
      </c>
      <c r="B589" s="48">
        <v>182.25</v>
      </c>
    </row>
    <row r="590">
      <c r="A590" s="192">
        <v>44403.0</v>
      </c>
      <c r="B590" s="48">
        <v>188.04</v>
      </c>
    </row>
    <row r="591">
      <c r="A591" s="192">
        <v>44404.0</v>
      </c>
      <c r="B591" s="48">
        <v>194.08</v>
      </c>
    </row>
    <row r="592">
      <c r="A592" s="192">
        <v>44405.0</v>
      </c>
      <c r="B592" s="48">
        <v>182.05</v>
      </c>
    </row>
    <row r="593">
      <c r="A593" s="192">
        <v>44406.0</v>
      </c>
      <c r="B593" s="48">
        <v>174.0</v>
      </c>
    </row>
    <row r="594">
      <c r="A594" s="192">
        <v>44408.0</v>
      </c>
      <c r="B594" s="48">
        <v>189.76</v>
      </c>
    </row>
    <row r="595">
      <c r="A595" s="192">
        <v>44410.0</v>
      </c>
      <c r="B595" s="48">
        <v>183.17</v>
      </c>
    </row>
    <row r="596">
      <c r="A596" s="192">
        <v>44411.0</v>
      </c>
      <c r="B596" s="48">
        <v>160.74</v>
      </c>
    </row>
    <row r="597">
      <c r="A597" s="192">
        <v>44412.0</v>
      </c>
      <c r="B597" s="48">
        <v>158.04</v>
      </c>
    </row>
    <row r="598">
      <c r="A598" s="192">
        <v>44413.0</v>
      </c>
      <c r="B598" s="48">
        <v>194.39</v>
      </c>
    </row>
    <row r="599">
      <c r="A599" s="192">
        <v>44415.0</v>
      </c>
      <c r="B599" s="48">
        <v>170.44</v>
      </c>
    </row>
    <row r="600">
      <c r="A600" s="192">
        <v>44417.0</v>
      </c>
      <c r="B600" s="48">
        <v>197.37</v>
      </c>
    </row>
    <row r="601">
      <c r="A601" s="192">
        <v>44418.0</v>
      </c>
      <c r="B601" s="48">
        <v>194.1</v>
      </c>
    </row>
    <row r="602">
      <c r="A602" s="192">
        <v>44420.0</v>
      </c>
      <c r="B602" s="48">
        <v>179.96</v>
      </c>
    </row>
    <row r="603">
      <c r="A603" s="192">
        <v>44423.0</v>
      </c>
      <c r="B603" s="48">
        <v>160.71</v>
      </c>
    </row>
    <row r="604">
      <c r="A604" s="192">
        <v>44424.0</v>
      </c>
      <c r="B604" s="48">
        <v>192.46</v>
      </c>
    </row>
    <row r="605">
      <c r="A605" s="192">
        <v>44425.0</v>
      </c>
      <c r="B605" s="48">
        <v>183.82</v>
      </c>
    </row>
    <row r="606">
      <c r="A606" s="192">
        <v>44427.0</v>
      </c>
      <c r="B606" s="48">
        <v>159.53</v>
      </c>
    </row>
    <row r="607">
      <c r="A607" s="192">
        <v>44428.0</v>
      </c>
      <c r="B607" s="48">
        <v>201.15</v>
      </c>
    </row>
    <row r="608">
      <c r="A608" s="192">
        <v>44429.0</v>
      </c>
      <c r="B608" s="48">
        <v>159.94</v>
      </c>
    </row>
    <row r="609">
      <c r="A609" s="192">
        <v>44430.0</v>
      </c>
      <c r="B609" s="48">
        <v>169.2</v>
      </c>
    </row>
    <row r="610">
      <c r="A610" s="192">
        <v>44431.0</v>
      </c>
      <c r="B610" s="48">
        <v>170.6</v>
      </c>
    </row>
    <row r="611">
      <c r="A611" s="192">
        <v>44432.0</v>
      </c>
      <c r="B611" s="48">
        <v>170.58</v>
      </c>
    </row>
    <row r="612">
      <c r="A612" s="192">
        <v>44436.0</v>
      </c>
      <c r="B612" s="48">
        <v>187.4</v>
      </c>
    </row>
    <row r="613">
      <c r="A613" s="192">
        <v>44437.0</v>
      </c>
      <c r="B613" s="48">
        <v>176.05</v>
      </c>
    </row>
    <row r="614">
      <c r="A614" s="192">
        <v>44438.0</v>
      </c>
      <c r="B614" s="48">
        <v>190.68</v>
      </c>
    </row>
    <row r="615">
      <c r="A615" s="192">
        <v>44439.0</v>
      </c>
      <c r="B615" s="48">
        <v>181.8</v>
      </c>
    </row>
    <row r="616">
      <c r="A616" s="192">
        <v>44440.0</v>
      </c>
      <c r="B616" s="48">
        <v>173.27</v>
      </c>
    </row>
    <row r="617">
      <c r="A617" s="192">
        <v>44441.0</v>
      </c>
      <c r="B617" s="48">
        <v>180.43</v>
      </c>
    </row>
    <row r="618">
      <c r="A618" s="192">
        <v>44442.0</v>
      </c>
      <c r="B618" s="48">
        <v>190.44</v>
      </c>
    </row>
    <row r="619">
      <c r="A619" s="192">
        <v>44443.0</v>
      </c>
      <c r="B619" s="48">
        <v>189.17</v>
      </c>
    </row>
    <row r="620">
      <c r="A620" s="192">
        <v>44444.0</v>
      </c>
      <c r="B620" s="48">
        <v>164.27</v>
      </c>
    </row>
    <row r="621">
      <c r="A621" s="192">
        <v>44445.0</v>
      </c>
      <c r="B621" s="48">
        <v>192.85</v>
      </c>
    </row>
    <row r="622">
      <c r="A622" s="192">
        <v>44446.0</v>
      </c>
      <c r="B622" s="48">
        <v>175.7</v>
      </c>
    </row>
    <row r="623">
      <c r="A623" s="192">
        <v>44449.0</v>
      </c>
      <c r="B623" s="48">
        <v>162.31</v>
      </c>
    </row>
    <row r="624">
      <c r="A624" s="192">
        <v>44450.0</v>
      </c>
      <c r="B624" s="48">
        <v>186.92</v>
      </c>
    </row>
    <row r="625">
      <c r="A625" s="192">
        <v>44451.0</v>
      </c>
      <c r="B625" s="48">
        <v>166.3</v>
      </c>
    </row>
    <row r="626">
      <c r="A626" s="192">
        <v>44452.0</v>
      </c>
      <c r="B626" s="48">
        <v>185.76</v>
      </c>
    </row>
    <row r="627">
      <c r="A627" s="192">
        <v>44454.0</v>
      </c>
      <c r="B627" s="48">
        <v>192.96</v>
      </c>
    </row>
    <row r="628">
      <c r="A628" s="192">
        <v>44455.0</v>
      </c>
      <c r="B628" s="48">
        <v>178.52</v>
      </c>
    </row>
    <row r="629">
      <c r="A629" s="192">
        <v>44460.0</v>
      </c>
      <c r="B629" s="48">
        <v>171.24</v>
      </c>
    </row>
    <row r="630">
      <c r="A630" s="192">
        <v>44470.0</v>
      </c>
      <c r="B630" s="48">
        <v>170.43</v>
      </c>
    </row>
    <row r="631">
      <c r="A631" s="192">
        <v>44471.0</v>
      </c>
      <c r="B631" s="48">
        <v>183.1</v>
      </c>
    </row>
    <row r="632">
      <c r="A632" s="192">
        <v>44473.0</v>
      </c>
      <c r="B632" s="48">
        <v>185.52</v>
      </c>
    </row>
    <row r="633">
      <c r="A633" s="192">
        <v>44481.0</v>
      </c>
      <c r="B633" s="48">
        <v>172.6</v>
      </c>
    </row>
    <row r="634">
      <c r="A634" s="192">
        <v>44483.0</v>
      </c>
      <c r="B634" s="48">
        <v>175.29</v>
      </c>
    </row>
    <row r="635">
      <c r="A635" s="192">
        <v>44484.0</v>
      </c>
      <c r="B635" s="48">
        <v>183.96</v>
      </c>
    </row>
    <row r="636">
      <c r="A636" s="192">
        <v>44485.0</v>
      </c>
      <c r="B636" s="48">
        <v>170.45</v>
      </c>
    </row>
    <row r="637">
      <c r="A637" s="192">
        <v>44490.0</v>
      </c>
      <c r="B637" s="48">
        <v>179.21</v>
      </c>
    </row>
    <row r="638">
      <c r="A638" s="192">
        <v>44491.0</v>
      </c>
      <c r="B638" s="48">
        <v>176.16</v>
      </c>
    </row>
    <row r="639">
      <c r="A639" s="192">
        <v>44493.0</v>
      </c>
      <c r="B639" s="48">
        <v>161.15</v>
      </c>
    </row>
    <row r="640">
      <c r="A640" s="192">
        <v>44502.0</v>
      </c>
      <c r="B640" s="48">
        <v>179.73</v>
      </c>
    </row>
    <row r="641">
      <c r="A641" s="192">
        <v>44503.0</v>
      </c>
      <c r="B641" s="48">
        <v>178.72</v>
      </c>
    </row>
    <row r="642">
      <c r="A642" s="192">
        <v>44504.0</v>
      </c>
      <c r="B642" s="48">
        <v>178.07</v>
      </c>
    </row>
    <row r="643">
      <c r="A643" s="192">
        <v>44505.0</v>
      </c>
      <c r="B643" s="48">
        <v>181.44</v>
      </c>
    </row>
    <row r="644">
      <c r="A644" s="192">
        <v>44506.0</v>
      </c>
      <c r="B644" s="48">
        <v>179.6</v>
      </c>
    </row>
    <row r="645">
      <c r="A645" s="192">
        <v>44507.0</v>
      </c>
      <c r="B645" s="48">
        <v>179.15</v>
      </c>
    </row>
    <row r="646">
      <c r="A646" s="192">
        <v>44509.0</v>
      </c>
      <c r="B646" s="48">
        <v>175.9</v>
      </c>
    </row>
    <row r="647">
      <c r="A647" s="192">
        <v>44510.0</v>
      </c>
      <c r="B647" s="48">
        <v>178.25</v>
      </c>
    </row>
    <row r="648">
      <c r="A648" s="192">
        <v>44511.0</v>
      </c>
      <c r="B648" s="48">
        <v>178.16</v>
      </c>
    </row>
    <row r="649">
      <c r="A649" s="192">
        <v>44512.0</v>
      </c>
      <c r="B649" s="48">
        <v>183.09</v>
      </c>
    </row>
    <row r="650">
      <c r="A650" s="192">
        <v>44514.0</v>
      </c>
      <c r="B650" s="48">
        <v>186.92</v>
      </c>
    </row>
    <row r="651">
      <c r="A651" s="192">
        <v>44515.0</v>
      </c>
      <c r="B651" s="48">
        <v>173.23</v>
      </c>
    </row>
    <row r="652">
      <c r="A652" s="192">
        <v>44555.0</v>
      </c>
      <c r="B652" s="48">
        <v>178.47</v>
      </c>
    </row>
    <row r="653">
      <c r="A653" s="192">
        <v>44601.0</v>
      </c>
      <c r="B653" s="48">
        <v>151.4</v>
      </c>
    </row>
    <row r="654">
      <c r="A654" s="192">
        <v>44606.0</v>
      </c>
      <c r="B654" s="48">
        <v>110.37</v>
      </c>
    </row>
    <row r="655">
      <c r="A655" s="192">
        <v>44607.0</v>
      </c>
      <c r="B655" s="48">
        <v>155.08</v>
      </c>
    </row>
    <row r="656">
      <c r="A656" s="192">
        <v>44608.0</v>
      </c>
      <c r="B656" s="48">
        <v>122.49</v>
      </c>
    </row>
    <row r="657">
      <c r="A657" s="192">
        <v>44609.0</v>
      </c>
      <c r="B657" s="48">
        <v>159.73</v>
      </c>
    </row>
    <row r="658">
      <c r="A658" s="192">
        <v>44610.0</v>
      </c>
      <c r="B658" s="48">
        <v>112.38</v>
      </c>
    </row>
    <row r="659">
      <c r="A659" s="192">
        <v>44611.0</v>
      </c>
      <c r="B659" s="48">
        <v>95.42</v>
      </c>
    </row>
    <row r="660">
      <c r="A660" s="192">
        <v>44612.0</v>
      </c>
      <c r="B660" s="48">
        <v>134.25</v>
      </c>
    </row>
    <row r="661">
      <c r="A661" s="192">
        <v>44613.0</v>
      </c>
      <c r="B661" s="48">
        <v>125.34</v>
      </c>
    </row>
    <row r="662">
      <c r="A662" s="192">
        <v>44614.0</v>
      </c>
      <c r="B662" s="48">
        <v>124.19</v>
      </c>
    </row>
    <row r="663">
      <c r="A663" s="192">
        <v>44615.0</v>
      </c>
      <c r="B663" s="48">
        <v>145.73</v>
      </c>
    </row>
    <row r="664">
      <c r="A664" s="192">
        <v>44618.0</v>
      </c>
      <c r="B664" s="48">
        <v>117.96</v>
      </c>
    </row>
    <row r="665">
      <c r="A665" s="192">
        <v>44619.0</v>
      </c>
      <c r="B665" s="48">
        <v>169.07</v>
      </c>
    </row>
    <row r="666">
      <c r="A666" s="192">
        <v>44620.0</v>
      </c>
      <c r="B666" s="48">
        <v>137.1</v>
      </c>
    </row>
    <row r="667">
      <c r="A667" s="192">
        <v>44621.0</v>
      </c>
      <c r="B667" s="48">
        <v>122.24</v>
      </c>
    </row>
    <row r="668">
      <c r="A668" s="192">
        <v>44622.0</v>
      </c>
      <c r="B668" s="48">
        <v>125.55</v>
      </c>
    </row>
    <row r="669">
      <c r="A669" s="192">
        <v>44624.0</v>
      </c>
      <c r="B669" s="48">
        <v>123.49</v>
      </c>
    </row>
    <row r="670">
      <c r="A670" s="192">
        <v>44625.0</v>
      </c>
      <c r="B670" s="48">
        <v>154.79</v>
      </c>
    </row>
    <row r="671">
      <c r="A671" s="192">
        <v>44626.0</v>
      </c>
      <c r="B671" s="48">
        <v>136.07</v>
      </c>
    </row>
    <row r="672">
      <c r="A672" s="192">
        <v>44627.0</v>
      </c>
      <c r="B672" s="48">
        <v>113.05</v>
      </c>
    </row>
    <row r="673">
      <c r="A673" s="192">
        <v>44628.0</v>
      </c>
      <c r="B673" s="48">
        <v>77.95</v>
      </c>
    </row>
    <row r="674">
      <c r="A674" s="192">
        <v>44629.0</v>
      </c>
      <c r="B674" s="48">
        <v>113.32</v>
      </c>
    </row>
    <row r="675">
      <c r="A675" s="192">
        <v>44630.0</v>
      </c>
      <c r="B675" s="48">
        <v>141.46</v>
      </c>
    </row>
    <row r="676">
      <c r="A676" s="192">
        <v>44632.0</v>
      </c>
      <c r="B676" s="48">
        <v>145.6</v>
      </c>
    </row>
    <row r="677">
      <c r="A677" s="192">
        <v>44633.0</v>
      </c>
      <c r="B677" s="48">
        <v>113.84</v>
      </c>
    </row>
    <row r="678">
      <c r="A678" s="192">
        <v>44634.0</v>
      </c>
      <c r="B678" s="48">
        <v>152.15</v>
      </c>
    </row>
    <row r="679">
      <c r="A679" s="192">
        <v>44637.0</v>
      </c>
      <c r="B679" s="48">
        <v>82.17</v>
      </c>
    </row>
    <row r="680">
      <c r="A680" s="192">
        <v>44638.0</v>
      </c>
      <c r="B680" s="48">
        <v>96.9</v>
      </c>
    </row>
    <row r="681">
      <c r="A681" s="192">
        <v>44639.0</v>
      </c>
      <c r="B681" s="48">
        <v>128.52</v>
      </c>
    </row>
    <row r="682">
      <c r="A682" s="192">
        <v>44640.0</v>
      </c>
      <c r="B682" s="48">
        <v>151.81</v>
      </c>
    </row>
    <row r="683">
      <c r="A683" s="192">
        <v>44641.0</v>
      </c>
      <c r="B683" s="48">
        <v>143.81</v>
      </c>
    </row>
    <row r="684">
      <c r="A684" s="192">
        <v>44643.0</v>
      </c>
      <c r="B684" s="48">
        <v>145.43</v>
      </c>
    </row>
    <row r="685">
      <c r="A685" s="192">
        <v>44644.0</v>
      </c>
      <c r="B685" s="48">
        <v>148.18</v>
      </c>
    </row>
    <row r="686">
      <c r="A686" s="192">
        <v>44645.0</v>
      </c>
      <c r="B686" s="48">
        <v>117.97</v>
      </c>
    </row>
    <row r="687">
      <c r="A687" s="192">
        <v>44646.0</v>
      </c>
      <c r="B687" s="48">
        <v>126.31</v>
      </c>
    </row>
    <row r="688">
      <c r="A688" s="192">
        <v>44647.0</v>
      </c>
      <c r="B688" s="48">
        <v>121.36</v>
      </c>
    </row>
    <row r="689">
      <c r="A689" s="192">
        <v>44651.0</v>
      </c>
      <c r="B689" s="48">
        <v>158.92</v>
      </c>
    </row>
    <row r="690">
      <c r="A690" s="192">
        <v>44652.0</v>
      </c>
      <c r="B690" s="48">
        <v>146.13</v>
      </c>
    </row>
    <row r="691">
      <c r="A691" s="192">
        <v>44653.0</v>
      </c>
      <c r="B691" s="48">
        <v>121.9</v>
      </c>
    </row>
    <row r="692">
      <c r="A692" s="192">
        <v>44654.0</v>
      </c>
      <c r="B692" s="48">
        <v>94.94</v>
      </c>
    </row>
    <row r="693">
      <c r="A693" s="192">
        <v>44656.0</v>
      </c>
      <c r="B693" s="48">
        <v>132.11</v>
      </c>
    </row>
    <row r="694">
      <c r="A694" s="192">
        <v>44657.0</v>
      </c>
      <c r="B694" s="48">
        <v>151.41</v>
      </c>
    </row>
    <row r="695">
      <c r="A695" s="192">
        <v>44659.0</v>
      </c>
      <c r="B695" s="48">
        <v>115.31</v>
      </c>
    </row>
    <row r="696">
      <c r="A696" s="192">
        <v>44660.0</v>
      </c>
      <c r="B696" s="48">
        <v>117.43</v>
      </c>
    </row>
    <row r="697">
      <c r="A697" s="192">
        <v>44661.0</v>
      </c>
      <c r="B697" s="48">
        <v>91.6</v>
      </c>
    </row>
    <row r="698">
      <c r="A698" s="192">
        <v>44662.0</v>
      </c>
      <c r="B698" s="48">
        <v>128.87</v>
      </c>
    </row>
    <row r="699">
      <c r="A699" s="192">
        <v>44663.0</v>
      </c>
      <c r="B699" s="48">
        <v>120.61</v>
      </c>
    </row>
    <row r="700">
      <c r="A700" s="192">
        <v>44665.0</v>
      </c>
      <c r="B700" s="48">
        <v>155.92</v>
      </c>
    </row>
    <row r="701">
      <c r="A701" s="192">
        <v>44666.0</v>
      </c>
      <c r="B701" s="48">
        <v>121.74</v>
      </c>
    </row>
    <row r="702">
      <c r="A702" s="192">
        <v>44667.0</v>
      </c>
      <c r="B702" s="48">
        <v>114.33</v>
      </c>
    </row>
    <row r="703">
      <c r="A703" s="192">
        <v>44669.0</v>
      </c>
      <c r="B703" s="48">
        <v>145.12</v>
      </c>
    </row>
    <row r="704">
      <c r="A704" s="192">
        <v>44670.0</v>
      </c>
      <c r="B704" s="48">
        <v>2116.31</v>
      </c>
    </row>
    <row r="705">
      <c r="A705" s="192">
        <v>44671.0</v>
      </c>
      <c r="B705" s="48">
        <v>138.67</v>
      </c>
    </row>
    <row r="706">
      <c r="A706" s="192">
        <v>44672.0</v>
      </c>
      <c r="B706" s="48">
        <v>158.14</v>
      </c>
    </row>
    <row r="707">
      <c r="A707" s="192">
        <v>44675.0</v>
      </c>
      <c r="B707" s="48">
        <v>129.13</v>
      </c>
    </row>
    <row r="708">
      <c r="A708" s="192">
        <v>44676.0</v>
      </c>
      <c r="B708" s="48">
        <v>100.46</v>
      </c>
    </row>
    <row r="709">
      <c r="A709" s="192">
        <v>44677.0</v>
      </c>
      <c r="B709" s="48">
        <v>108.96</v>
      </c>
    </row>
    <row r="710">
      <c r="A710" s="192">
        <v>44678.0</v>
      </c>
      <c r="B710" s="48">
        <v>133.64</v>
      </c>
    </row>
    <row r="711">
      <c r="A711" s="192">
        <v>44680.0</v>
      </c>
      <c r="B711" s="48">
        <v>129.67</v>
      </c>
    </row>
    <row r="712">
      <c r="A712" s="192">
        <v>44681.0</v>
      </c>
      <c r="B712" s="48">
        <v>112.31</v>
      </c>
    </row>
    <row r="713">
      <c r="A713" s="192">
        <v>44682.0</v>
      </c>
      <c r="B713" s="48">
        <v>116.74</v>
      </c>
    </row>
    <row r="714">
      <c r="A714" s="192">
        <v>44683.0</v>
      </c>
      <c r="B714" s="48">
        <v>119.75</v>
      </c>
    </row>
    <row r="715">
      <c r="A715" s="192">
        <v>44685.0</v>
      </c>
      <c r="B715" s="48">
        <v>139.68</v>
      </c>
    </row>
    <row r="716">
      <c r="A716" s="192">
        <v>44687.0</v>
      </c>
      <c r="B716" s="48">
        <v>109.72</v>
      </c>
    </row>
    <row r="717">
      <c r="A717" s="192">
        <v>44688.0</v>
      </c>
      <c r="B717" s="48">
        <v>142.2</v>
      </c>
    </row>
    <row r="718">
      <c r="A718" s="192">
        <v>44689.0</v>
      </c>
      <c r="B718" s="48">
        <v>120.52</v>
      </c>
    </row>
    <row r="719">
      <c r="A719" s="192">
        <v>44690.0</v>
      </c>
      <c r="B719" s="48">
        <v>121.0</v>
      </c>
    </row>
    <row r="720">
      <c r="A720" s="192">
        <v>44691.0</v>
      </c>
      <c r="B720" s="48">
        <v>97.61</v>
      </c>
    </row>
    <row r="721">
      <c r="A721" s="192">
        <v>44693.0</v>
      </c>
      <c r="B721" s="48">
        <v>134.84</v>
      </c>
    </row>
    <row r="722">
      <c r="A722" s="192">
        <v>44695.0</v>
      </c>
      <c r="B722" s="48">
        <v>130.8</v>
      </c>
    </row>
    <row r="723">
      <c r="A723" s="192">
        <v>44697.0</v>
      </c>
      <c r="B723" s="48">
        <v>135.91</v>
      </c>
    </row>
    <row r="724">
      <c r="A724" s="192">
        <v>44699.0</v>
      </c>
      <c r="B724" s="48">
        <v>121.92</v>
      </c>
    </row>
    <row r="725">
      <c r="A725" s="192">
        <v>44702.0</v>
      </c>
      <c r="B725" s="48">
        <v>134.05</v>
      </c>
    </row>
    <row r="726">
      <c r="A726" s="192">
        <v>44703.0</v>
      </c>
      <c r="B726" s="48">
        <v>135.17</v>
      </c>
    </row>
    <row r="727">
      <c r="A727" s="192">
        <v>44704.0</v>
      </c>
      <c r="B727" s="48">
        <v>135.52</v>
      </c>
    </row>
    <row r="728">
      <c r="A728" s="192">
        <v>44705.0</v>
      </c>
      <c r="B728" s="48">
        <v>138.79</v>
      </c>
    </row>
    <row r="729">
      <c r="A729" s="192">
        <v>44706.0</v>
      </c>
      <c r="B729" s="48">
        <v>130.24</v>
      </c>
    </row>
    <row r="730">
      <c r="A730" s="192">
        <v>44707.0</v>
      </c>
      <c r="B730" s="48">
        <v>136.51</v>
      </c>
    </row>
    <row r="731">
      <c r="A731" s="192">
        <v>44708.0</v>
      </c>
      <c r="B731" s="48">
        <v>133.39</v>
      </c>
    </row>
    <row r="732">
      <c r="A732" s="192">
        <v>44709.0</v>
      </c>
      <c r="B732" s="48">
        <v>137.4</v>
      </c>
    </row>
    <row r="733">
      <c r="A733" s="192">
        <v>44710.0</v>
      </c>
      <c r="B733" s="48">
        <v>131.25</v>
      </c>
    </row>
    <row r="734">
      <c r="A734" s="192">
        <v>44714.0</v>
      </c>
      <c r="B734" s="48">
        <v>139.57</v>
      </c>
    </row>
    <row r="735">
      <c r="A735" s="192">
        <v>44718.0</v>
      </c>
      <c r="B735" s="48">
        <v>130.27</v>
      </c>
    </row>
    <row r="736">
      <c r="A736" s="192">
        <v>44720.0</v>
      </c>
      <c r="B736" s="48">
        <v>140.96</v>
      </c>
    </row>
    <row r="737">
      <c r="A737" s="192">
        <v>44721.0</v>
      </c>
      <c r="B737" s="48">
        <v>146.19</v>
      </c>
    </row>
    <row r="738">
      <c r="A738" s="192">
        <v>44730.0</v>
      </c>
      <c r="B738" s="48">
        <v>138.39</v>
      </c>
    </row>
    <row r="739">
      <c r="A739" s="192">
        <v>44802.0</v>
      </c>
      <c r="B739" s="48">
        <v>79.87</v>
      </c>
    </row>
    <row r="740">
      <c r="A740" s="192">
        <v>44804.0</v>
      </c>
      <c r="B740" s="48">
        <v>87.87</v>
      </c>
    </row>
    <row r="741">
      <c r="A741" s="192">
        <v>44805.0</v>
      </c>
      <c r="B741" s="48">
        <v>92.48</v>
      </c>
    </row>
    <row r="742">
      <c r="A742" s="192">
        <v>44807.0</v>
      </c>
      <c r="B742" s="48">
        <v>75.04</v>
      </c>
    </row>
    <row r="743">
      <c r="A743" s="192">
        <v>44809.0</v>
      </c>
      <c r="B743" s="48">
        <v>82.78</v>
      </c>
    </row>
    <row r="744">
      <c r="A744" s="192">
        <v>44811.0</v>
      </c>
      <c r="B744" s="48">
        <v>88.92</v>
      </c>
    </row>
    <row r="745">
      <c r="A745" s="192">
        <v>44813.0</v>
      </c>
      <c r="B745" s="48">
        <v>66.79</v>
      </c>
    </row>
    <row r="746">
      <c r="A746" s="192">
        <v>44814.0</v>
      </c>
      <c r="B746" s="48">
        <v>105.57</v>
      </c>
    </row>
    <row r="747">
      <c r="A747" s="192">
        <v>44815.0</v>
      </c>
      <c r="B747" s="48">
        <v>91.68</v>
      </c>
    </row>
    <row r="748">
      <c r="A748" s="192">
        <v>44817.0</v>
      </c>
      <c r="B748" s="48">
        <v>95.58</v>
      </c>
    </row>
    <row r="749">
      <c r="A749" s="192">
        <v>44818.0</v>
      </c>
      <c r="B749" s="48">
        <v>75.44</v>
      </c>
    </row>
    <row r="750">
      <c r="A750" s="192">
        <v>44820.0</v>
      </c>
      <c r="B750" s="48">
        <v>61.41</v>
      </c>
    </row>
    <row r="751">
      <c r="A751" s="192">
        <v>44822.0</v>
      </c>
      <c r="B751" s="48">
        <v>74.49</v>
      </c>
    </row>
    <row r="752">
      <c r="A752" s="192">
        <v>44824.0</v>
      </c>
      <c r="B752" s="48">
        <v>100.83</v>
      </c>
    </row>
    <row r="753">
      <c r="A753" s="192">
        <v>44825.0</v>
      </c>
      <c r="B753" s="48">
        <v>66.94</v>
      </c>
    </row>
    <row r="754">
      <c r="A754" s="192">
        <v>44826.0</v>
      </c>
      <c r="B754" s="48">
        <v>114.29</v>
      </c>
    </row>
    <row r="755">
      <c r="A755" s="192">
        <v>44827.0</v>
      </c>
      <c r="B755" s="48">
        <v>66.96</v>
      </c>
    </row>
    <row r="756">
      <c r="A756" s="192">
        <v>44828.0</v>
      </c>
      <c r="B756" s="48">
        <v>90.79</v>
      </c>
    </row>
    <row r="757">
      <c r="A757" s="192">
        <v>44830.0</v>
      </c>
      <c r="B757" s="48">
        <v>85.98</v>
      </c>
    </row>
    <row r="758">
      <c r="A758" s="192">
        <v>44833.0</v>
      </c>
      <c r="B758" s="48">
        <v>57.54</v>
      </c>
    </row>
    <row r="759">
      <c r="A759" s="192">
        <v>44836.0</v>
      </c>
      <c r="B759" s="48">
        <v>86.5</v>
      </c>
    </row>
    <row r="760">
      <c r="A760" s="192">
        <v>44837.0</v>
      </c>
      <c r="B760" s="48">
        <v>92.07</v>
      </c>
    </row>
    <row r="761">
      <c r="A761" s="192">
        <v>44838.0</v>
      </c>
      <c r="B761" s="48">
        <v>84.21</v>
      </c>
    </row>
    <row r="762">
      <c r="A762" s="192">
        <v>44839.0</v>
      </c>
      <c r="B762" s="48">
        <v>106.9</v>
      </c>
    </row>
    <row r="763">
      <c r="A763" s="192">
        <v>44840.0</v>
      </c>
      <c r="B763" s="48">
        <v>88.7</v>
      </c>
    </row>
    <row r="764">
      <c r="A764" s="192">
        <v>44841.0</v>
      </c>
      <c r="B764" s="48">
        <v>92.85</v>
      </c>
    </row>
    <row r="765">
      <c r="A765" s="192">
        <v>44842.0</v>
      </c>
      <c r="B765" s="48">
        <v>91.41</v>
      </c>
    </row>
    <row r="766">
      <c r="A766" s="192">
        <v>44843.0</v>
      </c>
      <c r="B766" s="48">
        <v>72.81</v>
      </c>
    </row>
    <row r="767">
      <c r="A767" s="192">
        <v>44844.0</v>
      </c>
      <c r="B767" s="48">
        <v>71.24</v>
      </c>
    </row>
    <row r="768">
      <c r="A768" s="192">
        <v>44846.0</v>
      </c>
      <c r="B768" s="48">
        <v>102.84</v>
      </c>
    </row>
    <row r="769">
      <c r="A769" s="192">
        <v>44847.0</v>
      </c>
      <c r="B769" s="48">
        <v>92.79</v>
      </c>
    </row>
    <row r="770">
      <c r="A770" s="192">
        <v>44849.0</v>
      </c>
      <c r="B770" s="48">
        <v>56.73</v>
      </c>
    </row>
    <row r="771">
      <c r="A771" s="192">
        <v>44850.0</v>
      </c>
      <c r="B771" s="48">
        <v>80.21</v>
      </c>
    </row>
    <row r="772">
      <c r="A772" s="192">
        <v>44851.0</v>
      </c>
      <c r="B772" s="48">
        <v>100.57</v>
      </c>
    </row>
    <row r="773">
      <c r="A773" s="192">
        <v>44853.0</v>
      </c>
      <c r="B773" s="48">
        <v>77.19</v>
      </c>
    </row>
    <row r="774">
      <c r="A774" s="192">
        <v>44854.0</v>
      </c>
      <c r="B774" s="48">
        <v>71.12</v>
      </c>
    </row>
    <row r="775">
      <c r="A775" s="192">
        <v>44855.0</v>
      </c>
      <c r="B775" s="48">
        <v>88.72</v>
      </c>
    </row>
    <row r="776">
      <c r="A776" s="192">
        <v>44856.0</v>
      </c>
      <c r="B776" s="48">
        <v>62.89</v>
      </c>
    </row>
    <row r="777">
      <c r="A777" s="192">
        <v>44857.0</v>
      </c>
      <c r="B777" s="48">
        <v>94.5</v>
      </c>
    </row>
    <row r="778">
      <c r="A778" s="192">
        <v>44859.0</v>
      </c>
      <c r="B778" s="48">
        <v>98.86</v>
      </c>
    </row>
    <row r="779">
      <c r="A779" s="192">
        <v>44861.0</v>
      </c>
      <c r="B779" s="48">
        <v>90.7</v>
      </c>
    </row>
    <row r="780">
      <c r="A780" s="192">
        <v>44864.0</v>
      </c>
      <c r="B780" s="48">
        <v>83.62</v>
      </c>
    </row>
    <row r="781">
      <c r="A781" s="192">
        <v>44865.0</v>
      </c>
      <c r="B781" s="48">
        <v>77.94</v>
      </c>
    </row>
    <row r="782">
      <c r="A782" s="192">
        <v>44866.0</v>
      </c>
      <c r="B782" s="48">
        <v>92.12</v>
      </c>
    </row>
    <row r="783">
      <c r="A783" s="192">
        <v>44867.0</v>
      </c>
      <c r="B783" s="48">
        <v>79.39</v>
      </c>
    </row>
    <row r="784">
      <c r="A784" s="192">
        <v>44870.0</v>
      </c>
      <c r="B784" s="48">
        <v>104.63</v>
      </c>
    </row>
    <row r="785">
      <c r="A785" s="192">
        <v>44874.0</v>
      </c>
      <c r="B785" s="48">
        <v>91.11</v>
      </c>
    </row>
    <row r="786">
      <c r="A786" s="192">
        <v>44875.0</v>
      </c>
      <c r="B786" s="48">
        <v>74.86</v>
      </c>
    </row>
    <row r="787">
      <c r="A787" s="192">
        <v>44878.0</v>
      </c>
      <c r="B787" s="48">
        <v>86.78</v>
      </c>
    </row>
    <row r="788">
      <c r="A788" s="192">
        <v>44880.0</v>
      </c>
      <c r="B788" s="48">
        <v>99.52</v>
      </c>
    </row>
    <row r="789">
      <c r="A789" s="192">
        <v>44881.0</v>
      </c>
      <c r="B789" s="48">
        <v>63.91</v>
      </c>
    </row>
    <row r="790">
      <c r="A790" s="192">
        <v>44882.0</v>
      </c>
      <c r="B790" s="48">
        <v>65.06</v>
      </c>
    </row>
    <row r="791">
      <c r="A791" s="192">
        <v>44883.0</v>
      </c>
      <c r="B791" s="48">
        <v>82.8</v>
      </c>
    </row>
    <row r="792">
      <c r="A792" s="192">
        <v>44887.0</v>
      </c>
      <c r="B792" s="48">
        <v>72.53</v>
      </c>
    </row>
    <row r="793">
      <c r="A793" s="192">
        <v>44889.0</v>
      </c>
      <c r="B793" s="48">
        <v>113.29</v>
      </c>
    </row>
    <row r="794">
      <c r="A794" s="192">
        <v>44890.0</v>
      </c>
      <c r="B794" s="48">
        <v>83.91</v>
      </c>
    </row>
    <row r="795">
      <c r="A795" s="192">
        <v>44901.0</v>
      </c>
      <c r="B795" s="48">
        <v>72.42</v>
      </c>
    </row>
    <row r="796">
      <c r="A796" s="192">
        <v>44902.0</v>
      </c>
      <c r="B796" s="48">
        <v>72.3</v>
      </c>
    </row>
    <row r="797">
      <c r="A797" s="192">
        <v>44903.0</v>
      </c>
      <c r="B797" s="48">
        <v>78.79</v>
      </c>
    </row>
    <row r="798">
      <c r="A798" s="192">
        <v>44904.0</v>
      </c>
      <c r="B798" s="48">
        <v>67.95</v>
      </c>
    </row>
    <row r="799">
      <c r="A799" s="192">
        <v>44905.0</v>
      </c>
      <c r="B799" s="48">
        <v>74.16</v>
      </c>
    </row>
    <row r="800">
      <c r="A800" s="192">
        <v>44906.0</v>
      </c>
      <c r="B800" s="48">
        <v>73.32</v>
      </c>
    </row>
    <row r="801">
      <c r="A801" s="192">
        <v>44907.0</v>
      </c>
      <c r="B801" s="48">
        <v>70.65</v>
      </c>
    </row>
    <row r="802">
      <c r="A802" s="192">
        <v>45001.0</v>
      </c>
      <c r="B802" s="48">
        <v>124.94</v>
      </c>
    </row>
    <row r="803">
      <c r="A803" s="192">
        <v>45002.0</v>
      </c>
      <c r="B803" s="48">
        <v>120.24</v>
      </c>
    </row>
    <row r="804">
      <c r="A804" s="192">
        <v>45003.0</v>
      </c>
      <c r="B804" s="48">
        <v>103.97</v>
      </c>
    </row>
    <row r="805">
      <c r="A805" s="192">
        <v>45005.0</v>
      </c>
      <c r="B805" s="48">
        <v>80.22</v>
      </c>
    </row>
    <row r="806">
      <c r="A806" s="192">
        <v>45011.0</v>
      </c>
      <c r="B806" s="48">
        <v>103.91</v>
      </c>
    </row>
    <row r="807">
      <c r="A807" s="192">
        <v>45013.0</v>
      </c>
      <c r="B807" s="48">
        <v>108.01</v>
      </c>
    </row>
    <row r="808">
      <c r="A808" s="192">
        <v>45014.0</v>
      </c>
      <c r="B808" s="48">
        <v>107.4</v>
      </c>
    </row>
    <row r="809">
      <c r="A809" s="192">
        <v>45015.0</v>
      </c>
      <c r="B809" s="48">
        <v>102.76</v>
      </c>
    </row>
    <row r="810">
      <c r="A810" s="192">
        <v>45030.0</v>
      </c>
      <c r="B810" s="48">
        <v>123.11</v>
      </c>
    </row>
    <row r="811">
      <c r="A811" s="192">
        <v>45032.0</v>
      </c>
      <c r="B811" s="48">
        <v>66.55</v>
      </c>
    </row>
    <row r="812">
      <c r="A812" s="192">
        <v>45033.0</v>
      </c>
      <c r="B812" s="48">
        <v>121.28</v>
      </c>
    </row>
    <row r="813">
      <c r="A813" s="192">
        <v>45034.0</v>
      </c>
      <c r="B813" s="48">
        <v>83.0</v>
      </c>
    </row>
    <row r="814">
      <c r="A814" s="192">
        <v>45036.0</v>
      </c>
      <c r="B814" s="48">
        <v>79.08</v>
      </c>
    </row>
    <row r="815">
      <c r="A815" s="192">
        <v>45039.0</v>
      </c>
      <c r="B815" s="48">
        <v>83.85</v>
      </c>
    </row>
    <row r="816">
      <c r="A816" s="192">
        <v>45040.0</v>
      </c>
      <c r="B816" s="48">
        <v>95.64</v>
      </c>
    </row>
    <row r="817">
      <c r="A817" s="192">
        <v>45041.0</v>
      </c>
      <c r="B817" s="48">
        <v>116.56</v>
      </c>
    </row>
    <row r="818">
      <c r="A818" s="192">
        <v>45042.0</v>
      </c>
      <c r="B818" s="48">
        <v>84.08</v>
      </c>
    </row>
    <row r="819">
      <c r="A819" s="192">
        <v>45044.0</v>
      </c>
      <c r="B819" s="48">
        <v>88.03</v>
      </c>
    </row>
    <row r="820">
      <c r="A820" s="192">
        <v>45050.0</v>
      </c>
      <c r="B820" s="48">
        <v>89.59</v>
      </c>
    </row>
    <row r="821">
      <c r="A821" s="192">
        <v>45051.0</v>
      </c>
      <c r="B821" s="48">
        <v>122.89</v>
      </c>
    </row>
    <row r="822">
      <c r="A822" s="192">
        <v>45052.0</v>
      </c>
      <c r="B822" s="48">
        <v>127.23</v>
      </c>
    </row>
    <row r="823">
      <c r="A823" s="192">
        <v>45053.0</v>
      </c>
      <c r="B823" s="48">
        <v>124.21</v>
      </c>
    </row>
    <row r="824">
      <c r="A824" s="192">
        <v>45054.0</v>
      </c>
      <c r="B824" s="48">
        <v>71.63</v>
      </c>
    </row>
    <row r="825">
      <c r="A825" s="192">
        <v>45055.0</v>
      </c>
      <c r="B825" s="48">
        <v>96.05</v>
      </c>
    </row>
    <row r="826">
      <c r="A826" s="192">
        <v>45056.0</v>
      </c>
      <c r="B826" s="48">
        <v>110.35</v>
      </c>
    </row>
    <row r="827">
      <c r="A827" s="192">
        <v>45062.0</v>
      </c>
      <c r="B827" s="48">
        <v>101.97</v>
      </c>
    </row>
    <row r="828">
      <c r="A828" s="192">
        <v>45064.0</v>
      </c>
      <c r="B828" s="48">
        <v>101.16</v>
      </c>
    </row>
    <row r="829">
      <c r="A829" s="192">
        <v>45065.0</v>
      </c>
      <c r="B829" s="48">
        <v>81.11</v>
      </c>
    </row>
    <row r="830">
      <c r="A830" s="192">
        <v>45066.0</v>
      </c>
      <c r="B830" s="48">
        <v>79.57</v>
      </c>
    </row>
    <row r="831">
      <c r="A831" s="192">
        <v>45067.0</v>
      </c>
      <c r="B831" s="48">
        <v>93.42</v>
      </c>
    </row>
    <row r="832">
      <c r="A832" s="192">
        <v>45068.0</v>
      </c>
      <c r="B832" s="48">
        <v>68.51</v>
      </c>
    </row>
    <row r="833">
      <c r="A833" s="192">
        <v>45069.0</v>
      </c>
      <c r="B833" s="48">
        <v>96.77</v>
      </c>
    </row>
    <row r="834">
      <c r="A834" s="192">
        <v>45070.0</v>
      </c>
      <c r="B834" s="48">
        <v>94.93</v>
      </c>
    </row>
    <row r="835">
      <c r="A835" s="192">
        <v>45101.0</v>
      </c>
      <c r="B835" s="48">
        <v>116.15</v>
      </c>
    </row>
    <row r="836">
      <c r="A836" s="192">
        <v>45102.0</v>
      </c>
      <c r="B836" s="48">
        <v>115.06</v>
      </c>
    </row>
    <row r="837">
      <c r="A837" s="192">
        <v>45103.0</v>
      </c>
      <c r="B837" s="48">
        <v>108.0</v>
      </c>
    </row>
    <row r="838">
      <c r="A838" s="192">
        <v>45105.0</v>
      </c>
      <c r="B838" s="48">
        <v>108.55</v>
      </c>
    </row>
    <row r="839">
      <c r="A839" s="192">
        <v>45106.0</v>
      </c>
      <c r="B839" s="48">
        <v>119.65</v>
      </c>
    </row>
    <row r="840">
      <c r="A840" s="192">
        <v>45107.0</v>
      </c>
      <c r="B840" s="48">
        <v>75.58</v>
      </c>
    </row>
    <row r="841">
      <c r="A841" s="192">
        <v>45111.0</v>
      </c>
      <c r="B841" s="48">
        <v>98.24</v>
      </c>
    </row>
    <row r="842">
      <c r="A842" s="192">
        <v>45112.0</v>
      </c>
      <c r="B842" s="48">
        <v>132.03</v>
      </c>
    </row>
    <row r="843">
      <c r="A843" s="192">
        <v>45113.0</v>
      </c>
      <c r="B843" s="48">
        <v>69.72</v>
      </c>
    </row>
    <row r="844">
      <c r="A844" s="192">
        <v>45115.0</v>
      </c>
      <c r="B844" s="48">
        <v>103.29</v>
      </c>
    </row>
    <row r="845">
      <c r="A845" s="192">
        <v>45118.0</v>
      </c>
      <c r="B845" s="48">
        <v>82.54</v>
      </c>
    </row>
    <row r="846">
      <c r="A846" s="192">
        <v>45119.0</v>
      </c>
      <c r="B846" s="48">
        <v>106.64</v>
      </c>
    </row>
    <row r="847">
      <c r="A847" s="192">
        <v>45120.0</v>
      </c>
      <c r="B847" s="48">
        <v>114.07</v>
      </c>
    </row>
    <row r="848">
      <c r="A848" s="192">
        <v>45121.0</v>
      </c>
      <c r="B848" s="48">
        <v>105.98</v>
      </c>
    </row>
    <row r="849">
      <c r="A849" s="192">
        <v>45122.0</v>
      </c>
      <c r="B849" s="48">
        <v>85.44</v>
      </c>
    </row>
    <row r="850">
      <c r="A850" s="192">
        <v>45123.0</v>
      </c>
      <c r="B850" s="48">
        <v>60.15</v>
      </c>
    </row>
    <row r="851">
      <c r="A851" s="192">
        <v>45130.0</v>
      </c>
      <c r="B851" s="48">
        <v>105.24</v>
      </c>
    </row>
    <row r="852">
      <c r="A852" s="192">
        <v>45131.0</v>
      </c>
      <c r="B852" s="48">
        <v>112.95</v>
      </c>
    </row>
    <row r="853">
      <c r="A853" s="192">
        <v>45132.0</v>
      </c>
      <c r="B853" s="48">
        <v>62.52</v>
      </c>
    </row>
    <row r="854">
      <c r="A854" s="192">
        <v>45133.0</v>
      </c>
      <c r="B854" s="48">
        <v>74.58</v>
      </c>
    </row>
    <row r="855">
      <c r="A855" s="192">
        <v>45135.0</v>
      </c>
      <c r="B855" s="48">
        <v>59.71</v>
      </c>
    </row>
    <row r="856">
      <c r="A856" s="192">
        <v>45140.0</v>
      </c>
      <c r="B856" s="48">
        <v>98.18</v>
      </c>
    </row>
    <row r="857">
      <c r="A857" s="192">
        <v>45142.0</v>
      </c>
      <c r="B857" s="48">
        <v>78.7</v>
      </c>
    </row>
    <row r="858">
      <c r="A858" s="192">
        <v>45144.0</v>
      </c>
      <c r="B858" s="48">
        <v>113.0</v>
      </c>
    </row>
    <row r="859">
      <c r="A859" s="192">
        <v>45146.0</v>
      </c>
      <c r="B859" s="48">
        <v>71.78</v>
      </c>
    </row>
    <row r="860">
      <c r="A860" s="192">
        <v>45147.0</v>
      </c>
      <c r="B860" s="48">
        <v>96.8</v>
      </c>
    </row>
    <row r="861">
      <c r="A861" s="192">
        <v>45148.0</v>
      </c>
      <c r="B861" s="48">
        <v>73.93</v>
      </c>
    </row>
    <row r="862">
      <c r="A862" s="192">
        <v>45150.0</v>
      </c>
      <c r="B862" s="48">
        <v>101.51</v>
      </c>
    </row>
    <row r="863">
      <c r="A863" s="192">
        <v>45152.0</v>
      </c>
      <c r="B863" s="48">
        <v>78.45</v>
      </c>
    </row>
    <row r="864">
      <c r="A864" s="192">
        <v>45153.0</v>
      </c>
      <c r="B864" s="48">
        <v>124.48</v>
      </c>
    </row>
    <row r="865">
      <c r="A865" s="192">
        <v>45154.0</v>
      </c>
      <c r="B865" s="48">
        <v>91.78</v>
      </c>
    </row>
    <row r="866">
      <c r="A866" s="192">
        <v>45155.0</v>
      </c>
      <c r="B866" s="48">
        <v>86.39</v>
      </c>
    </row>
    <row r="867">
      <c r="A867" s="192">
        <v>45156.0</v>
      </c>
      <c r="B867" s="48">
        <v>127.56</v>
      </c>
    </row>
    <row r="868">
      <c r="A868" s="192">
        <v>45157.0</v>
      </c>
      <c r="B868" s="48">
        <v>118.63</v>
      </c>
    </row>
    <row r="869">
      <c r="A869" s="192">
        <v>45158.0</v>
      </c>
      <c r="B869" s="48">
        <v>87.87</v>
      </c>
    </row>
    <row r="870">
      <c r="A870" s="192">
        <v>45159.0</v>
      </c>
      <c r="B870" s="48">
        <v>74.26</v>
      </c>
    </row>
    <row r="871">
      <c r="A871" s="192">
        <v>45160.0</v>
      </c>
      <c r="B871" s="48">
        <v>93.92</v>
      </c>
    </row>
    <row r="872">
      <c r="A872" s="192">
        <v>45162.0</v>
      </c>
      <c r="B872" s="48">
        <v>82.22</v>
      </c>
    </row>
    <row r="873">
      <c r="A873" s="192">
        <v>45164.0</v>
      </c>
      <c r="B873" s="48">
        <v>56.04</v>
      </c>
    </row>
    <row r="874">
      <c r="A874" s="192">
        <v>45166.0</v>
      </c>
      <c r="B874" s="48">
        <v>54.07</v>
      </c>
    </row>
    <row r="875">
      <c r="A875" s="192">
        <v>45167.0</v>
      </c>
      <c r="B875" s="48">
        <v>109.3</v>
      </c>
    </row>
    <row r="876">
      <c r="A876" s="192">
        <v>45168.0</v>
      </c>
      <c r="B876" s="48">
        <v>99.34</v>
      </c>
    </row>
    <row r="877">
      <c r="A877" s="192">
        <v>45169.0</v>
      </c>
      <c r="B877" s="48">
        <v>54.28</v>
      </c>
    </row>
    <row r="878">
      <c r="A878" s="192">
        <v>45171.0</v>
      </c>
      <c r="B878" s="48">
        <v>92.19</v>
      </c>
    </row>
    <row r="879">
      <c r="A879" s="192">
        <v>45172.0</v>
      </c>
      <c r="B879" s="48">
        <v>82.8</v>
      </c>
    </row>
    <row r="880">
      <c r="A880" s="192">
        <v>45174.0</v>
      </c>
      <c r="B880" s="48">
        <v>101.27</v>
      </c>
    </row>
    <row r="881">
      <c r="A881" s="192">
        <v>45176.0</v>
      </c>
      <c r="B881" s="48">
        <v>92.17</v>
      </c>
    </row>
    <row r="882">
      <c r="A882" s="192">
        <v>45177.0</v>
      </c>
      <c r="B882" s="48">
        <v>63.42</v>
      </c>
    </row>
    <row r="883">
      <c r="A883" s="192">
        <v>45202.0</v>
      </c>
      <c r="B883" s="48">
        <v>106.28</v>
      </c>
    </row>
    <row r="884">
      <c r="A884" s="192">
        <v>45203.0</v>
      </c>
      <c r="B884" s="48">
        <v>115.7</v>
      </c>
    </row>
    <row r="885">
      <c r="A885" s="192">
        <v>45204.0</v>
      </c>
      <c r="B885" s="48">
        <v>117.9</v>
      </c>
    </row>
    <row r="886">
      <c r="A886" s="192">
        <v>45205.0</v>
      </c>
      <c r="B886" s="48">
        <v>118.95</v>
      </c>
    </row>
    <row r="887">
      <c r="A887" s="192">
        <v>45206.0</v>
      </c>
      <c r="B887" s="48">
        <v>104.5</v>
      </c>
    </row>
    <row r="888">
      <c r="A888" s="192">
        <v>45207.0</v>
      </c>
      <c r="B888" s="48">
        <v>102.3</v>
      </c>
    </row>
    <row r="889">
      <c r="A889" s="192">
        <v>45208.0</v>
      </c>
      <c r="B889" s="48">
        <v>102.96</v>
      </c>
    </row>
    <row r="890">
      <c r="A890" s="192">
        <v>45209.0</v>
      </c>
      <c r="B890" s="48">
        <v>99.79</v>
      </c>
    </row>
    <row r="891">
      <c r="A891" s="192">
        <v>45211.0</v>
      </c>
      <c r="B891" s="48">
        <v>117.13</v>
      </c>
    </row>
    <row r="892">
      <c r="A892" s="192">
        <v>45212.0</v>
      </c>
      <c r="B892" s="48">
        <v>100.73</v>
      </c>
    </row>
    <row r="893">
      <c r="A893" s="192">
        <v>45213.0</v>
      </c>
      <c r="B893" s="48">
        <v>100.04</v>
      </c>
    </row>
    <row r="894">
      <c r="A894" s="192">
        <v>45214.0</v>
      </c>
      <c r="B894" s="48">
        <v>114.74</v>
      </c>
    </row>
    <row r="895">
      <c r="A895" s="192">
        <v>45215.0</v>
      </c>
      <c r="B895" s="48">
        <v>105.14</v>
      </c>
    </row>
    <row r="896">
      <c r="A896" s="192">
        <v>45216.0</v>
      </c>
      <c r="B896" s="48">
        <v>107.22</v>
      </c>
    </row>
    <row r="897">
      <c r="A897" s="192">
        <v>45217.0</v>
      </c>
      <c r="B897" s="48">
        <v>110.9</v>
      </c>
    </row>
    <row r="898">
      <c r="A898" s="192">
        <v>45218.0</v>
      </c>
      <c r="B898" s="48">
        <v>106.96</v>
      </c>
    </row>
    <row r="899">
      <c r="A899" s="192">
        <v>45219.0</v>
      </c>
      <c r="B899" s="48">
        <v>105.1</v>
      </c>
    </row>
    <row r="900">
      <c r="A900" s="192">
        <v>45220.0</v>
      </c>
      <c r="B900" s="48">
        <v>111.7</v>
      </c>
    </row>
    <row r="901">
      <c r="A901" s="192">
        <v>45223.0</v>
      </c>
      <c r="B901" s="48">
        <v>113.19</v>
      </c>
    </row>
    <row r="902">
      <c r="A902" s="192">
        <v>45224.0</v>
      </c>
      <c r="B902" s="48">
        <v>109.61</v>
      </c>
    </row>
    <row r="903">
      <c r="A903" s="192">
        <v>45225.0</v>
      </c>
      <c r="B903" s="48">
        <v>114.7</v>
      </c>
    </row>
    <row r="904">
      <c r="A904" s="192">
        <v>45226.0</v>
      </c>
      <c r="B904" s="48">
        <v>102.94</v>
      </c>
    </row>
    <row r="905">
      <c r="A905" s="192">
        <v>45227.0</v>
      </c>
      <c r="B905" s="48">
        <v>99.98</v>
      </c>
    </row>
    <row r="906">
      <c r="A906" s="192">
        <v>45229.0</v>
      </c>
      <c r="B906" s="48">
        <v>110.69</v>
      </c>
    </row>
    <row r="907">
      <c r="A907" s="192">
        <v>45230.0</v>
      </c>
      <c r="B907" s="48">
        <v>113.03</v>
      </c>
    </row>
    <row r="908">
      <c r="A908" s="192">
        <v>45231.0</v>
      </c>
      <c r="B908" s="48">
        <v>110.43</v>
      </c>
    </row>
    <row r="909">
      <c r="A909" s="192">
        <v>45232.0</v>
      </c>
      <c r="B909" s="48">
        <v>111.35</v>
      </c>
    </row>
    <row r="910">
      <c r="A910" s="192">
        <v>45233.0</v>
      </c>
      <c r="B910" s="48">
        <v>121.38</v>
      </c>
    </row>
    <row r="911">
      <c r="A911" s="192">
        <v>45236.0</v>
      </c>
      <c r="B911" s="48">
        <v>95.58</v>
      </c>
    </row>
    <row r="912">
      <c r="A912" s="192">
        <v>45237.0</v>
      </c>
      <c r="B912" s="48">
        <v>108.61</v>
      </c>
    </row>
    <row r="913">
      <c r="A913" s="192">
        <v>45238.0</v>
      </c>
      <c r="B913" s="48">
        <v>119.39</v>
      </c>
    </row>
    <row r="914">
      <c r="A914" s="192">
        <v>45239.0</v>
      </c>
      <c r="B914" s="48">
        <v>115.25</v>
      </c>
    </row>
    <row r="915">
      <c r="A915" s="192">
        <v>45240.0</v>
      </c>
      <c r="B915" s="48">
        <v>105.8</v>
      </c>
    </row>
    <row r="916">
      <c r="A916" s="192">
        <v>45241.0</v>
      </c>
      <c r="B916" s="48">
        <v>93.33</v>
      </c>
    </row>
    <row r="917">
      <c r="A917" s="192">
        <v>45242.0</v>
      </c>
      <c r="B917" s="48">
        <v>93.37</v>
      </c>
    </row>
    <row r="918">
      <c r="A918" s="192">
        <v>45243.0</v>
      </c>
      <c r="B918" s="48">
        <v>96.91</v>
      </c>
    </row>
    <row r="919">
      <c r="A919" s="192">
        <v>45244.0</v>
      </c>
      <c r="B919" s="48">
        <v>107.95</v>
      </c>
    </row>
    <row r="920">
      <c r="A920" s="192">
        <v>45245.0</v>
      </c>
      <c r="B920" s="48">
        <v>108.27</v>
      </c>
    </row>
    <row r="921">
      <c r="A921" s="192">
        <v>45246.0</v>
      </c>
      <c r="B921" s="48">
        <v>102.25</v>
      </c>
    </row>
    <row r="922">
      <c r="A922" s="192">
        <v>45247.0</v>
      </c>
      <c r="B922" s="48">
        <v>114.46</v>
      </c>
    </row>
    <row r="923">
      <c r="A923" s="192">
        <v>45248.0</v>
      </c>
      <c r="B923" s="48">
        <v>119.17</v>
      </c>
    </row>
    <row r="924">
      <c r="A924" s="192">
        <v>45249.0</v>
      </c>
      <c r="B924" s="48">
        <v>89.12</v>
      </c>
    </row>
    <row r="925">
      <c r="A925" s="192">
        <v>45251.0</v>
      </c>
      <c r="B925" s="48">
        <v>111.2</v>
      </c>
    </row>
    <row r="926">
      <c r="A926" s="192">
        <v>45252.0</v>
      </c>
      <c r="B926" s="48">
        <v>112.06</v>
      </c>
    </row>
    <row r="927">
      <c r="A927" s="192">
        <v>45255.0</v>
      </c>
      <c r="B927" s="48">
        <v>108.37</v>
      </c>
    </row>
    <row r="928">
      <c r="A928" s="192">
        <v>45267.0</v>
      </c>
      <c r="B928" s="48">
        <v>104.01</v>
      </c>
    </row>
    <row r="929">
      <c r="A929" s="192">
        <v>45301.0</v>
      </c>
      <c r="B929" s="48">
        <v>60.46</v>
      </c>
    </row>
    <row r="930">
      <c r="A930" s="192">
        <v>45302.0</v>
      </c>
      <c r="B930" s="48">
        <v>68.64</v>
      </c>
    </row>
    <row r="931">
      <c r="A931" s="192">
        <v>45303.0</v>
      </c>
      <c r="B931" s="48">
        <v>99.84</v>
      </c>
    </row>
    <row r="932">
      <c r="A932" s="192">
        <v>45304.0</v>
      </c>
      <c r="B932" s="48">
        <v>82.51</v>
      </c>
    </row>
    <row r="933">
      <c r="A933" s="192">
        <v>45305.0</v>
      </c>
      <c r="B933" s="48">
        <v>69.51</v>
      </c>
    </row>
    <row r="934">
      <c r="A934" s="192">
        <v>45306.0</v>
      </c>
      <c r="B934" s="48">
        <v>63.64</v>
      </c>
    </row>
    <row r="935">
      <c r="A935" s="192">
        <v>45307.0</v>
      </c>
      <c r="B935" s="48">
        <v>50.88</v>
      </c>
    </row>
    <row r="936">
      <c r="A936" s="192">
        <v>45308.0</v>
      </c>
      <c r="B936" s="48">
        <v>85.0</v>
      </c>
    </row>
    <row r="937">
      <c r="A937" s="192">
        <v>45309.0</v>
      </c>
      <c r="B937" s="48">
        <v>70.88</v>
      </c>
    </row>
    <row r="938">
      <c r="A938" s="192">
        <v>45310.0</v>
      </c>
      <c r="B938" s="48">
        <v>94.12</v>
      </c>
    </row>
    <row r="939">
      <c r="A939" s="192">
        <v>45311.0</v>
      </c>
      <c r="B939" s="48">
        <v>97.19</v>
      </c>
    </row>
    <row r="940">
      <c r="A940" s="192">
        <v>45312.0</v>
      </c>
      <c r="B940" s="48">
        <v>47.27</v>
      </c>
    </row>
    <row r="941">
      <c r="A941" s="192">
        <v>45314.0</v>
      </c>
      <c r="B941" s="48">
        <v>43.44</v>
      </c>
    </row>
    <row r="942">
      <c r="A942" s="192">
        <v>45315.0</v>
      </c>
      <c r="B942" s="48">
        <v>65.74</v>
      </c>
    </row>
    <row r="943">
      <c r="A943" s="192">
        <v>45316.0</v>
      </c>
      <c r="B943" s="48">
        <v>43.46</v>
      </c>
    </row>
    <row r="944">
      <c r="A944" s="192">
        <v>45317.0</v>
      </c>
      <c r="B944" s="48">
        <v>44.25</v>
      </c>
    </row>
    <row r="945">
      <c r="A945" s="192">
        <v>45318.0</v>
      </c>
      <c r="B945" s="48">
        <v>80.65</v>
      </c>
    </row>
    <row r="946">
      <c r="A946" s="192">
        <v>45319.0</v>
      </c>
      <c r="B946" s="48">
        <v>45.97</v>
      </c>
    </row>
    <row r="947">
      <c r="A947" s="192">
        <v>45320.0</v>
      </c>
      <c r="B947" s="48">
        <v>88.73</v>
      </c>
    </row>
    <row r="948">
      <c r="A948" s="192">
        <v>45321.0</v>
      </c>
      <c r="B948" s="48">
        <v>86.17</v>
      </c>
    </row>
    <row r="949">
      <c r="A949" s="192">
        <v>45322.0</v>
      </c>
      <c r="B949" s="48">
        <v>66.18</v>
      </c>
    </row>
    <row r="950">
      <c r="A950" s="192">
        <v>45323.0</v>
      </c>
      <c r="B950" s="48">
        <v>46.09</v>
      </c>
    </row>
    <row r="951">
      <c r="A951" s="192">
        <v>45324.0</v>
      </c>
      <c r="B951" s="48">
        <v>50.93</v>
      </c>
    </row>
    <row r="952">
      <c r="A952" s="192">
        <v>45325.0</v>
      </c>
      <c r="B952" s="48">
        <v>81.0</v>
      </c>
    </row>
    <row r="953">
      <c r="A953" s="192">
        <v>45326.0</v>
      </c>
      <c r="B953" s="48">
        <v>45.56</v>
      </c>
    </row>
    <row r="954">
      <c r="A954" s="192">
        <v>45327.0</v>
      </c>
      <c r="B954" s="48">
        <v>79.53</v>
      </c>
    </row>
    <row r="955">
      <c r="A955" s="192">
        <v>45328.0</v>
      </c>
      <c r="B955" s="48">
        <v>86.75</v>
      </c>
    </row>
    <row r="956">
      <c r="A956" s="192">
        <v>45330.0</v>
      </c>
      <c r="B956" s="48">
        <v>89.87</v>
      </c>
    </row>
    <row r="957">
      <c r="A957" s="192">
        <v>45331.0</v>
      </c>
      <c r="B957" s="48">
        <v>89.28</v>
      </c>
    </row>
    <row r="958">
      <c r="A958" s="192">
        <v>45332.0</v>
      </c>
      <c r="B958" s="48">
        <v>95.31</v>
      </c>
    </row>
    <row r="959">
      <c r="A959" s="192">
        <v>45333.0</v>
      </c>
      <c r="B959" s="48">
        <v>61.45</v>
      </c>
    </row>
    <row r="960">
      <c r="A960" s="192">
        <v>45334.0</v>
      </c>
      <c r="B960" s="48">
        <v>58.13</v>
      </c>
    </row>
    <row r="961">
      <c r="A961" s="192">
        <v>45335.0</v>
      </c>
      <c r="B961" s="48">
        <v>50.47</v>
      </c>
    </row>
    <row r="962">
      <c r="A962" s="192">
        <v>45336.0</v>
      </c>
      <c r="B962" s="48">
        <v>68.78</v>
      </c>
    </row>
    <row r="963">
      <c r="A963" s="192">
        <v>45337.0</v>
      </c>
      <c r="B963" s="48">
        <v>76.76</v>
      </c>
    </row>
    <row r="964">
      <c r="A964" s="192">
        <v>45338.0</v>
      </c>
      <c r="B964" s="48">
        <v>76.9</v>
      </c>
    </row>
    <row r="965">
      <c r="A965" s="192">
        <v>45339.0</v>
      </c>
      <c r="B965" s="48">
        <v>75.96</v>
      </c>
    </row>
    <row r="966">
      <c r="A966" s="192">
        <v>45340.0</v>
      </c>
      <c r="B966" s="48">
        <v>60.55</v>
      </c>
    </row>
    <row r="967">
      <c r="A967" s="192">
        <v>45341.0</v>
      </c>
      <c r="B967" s="48">
        <v>47.79</v>
      </c>
    </row>
    <row r="968">
      <c r="A968" s="192">
        <v>45342.0</v>
      </c>
      <c r="B968" s="48">
        <v>73.62</v>
      </c>
    </row>
    <row r="969">
      <c r="A969" s="192">
        <v>45344.0</v>
      </c>
      <c r="B969" s="48">
        <v>50.61</v>
      </c>
    </row>
    <row r="970">
      <c r="A970" s="192">
        <v>45345.0</v>
      </c>
      <c r="B970" s="48">
        <v>74.95</v>
      </c>
    </row>
    <row r="971">
      <c r="A971" s="192">
        <v>45346.0</v>
      </c>
      <c r="B971" s="48">
        <v>93.89</v>
      </c>
    </row>
    <row r="972">
      <c r="A972" s="192">
        <v>45347.0</v>
      </c>
      <c r="B972" s="48">
        <v>91.63</v>
      </c>
    </row>
    <row r="973">
      <c r="A973" s="192">
        <v>45348.0</v>
      </c>
      <c r="B973" s="48">
        <v>96.03</v>
      </c>
    </row>
    <row r="974">
      <c r="A974" s="192">
        <v>45349.0</v>
      </c>
      <c r="B974" s="48">
        <v>48.16</v>
      </c>
    </row>
    <row r="975">
      <c r="A975" s="192">
        <v>45350.0</v>
      </c>
      <c r="B975" s="48">
        <v>84.8</v>
      </c>
    </row>
    <row r="976">
      <c r="A976" s="192">
        <v>45351.0</v>
      </c>
      <c r="B976" s="48">
        <v>87.22</v>
      </c>
    </row>
    <row r="977">
      <c r="A977" s="192">
        <v>45352.0</v>
      </c>
      <c r="B977" s="48">
        <v>93.6</v>
      </c>
    </row>
    <row r="978">
      <c r="A978" s="192">
        <v>45353.0</v>
      </c>
      <c r="B978" s="48">
        <v>54.01</v>
      </c>
    </row>
    <row r="979">
      <c r="A979" s="192">
        <v>45354.0</v>
      </c>
      <c r="B979" s="48">
        <v>70.8</v>
      </c>
    </row>
    <row r="980">
      <c r="A980" s="192">
        <v>45356.0</v>
      </c>
      <c r="B980" s="48">
        <v>54.2</v>
      </c>
    </row>
    <row r="981">
      <c r="A981" s="192">
        <v>45358.0</v>
      </c>
      <c r="B981" s="48">
        <v>78.37</v>
      </c>
    </row>
    <row r="982">
      <c r="A982" s="192">
        <v>45359.0</v>
      </c>
      <c r="B982" s="48">
        <v>76.26</v>
      </c>
    </row>
    <row r="983">
      <c r="A983" s="192">
        <v>45360.0</v>
      </c>
      <c r="B983" s="48">
        <v>59.01</v>
      </c>
    </row>
    <row r="984">
      <c r="A984" s="192">
        <v>45361.0</v>
      </c>
      <c r="B984" s="48">
        <v>75.27</v>
      </c>
    </row>
    <row r="985">
      <c r="A985" s="192">
        <v>45362.0</v>
      </c>
      <c r="B985" s="48">
        <v>102.99</v>
      </c>
    </row>
    <row r="986">
      <c r="A986" s="192">
        <v>45363.0</v>
      </c>
      <c r="B986" s="48">
        <v>66.08</v>
      </c>
    </row>
    <row r="987">
      <c r="A987" s="192">
        <v>45365.0</v>
      </c>
      <c r="B987" s="48">
        <v>56.69</v>
      </c>
    </row>
    <row r="988">
      <c r="A988" s="192">
        <v>45368.0</v>
      </c>
      <c r="B988" s="48">
        <v>31.41</v>
      </c>
    </row>
    <row r="989">
      <c r="A989" s="192">
        <v>45369.0</v>
      </c>
      <c r="B989" s="48">
        <v>25.86</v>
      </c>
    </row>
    <row r="990">
      <c r="A990" s="192">
        <v>45370.0</v>
      </c>
      <c r="B990" s="48">
        <v>64.08</v>
      </c>
    </row>
    <row r="991">
      <c r="A991" s="192">
        <v>45371.0</v>
      </c>
      <c r="B991" s="48">
        <v>59.08</v>
      </c>
    </row>
    <row r="992">
      <c r="A992" s="192">
        <v>45372.0</v>
      </c>
      <c r="B992" s="48">
        <v>36.33</v>
      </c>
    </row>
    <row r="993">
      <c r="A993" s="192">
        <v>45373.0</v>
      </c>
      <c r="B993" s="48">
        <v>55.57</v>
      </c>
    </row>
    <row r="994">
      <c r="A994" s="192">
        <v>45377.0</v>
      </c>
      <c r="B994" s="48">
        <v>61.72</v>
      </c>
    </row>
    <row r="995">
      <c r="A995" s="192">
        <v>45378.0</v>
      </c>
      <c r="B995" s="48">
        <v>75.32</v>
      </c>
    </row>
    <row r="996">
      <c r="A996" s="192">
        <v>45380.0</v>
      </c>
      <c r="B996" s="48">
        <v>77.78</v>
      </c>
    </row>
    <row r="997">
      <c r="A997" s="192">
        <v>45381.0</v>
      </c>
      <c r="B997" s="48">
        <v>85.86</v>
      </c>
    </row>
    <row r="998">
      <c r="A998" s="192">
        <v>45382.0</v>
      </c>
      <c r="B998" s="48">
        <v>83.55</v>
      </c>
    </row>
    <row r="999">
      <c r="A999" s="192">
        <v>45383.0</v>
      </c>
      <c r="B999" s="48">
        <v>69.28</v>
      </c>
    </row>
    <row r="1000">
      <c r="A1000" s="192">
        <v>45384.0</v>
      </c>
      <c r="B1000" s="48">
        <v>51.12</v>
      </c>
    </row>
    <row r="1001">
      <c r="A1001" s="192">
        <v>45385.0</v>
      </c>
      <c r="B1001" s="48">
        <v>54.56</v>
      </c>
    </row>
    <row r="1002">
      <c r="A1002" s="192">
        <v>45387.0</v>
      </c>
      <c r="B1002" s="48">
        <v>47.33</v>
      </c>
    </row>
    <row r="1003">
      <c r="A1003" s="192">
        <v>45388.0</v>
      </c>
      <c r="B1003" s="48">
        <v>75.26</v>
      </c>
    </row>
    <row r="1004">
      <c r="A1004" s="192">
        <v>45389.0</v>
      </c>
      <c r="B1004" s="48">
        <v>44.3</v>
      </c>
    </row>
    <row r="1005">
      <c r="A1005" s="192">
        <v>45390.0</v>
      </c>
      <c r="B1005" s="48">
        <v>103.49</v>
      </c>
    </row>
    <row r="1006">
      <c r="A1006" s="192">
        <v>45402.0</v>
      </c>
      <c r="B1006" s="48">
        <v>62.69</v>
      </c>
    </row>
    <row r="1007">
      <c r="A1007" s="192">
        <v>45403.0</v>
      </c>
      <c r="B1007" s="48">
        <v>60.63</v>
      </c>
    </row>
    <row r="1008">
      <c r="A1008" s="192">
        <v>45404.0</v>
      </c>
      <c r="B1008" s="48">
        <v>59.77</v>
      </c>
    </row>
    <row r="1009">
      <c r="A1009" s="192">
        <v>45405.0</v>
      </c>
      <c r="B1009" s="48">
        <v>63.8</v>
      </c>
    </row>
    <row r="1010">
      <c r="A1010" s="192">
        <v>45406.0</v>
      </c>
      <c r="B1010" s="48">
        <v>64.58</v>
      </c>
    </row>
    <row r="1011">
      <c r="A1011" s="192">
        <v>45409.0</v>
      </c>
      <c r="B1011" s="48">
        <v>65.95</v>
      </c>
    </row>
    <row r="1012">
      <c r="A1012" s="192">
        <v>45410.0</v>
      </c>
      <c r="B1012" s="48">
        <v>64.75</v>
      </c>
    </row>
    <row r="1013">
      <c r="A1013" s="192">
        <v>45414.0</v>
      </c>
      <c r="B1013" s="48">
        <v>62.31</v>
      </c>
    </row>
    <row r="1014">
      <c r="A1014" s="192">
        <v>45415.0</v>
      </c>
      <c r="B1014" s="48">
        <v>64.44</v>
      </c>
    </row>
    <row r="1015">
      <c r="A1015" s="192">
        <v>45416.0</v>
      </c>
      <c r="B1015" s="48">
        <v>66.46</v>
      </c>
    </row>
    <row r="1016">
      <c r="A1016" s="192">
        <v>45417.0</v>
      </c>
      <c r="B1016" s="48">
        <v>68.27</v>
      </c>
    </row>
    <row r="1017">
      <c r="A1017" s="192">
        <v>45419.0</v>
      </c>
      <c r="B1017" s="48">
        <v>66.31</v>
      </c>
    </row>
    <row r="1018">
      <c r="A1018" s="192">
        <v>45420.0</v>
      </c>
      <c r="B1018" s="48">
        <v>63.48</v>
      </c>
    </row>
    <row r="1019">
      <c r="A1019" s="192">
        <v>45423.0</v>
      </c>
      <c r="B1019" s="48">
        <v>62.4</v>
      </c>
    </row>
    <row r="1020">
      <c r="A1020" s="192">
        <v>45424.0</v>
      </c>
      <c r="B1020" s="48">
        <v>54.28</v>
      </c>
    </row>
    <row r="1021">
      <c r="A1021" s="192">
        <v>45426.0</v>
      </c>
      <c r="B1021" s="48">
        <v>70.05</v>
      </c>
    </row>
    <row r="1022">
      <c r="A1022" s="192">
        <v>45428.0</v>
      </c>
      <c r="B1022" s="48">
        <v>65.83</v>
      </c>
    </row>
    <row r="1023">
      <c r="A1023" s="192">
        <v>45429.0</v>
      </c>
      <c r="B1023" s="48">
        <v>67.11</v>
      </c>
    </row>
    <row r="1024">
      <c r="A1024" s="192">
        <v>45430.0</v>
      </c>
      <c r="B1024" s="48">
        <v>63.8</v>
      </c>
    </row>
    <row r="1025">
      <c r="A1025" s="192">
        <v>45431.0</v>
      </c>
      <c r="B1025" s="48">
        <v>58.25</v>
      </c>
    </row>
    <row r="1026">
      <c r="A1026" s="192">
        <v>45432.0</v>
      </c>
      <c r="B1026" s="48">
        <v>59.68</v>
      </c>
    </row>
    <row r="1027">
      <c r="A1027" s="192">
        <v>45433.0</v>
      </c>
      <c r="B1027" s="48">
        <v>57.45</v>
      </c>
    </row>
    <row r="1028">
      <c r="A1028" s="192">
        <v>45434.0</v>
      </c>
      <c r="B1028" s="48">
        <v>59.42</v>
      </c>
    </row>
    <row r="1029">
      <c r="A1029" s="192">
        <v>45435.0</v>
      </c>
      <c r="B1029" s="48">
        <v>71.59</v>
      </c>
    </row>
    <row r="1030">
      <c r="A1030" s="192">
        <v>45439.0</v>
      </c>
      <c r="B1030" s="48">
        <v>66.17</v>
      </c>
    </row>
    <row r="1031">
      <c r="A1031" s="192">
        <v>45440.0</v>
      </c>
      <c r="B1031" s="48">
        <v>66.01</v>
      </c>
    </row>
    <row r="1032">
      <c r="A1032" s="192">
        <v>45449.0</v>
      </c>
      <c r="B1032" s="48">
        <v>69.48</v>
      </c>
    </row>
    <row r="1033">
      <c r="A1033" s="192">
        <v>45458.0</v>
      </c>
      <c r="B1033" s="48">
        <v>72.5</v>
      </c>
    </row>
    <row r="1034">
      <c r="A1034" s="192">
        <v>45459.0</v>
      </c>
      <c r="B1034" s="48">
        <v>69.97</v>
      </c>
    </row>
    <row r="1035">
      <c r="A1035" s="192">
        <v>45469.0</v>
      </c>
      <c r="B1035" s="48">
        <v>65.09</v>
      </c>
    </row>
    <row r="1036">
      <c r="A1036" s="192">
        <v>45501.0</v>
      </c>
      <c r="B1036" s="48">
        <v>35.61</v>
      </c>
    </row>
    <row r="1037">
      <c r="A1037" s="192">
        <v>45502.0</v>
      </c>
      <c r="B1037" s="48">
        <v>38.62</v>
      </c>
    </row>
    <row r="1038">
      <c r="A1038" s="192">
        <v>45503.0</v>
      </c>
      <c r="B1038" s="48">
        <v>32.82</v>
      </c>
    </row>
    <row r="1039">
      <c r="A1039" s="192">
        <v>45504.0</v>
      </c>
      <c r="B1039" s="48">
        <v>43.69</v>
      </c>
    </row>
    <row r="1040">
      <c r="A1040" s="192">
        <v>45505.0</v>
      </c>
      <c r="B1040" s="48">
        <v>34.66</v>
      </c>
    </row>
    <row r="1041">
      <c r="A1041" s="192">
        <v>45506.0</v>
      </c>
      <c r="B1041" s="48">
        <v>38.38</v>
      </c>
    </row>
    <row r="1042">
      <c r="A1042" s="192">
        <v>45601.0</v>
      </c>
      <c r="B1042" s="48">
        <v>70.17</v>
      </c>
    </row>
    <row r="1043">
      <c r="A1043" s="192">
        <v>45612.0</v>
      </c>
      <c r="B1043" s="48">
        <v>69.28</v>
      </c>
    </row>
    <row r="1044">
      <c r="A1044" s="192">
        <v>45613.0</v>
      </c>
      <c r="B1044" s="48">
        <v>91.36</v>
      </c>
    </row>
    <row r="1045">
      <c r="A1045" s="192">
        <v>45614.0</v>
      </c>
      <c r="B1045" s="48">
        <v>120.52</v>
      </c>
    </row>
    <row r="1046">
      <c r="A1046" s="192">
        <v>45616.0</v>
      </c>
      <c r="B1046" s="48">
        <v>123.76</v>
      </c>
    </row>
    <row r="1047">
      <c r="A1047" s="192">
        <v>45617.0</v>
      </c>
      <c r="B1047" s="48">
        <v>77.71</v>
      </c>
    </row>
    <row r="1048">
      <c r="A1048" s="192">
        <v>45618.0</v>
      </c>
      <c r="B1048" s="48">
        <v>98.41</v>
      </c>
    </row>
    <row r="1049">
      <c r="A1049" s="192">
        <v>45619.0</v>
      </c>
      <c r="B1049" s="48">
        <v>157.77</v>
      </c>
    </row>
    <row r="1050">
      <c r="A1050" s="192">
        <v>45620.0</v>
      </c>
      <c r="B1050" s="48">
        <v>132.05</v>
      </c>
    </row>
    <row r="1051">
      <c r="A1051" s="192">
        <v>45621.0</v>
      </c>
      <c r="B1051" s="48">
        <v>97.49</v>
      </c>
    </row>
    <row r="1052">
      <c r="A1052" s="192">
        <v>45622.0</v>
      </c>
      <c r="B1052" s="48">
        <v>88.25</v>
      </c>
    </row>
    <row r="1053">
      <c r="A1053" s="192">
        <v>45623.0</v>
      </c>
      <c r="B1053" s="48">
        <v>135.53</v>
      </c>
    </row>
    <row r="1054">
      <c r="A1054" s="192">
        <v>45624.0</v>
      </c>
      <c r="B1054" s="48">
        <v>75.68</v>
      </c>
    </row>
    <row r="1055">
      <c r="A1055" s="192">
        <v>45628.0</v>
      </c>
      <c r="B1055" s="48">
        <v>58.38</v>
      </c>
    </row>
    <row r="1056">
      <c r="A1056" s="192">
        <v>45629.0</v>
      </c>
      <c r="B1056" s="48">
        <v>125.59</v>
      </c>
    </row>
    <row r="1057">
      <c r="A1057" s="192">
        <v>45630.0</v>
      </c>
      <c r="B1057" s="48">
        <v>118.19</v>
      </c>
    </row>
    <row r="1058">
      <c r="A1058" s="192">
        <v>45631.0</v>
      </c>
      <c r="B1058" s="48">
        <v>128.08</v>
      </c>
    </row>
    <row r="1059">
      <c r="A1059" s="192">
        <v>45634.0</v>
      </c>
      <c r="B1059" s="48">
        <v>100.38</v>
      </c>
    </row>
    <row r="1060">
      <c r="A1060" s="192">
        <v>45636.0</v>
      </c>
      <c r="B1060" s="48">
        <v>129.6</v>
      </c>
    </row>
    <row r="1061">
      <c r="A1061" s="192">
        <v>45638.0</v>
      </c>
      <c r="B1061" s="48">
        <v>139.52</v>
      </c>
    </row>
    <row r="1062">
      <c r="A1062" s="192">
        <v>45640.0</v>
      </c>
      <c r="B1062" s="48">
        <v>99.8</v>
      </c>
    </row>
    <row r="1063">
      <c r="A1063" s="192">
        <v>45642.0</v>
      </c>
      <c r="B1063" s="48">
        <v>89.84</v>
      </c>
    </row>
    <row r="1064">
      <c r="A1064" s="192">
        <v>45644.0</v>
      </c>
      <c r="B1064" s="48">
        <v>65.05</v>
      </c>
    </row>
    <row r="1065">
      <c r="A1065" s="192">
        <v>45645.0</v>
      </c>
      <c r="B1065" s="48">
        <v>145.86</v>
      </c>
    </row>
    <row r="1066">
      <c r="A1066" s="192">
        <v>45646.0</v>
      </c>
      <c r="B1066" s="48">
        <v>85.65</v>
      </c>
    </row>
    <row r="1067">
      <c r="A1067" s="192">
        <v>45647.0</v>
      </c>
      <c r="B1067" s="48">
        <v>79.51</v>
      </c>
    </row>
    <row r="1068">
      <c r="A1068" s="192">
        <v>45648.0</v>
      </c>
      <c r="B1068" s="48">
        <v>98.22</v>
      </c>
    </row>
    <row r="1069">
      <c r="A1069" s="192">
        <v>45650.0</v>
      </c>
      <c r="B1069" s="48">
        <v>128.83</v>
      </c>
    </row>
    <row r="1070">
      <c r="A1070" s="192">
        <v>45651.0</v>
      </c>
      <c r="B1070" s="48">
        <v>96.99</v>
      </c>
    </row>
    <row r="1071">
      <c r="A1071" s="192">
        <v>45652.0</v>
      </c>
      <c r="B1071" s="48">
        <v>109.96</v>
      </c>
    </row>
    <row r="1072">
      <c r="A1072" s="192">
        <v>45653.0</v>
      </c>
      <c r="B1072" s="48">
        <v>106.02</v>
      </c>
    </row>
    <row r="1073">
      <c r="A1073" s="192">
        <v>45654.0</v>
      </c>
      <c r="B1073" s="48">
        <v>87.3</v>
      </c>
    </row>
    <row r="1074">
      <c r="A1074" s="192">
        <v>45656.0</v>
      </c>
      <c r="B1074" s="48">
        <v>109.96</v>
      </c>
    </row>
    <row r="1075">
      <c r="A1075" s="192">
        <v>45657.0</v>
      </c>
      <c r="B1075" s="48">
        <v>113.95</v>
      </c>
    </row>
    <row r="1076">
      <c r="A1076" s="192">
        <v>45658.0</v>
      </c>
      <c r="B1076" s="48">
        <v>124.42</v>
      </c>
    </row>
    <row r="1077">
      <c r="A1077" s="192">
        <v>45659.0</v>
      </c>
      <c r="B1077" s="48">
        <v>128.92</v>
      </c>
    </row>
    <row r="1078">
      <c r="A1078" s="192">
        <v>45660.0</v>
      </c>
      <c r="B1078" s="48">
        <v>87.61</v>
      </c>
    </row>
    <row r="1079">
      <c r="A1079" s="192">
        <v>45661.0</v>
      </c>
      <c r="B1079" s="48">
        <v>93.18</v>
      </c>
    </row>
    <row r="1080">
      <c r="A1080" s="192">
        <v>45662.0</v>
      </c>
      <c r="B1080" s="48">
        <v>110.78</v>
      </c>
    </row>
    <row r="1081">
      <c r="A1081" s="192">
        <v>45663.0</v>
      </c>
      <c r="B1081" s="48">
        <v>115.58</v>
      </c>
    </row>
    <row r="1082">
      <c r="A1082" s="192">
        <v>45669.0</v>
      </c>
      <c r="B1082" s="48">
        <v>146.93</v>
      </c>
    </row>
    <row r="1083">
      <c r="A1083" s="192">
        <v>45671.0</v>
      </c>
      <c r="B1083" s="48">
        <v>107.25</v>
      </c>
    </row>
    <row r="1084">
      <c r="A1084" s="192">
        <v>45672.0</v>
      </c>
      <c r="B1084" s="48">
        <v>87.9</v>
      </c>
    </row>
    <row r="1085">
      <c r="A1085" s="192">
        <v>45673.0</v>
      </c>
      <c r="B1085" s="48">
        <v>80.21</v>
      </c>
    </row>
    <row r="1086">
      <c r="A1086" s="192">
        <v>45674.0</v>
      </c>
      <c r="B1086" s="48">
        <v>114.94</v>
      </c>
    </row>
    <row r="1087">
      <c r="A1087" s="192">
        <v>45677.0</v>
      </c>
      <c r="B1087" s="48">
        <v>119.07</v>
      </c>
    </row>
    <row r="1088">
      <c r="A1088" s="192">
        <v>45678.0</v>
      </c>
      <c r="B1088" s="48">
        <v>139.26</v>
      </c>
    </row>
    <row r="1089">
      <c r="A1089" s="192">
        <v>45679.0</v>
      </c>
      <c r="B1089" s="48">
        <v>90.86</v>
      </c>
    </row>
    <row r="1090">
      <c r="A1090" s="192">
        <v>45680.0</v>
      </c>
      <c r="B1090" s="48">
        <v>148.54</v>
      </c>
    </row>
    <row r="1091">
      <c r="A1091" s="192">
        <v>45681.0</v>
      </c>
      <c r="B1091" s="48">
        <v>66.6</v>
      </c>
    </row>
    <row r="1092">
      <c r="A1092" s="192">
        <v>45682.0</v>
      </c>
      <c r="B1092" s="48">
        <v>116.63</v>
      </c>
    </row>
    <row r="1093">
      <c r="A1093" s="192">
        <v>45684.0</v>
      </c>
      <c r="B1093" s="48">
        <v>126.21</v>
      </c>
    </row>
    <row r="1094">
      <c r="A1094" s="192">
        <v>45685.0</v>
      </c>
      <c r="B1094" s="48">
        <v>107.93</v>
      </c>
    </row>
    <row r="1095">
      <c r="A1095" s="192">
        <v>45686.0</v>
      </c>
      <c r="B1095" s="48">
        <v>114.04</v>
      </c>
    </row>
    <row r="1096">
      <c r="A1096" s="192">
        <v>45688.0</v>
      </c>
      <c r="B1096" s="48">
        <v>129.55</v>
      </c>
    </row>
    <row r="1097">
      <c r="A1097" s="192">
        <v>45690.0</v>
      </c>
      <c r="B1097" s="48">
        <v>85.15</v>
      </c>
    </row>
    <row r="1098">
      <c r="A1098" s="192">
        <v>45692.0</v>
      </c>
      <c r="B1098" s="48">
        <v>96.63</v>
      </c>
    </row>
    <row r="1099">
      <c r="A1099" s="192">
        <v>45693.0</v>
      </c>
      <c r="B1099" s="48">
        <v>127.1</v>
      </c>
    </row>
    <row r="1100">
      <c r="A1100" s="192">
        <v>45694.0</v>
      </c>
      <c r="B1100" s="48">
        <v>121.97</v>
      </c>
    </row>
    <row r="1101">
      <c r="A1101" s="192">
        <v>45695.0</v>
      </c>
      <c r="B1101" s="48">
        <v>120.9</v>
      </c>
    </row>
    <row r="1102">
      <c r="A1102" s="192">
        <v>45696.0</v>
      </c>
      <c r="B1102" s="48">
        <v>138.59</v>
      </c>
    </row>
    <row r="1103">
      <c r="A1103" s="192">
        <v>45697.0</v>
      </c>
      <c r="B1103" s="48">
        <v>95.42</v>
      </c>
    </row>
    <row r="1104">
      <c r="A1104" s="192">
        <v>45698.0</v>
      </c>
      <c r="B1104" s="48">
        <v>98.17</v>
      </c>
    </row>
    <row r="1105">
      <c r="A1105" s="192">
        <v>45699.0</v>
      </c>
      <c r="B1105" s="48">
        <v>101.0</v>
      </c>
    </row>
    <row r="1106">
      <c r="A1106" s="192">
        <v>45701.0</v>
      </c>
      <c r="B1106" s="48">
        <v>100.9</v>
      </c>
    </row>
    <row r="1107">
      <c r="A1107" s="192">
        <v>45710.0</v>
      </c>
      <c r="B1107" s="48">
        <v>111.45</v>
      </c>
    </row>
    <row r="1108">
      <c r="A1108" s="192">
        <v>45711.0</v>
      </c>
      <c r="B1108" s="48">
        <v>108.52</v>
      </c>
    </row>
    <row r="1109">
      <c r="A1109" s="192">
        <v>45714.0</v>
      </c>
      <c r="B1109" s="48">
        <v>134.3</v>
      </c>
    </row>
    <row r="1110">
      <c r="A1110" s="192">
        <v>45715.0</v>
      </c>
      <c r="B1110" s="48">
        <v>118.76</v>
      </c>
    </row>
    <row r="1111">
      <c r="A1111" s="192">
        <v>45716.0</v>
      </c>
      <c r="B1111" s="48">
        <v>89.09</v>
      </c>
    </row>
    <row r="1112">
      <c r="A1112" s="192">
        <v>45719.0</v>
      </c>
      <c r="B1112" s="48">
        <v>94.73</v>
      </c>
    </row>
    <row r="1113">
      <c r="A1113" s="192">
        <v>45720.0</v>
      </c>
      <c r="B1113" s="48">
        <v>124.41</v>
      </c>
    </row>
    <row r="1114">
      <c r="A1114" s="192">
        <v>45721.0</v>
      </c>
      <c r="B1114" s="48">
        <v>128.0</v>
      </c>
    </row>
    <row r="1115">
      <c r="A1115" s="192">
        <v>45723.0</v>
      </c>
      <c r="B1115" s="48">
        <v>119.23</v>
      </c>
    </row>
    <row r="1116">
      <c r="A1116" s="192">
        <v>45724.0</v>
      </c>
      <c r="B1116" s="48">
        <v>119.98</v>
      </c>
    </row>
    <row r="1117">
      <c r="A1117" s="192">
        <v>45727.0</v>
      </c>
      <c r="B1117" s="48">
        <v>131.69</v>
      </c>
    </row>
    <row r="1118">
      <c r="A1118" s="192">
        <v>45729.0</v>
      </c>
      <c r="B1118" s="48">
        <v>129.96</v>
      </c>
    </row>
    <row r="1119">
      <c r="A1119" s="192">
        <v>45732.0</v>
      </c>
      <c r="B1119" s="48">
        <v>102.48</v>
      </c>
    </row>
    <row r="1120">
      <c r="A1120" s="192">
        <v>45734.0</v>
      </c>
      <c r="B1120" s="48">
        <v>143.87</v>
      </c>
    </row>
    <row r="1121">
      <c r="A1121" s="192">
        <v>45735.0</v>
      </c>
      <c r="B1121" s="48">
        <v>113.02</v>
      </c>
    </row>
    <row r="1122">
      <c r="A1122" s="192">
        <v>45739.0</v>
      </c>
      <c r="B1122" s="48">
        <v>125.0</v>
      </c>
    </row>
    <row r="1123">
      <c r="A1123" s="192">
        <v>45740.0</v>
      </c>
      <c r="B1123" s="48">
        <v>97.12</v>
      </c>
    </row>
    <row r="1124">
      <c r="A1124" s="192">
        <v>45741.0</v>
      </c>
      <c r="B1124" s="48">
        <v>122.39</v>
      </c>
    </row>
    <row r="1125">
      <c r="A1125" s="192">
        <v>45742.0</v>
      </c>
      <c r="B1125" s="48">
        <v>127.94</v>
      </c>
    </row>
    <row r="1126">
      <c r="A1126" s="192">
        <v>45743.0</v>
      </c>
      <c r="B1126" s="48">
        <v>131.98</v>
      </c>
    </row>
    <row r="1127">
      <c r="A1127" s="192">
        <v>45744.0</v>
      </c>
      <c r="B1127" s="48">
        <v>148.58</v>
      </c>
    </row>
    <row r="1128">
      <c r="A1128" s="192">
        <v>45745.0</v>
      </c>
      <c r="B1128" s="48">
        <v>142.51</v>
      </c>
    </row>
    <row r="1129">
      <c r="A1129" s="192">
        <v>45746.0</v>
      </c>
      <c r="B1129" s="48">
        <v>134.63</v>
      </c>
    </row>
    <row r="1130">
      <c r="A1130" s="192">
        <v>45750.0</v>
      </c>
      <c r="B1130" s="48">
        <v>147.76</v>
      </c>
    </row>
    <row r="1131">
      <c r="A1131" s="192">
        <v>45760.0</v>
      </c>
      <c r="B1131" s="48">
        <v>126.15</v>
      </c>
    </row>
    <row r="1132">
      <c r="A1132" s="192">
        <v>45761.0</v>
      </c>
      <c r="B1132" s="48">
        <v>97.65</v>
      </c>
    </row>
    <row r="1133">
      <c r="A1133" s="192">
        <v>45764.0</v>
      </c>
      <c r="B1133" s="48">
        <v>86.01</v>
      </c>
    </row>
    <row r="1134">
      <c r="A1134" s="192">
        <v>45766.0</v>
      </c>
      <c r="B1134" s="48">
        <v>97.36</v>
      </c>
    </row>
    <row r="1135">
      <c r="A1135" s="192">
        <v>45767.0</v>
      </c>
      <c r="B1135" s="48">
        <v>162.12</v>
      </c>
    </row>
    <row r="1136">
      <c r="A1136" s="192">
        <v>45768.0</v>
      </c>
      <c r="B1136" s="48">
        <v>165.08</v>
      </c>
    </row>
    <row r="1137">
      <c r="A1137" s="192">
        <v>45769.0</v>
      </c>
      <c r="B1137" s="48">
        <v>118.88</v>
      </c>
    </row>
    <row r="1138">
      <c r="A1138" s="192">
        <v>45770.0</v>
      </c>
      <c r="B1138" s="48">
        <v>137.21</v>
      </c>
    </row>
    <row r="1139">
      <c r="A1139" s="192">
        <v>45771.0</v>
      </c>
      <c r="B1139" s="48">
        <v>132.13</v>
      </c>
    </row>
    <row r="1140">
      <c r="A1140" s="192">
        <v>45772.0</v>
      </c>
      <c r="B1140" s="48">
        <v>129.36</v>
      </c>
    </row>
    <row r="1141">
      <c r="A1141" s="192">
        <v>45773.0</v>
      </c>
      <c r="B1141" s="48">
        <v>164.58</v>
      </c>
    </row>
    <row r="1142">
      <c r="A1142" s="192">
        <v>45775.0</v>
      </c>
      <c r="B1142" s="48">
        <v>122.97</v>
      </c>
    </row>
    <row r="1143">
      <c r="A1143" s="192">
        <v>45776.0</v>
      </c>
      <c r="B1143" s="48">
        <v>111.22</v>
      </c>
    </row>
    <row r="1144">
      <c r="A1144" s="192">
        <v>45778.0</v>
      </c>
      <c r="B1144" s="48">
        <v>114.85</v>
      </c>
    </row>
    <row r="1145">
      <c r="A1145" s="192">
        <v>45779.0</v>
      </c>
      <c r="B1145" s="48">
        <v>124.66</v>
      </c>
    </row>
    <row r="1146">
      <c r="A1146" s="192">
        <v>45780.0</v>
      </c>
      <c r="B1146" s="48">
        <v>94.91</v>
      </c>
    </row>
    <row r="1147">
      <c r="A1147" s="192">
        <v>45782.0</v>
      </c>
      <c r="B1147" s="48">
        <v>97.99</v>
      </c>
    </row>
    <row r="1148">
      <c r="A1148" s="192">
        <v>45783.0</v>
      </c>
      <c r="B1148" s="48">
        <v>121.21</v>
      </c>
    </row>
    <row r="1149">
      <c r="A1149" s="192">
        <v>45784.0</v>
      </c>
      <c r="B1149" s="48">
        <v>124.74</v>
      </c>
    </row>
    <row r="1150">
      <c r="A1150" s="192">
        <v>45786.0</v>
      </c>
      <c r="B1150" s="48">
        <v>129.4</v>
      </c>
    </row>
    <row r="1151">
      <c r="A1151" s="192">
        <v>45788.0</v>
      </c>
      <c r="B1151" s="48">
        <v>152.39</v>
      </c>
    </row>
    <row r="1152">
      <c r="A1152" s="192">
        <v>45789.0</v>
      </c>
      <c r="B1152" s="48">
        <v>168.15</v>
      </c>
    </row>
    <row r="1153">
      <c r="A1153" s="192">
        <v>45801.0</v>
      </c>
      <c r="B1153" s="48">
        <v>75.45</v>
      </c>
    </row>
    <row r="1154">
      <c r="A1154" s="192">
        <v>45804.0</v>
      </c>
      <c r="B1154" s="48">
        <v>70.0</v>
      </c>
    </row>
    <row r="1155">
      <c r="A1155" s="192">
        <v>45805.0</v>
      </c>
      <c r="B1155" s="48">
        <v>78.12</v>
      </c>
    </row>
    <row r="1156">
      <c r="A1156" s="192">
        <v>45806.0</v>
      </c>
      <c r="B1156" s="48">
        <v>75.37</v>
      </c>
    </row>
    <row r="1157">
      <c r="A1157" s="192">
        <v>45807.0</v>
      </c>
      <c r="B1157" s="48">
        <v>81.69</v>
      </c>
    </row>
    <row r="1158">
      <c r="A1158" s="192">
        <v>45808.0</v>
      </c>
      <c r="B1158" s="48">
        <v>75.48</v>
      </c>
    </row>
    <row r="1159">
      <c r="A1159" s="192">
        <v>45809.0</v>
      </c>
      <c r="B1159" s="48">
        <v>83.23</v>
      </c>
    </row>
    <row r="1160">
      <c r="A1160" s="192">
        <v>45810.0</v>
      </c>
      <c r="B1160" s="48">
        <v>59.21</v>
      </c>
    </row>
    <row r="1161">
      <c r="A1161" s="192">
        <v>45812.0</v>
      </c>
      <c r="B1161" s="48">
        <v>63.69</v>
      </c>
    </row>
    <row r="1162">
      <c r="A1162" s="192">
        <v>45813.0</v>
      </c>
      <c r="B1162" s="48">
        <v>131.13</v>
      </c>
    </row>
    <row r="1163">
      <c r="A1163" s="192">
        <v>45814.0</v>
      </c>
      <c r="B1163" s="48">
        <v>63.85</v>
      </c>
    </row>
    <row r="1164">
      <c r="A1164" s="192">
        <v>45815.0</v>
      </c>
      <c r="B1164" s="48">
        <v>94.52</v>
      </c>
    </row>
    <row r="1165">
      <c r="A1165" s="192">
        <v>45816.0</v>
      </c>
      <c r="B1165" s="48">
        <v>77.87</v>
      </c>
    </row>
    <row r="1166">
      <c r="A1166" s="192">
        <v>45817.0</v>
      </c>
      <c r="B1166" s="48">
        <v>76.93</v>
      </c>
    </row>
    <row r="1167">
      <c r="A1167" s="192">
        <v>45819.0</v>
      </c>
      <c r="B1167" s="48">
        <v>77.63</v>
      </c>
    </row>
    <row r="1168">
      <c r="A1168" s="192">
        <v>45820.0</v>
      </c>
      <c r="B1168" s="48">
        <v>78.74</v>
      </c>
    </row>
    <row r="1169">
      <c r="A1169" s="192">
        <v>45821.0</v>
      </c>
      <c r="B1169" s="48">
        <v>129.32</v>
      </c>
    </row>
    <row r="1170">
      <c r="A1170" s="192">
        <v>45822.0</v>
      </c>
      <c r="B1170" s="48">
        <v>89.04</v>
      </c>
    </row>
    <row r="1171">
      <c r="A1171" s="192">
        <v>45826.0</v>
      </c>
      <c r="B1171" s="48">
        <v>80.66</v>
      </c>
    </row>
    <row r="1172">
      <c r="A1172" s="192">
        <v>45827.0</v>
      </c>
      <c r="B1172" s="48">
        <v>97.89</v>
      </c>
    </row>
    <row r="1173">
      <c r="A1173" s="192">
        <v>45828.0</v>
      </c>
      <c r="B1173" s="48">
        <v>93.32</v>
      </c>
    </row>
    <row r="1174">
      <c r="A1174" s="192">
        <v>45830.0</v>
      </c>
      <c r="B1174" s="48">
        <v>84.0</v>
      </c>
    </row>
    <row r="1175">
      <c r="A1175" s="192">
        <v>45831.0</v>
      </c>
      <c r="B1175" s="48">
        <v>103.82</v>
      </c>
    </row>
    <row r="1176">
      <c r="A1176" s="192">
        <v>45832.0</v>
      </c>
      <c r="B1176" s="48">
        <v>113.21</v>
      </c>
    </row>
    <row r="1177">
      <c r="A1177" s="192">
        <v>45833.0</v>
      </c>
      <c r="B1177" s="48">
        <v>95.38</v>
      </c>
    </row>
    <row r="1178">
      <c r="A1178" s="192">
        <v>45835.0</v>
      </c>
      <c r="B1178" s="48">
        <v>57.61</v>
      </c>
    </row>
    <row r="1179">
      <c r="A1179" s="192">
        <v>45836.0</v>
      </c>
      <c r="B1179" s="48">
        <v>55.66</v>
      </c>
    </row>
    <row r="1180">
      <c r="A1180" s="192">
        <v>45838.0</v>
      </c>
      <c r="B1180" s="48">
        <v>94.9</v>
      </c>
    </row>
    <row r="1181">
      <c r="A1181" s="192">
        <v>45840.0</v>
      </c>
      <c r="B1181" s="48">
        <v>73.41</v>
      </c>
    </row>
    <row r="1182">
      <c r="A1182" s="192">
        <v>45841.0</v>
      </c>
      <c r="B1182" s="48">
        <v>65.7</v>
      </c>
    </row>
    <row r="1183">
      <c r="A1183" s="192">
        <v>45843.0</v>
      </c>
      <c r="B1183" s="48">
        <v>57.32</v>
      </c>
    </row>
    <row r="1184">
      <c r="A1184" s="192">
        <v>45844.0</v>
      </c>
      <c r="B1184" s="48">
        <v>94.1</v>
      </c>
    </row>
    <row r="1185">
      <c r="A1185" s="192">
        <v>45845.0</v>
      </c>
      <c r="B1185" s="48">
        <v>75.97</v>
      </c>
    </row>
    <row r="1186">
      <c r="A1186" s="192">
        <v>45846.0</v>
      </c>
      <c r="B1186" s="48">
        <v>97.37</v>
      </c>
    </row>
    <row r="1187">
      <c r="A1187" s="192">
        <v>45848.0</v>
      </c>
      <c r="B1187" s="48">
        <v>94.02</v>
      </c>
    </row>
    <row r="1188">
      <c r="A1188" s="192">
        <v>45849.0</v>
      </c>
      <c r="B1188" s="48">
        <v>107.7</v>
      </c>
    </row>
    <row r="1189">
      <c r="A1189" s="192">
        <v>45850.0</v>
      </c>
      <c r="B1189" s="48">
        <v>63.54</v>
      </c>
    </row>
    <row r="1190">
      <c r="A1190" s="192">
        <v>45851.0</v>
      </c>
      <c r="B1190" s="48">
        <v>116.51</v>
      </c>
    </row>
    <row r="1191">
      <c r="A1191" s="192">
        <v>45853.0</v>
      </c>
      <c r="B1191" s="48">
        <v>92.22</v>
      </c>
    </row>
    <row r="1192">
      <c r="A1192" s="192">
        <v>45854.0</v>
      </c>
      <c r="B1192" s="48">
        <v>69.1</v>
      </c>
    </row>
    <row r="1193">
      <c r="A1193" s="192">
        <v>45855.0</v>
      </c>
      <c r="B1193" s="48">
        <v>119.84</v>
      </c>
    </row>
    <row r="1194">
      <c r="A1194" s="192">
        <v>45856.0</v>
      </c>
      <c r="B1194" s="48">
        <v>94.76</v>
      </c>
    </row>
    <row r="1195">
      <c r="A1195" s="192">
        <v>45858.0</v>
      </c>
      <c r="B1195" s="48">
        <v>93.0</v>
      </c>
    </row>
    <row r="1196">
      <c r="A1196" s="192">
        <v>45859.0</v>
      </c>
      <c r="B1196" s="48">
        <v>61.9</v>
      </c>
    </row>
    <row r="1197">
      <c r="A1197" s="192">
        <v>45860.0</v>
      </c>
      <c r="B1197" s="48">
        <v>83.39</v>
      </c>
    </row>
    <row r="1198">
      <c r="A1198" s="192">
        <v>45861.0</v>
      </c>
      <c r="B1198" s="48">
        <v>111.12</v>
      </c>
    </row>
    <row r="1199">
      <c r="A1199" s="192">
        <v>45862.0</v>
      </c>
      <c r="B1199" s="48">
        <v>93.94</v>
      </c>
    </row>
    <row r="1200">
      <c r="A1200" s="192">
        <v>45863.0</v>
      </c>
      <c r="B1200" s="48">
        <v>99.22</v>
      </c>
    </row>
    <row r="1201">
      <c r="A1201" s="192">
        <v>45864.0</v>
      </c>
      <c r="B1201" s="48">
        <v>101.33</v>
      </c>
    </row>
    <row r="1202">
      <c r="A1202" s="192">
        <v>45865.0</v>
      </c>
      <c r="B1202" s="48">
        <v>75.3</v>
      </c>
    </row>
    <row r="1203">
      <c r="A1203" s="192">
        <v>45866.0</v>
      </c>
      <c r="B1203" s="48">
        <v>85.02</v>
      </c>
    </row>
    <row r="1204">
      <c r="A1204" s="192">
        <v>45867.0</v>
      </c>
      <c r="B1204" s="48">
        <v>65.41</v>
      </c>
    </row>
    <row r="1205">
      <c r="A1205" s="192">
        <v>45868.0</v>
      </c>
      <c r="B1205" s="48">
        <v>83.37</v>
      </c>
    </row>
    <row r="1206">
      <c r="A1206" s="192">
        <v>45869.0</v>
      </c>
      <c r="B1206" s="48">
        <v>77.18</v>
      </c>
    </row>
    <row r="1207">
      <c r="A1207" s="192">
        <v>45870.0</v>
      </c>
      <c r="B1207" s="48">
        <v>56.39</v>
      </c>
    </row>
    <row r="1208">
      <c r="A1208" s="192">
        <v>45871.0</v>
      </c>
      <c r="B1208" s="48">
        <v>71.76</v>
      </c>
    </row>
    <row r="1209">
      <c r="A1209" s="192">
        <v>45872.0</v>
      </c>
      <c r="B1209" s="48">
        <v>87.17</v>
      </c>
    </row>
    <row r="1210">
      <c r="A1210" s="192">
        <v>45873.0</v>
      </c>
      <c r="B1210" s="48">
        <v>111.23</v>
      </c>
    </row>
    <row r="1211">
      <c r="A1211" s="192">
        <v>45874.0</v>
      </c>
      <c r="B1211" s="48">
        <v>104.75</v>
      </c>
    </row>
    <row r="1212">
      <c r="A1212" s="192">
        <v>45875.0</v>
      </c>
      <c r="B1212" s="48">
        <v>91.39</v>
      </c>
    </row>
    <row r="1213">
      <c r="A1213" s="192">
        <v>45876.0</v>
      </c>
      <c r="B1213" s="48">
        <v>97.24</v>
      </c>
    </row>
    <row r="1214">
      <c r="A1214" s="192">
        <v>45877.0</v>
      </c>
      <c r="B1214" s="48">
        <v>82.6</v>
      </c>
    </row>
    <row r="1215">
      <c r="A1215" s="192">
        <v>45879.0</v>
      </c>
      <c r="B1215" s="48">
        <v>120.69</v>
      </c>
    </row>
    <row r="1216">
      <c r="A1216" s="192">
        <v>45880.0</v>
      </c>
      <c r="B1216" s="48">
        <v>124.15</v>
      </c>
    </row>
    <row r="1217">
      <c r="A1217" s="192">
        <v>45881.0</v>
      </c>
      <c r="B1217" s="48">
        <v>74.01</v>
      </c>
    </row>
    <row r="1218">
      <c r="A1218" s="192">
        <v>45882.0</v>
      </c>
      <c r="B1218" s="48">
        <v>97.53</v>
      </c>
    </row>
    <row r="1219">
      <c r="A1219" s="192">
        <v>45883.0</v>
      </c>
      <c r="B1219" s="48">
        <v>89.67</v>
      </c>
    </row>
    <row r="1220">
      <c r="A1220" s="192">
        <v>45884.0</v>
      </c>
      <c r="B1220" s="48">
        <v>63.37</v>
      </c>
    </row>
    <row r="1221">
      <c r="A1221" s="192">
        <v>45885.0</v>
      </c>
      <c r="B1221" s="48">
        <v>80.94</v>
      </c>
    </row>
    <row r="1222">
      <c r="A1222" s="192">
        <v>45886.0</v>
      </c>
      <c r="B1222" s="48">
        <v>113.5</v>
      </c>
    </row>
    <row r="1223">
      <c r="A1223" s="192">
        <v>45887.0</v>
      </c>
      <c r="B1223" s="48">
        <v>88.97</v>
      </c>
    </row>
    <row r="1224">
      <c r="A1224" s="192">
        <v>45888.0</v>
      </c>
      <c r="B1224" s="48">
        <v>66.45</v>
      </c>
    </row>
    <row r="1225">
      <c r="A1225" s="192">
        <v>45889.0</v>
      </c>
      <c r="B1225" s="48">
        <v>83.99</v>
      </c>
    </row>
    <row r="1226">
      <c r="A1226" s="192">
        <v>45890.0</v>
      </c>
      <c r="B1226" s="48">
        <v>77.67</v>
      </c>
    </row>
    <row r="1227">
      <c r="A1227" s="192">
        <v>45891.0</v>
      </c>
      <c r="B1227" s="48">
        <v>104.22</v>
      </c>
    </row>
    <row r="1228">
      <c r="A1228" s="192">
        <v>45893.0</v>
      </c>
      <c r="B1228" s="48">
        <v>84.42</v>
      </c>
    </row>
    <row r="1229">
      <c r="A1229" s="192">
        <v>45894.0</v>
      </c>
      <c r="B1229" s="48">
        <v>95.86</v>
      </c>
    </row>
    <row r="1230">
      <c r="A1230" s="192">
        <v>45895.0</v>
      </c>
      <c r="B1230" s="48">
        <v>69.86</v>
      </c>
    </row>
    <row r="1231">
      <c r="A1231" s="192">
        <v>45896.0</v>
      </c>
      <c r="B1231" s="48">
        <v>60.85</v>
      </c>
    </row>
    <row r="1232">
      <c r="A1232" s="192">
        <v>45897.0</v>
      </c>
      <c r="B1232" s="48">
        <v>59.42</v>
      </c>
    </row>
    <row r="1233">
      <c r="A1233" s="192">
        <v>45898.0</v>
      </c>
      <c r="B1233" s="48">
        <v>104.84</v>
      </c>
    </row>
    <row r="1234">
      <c r="A1234" s="192">
        <v>45899.0</v>
      </c>
      <c r="B1234" s="48">
        <v>110.0</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 r:id="rId174" ref="A175"/>
    <hyperlink r:id="rId175" ref="A176"/>
    <hyperlink r:id="rId176" ref="A177"/>
    <hyperlink r:id="rId177" ref="A178"/>
    <hyperlink r:id="rId178" ref="A179"/>
    <hyperlink r:id="rId179" ref="A180"/>
    <hyperlink r:id="rId180" ref="A181"/>
    <hyperlink r:id="rId181" ref="A182"/>
    <hyperlink r:id="rId182" ref="A183"/>
    <hyperlink r:id="rId183" ref="A184"/>
    <hyperlink r:id="rId184" ref="A185"/>
    <hyperlink r:id="rId185" ref="A186"/>
    <hyperlink r:id="rId186" ref="A187"/>
    <hyperlink r:id="rId187" ref="A188"/>
    <hyperlink r:id="rId188" ref="A189"/>
    <hyperlink r:id="rId189" ref="A190"/>
    <hyperlink r:id="rId190" ref="A191"/>
    <hyperlink r:id="rId191" ref="A192"/>
    <hyperlink r:id="rId192" ref="A193"/>
    <hyperlink r:id="rId193" ref="A194"/>
    <hyperlink r:id="rId194" ref="A195"/>
    <hyperlink r:id="rId195" ref="A196"/>
    <hyperlink r:id="rId196" ref="A197"/>
    <hyperlink r:id="rId197" ref="A198"/>
    <hyperlink r:id="rId198" ref="A199"/>
    <hyperlink r:id="rId199" ref="A200"/>
    <hyperlink r:id="rId200" ref="A201"/>
    <hyperlink r:id="rId201" ref="A202"/>
    <hyperlink r:id="rId202" ref="A203"/>
    <hyperlink r:id="rId203" ref="A204"/>
    <hyperlink r:id="rId204" ref="A205"/>
    <hyperlink r:id="rId205" ref="A206"/>
    <hyperlink r:id="rId206" ref="A207"/>
    <hyperlink r:id="rId207" ref="A208"/>
    <hyperlink r:id="rId208" ref="A209"/>
    <hyperlink r:id="rId209" ref="A210"/>
    <hyperlink r:id="rId210" ref="A211"/>
    <hyperlink r:id="rId211" ref="A212"/>
    <hyperlink r:id="rId212" ref="A213"/>
    <hyperlink r:id="rId213" ref="A214"/>
    <hyperlink r:id="rId214" ref="A215"/>
    <hyperlink r:id="rId215" ref="A216"/>
    <hyperlink r:id="rId216" ref="A217"/>
    <hyperlink r:id="rId217" ref="A218"/>
    <hyperlink r:id="rId218" ref="A219"/>
    <hyperlink r:id="rId219" ref="A220"/>
    <hyperlink r:id="rId220" ref="A221"/>
    <hyperlink r:id="rId221" ref="A222"/>
    <hyperlink r:id="rId222" ref="A223"/>
    <hyperlink r:id="rId223" ref="A224"/>
    <hyperlink r:id="rId224" ref="A225"/>
    <hyperlink r:id="rId225" ref="A226"/>
    <hyperlink r:id="rId226" ref="A227"/>
    <hyperlink r:id="rId227" ref="A228"/>
    <hyperlink r:id="rId228" ref="A229"/>
    <hyperlink r:id="rId229" ref="A230"/>
    <hyperlink r:id="rId230" ref="A231"/>
    <hyperlink r:id="rId231" ref="A232"/>
    <hyperlink r:id="rId232" ref="A233"/>
    <hyperlink r:id="rId233" ref="A234"/>
    <hyperlink r:id="rId234" ref="A235"/>
    <hyperlink r:id="rId235" ref="A236"/>
    <hyperlink r:id="rId236" ref="A237"/>
    <hyperlink r:id="rId237" ref="A238"/>
    <hyperlink r:id="rId238" ref="A239"/>
    <hyperlink r:id="rId239" ref="A240"/>
    <hyperlink r:id="rId240" ref="A241"/>
    <hyperlink r:id="rId241" ref="A242"/>
    <hyperlink r:id="rId242" ref="A243"/>
    <hyperlink r:id="rId243" ref="A244"/>
    <hyperlink r:id="rId244" ref="A245"/>
    <hyperlink r:id="rId245" ref="A246"/>
    <hyperlink r:id="rId246" ref="A247"/>
    <hyperlink r:id="rId247" ref="A248"/>
    <hyperlink r:id="rId248" ref="A249"/>
    <hyperlink r:id="rId249" ref="A250"/>
    <hyperlink r:id="rId250" ref="A251"/>
    <hyperlink r:id="rId251" ref="A252"/>
    <hyperlink r:id="rId252" ref="A253"/>
    <hyperlink r:id="rId253" ref="A254"/>
    <hyperlink r:id="rId254" ref="A255"/>
    <hyperlink r:id="rId255" ref="A256"/>
    <hyperlink r:id="rId256" ref="A257"/>
    <hyperlink r:id="rId257" ref="A258"/>
    <hyperlink r:id="rId258" ref="A259"/>
    <hyperlink r:id="rId259" ref="A260"/>
    <hyperlink r:id="rId260" ref="A261"/>
    <hyperlink r:id="rId261" ref="A262"/>
    <hyperlink r:id="rId262" ref="A263"/>
    <hyperlink r:id="rId263" ref="A264"/>
    <hyperlink r:id="rId264" ref="A265"/>
    <hyperlink r:id="rId265" ref="A266"/>
    <hyperlink r:id="rId266" ref="A267"/>
    <hyperlink r:id="rId267" ref="A268"/>
    <hyperlink r:id="rId268" ref="A269"/>
    <hyperlink r:id="rId269" ref="A270"/>
    <hyperlink r:id="rId270" ref="A271"/>
    <hyperlink r:id="rId271" ref="A272"/>
    <hyperlink r:id="rId272" ref="A273"/>
    <hyperlink r:id="rId273" ref="A274"/>
    <hyperlink r:id="rId274" ref="A275"/>
    <hyperlink r:id="rId275" ref="A276"/>
    <hyperlink r:id="rId276" ref="A277"/>
    <hyperlink r:id="rId277" ref="A278"/>
    <hyperlink r:id="rId278" ref="A279"/>
    <hyperlink r:id="rId279" ref="A280"/>
    <hyperlink r:id="rId280" ref="A281"/>
    <hyperlink r:id="rId281" ref="A282"/>
    <hyperlink r:id="rId282" ref="A283"/>
    <hyperlink r:id="rId283" ref="A284"/>
    <hyperlink r:id="rId284" ref="A285"/>
    <hyperlink r:id="rId285" ref="A286"/>
    <hyperlink r:id="rId286" ref="A287"/>
    <hyperlink r:id="rId287" ref="A288"/>
    <hyperlink r:id="rId288" ref="A289"/>
    <hyperlink r:id="rId289" ref="A290"/>
    <hyperlink r:id="rId290" ref="A291"/>
    <hyperlink r:id="rId291" ref="A292"/>
    <hyperlink r:id="rId292" ref="A293"/>
    <hyperlink r:id="rId293" ref="A294"/>
    <hyperlink r:id="rId294" ref="A295"/>
    <hyperlink r:id="rId295" ref="A296"/>
    <hyperlink r:id="rId296" ref="A297"/>
    <hyperlink r:id="rId297" ref="A298"/>
    <hyperlink r:id="rId298" ref="A299"/>
    <hyperlink r:id="rId299" ref="A300"/>
    <hyperlink r:id="rId300" ref="A301"/>
    <hyperlink r:id="rId301" ref="A302"/>
    <hyperlink r:id="rId302" ref="A303"/>
    <hyperlink r:id="rId303" ref="A304"/>
    <hyperlink r:id="rId304" ref="A305"/>
    <hyperlink r:id="rId305" ref="A306"/>
    <hyperlink r:id="rId306" ref="A307"/>
    <hyperlink r:id="rId307" ref="A308"/>
    <hyperlink r:id="rId308" ref="A309"/>
    <hyperlink r:id="rId309" ref="A310"/>
    <hyperlink r:id="rId310" ref="A311"/>
    <hyperlink r:id="rId311" ref="A312"/>
    <hyperlink r:id="rId312" ref="A313"/>
    <hyperlink r:id="rId313" ref="A314"/>
    <hyperlink r:id="rId314" ref="A315"/>
    <hyperlink r:id="rId315" ref="A316"/>
    <hyperlink r:id="rId316" ref="A317"/>
    <hyperlink r:id="rId317" ref="A318"/>
    <hyperlink r:id="rId318" ref="A319"/>
    <hyperlink r:id="rId319" ref="A320"/>
    <hyperlink r:id="rId320" ref="A321"/>
    <hyperlink r:id="rId321" ref="A322"/>
    <hyperlink r:id="rId322" ref="A323"/>
    <hyperlink r:id="rId323" ref="A324"/>
    <hyperlink r:id="rId324" ref="A325"/>
    <hyperlink r:id="rId325" ref="A326"/>
    <hyperlink r:id="rId326" ref="A327"/>
    <hyperlink r:id="rId327" ref="A328"/>
    <hyperlink r:id="rId328" ref="A329"/>
    <hyperlink r:id="rId329" ref="A330"/>
    <hyperlink r:id="rId330" ref="A331"/>
    <hyperlink r:id="rId331" ref="A332"/>
    <hyperlink r:id="rId332" ref="A333"/>
    <hyperlink r:id="rId333" ref="A334"/>
    <hyperlink r:id="rId334" ref="A335"/>
    <hyperlink r:id="rId335" ref="A336"/>
    <hyperlink r:id="rId336" ref="A337"/>
    <hyperlink r:id="rId337" ref="A338"/>
    <hyperlink r:id="rId338" ref="A339"/>
    <hyperlink r:id="rId339" ref="A340"/>
    <hyperlink r:id="rId340" ref="A341"/>
    <hyperlink r:id="rId341" ref="A342"/>
    <hyperlink r:id="rId342" ref="A343"/>
    <hyperlink r:id="rId343" ref="A344"/>
    <hyperlink r:id="rId344" ref="A345"/>
    <hyperlink r:id="rId345" ref="A346"/>
    <hyperlink r:id="rId346" ref="A347"/>
    <hyperlink r:id="rId347" ref="A348"/>
    <hyperlink r:id="rId348" ref="A349"/>
    <hyperlink r:id="rId349" ref="A350"/>
    <hyperlink r:id="rId350" ref="A351"/>
    <hyperlink r:id="rId351" ref="A352"/>
    <hyperlink r:id="rId352" ref="A353"/>
    <hyperlink r:id="rId353" ref="A354"/>
    <hyperlink r:id="rId354" ref="A355"/>
    <hyperlink r:id="rId355" ref="A356"/>
    <hyperlink r:id="rId356" ref="A357"/>
    <hyperlink r:id="rId357" ref="A358"/>
    <hyperlink r:id="rId358" ref="A359"/>
    <hyperlink r:id="rId359" ref="A360"/>
    <hyperlink r:id="rId360" ref="A361"/>
    <hyperlink r:id="rId361" ref="A362"/>
    <hyperlink r:id="rId362" ref="A363"/>
    <hyperlink r:id="rId363" ref="A364"/>
    <hyperlink r:id="rId364" ref="A365"/>
    <hyperlink r:id="rId365" ref="A366"/>
    <hyperlink r:id="rId366" ref="A367"/>
    <hyperlink r:id="rId367" ref="A368"/>
    <hyperlink r:id="rId368" ref="A369"/>
    <hyperlink r:id="rId369" ref="A370"/>
    <hyperlink r:id="rId370" ref="A371"/>
    <hyperlink r:id="rId371" ref="A372"/>
    <hyperlink r:id="rId372" ref="A373"/>
    <hyperlink r:id="rId373" ref="A374"/>
    <hyperlink r:id="rId374" ref="A375"/>
    <hyperlink r:id="rId375" ref="A376"/>
    <hyperlink r:id="rId376" ref="A377"/>
    <hyperlink r:id="rId377" ref="A378"/>
    <hyperlink r:id="rId378" ref="A379"/>
    <hyperlink r:id="rId379" ref="A380"/>
    <hyperlink r:id="rId380" ref="A381"/>
    <hyperlink r:id="rId381" ref="A382"/>
    <hyperlink r:id="rId382" ref="A383"/>
    <hyperlink r:id="rId383" ref="A384"/>
    <hyperlink r:id="rId384" ref="A385"/>
    <hyperlink r:id="rId385" ref="A386"/>
    <hyperlink r:id="rId386" ref="A387"/>
    <hyperlink r:id="rId387" ref="A388"/>
    <hyperlink r:id="rId388" ref="A389"/>
    <hyperlink r:id="rId389" ref="A390"/>
    <hyperlink r:id="rId390" ref="A391"/>
    <hyperlink r:id="rId391" ref="A392"/>
    <hyperlink r:id="rId392" ref="A393"/>
    <hyperlink r:id="rId393" ref="A394"/>
    <hyperlink r:id="rId394" ref="A395"/>
    <hyperlink r:id="rId395" ref="A396"/>
    <hyperlink r:id="rId396" ref="A397"/>
    <hyperlink r:id="rId397" ref="A398"/>
    <hyperlink r:id="rId398" ref="A399"/>
    <hyperlink r:id="rId399" ref="A400"/>
    <hyperlink r:id="rId400" ref="A401"/>
    <hyperlink r:id="rId401" ref="A402"/>
    <hyperlink r:id="rId402" ref="A403"/>
    <hyperlink r:id="rId403" ref="A404"/>
    <hyperlink r:id="rId404" ref="A405"/>
    <hyperlink r:id="rId405" ref="A406"/>
    <hyperlink r:id="rId406" ref="A407"/>
    <hyperlink r:id="rId407" ref="A408"/>
    <hyperlink r:id="rId408" ref="A409"/>
    <hyperlink r:id="rId409" ref="A410"/>
    <hyperlink r:id="rId410" ref="A411"/>
    <hyperlink r:id="rId411" ref="A412"/>
    <hyperlink r:id="rId412" ref="A413"/>
    <hyperlink r:id="rId413" ref="A414"/>
    <hyperlink r:id="rId414" ref="A415"/>
    <hyperlink r:id="rId415" ref="A416"/>
    <hyperlink r:id="rId416" ref="A417"/>
    <hyperlink r:id="rId417" ref="A418"/>
    <hyperlink r:id="rId418" ref="A419"/>
    <hyperlink r:id="rId419" ref="A420"/>
    <hyperlink r:id="rId420" ref="A421"/>
    <hyperlink r:id="rId421" ref="A422"/>
    <hyperlink r:id="rId422" ref="A423"/>
    <hyperlink r:id="rId423" ref="A424"/>
    <hyperlink r:id="rId424" ref="A425"/>
    <hyperlink r:id="rId425" ref="A426"/>
    <hyperlink r:id="rId426" ref="A427"/>
    <hyperlink r:id="rId427" ref="A428"/>
    <hyperlink r:id="rId428" ref="A429"/>
    <hyperlink r:id="rId429" ref="A430"/>
    <hyperlink r:id="rId430" ref="A431"/>
    <hyperlink r:id="rId431" ref="A432"/>
    <hyperlink r:id="rId432" ref="A433"/>
    <hyperlink r:id="rId433" ref="A434"/>
    <hyperlink r:id="rId434" ref="A435"/>
    <hyperlink r:id="rId435" ref="A436"/>
    <hyperlink r:id="rId436" ref="A437"/>
    <hyperlink r:id="rId437" ref="A438"/>
    <hyperlink r:id="rId438" ref="A439"/>
    <hyperlink r:id="rId439" ref="A440"/>
    <hyperlink r:id="rId440" ref="A441"/>
    <hyperlink r:id="rId441" ref="A442"/>
    <hyperlink r:id="rId442" ref="A443"/>
    <hyperlink r:id="rId443" ref="A444"/>
    <hyperlink r:id="rId444" ref="A445"/>
    <hyperlink r:id="rId445" ref="A446"/>
    <hyperlink r:id="rId446" ref="A447"/>
    <hyperlink r:id="rId447" ref="A448"/>
    <hyperlink r:id="rId448" ref="A449"/>
    <hyperlink r:id="rId449" ref="A450"/>
    <hyperlink r:id="rId450" ref="A451"/>
    <hyperlink r:id="rId451" ref="A452"/>
    <hyperlink r:id="rId452" ref="A453"/>
    <hyperlink r:id="rId453" ref="A454"/>
    <hyperlink r:id="rId454" ref="A455"/>
    <hyperlink r:id="rId455" ref="A456"/>
    <hyperlink r:id="rId456" ref="A457"/>
    <hyperlink r:id="rId457" ref="A458"/>
    <hyperlink r:id="rId458" ref="A459"/>
    <hyperlink r:id="rId459" ref="A460"/>
    <hyperlink r:id="rId460" ref="A461"/>
    <hyperlink r:id="rId461" ref="A462"/>
    <hyperlink r:id="rId462" ref="A463"/>
    <hyperlink r:id="rId463" ref="A464"/>
    <hyperlink r:id="rId464" ref="A465"/>
    <hyperlink r:id="rId465" ref="A466"/>
    <hyperlink r:id="rId466" ref="A467"/>
    <hyperlink r:id="rId467" ref="A468"/>
    <hyperlink r:id="rId468" ref="A469"/>
    <hyperlink r:id="rId469" ref="A470"/>
    <hyperlink r:id="rId470" ref="A471"/>
    <hyperlink r:id="rId471" ref="A472"/>
    <hyperlink r:id="rId472" ref="A473"/>
    <hyperlink r:id="rId473" ref="A474"/>
    <hyperlink r:id="rId474" ref="A475"/>
    <hyperlink r:id="rId475" ref="A476"/>
    <hyperlink r:id="rId476" ref="A477"/>
    <hyperlink r:id="rId477" ref="A478"/>
    <hyperlink r:id="rId478" ref="A479"/>
    <hyperlink r:id="rId479" ref="A480"/>
    <hyperlink r:id="rId480" ref="A481"/>
    <hyperlink r:id="rId481" ref="A482"/>
    <hyperlink r:id="rId482" ref="A483"/>
    <hyperlink r:id="rId483" ref="A484"/>
    <hyperlink r:id="rId484" ref="A485"/>
    <hyperlink r:id="rId485" ref="A486"/>
    <hyperlink r:id="rId486" ref="A487"/>
    <hyperlink r:id="rId487" ref="A488"/>
    <hyperlink r:id="rId488" ref="A489"/>
    <hyperlink r:id="rId489" ref="A490"/>
    <hyperlink r:id="rId490" ref="A491"/>
    <hyperlink r:id="rId491" ref="A492"/>
    <hyperlink r:id="rId492" ref="A493"/>
    <hyperlink r:id="rId493" ref="A494"/>
    <hyperlink r:id="rId494" ref="A495"/>
    <hyperlink r:id="rId495" ref="A496"/>
    <hyperlink r:id="rId496" ref="A497"/>
    <hyperlink r:id="rId497" ref="A498"/>
    <hyperlink r:id="rId498" ref="A499"/>
    <hyperlink r:id="rId499" ref="A500"/>
    <hyperlink r:id="rId500" ref="A501"/>
    <hyperlink r:id="rId501" ref="A502"/>
    <hyperlink r:id="rId502" ref="A503"/>
    <hyperlink r:id="rId503" ref="A504"/>
    <hyperlink r:id="rId504" ref="A505"/>
    <hyperlink r:id="rId505" ref="A506"/>
    <hyperlink r:id="rId506" ref="A507"/>
    <hyperlink r:id="rId507" ref="A508"/>
    <hyperlink r:id="rId508" ref="A509"/>
    <hyperlink r:id="rId509" ref="A510"/>
    <hyperlink r:id="rId510" ref="A511"/>
    <hyperlink r:id="rId511" ref="A512"/>
    <hyperlink r:id="rId512" ref="A513"/>
    <hyperlink r:id="rId513" ref="A514"/>
    <hyperlink r:id="rId514" ref="A515"/>
    <hyperlink r:id="rId515" ref="A516"/>
    <hyperlink r:id="rId516" ref="A517"/>
    <hyperlink r:id="rId517" ref="A518"/>
    <hyperlink r:id="rId518" ref="A519"/>
    <hyperlink r:id="rId519" ref="A520"/>
    <hyperlink r:id="rId520" ref="A521"/>
    <hyperlink r:id="rId521" ref="A522"/>
    <hyperlink r:id="rId522" ref="A523"/>
    <hyperlink r:id="rId523" ref="A524"/>
    <hyperlink r:id="rId524" ref="A525"/>
    <hyperlink r:id="rId525" ref="A526"/>
    <hyperlink r:id="rId526" ref="A527"/>
    <hyperlink r:id="rId527" ref="A528"/>
    <hyperlink r:id="rId528" ref="A529"/>
    <hyperlink r:id="rId529" ref="A530"/>
    <hyperlink r:id="rId530" ref="A531"/>
    <hyperlink r:id="rId531" ref="A532"/>
    <hyperlink r:id="rId532" ref="A533"/>
    <hyperlink r:id="rId533" ref="A534"/>
    <hyperlink r:id="rId534" ref="A535"/>
    <hyperlink r:id="rId535" ref="A536"/>
    <hyperlink r:id="rId536" ref="A537"/>
    <hyperlink r:id="rId537" ref="A538"/>
    <hyperlink r:id="rId538" ref="A539"/>
    <hyperlink r:id="rId539" ref="A540"/>
    <hyperlink r:id="rId540" ref="A541"/>
    <hyperlink r:id="rId541" ref="A542"/>
    <hyperlink r:id="rId542" ref="A543"/>
    <hyperlink r:id="rId543" ref="A544"/>
    <hyperlink r:id="rId544" ref="A545"/>
    <hyperlink r:id="rId545" ref="A546"/>
    <hyperlink r:id="rId546" ref="A547"/>
    <hyperlink r:id="rId547" ref="A548"/>
    <hyperlink r:id="rId548" ref="A549"/>
    <hyperlink r:id="rId549" ref="A550"/>
    <hyperlink r:id="rId550" ref="A551"/>
    <hyperlink r:id="rId551" ref="A552"/>
    <hyperlink r:id="rId552" ref="A553"/>
    <hyperlink r:id="rId553" ref="A554"/>
    <hyperlink r:id="rId554" ref="A555"/>
    <hyperlink r:id="rId555" ref="A556"/>
    <hyperlink r:id="rId556" ref="A557"/>
    <hyperlink r:id="rId557" ref="A558"/>
    <hyperlink r:id="rId558" ref="A559"/>
    <hyperlink r:id="rId559" ref="A560"/>
    <hyperlink r:id="rId560" ref="A561"/>
    <hyperlink r:id="rId561" ref="A562"/>
    <hyperlink r:id="rId562" ref="A563"/>
    <hyperlink r:id="rId563" ref="A564"/>
    <hyperlink r:id="rId564" ref="A565"/>
    <hyperlink r:id="rId565" ref="A566"/>
    <hyperlink r:id="rId566" ref="A567"/>
    <hyperlink r:id="rId567" ref="A568"/>
    <hyperlink r:id="rId568" ref="A569"/>
    <hyperlink r:id="rId569" ref="A570"/>
    <hyperlink r:id="rId570" ref="A571"/>
    <hyperlink r:id="rId571" ref="A572"/>
    <hyperlink r:id="rId572" ref="A573"/>
    <hyperlink r:id="rId573" ref="A574"/>
    <hyperlink r:id="rId574" ref="A575"/>
    <hyperlink r:id="rId575" ref="A576"/>
    <hyperlink r:id="rId576" ref="A577"/>
    <hyperlink r:id="rId577" ref="A578"/>
    <hyperlink r:id="rId578" ref="A579"/>
    <hyperlink r:id="rId579" ref="A580"/>
    <hyperlink r:id="rId580" ref="A581"/>
    <hyperlink r:id="rId581" ref="A582"/>
    <hyperlink r:id="rId582" ref="A583"/>
    <hyperlink r:id="rId583" ref="A584"/>
    <hyperlink r:id="rId584" ref="A585"/>
    <hyperlink r:id="rId585" ref="A586"/>
    <hyperlink r:id="rId586" ref="A587"/>
    <hyperlink r:id="rId587" ref="A588"/>
    <hyperlink r:id="rId588" ref="A589"/>
    <hyperlink r:id="rId589" ref="A590"/>
    <hyperlink r:id="rId590" ref="A591"/>
    <hyperlink r:id="rId591" ref="A592"/>
    <hyperlink r:id="rId592" ref="A593"/>
    <hyperlink r:id="rId593" ref="A594"/>
    <hyperlink r:id="rId594" ref="A595"/>
    <hyperlink r:id="rId595" ref="A596"/>
    <hyperlink r:id="rId596" ref="A597"/>
    <hyperlink r:id="rId597" ref="A598"/>
    <hyperlink r:id="rId598" ref="A599"/>
    <hyperlink r:id="rId599" ref="A600"/>
    <hyperlink r:id="rId600" ref="A601"/>
    <hyperlink r:id="rId601" ref="A602"/>
    <hyperlink r:id="rId602" ref="A603"/>
    <hyperlink r:id="rId603" ref="A604"/>
    <hyperlink r:id="rId604" ref="A605"/>
    <hyperlink r:id="rId605" ref="A606"/>
    <hyperlink r:id="rId606" ref="A607"/>
    <hyperlink r:id="rId607" ref="A608"/>
    <hyperlink r:id="rId608" ref="A609"/>
    <hyperlink r:id="rId609" ref="A610"/>
    <hyperlink r:id="rId610" ref="A611"/>
    <hyperlink r:id="rId611" ref="A612"/>
    <hyperlink r:id="rId612" ref="A613"/>
    <hyperlink r:id="rId613" ref="A614"/>
    <hyperlink r:id="rId614" ref="A615"/>
    <hyperlink r:id="rId615" ref="A616"/>
    <hyperlink r:id="rId616" ref="A617"/>
    <hyperlink r:id="rId617" ref="A618"/>
    <hyperlink r:id="rId618" ref="A619"/>
    <hyperlink r:id="rId619" ref="A620"/>
    <hyperlink r:id="rId620" ref="A621"/>
    <hyperlink r:id="rId621" ref="A622"/>
    <hyperlink r:id="rId622" ref="A623"/>
    <hyperlink r:id="rId623" ref="A624"/>
    <hyperlink r:id="rId624" ref="A625"/>
    <hyperlink r:id="rId625" ref="A626"/>
    <hyperlink r:id="rId626" ref="A627"/>
    <hyperlink r:id="rId627" ref="A628"/>
    <hyperlink r:id="rId628" ref="A629"/>
    <hyperlink r:id="rId629" ref="A630"/>
    <hyperlink r:id="rId630" ref="A631"/>
    <hyperlink r:id="rId631" ref="A632"/>
    <hyperlink r:id="rId632" ref="A633"/>
    <hyperlink r:id="rId633" ref="A634"/>
    <hyperlink r:id="rId634" ref="A635"/>
    <hyperlink r:id="rId635" ref="A636"/>
    <hyperlink r:id="rId636" ref="A637"/>
    <hyperlink r:id="rId637" ref="A638"/>
    <hyperlink r:id="rId638" ref="A639"/>
    <hyperlink r:id="rId639" ref="A640"/>
    <hyperlink r:id="rId640" ref="A641"/>
    <hyperlink r:id="rId641" ref="A642"/>
    <hyperlink r:id="rId642" ref="A643"/>
    <hyperlink r:id="rId643" ref="A644"/>
    <hyperlink r:id="rId644" ref="A645"/>
    <hyperlink r:id="rId645" ref="A646"/>
    <hyperlink r:id="rId646" ref="A647"/>
    <hyperlink r:id="rId647" ref="A648"/>
    <hyperlink r:id="rId648" ref="A649"/>
    <hyperlink r:id="rId649" ref="A650"/>
    <hyperlink r:id="rId650" ref="A651"/>
    <hyperlink r:id="rId651" ref="A652"/>
    <hyperlink r:id="rId652" ref="A653"/>
    <hyperlink r:id="rId653" ref="A654"/>
    <hyperlink r:id="rId654" ref="A655"/>
    <hyperlink r:id="rId655" ref="A656"/>
    <hyperlink r:id="rId656" ref="A657"/>
    <hyperlink r:id="rId657" ref="A658"/>
    <hyperlink r:id="rId658" ref="A659"/>
    <hyperlink r:id="rId659" ref="A660"/>
    <hyperlink r:id="rId660" ref="A661"/>
    <hyperlink r:id="rId661" ref="A662"/>
    <hyperlink r:id="rId662" ref="A663"/>
    <hyperlink r:id="rId663" ref="A664"/>
    <hyperlink r:id="rId664" ref="A665"/>
    <hyperlink r:id="rId665" ref="A666"/>
    <hyperlink r:id="rId666" ref="A667"/>
    <hyperlink r:id="rId667" ref="A668"/>
    <hyperlink r:id="rId668" ref="A669"/>
    <hyperlink r:id="rId669" ref="A670"/>
    <hyperlink r:id="rId670" ref="A671"/>
    <hyperlink r:id="rId671" ref="A672"/>
    <hyperlink r:id="rId672" ref="A673"/>
    <hyperlink r:id="rId673" ref="A674"/>
    <hyperlink r:id="rId674" ref="A675"/>
    <hyperlink r:id="rId675" ref="A676"/>
    <hyperlink r:id="rId676" ref="A677"/>
    <hyperlink r:id="rId677" ref="A678"/>
    <hyperlink r:id="rId678" ref="A679"/>
    <hyperlink r:id="rId679" ref="A680"/>
    <hyperlink r:id="rId680" ref="A681"/>
    <hyperlink r:id="rId681" ref="A682"/>
    <hyperlink r:id="rId682" ref="A683"/>
    <hyperlink r:id="rId683" ref="A684"/>
    <hyperlink r:id="rId684" ref="A685"/>
    <hyperlink r:id="rId685" ref="A686"/>
    <hyperlink r:id="rId686" ref="A687"/>
    <hyperlink r:id="rId687" ref="A688"/>
    <hyperlink r:id="rId688" ref="A689"/>
    <hyperlink r:id="rId689" ref="A690"/>
    <hyperlink r:id="rId690" ref="A691"/>
    <hyperlink r:id="rId691" ref="A692"/>
    <hyperlink r:id="rId692" ref="A693"/>
    <hyperlink r:id="rId693" ref="A694"/>
    <hyperlink r:id="rId694" ref="A695"/>
    <hyperlink r:id="rId695" ref="A696"/>
    <hyperlink r:id="rId696" ref="A697"/>
    <hyperlink r:id="rId697" ref="A698"/>
    <hyperlink r:id="rId698" ref="A699"/>
    <hyperlink r:id="rId699" ref="A700"/>
    <hyperlink r:id="rId700" ref="A701"/>
    <hyperlink r:id="rId701" ref="A702"/>
    <hyperlink r:id="rId702" ref="A703"/>
    <hyperlink r:id="rId703" ref="A704"/>
    <hyperlink r:id="rId704" ref="A705"/>
    <hyperlink r:id="rId705" ref="A706"/>
    <hyperlink r:id="rId706" ref="A707"/>
    <hyperlink r:id="rId707" ref="A708"/>
    <hyperlink r:id="rId708" ref="A709"/>
    <hyperlink r:id="rId709" ref="A710"/>
    <hyperlink r:id="rId710" ref="A711"/>
    <hyperlink r:id="rId711" ref="A712"/>
    <hyperlink r:id="rId712" ref="A713"/>
    <hyperlink r:id="rId713" ref="A714"/>
    <hyperlink r:id="rId714" ref="A715"/>
    <hyperlink r:id="rId715" ref="A716"/>
    <hyperlink r:id="rId716" ref="A717"/>
    <hyperlink r:id="rId717" ref="A718"/>
    <hyperlink r:id="rId718" ref="A719"/>
    <hyperlink r:id="rId719" ref="A720"/>
    <hyperlink r:id="rId720" ref="A721"/>
    <hyperlink r:id="rId721" ref="A722"/>
    <hyperlink r:id="rId722" ref="A723"/>
    <hyperlink r:id="rId723" ref="A724"/>
    <hyperlink r:id="rId724" ref="A725"/>
    <hyperlink r:id="rId725" ref="A726"/>
    <hyperlink r:id="rId726" ref="A727"/>
    <hyperlink r:id="rId727" ref="A728"/>
    <hyperlink r:id="rId728" ref="A729"/>
    <hyperlink r:id="rId729" ref="A730"/>
    <hyperlink r:id="rId730" ref="A731"/>
    <hyperlink r:id="rId731" ref="A732"/>
    <hyperlink r:id="rId732" ref="A733"/>
    <hyperlink r:id="rId733" ref="A734"/>
    <hyperlink r:id="rId734" ref="A735"/>
    <hyperlink r:id="rId735" ref="A736"/>
    <hyperlink r:id="rId736" ref="A737"/>
    <hyperlink r:id="rId737" ref="A738"/>
    <hyperlink r:id="rId738" ref="A739"/>
    <hyperlink r:id="rId739" ref="A740"/>
    <hyperlink r:id="rId740" ref="A741"/>
    <hyperlink r:id="rId741" ref="A742"/>
    <hyperlink r:id="rId742" ref="A743"/>
    <hyperlink r:id="rId743" ref="A744"/>
    <hyperlink r:id="rId744" ref="A745"/>
    <hyperlink r:id="rId745" ref="A746"/>
    <hyperlink r:id="rId746" ref="A747"/>
    <hyperlink r:id="rId747" ref="A748"/>
    <hyperlink r:id="rId748" ref="A749"/>
    <hyperlink r:id="rId749" ref="A750"/>
    <hyperlink r:id="rId750" ref="A751"/>
    <hyperlink r:id="rId751" ref="A752"/>
    <hyperlink r:id="rId752" ref="A753"/>
    <hyperlink r:id="rId753" ref="A754"/>
    <hyperlink r:id="rId754" ref="A755"/>
    <hyperlink r:id="rId755" ref="A756"/>
    <hyperlink r:id="rId756" ref="A757"/>
    <hyperlink r:id="rId757" ref="A758"/>
    <hyperlink r:id="rId758" ref="A759"/>
    <hyperlink r:id="rId759" ref="A760"/>
    <hyperlink r:id="rId760" ref="A761"/>
    <hyperlink r:id="rId761" ref="A762"/>
    <hyperlink r:id="rId762" ref="A763"/>
    <hyperlink r:id="rId763" ref="A764"/>
    <hyperlink r:id="rId764" ref="A765"/>
    <hyperlink r:id="rId765" ref="A766"/>
    <hyperlink r:id="rId766" ref="A767"/>
    <hyperlink r:id="rId767" ref="A768"/>
    <hyperlink r:id="rId768" ref="A769"/>
    <hyperlink r:id="rId769" ref="A770"/>
    <hyperlink r:id="rId770" ref="A771"/>
    <hyperlink r:id="rId771" ref="A772"/>
    <hyperlink r:id="rId772" ref="A773"/>
    <hyperlink r:id="rId773" ref="A774"/>
    <hyperlink r:id="rId774" ref="A775"/>
    <hyperlink r:id="rId775" ref="A776"/>
    <hyperlink r:id="rId776" ref="A777"/>
    <hyperlink r:id="rId777" ref="A778"/>
    <hyperlink r:id="rId778" ref="A779"/>
    <hyperlink r:id="rId779" ref="A780"/>
    <hyperlink r:id="rId780" ref="A781"/>
    <hyperlink r:id="rId781" ref="A782"/>
    <hyperlink r:id="rId782" ref="A783"/>
    <hyperlink r:id="rId783" ref="A784"/>
    <hyperlink r:id="rId784" ref="A785"/>
    <hyperlink r:id="rId785" ref="A786"/>
    <hyperlink r:id="rId786" ref="A787"/>
    <hyperlink r:id="rId787" ref="A788"/>
    <hyperlink r:id="rId788" ref="A789"/>
    <hyperlink r:id="rId789" ref="A790"/>
    <hyperlink r:id="rId790" ref="A791"/>
    <hyperlink r:id="rId791" ref="A792"/>
    <hyperlink r:id="rId792" ref="A793"/>
    <hyperlink r:id="rId793" ref="A794"/>
    <hyperlink r:id="rId794" ref="A795"/>
    <hyperlink r:id="rId795" ref="A796"/>
    <hyperlink r:id="rId796" ref="A797"/>
    <hyperlink r:id="rId797" ref="A798"/>
    <hyperlink r:id="rId798" ref="A799"/>
    <hyperlink r:id="rId799" ref="A800"/>
    <hyperlink r:id="rId800" ref="A801"/>
    <hyperlink r:id="rId801" ref="A802"/>
    <hyperlink r:id="rId802" ref="A803"/>
    <hyperlink r:id="rId803" ref="A804"/>
    <hyperlink r:id="rId804" ref="A805"/>
    <hyperlink r:id="rId805" ref="A806"/>
    <hyperlink r:id="rId806" ref="A807"/>
    <hyperlink r:id="rId807" ref="A808"/>
    <hyperlink r:id="rId808" ref="A809"/>
    <hyperlink r:id="rId809" ref="A810"/>
    <hyperlink r:id="rId810" ref="A811"/>
    <hyperlink r:id="rId811" ref="A812"/>
    <hyperlink r:id="rId812" ref="A813"/>
    <hyperlink r:id="rId813" ref="A814"/>
    <hyperlink r:id="rId814" ref="A815"/>
    <hyperlink r:id="rId815" ref="A816"/>
    <hyperlink r:id="rId816" ref="A817"/>
    <hyperlink r:id="rId817" ref="A818"/>
    <hyperlink r:id="rId818" ref="A819"/>
    <hyperlink r:id="rId819" ref="A820"/>
    <hyperlink r:id="rId820" ref="A821"/>
    <hyperlink r:id="rId821" ref="A822"/>
    <hyperlink r:id="rId822" ref="A823"/>
    <hyperlink r:id="rId823" ref="A824"/>
    <hyperlink r:id="rId824" ref="A825"/>
    <hyperlink r:id="rId825" ref="A826"/>
    <hyperlink r:id="rId826" ref="A827"/>
    <hyperlink r:id="rId827" ref="A828"/>
    <hyperlink r:id="rId828" ref="A829"/>
    <hyperlink r:id="rId829" ref="A830"/>
    <hyperlink r:id="rId830" ref="A831"/>
    <hyperlink r:id="rId831" ref="A832"/>
    <hyperlink r:id="rId832" ref="A833"/>
    <hyperlink r:id="rId833" ref="A834"/>
    <hyperlink r:id="rId834" ref="A835"/>
    <hyperlink r:id="rId835" ref="A836"/>
    <hyperlink r:id="rId836" ref="A837"/>
    <hyperlink r:id="rId837" ref="A838"/>
    <hyperlink r:id="rId838" ref="A839"/>
    <hyperlink r:id="rId839" ref="A840"/>
    <hyperlink r:id="rId840" ref="A841"/>
    <hyperlink r:id="rId841" ref="A842"/>
    <hyperlink r:id="rId842" ref="A843"/>
    <hyperlink r:id="rId843" ref="A844"/>
    <hyperlink r:id="rId844" ref="A845"/>
    <hyperlink r:id="rId845" ref="A846"/>
    <hyperlink r:id="rId846" ref="A847"/>
    <hyperlink r:id="rId847" ref="A848"/>
    <hyperlink r:id="rId848" ref="A849"/>
    <hyperlink r:id="rId849" ref="A850"/>
    <hyperlink r:id="rId850" ref="A851"/>
    <hyperlink r:id="rId851" ref="A852"/>
    <hyperlink r:id="rId852" ref="A853"/>
    <hyperlink r:id="rId853" ref="A854"/>
    <hyperlink r:id="rId854" ref="A855"/>
    <hyperlink r:id="rId855" ref="A856"/>
    <hyperlink r:id="rId856" ref="A857"/>
    <hyperlink r:id="rId857" ref="A858"/>
    <hyperlink r:id="rId858" ref="A859"/>
    <hyperlink r:id="rId859" ref="A860"/>
    <hyperlink r:id="rId860" ref="A861"/>
    <hyperlink r:id="rId861" ref="A862"/>
    <hyperlink r:id="rId862" ref="A863"/>
    <hyperlink r:id="rId863" ref="A864"/>
    <hyperlink r:id="rId864" ref="A865"/>
    <hyperlink r:id="rId865" ref="A866"/>
    <hyperlink r:id="rId866" ref="A867"/>
    <hyperlink r:id="rId867" ref="A868"/>
    <hyperlink r:id="rId868" ref="A869"/>
    <hyperlink r:id="rId869" ref="A870"/>
    <hyperlink r:id="rId870" ref="A871"/>
    <hyperlink r:id="rId871" ref="A872"/>
    <hyperlink r:id="rId872" ref="A873"/>
    <hyperlink r:id="rId873" ref="A874"/>
    <hyperlink r:id="rId874" ref="A875"/>
    <hyperlink r:id="rId875" ref="A876"/>
    <hyperlink r:id="rId876" ref="A877"/>
    <hyperlink r:id="rId877" ref="A878"/>
    <hyperlink r:id="rId878" ref="A879"/>
    <hyperlink r:id="rId879" ref="A880"/>
    <hyperlink r:id="rId880" ref="A881"/>
    <hyperlink r:id="rId881" ref="A882"/>
    <hyperlink r:id="rId882" ref="A883"/>
    <hyperlink r:id="rId883" ref="A884"/>
    <hyperlink r:id="rId884" ref="A885"/>
    <hyperlink r:id="rId885" ref="A886"/>
    <hyperlink r:id="rId886" ref="A887"/>
    <hyperlink r:id="rId887" ref="A888"/>
    <hyperlink r:id="rId888" ref="A889"/>
    <hyperlink r:id="rId889" ref="A890"/>
    <hyperlink r:id="rId890" ref="A891"/>
    <hyperlink r:id="rId891" ref="A892"/>
    <hyperlink r:id="rId892" ref="A893"/>
    <hyperlink r:id="rId893" ref="A894"/>
    <hyperlink r:id="rId894" ref="A895"/>
    <hyperlink r:id="rId895" ref="A896"/>
    <hyperlink r:id="rId896" ref="A897"/>
    <hyperlink r:id="rId897" ref="A898"/>
    <hyperlink r:id="rId898" ref="A899"/>
    <hyperlink r:id="rId899" ref="A900"/>
    <hyperlink r:id="rId900" ref="A901"/>
    <hyperlink r:id="rId901" ref="A902"/>
    <hyperlink r:id="rId902" ref="A903"/>
    <hyperlink r:id="rId903" ref="A904"/>
    <hyperlink r:id="rId904" ref="A905"/>
    <hyperlink r:id="rId905" ref="A906"/>
    <hyperlink r:id="rId906" ref="A907"/>
    <hyperlink r:id="rId907" ref="A908"/>
    <hyperlink r:id="rId908" ref="A909"/>
    <hyperlink r:id="rId909" ref="A910"/>
    <hyperlink r:id="rId910" ref="A911"/>
    <hyperlink r:id="rId911" ref="A912"/>
    <hyperlink r:id="rId912" ref="A913"/>
    <hyperlink r:id="rId913" ref="A914"/>
    <hyperlink r:id="rId914" ref="A915"/>
    <hyperlink r:id="rId915" ref="A916"/>
    <hyperlink r:id="rId916" ref="A917"/>
    <hyperlink r:id="rId917" ref="A918"/>
    <hyperlink r:id="rId918" ref="A919"/>
    <hyperlink r:id="rId919" ref="A920"/>
    <hyperlink r:id="rId920" ref="A921"/>
    <hyperlink r:id="rId921" ref="A922"/>
    <hyperlink r:id="rId922" ref="A923"/>
    <hyperlink r:id="rId923" ref="A924"/>
    <hyperlink r:id="rId924" ref="A925"/>
    <hyperlink r:id="rId925" ref="A926"/>
    <hyperlink r:id="rId926" ref="A927"/>
    <hyperlink r:id="rId927" ref="A928"/>
    <hyperlink r:id="rId928" ref="A929"/>
    <hyperlink r:id="rId929" ref="A930"/>
    <hyperlink r:id="rId930" ref="A931"/>
    <hyperlink r:id="rId931" ref="A932"/>
    <hyperlink r:id="rId932" ref="A933"/>
    <hyperlink r:id="rId933" ref="A934"/>
    <hyperlink r:id="rId934" ref="A935"/>
    <hyperlink r:id="rId935" ref="A936"/>
    <hyperlink r:id="rId936" ref="A937"/>
    <hyperlink r:id="rId937" ref="A938"/>
    <hyperlink r:id="rId938" ref="A939"/>
    <hyperlink r:id="rId939" ref="A940"/>
    <hyperlink r:id="rId940" ref="A941"/>
    <hyperlink r:id="rId941" ref="A942"/>
    <hyperlink r:id="rId942" ref="A943"/>
    <hyperlink r:id="rId943" ref="A944"/>
    <hyperlink r:id="rId944" ref="A945"/>
    <hyperlink r:id="rId945" ref="A946"/>
    <hyperlink r:id="rId946" ref="A947"/>
    <hyperlink r:id="rId947" ref="A948"/>
    <hyperlink r:id="rId948" ref="A949"/>
    <hyperlink r:id="rId949" ref="A950"/>
    <hyperlink r:id="rId950" ref="A951"/>
    <hyperlink r:id="rId951" ref="A952"/>
    <hyperlink r:id="rId952" ref="A953"/>
    <hyperlink r:id="rId953" ref="A954"/>
    <hyperlink r:id="rId954" ref="A955"/>
    <hyperlink r:id="rId955" ref="A956"/>
    <hyperlink r:id="rId956" ref="A957"/>
    <hyperlink r:id="rId957" ref="A958"/>
    <hyperlink r:id="rId958" ref="A959"/>
    <hyperlink r:id="rId959" ref="A960"/>
    <hyperlink r:id="rId960" ref="A961"/>
    <hyperlink r:id="rId961" ref="A962"/>
    <hyperlink r:id="rId962" ref="A963"/>
    <hyperlink r:id="rId963" ref="A964"/>
    <hyperlink r:id="rId964" ref="A965"/>
    <hyperlink r:id="rId965" ref="A966"/>
    <hyperlink r:id="rId966" ref="A967"/>
    <hyperlink r:id="rId967" ref="A968"/>
    <hyperlink r:id="rId968" ref="A969"/>
    <hyperlink r:id="rId969" ref="A970"/>
    <hyperlink r:id="rId970" ref="A971"/>
    <hyperlink r:id="rId971" ref="A972"/>
    <hyperlink r:id="rId972" ref="A973"/>
    <hyperlink r:id="rId973" ref="A974"/>
    <hyperlink r:id="rId974" ref="A975"/>
    <hyperlink r:id="rId975" ref="A976"/>
    <hyperlink r:id="rId976" ref="A977"/>
    <hyperlink r:id="rId977" ref="A978"/>
    <hyperlink r:id="rId978" ref="A979"/>
    <hyperlink r:id="rId979" ref="A980"/>
    <hyperlink r:id="rId980" ref="A981"/>
    <hyperlink r:id="rId981" ref="A982"/>
    <hyperlink r:id="rId982" ref="A983"/>
    <hyperlink r:id="rId983" ref="A984"/>
    <hyperlink r:id="rId984" ref="A985"/>
    <hyperlink r:id="rId985" ref="A986"/>
    <hyperlink r:id="rId986" ref="A987"/>
    <hyperlink r:id="rId987" ref="A988"/>
    <hyperlink r:id="rId988" ref="A989"/>
    <hyperlink r:id="rId989" ref="A990"/>
    <hyperlink r:id="rId990" ref="A991"/>
    <hyperlink r:id="rId991" ref="A992"/>
    <hyperlink r:id="rId992" ref="A993"/>
    <hyperlink r:id="rId993" ref="A994"/>
    <hyperlink r:id="rId994" ref="A995"/>
    <hyperlink r:id="rId995" ref="A996"/>
    <hyperlink r:id="rId996" ref="A997"/>
    <hyperlink r:id="rId997" ref="A998"/>
    <hyperlink r:id="rId998" ref="A999"/>
    <hyperlink r:id="rId999" ref="A1000"/>
    <hyperlink r:id="rId1000" ref="A1001"/>
    <hyperlink r:id="rId1001" ref="A1002"/>
    <hyperlink r:id="rId1002" ref="A1003"/>
    <hyperlink r:id="rId1003" ref="A1004"/>
    <hyperlink r:id="rId1004" ref="A1005"/>
    <hyperlink r:id="rId1005" ref="A1006"/>
    <hyperlink r:id="rId1006" ref="A1007"/>
    <hyperlink r:id="rId1007" ref="A1008"/>
    <hyperlink r:id="rId1008" ref="A1009"/>
    <hyperlink r:id="rId1009" ref="A1010"/>
    <hyperlink r:id="rId1010" ref="A1011"/>
    <hyperlink r:id="rId1011" ref="A1012"/>
    <hyperlink r:id="rId1012" ref="A1013"/>
    <hyperlink r:id="rId1013" ref="A1014"/>
    <hyperlink r:id="rId1014" ref="A1015"/>
    <hyperlink r:id="rId1015" ref="A1016"/>
    <hyperlink r:id="rId1016" ref="A1017"/>
    <hyperlink r:id="rId1017" ref="A1018"/>
    <hyperlink r:id="rId1018" ref="A1019"/>
    <hyperlink r:id="rId1019" ref="A1020"/>
    <hyperlink r:id="rId1020" ref="A1021"/>
    <hyperlink r:id="rId1021" ref="A1022"/>
    <hyperlink r:id="rId1022" ref="A1023"/>
    <hyperlink r:id="rId1023" ref="A1024"/>
    <hyperlink r:id="rId1024" ref="A1025"/>
    <hyperlink r:id="rId1025" ref="A1026"/>
    <hyperlink r:id="rId1026" ref="A1027"/>
    <hyperlink r:id="rId1027" ref="A1028"/>
    <hyperlink r:id="rId1028" ref="A1029"/>
    <hyperlink r:id="rId1029" ref="A1030"/>
    <hyperlink r:id="rId1030" ref="A1031"/>
    <hyperlink r:id="rId1031" ref="A1032"/>
    <hyperlink r:id="rId1032" ref="A1033"/>
    <hyperlink r:id="rId1033" ref="A1034"/>
    <hyperlink r:id="rId1034" ref="A1035"/>
    <hyperlink r:id="rId1035" ref="A1036"/>
    <hyperlink r:id="rId1036" ref="A1037"/>
    <hyperlink r:id="rId1037" ref="A1038"/>
    <hyperlink r:id="rId1038" ref="A1039"/>
    <hyperlink r:id="rId1039" ref="A1040"/>
    <hyperlink r:id="rId1040" ref="A1041"/>
    <hyperlink r:id="rId1041" ref="A1042"/>
    <hyperlink r:id="rId1042" ref="A1043"/>
    <hyperlink r:id="rId1043" ref="A1044"/>
    <hyperlink r:id="rId1044" ref="A1045"/>
    <hyperlink r:id="rId1045" ref="A1046"/>
    <hyperlink r:id="rId1046" ref="A1047"/>
    <hyperlink r:id="rId1047" ref="A1048"/>
    <hyperlink r:id="rId1048" ref="A1049"/>
    <hyperlink r:id="rId1049" ref="A1050"/>
    <hyperlink r:id="rId1050" ref="A1051"/>
    <hyperlink r:id="rId1051" ref="A1052"/>
    <hyperlink r:id="rId1052" ref="A1053"/>
    <hyperlink r:id="rId1053" ref="A1054"/>
    <hyperlink r:id="rId1054" ref="A1055"/>
    <hyperlink r:id="rId1055" ref="A1056"/>
    <hyperlink r:id="rId1056" ref="A1057"/>
    <hyperlink r:id="rId1057" ref="A1058"/>
    <hyperlink r:id="rId1058" ref="A1059"/>
    <hyperlink r:id="rId1059" ref="A1060"/>
    <hyperlink r:id="rId1060" ref="A1061"/>
    <hyperlink r:id="rId1061" ref="A1062"/>
    <hyperlink r:id="rId1062" ref="A1063"/>
    <hyperlink r:id="rId1063" ref="A1064"/>
    <hyperlink r:id="rId1064" ref="A1065"/>
    <hyperlink r:id="rId1065" ref="A1066"/>
    <hyperlink r:id="rId1066" ref="A1067"/>
    <hyperlink r:id="rId1067" ref="A1068"/>
    <hyperlink r:id="rId1068" ref="A1069"/>
    <hyperlink r:id="rId1069" ref="A1070"/>
    <hyperlink r:id="rId1070" ref="A1071"/>
    <hyperlink r:id="rId1071" ref="A1072"/>
    <hyperlink r:id="rId1072" ref="A1073"/>
    <hyperlink r:id="rId1073" ref="A1074"/>
    <hyperlink r:id="rId1074" ref="A1075"/>
    <hyperlink r:id="rId1075" ref="A1076"/>
    <hyperlink r:id="rId1076" ref="A1077"/>
    <hyperlink r:id="rId1077" ref="A1078"/>
    <hyperlink r:id="rId1078" ref="A1079"/>
    <hyperlink r:id="rId1079" ref="A1080"/>
    <hyperlink r:id="rId1080" ref="A1081"/>
    <hyperlink r:id="rId1081" ref="A1082"/>
    <hyperlink r:id="rId1082" ref="A1083"/>
    <hyperlink r:id="rId1083" ref="A1084"/>
    <hyperlink r:id="rId1084" ref="A1085"/>
    <hyperlink r:id="rId1085" ref="A1086"/>
    <hyperlink r:id="rId1086" ref="A1087"/>
    <hyperlink r:id="rId1087" ref="A1088"/>
    <hyperlink r:id="rId1088" ref="A1089"/>
    <hyperlink r:id="rId1089" ref="A1090"/>
    <hyperlink r:id="rId1090" ref="A1091"/>
    <hyperlink r:id="rId1091" ref="A1092"/>
    <hyperlink r:id="rId1092" ref="A1093"/>
    <hyperlink r:id="rId1093" ref="A1094"/>
    <hyperlink r:id="rId1094" ref="A1095"/>
    <hyperlink r:id="rId1095" ref="A1096"/>
    <hyperlink r:id="rId1096" ref="A1097"/>
    <hyperlink r:id="rId1097" ref="A1098"/>
    <hyperlink r:id="rId1098" ref="A1099"/>
    <hyperlink r:id="rId1099" ref="A1100"/>
    <hyperlink r:id="rId1100" ref="A1101"/>
    <hyperlink r:id="rId1101" ref="A1102"/>
    <hyperlink r:id="rId1102" ref="A1103"/>
    <hyperlink r:id="rId1103" ref="A1104"/>
    <hyperlink r:id="rId1104" ref="A1105"/>
    <hyperlink r:id="rId1105" ref="A1106"/>
    <hyperlink r:id="rId1106" ref="A1107"/>
    <hyperlink r:id="rId1107" ref="A1108"/>
    <hyperlink r:id="rId1108" ref="A1109"/>
    <hyperlink r:id="rId1109" ref="A1110"/>
    <hyperlink r:id="rId1110" ref="A1111"/>
    <hyperlink r:id="rId1111" ref="A1112"/>
    <hyperlink r:id="rId1112" ref="A1113"/>
    <hyperlink r:id="rId1113" ref="A1114"/>
    <hyperlink r:id="rId1114" ref="A1115"/>
    <hyperlink r:id="rId1115" ref="A1116"/>
    <hyperlink r:id="rId1116" ref="A1117"/>
    <hyperlink r:id="rId1117" ref="A1118"/>
    <hyperlink r:id="rId1118" ref="A1119"/>
    <hyperlink r:id="rId1119" ref="A1120"/>
    <hyperlink r:id="rId1120" ref="A1121"/>
    <hyperlink r:id="rId1121" ref="A1122"/>
    <hyperlink r:id="rId1122" ref="A1123"/>
    <hyperlink r:id="rId1123" ref="A1124"/>
    <hyperlink r:id="rId1124" ref="A1125"/>
    <hyperlink r:id="rId1125" ref="A1126"/>
    <hyperlink r:id="rId1126" ref="A1127"/>
    <hyperlink r:id="rId1127" ref="A1128"/>
    <hyperlink r:id="rId1128" ref="A1129"/>
    <hyperlink r:id="rId1129" ref="A1130"/>
    <hyperlink r:id="rId1130" ref="A1131"/>
    <hyperlink r:id="rId1131" ref="A1132"/>
    <hyperlink r:id="rId1132" ref="A1133"/>
    <hyperlink r:id="rId1133" ref="A1134"/>
    <hyperlink r:id="rId1134" ref="A1135"/>
    <hyperlink r:id="rId1135" ref="A1136"/>
    <hyperlink r:id="rId1136" ref="A1137"/>
    <hyperlink r:id="rId1137" ref="A1138"/>
    <hyperlink r:id="rId1138" ref="A1139"/>
    <hyperlink r:id="rId1139" ref="A1140"/>
    <hyperlink r:id="rId1140" ref="A1141"/>
    <hyperlink r:id="rId1141" ref="A1142"/>
    <hyperlink r:id="rId1142" ref="A1143"/>
    <hyperlink r:id="rId1143" ref="A1144"/>
    <hyperlink r:id="rId1144" ref="A1145"/>
    <hyperlink r:id="rId1145" ref="A1146"/>
    <hyperlink r:id="rId1146" ref="A1147"/>
    <hyperlink r:id="rId1147" ref="A1148"/>
    <hyperlink r:id="rId1148" ref="A1149"/>
    <hyperlink r:id="rId1149" ref="A1150"/>
    <hyperlink r:id="rId1150" ref="A1151"/>
    <hyperlink r:id="rId1151" ref="A1152"/>
    <hyperlink r:id="rId1152" ref="A1153"/>
    <hyperlink r:id="rId1153" ref="A1154"/>
    <hyperlink r:id="rId1154" ref="A1155"/>
    <hyperlink r:id="rId1155" ref="A1156"/>
    <hyperlink r:id="rId1156" ref="A1157"/>
    <hyperlink r:id="rId1157" ref="A1158"/>
    <hyperlink r:id="rId1158" ref="A1159"/>
    <hyperlink r:id="rId1159" ref="A1160"/>
    <hyperlink r:id="rId1160" ref="A1161"/>
    <hyperlink r:id="rId1161" ref="A1162"/>
    <hyperlink r:id="rId1162" ref="A1163"/>
    <hyperlink r:id="rId1163" ref="A1164"/>
    <hyperlink r:id="rId1164" ref="A1165"/>
    <hyperlink r:id="rId1165" ref="A1166"/>
    <hyperlink r:id="rId1166" ref="A1167"/>
    <hyperlink r:id="rId1167" ref="A1168"/>
    <hyperlink r:id="rId1168" ref="A1169"/>
    <hyperlink r:id="rId1169" ref="A1170"/>
    <hyperlink r:id="rId1170" ref="A1171"/>
    <hyperlink r:id="rId1171" ref="A1172"/>
    <hyperlink r:id="rId1172" ref="A1173"/>
    <hyperlink r:id="rId1173" ref="A1174"/>
    <hyperlink r:id="rId1174" ref="A1175"/>
    <hyperlink r:id="rId1175" ref="A1176"/>
    <hyperlink r:id="rId1176" ref="A1177"/>
    <hyperlink r:id="rId1177" ref="A1178"/>
    <hyperlink r:id="rId1178" ref="A1179"/>
    <hyperlink r:id="rId1179" ref="A1180"/>
    <hyperlink r:id="rId1180" ref="A1181"/>
    <hyperlink r:id="rId1181" ref="A1182"/>
    <hyperlink r:id="rId1182" ref="A1183"/>
    <hyperlink r:id="rId1183" ref="A1184"/>
    <hyperlink r:id="rId1184" ref="A1185"/>
    <hyperlink r:id="rId1185" ref="A1186"/>
    <hyperlink r:id="rId1186" ref="A1187"/>
    <hyperlink r:id="rId1187" ref="A1188"/>
    <hyperlink r:id="rId1188" ref="A1189"/>
    <hyperlink r:id="rId1189" ref="A1190"/>
    <hyperlink r:id="rId1190" ref="A1191"/>
    <hyperlink r:id="rId1191" ref="A1192"/>
    <hyperlink r:id="rId1192" ref="A1193"/>
    <hyperlink r:id="rId1193" ref="A1194"/>
    <hyperlink r:id="rId1194" ref="A1195"/>
    <hyperlink r:id="rId1195" ref="A1196"/>
    <hyperlink r:id="rId1196" ref="A1197"/>
    <hyperlink r:id="rId1197" ref="A1198"/>
    <hyperlink r:id="rId1198" ref="A1199"/>
    <hyperlink r:id="rId1199" ref="A1200"/>
    <hyperlink r:id="rId1200" ref="A1201"/>
    <hyperlink r:id="rId1201" ref="A1202"/>
    <hyperlink r:id="rId1202" ref="A1203"/>
    <hyperlink r:id="rId1203" ref="A1204"/>
    <hyperlink r:id="rId1204" ref="A1205"/>
    <hyperlink r:id="rId1205" ref="A1206"/>
    <hyperlink r:id="rId1206" ref="A1207"/>
    <hyperlink r:id="rId1207" ref="A1208"/>
    <hyperlink r:id="rId1208" ref="A1209"/>
    <hyperlink r:id="rId1209" ref="A1210"/>
    <hyperlink r:id="rId1210" ref="A1211"/>
    <hyperlink r:id="rId1211" ref="A1212"/>
    <hyperlink r:id="rId1212" ref="A1213"/>
    <hyperlink r:id="rId1213" ref="A1214"/>
    <hyperlink r:id="rId1214" ref="A1215"/>
    <hyperlink r:id="rId1215" ref="A1216"/>
    <hyperlink r:id="rId1216" ref="A1217"/>
    <hyperlink r:id="rId1217" ref="A1218"/>
    <hyperlink r:id="rId1218" ref="A1219"/>
    <hyperlink r:id="rId1219" ref="A1220"/>
    <hyperlink r:id="rId1220" ref="A1221"/>
    <hyperlink r:id="rId1221" ref="A1222"/>
    <hyperlink r:id="rId1222" ref="A1223"/>
    <hyperlink r:id="rId1223" ref="A1224"/>
    <hyperlink r:id="rId1224" ref="A1225"/>
    <hyperlink r:id="rId1225" ref="A1226"/>
    <hyperlink r:id="rId1226" ref="A1227"/>
    <hyperlink r:id="rId1227" ref="A1228"/>
    <hyperlink r:id="rId1228" ref="A1229"/>
    <hyperlink r:id="rId1229" ref="A1230"/>
    <hyperlink r:id="rId1230" ref="A1231"/>
    <hyperlink r:id="rId1231" ref="A1232"/>
    <hyperlink r:id="rId1232" ref="A1233"/>
    <hyperlink r:id="rId1233" ref="A1234"/>
  </hyperlinks>
  <drawing r:id="rId1234"/>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7" max="7" width="51.88"/>
  </cols>
  <sheetData>
    <row r="1">
      <c r="A1" s="75" t="s">
        <v>276</v>
      </c>
    </row>
    <row r="2">
      <c r="A2" s="75" t="s">
        <v>8708</v>
      </c>
      <c r="C2" s="195" t="s">
        <v>8498</v>
      </c>
    </row>
    <row r="3">
      <c r="A3" s="75" t="s">
        <v>8709</v>
      </c>
      <c r="C3" s="195" t="s">
        <v>8710</v>
      </c>
    </row>
    <row r="4">
      <c r="A4" s="75" t="s">
        <v>8711</v>
      </c>
      <c r="C4" s="195" t="s">
        <v>8712</v>
      </c>
      <c r="G4" s="13" t="s">
        <v>8713</v>
      </c>
    </row>
    <row r="5">
      <c r="A5" s="75" t="s">
        <v>8714</v>
      </c>
      <c r="C5" s="195" t="s">
        <v>8715</v>
      </c>
      <c r="G5" s="196" t="s">
        <v>8716</v>
      </c>
    </row>
    <row r="6">
      <c r="A6" s="75" t="s">
        <v>8717</v>
      </c>
      <c r="C6" s="195" t="s">
        <v>8718</v>
      </c>
    </row>
    <row r="7">
      <c r="A7" s="197"/>
    </row>
    <row r="8">
      <c r="A8" s="75" t="s">
        <v>8719</v>
      </c>
    </row>
    <row r="9">
      <c r="A9" s="75" t="s">
        <v>8720</v>
      </c>
    </row>
    <row r="10">
      <c r="A10" s="197"/>
    </row>
    <row r="11">
      <c r="A11" s="75" t="s">
        <v>8721</v>
      </c>
    </row>
    <row r="12">
      <c r="A12" s="75" t="s">
        <v>8722</v>
      </c>
    </row>
    <row r="13">
      <c r="A13" s="75" t="s">
        <v>8723</v>
      </c>
    </row>
    <row r="16">
      <c r="A16" s="13" t="s">
        <v>8724</v>
      </c>
      <c r="D16" s="13" t="s">
        <v>8725</v>
      </c>
    </row>
    <row r="17">
      <c r="A17" s="13" t="s">
        <v>8726</v>
      </c>
    </row>
    <row r="21">
      <c r="A21" s="13" t="s">
        <v>8727</v>
      </c>
      <c r="C21" s="198" t="s">
        <v>8728</v>
      </c>
      <c r="G21" s="199" t="s">
        <v>8729</v>
      </c>
    </row>
    <row r="22">
      <c r="A22" s="13" t="s">
        <v>8730</v>
      </c>
      <c r="G22" s="200"/>
    </row>
    <row r="23">
      <c r="A23" s="13" t="s">
        <v>8731</v>
      </c>
      <c r="G23" s="201" t="s">
        <v>8732</v>
      </c>
    </row>
    <row r="24">
      <c r="A24" s="13" t="s">
        <v>8733</v>
      </c>
      <c r="G24" s="202"/>
    </row>
    <row r="25">
      <c r="G25" s="203" t="s">
        <v>8734</v>
      </c>
    </row>
    <row r="26">
      <c r="G26" s="203" t="s">
        <v>8735</v>
      </c>
    </row>
    <row r="27">
      <c r="G27" s="203" t="s">
        <v>8736</v>
      </c>
    </row>
    <row r="28">
      <c r="G28" s="203" t="s">
        <v>8737</v>
      </c>
    </row>
    <row r="29">
      <c r="G29" s="203" t="s">
        <v>8738</v>
      </c>
    </row>
    <row r="31">
      <c r="A31" s="13" t="s">
        <v>8739</v>
      </c>
      <c r="B31" s="198" t="s">
        <v>8740</v>
      </c>
    </row>
    <row r="32">
      <c r="A32" s="13" t="s">
        <v>8741</v>
      </c>
    </row>
    <row r="33">
      <c r="A33" s="13" t="s">
        <v>8742</v>
      </c>
    </row>
    <row r="34">
      <c r="A34" s="13" t="s">
        <v>8743</v>
      </c>
    </row>
    <row r="35">
      <c r="A35" s="13" t="s">
        <v>8744</v>
      </c>
    </row>
    <row r="37">
      <c r="A37" s="13" t="s">
        <v>8745</v>
      </c>
    </row>
    <row r="38">
      <c r="A38" s="13" t="s">
        <v>8746</v>
      </c>
    </row>
    <row r="41">
      <c r="A41" s="13" t="s">
        <v>8747</v>
      </c>
      <c r="B41" s="198" t="s">
        <v>8748</v>
      </c>
    </row>
    <row r="42">
      <c r="A42" s="13" t="s">
        <v>8749</v>
      </c>
    </row>
  </sheetData>
  <hyperlinks>
    <hyperlink r:id="rId1" ref="G5"/>
    <hyperlink r:id="rId2" location="1-1000" ref="C21"/>
    <hyperlink r:id="rId3" ref="G23"/>
    <hyperlink r:id="rId4" ref="B31"/>
    <hyperlink r:id="rId5" ref="B41"/>
  </hyperlinks>
  <drawing r:id="rId6"/>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8.13"/>
    <col customWidth="1" min="2" max="2" width="30.88"/>
    <col customWidth="1" min="3" max="3" width="14.13"/>
  </cols>
  <sheetData>
    <row r="1">
      <c r="A1" s="13" t="s">
        <v>7697</v>
      </c>
      <c r="B1" s="204" t="s">
        <v>8750</v>
      </c>
      <c r="C1" s="13" t="s">
        <v>8347</v>
      </c>
    </row>
    <row r="2">
      <c r="A2" s="13" t="s">
        <v>8751</v>
      </c>
      <c r="B2" s="198" t="s">
        <v>8752</v>
      </c>
      <c r="C2" s="13" t="s">
        <v>8753</v>
      </c>
    </row>
    <row r="3">
      <c r="A3" s="13" t="s">
        <v>8754</v>
      </c>
      <c r="B3" s="205" t="s">
        <v>8755</v>
      </c>
      <c r="C3" s="13" t="s">
        <v>8753</v>
      </c>
    </row>
    <row r="4">
      <c r="A4" s="13" t="s">
        <v>8756</v>
      </c>
      <c r="B4" s="205" t="s">
        <v>8757</v>
      </c>
      <c r="C4" s="13" t="s">
        <v>8753</v>
      </c>
    </row>
    <row r="5">
      <c r="A5" s="13" t="s">
        <v>8747</v>
      </c>
      <c r="B5" s="205" t="s">
        <v>8758</v>
      </c>
      <c r="C5" s="13" t="s">
        <v>8753</v>
      </c>
    </row>
    <row r="6">
      <c r="A6" s="13" t="s">
        <v>8759</v>
      </c>
      <c r="B6" s="205" t="s">
        <v>8760</v>
      </c>
      <c r="C6" s="13" t="s">
        <v>8753</v>
      </c>
    </row>
    <row r="7">
      <c r="A7" s="13" t="s">
        <v>8761</v>
      </c>
      <c r="B7" s="198" t="s">
        <v>8762</v>
      </c>
      <c r="C7" s="13" t="s">
        <v>8763</v>
      </c>
    </row>
  </sheetData>
  <hyperlinks>
    <hyperlink r:id="rId1" ref="B2"/>
    <hyperlink r:id="rId2" ref="B3"/>
    <hyperlink r:id="rId3" ref="B4"/>
    <hyperlink r:id="rId4" ref="B5"/>
    <hyperlink r:id="rId5" ref="B6"/>
    <hyperlink r:id="rId6" ref="B7"/>
  </hyperlinks>
  <drawing r:id="rId7"/>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B1" s="28"/>
    </row>
    <row r="2">
      <c r="A2" s="13" t="s">
        <v>8764</v>
      </c>
      <c r="B2" s="12" t="s">
        <v>8765</v>
      </c>
      <c r="C2" s="13" t="s">
        <v>8766</v>
      </c>
    </row>
    <row r="3">
      <c r="A3" s="194">
        <v>188.0</v>
      </c>
      <c r="B3" s="175" t="str">
        <f t="shared" ref="B3:B11" si="1">char(A3)</f>
        <v>¼</v>
      </c>
      <c r="C3" s="50" t="s">
        <v>8767</v>
      </c>
    </row>
    <row r="4">
      <c r="A4" s="194">
        <v>189.0</v>
      </c>
      <c r="B4" s="175" t="str">
        <f t="shared" si="1"/>
        <v>½</v>
      </c>
      <c r="C4" s="50" t="s">
        <v>8768</v>
      </c>
    </row>
    <row r="5">
      <c r="A5" s="194">
        <v>190.0</v>
      </c>
      <c r="B5" s="175" t="str">
        <f t="shared" si="1"/>
        <v>¾</v>
      </c>
      <c r="C5" s="50" t="s">
        <v>8769</v>
      </c>
    </row>
    <row r="6">
      <c r="A6" s="13">
        <v>8531.0</v>
      </c>
      <c r="B6" s="175" t="str">
        <f t="shared" si="1"/>
        <v>⅓</v>
      </c>
      <c r="C6" s="50" t="s">
        <v>8770</v>
      </c>
    </row>
    <row r="7">
      <c r="A7" s="20">
        <f>A6+1</f>
        <v>8532</v>
      </c>
      <c r="B7" s="175" t="str">
        <f t="shared" si="1"/>
        <v>⅔</v>
      </c>
      <c r="C7" s="50" t="s">
        <v>8771</v>
      </c>
    </row>
    <row r="8">
      <c r="A8" s="13">
        <v>8539.0</v>
      </c>
      <c r="B8" s="175" t="str">
        <f t="shared" si="1"/>
        <v>⅛</v>
      </c>
      <c r="C8" s="50" t="s">
        <v>8772</v>
      </c>
    </row>
    <row r="9">
      <c r="A9" s="20">
        <f t="shared" ref="A9:A11" si="2">A8+1</f>
        <v>8540</v>
      </c>
      <c r="B9" s="175" t="str">
        <f t="shared" si="1"/>
        <v>⅜</v>
      </c>
      <c r="C9" s="50" t="s">
        <v>8773</v>
      </c>
    </row>
    <row r="10">
      <c r="A10" s="20">
        <f t="shared" si="2"/>
        <v>8541</v>
      </c>
      <c r="B10" s="175" t="str">
        <f t="shared" si="1"/>
        <v>⅝</v>
      </c>
      <c r="C10" s="50" t="s">
        <v>8774</v>
      </c>
    </row>
    <row r="11">
      <c r="A11" s="20">
        <f t="shared" si="2"/>
        <v>8542</v>
      </c>
      <c r="B11" s="175" t="str">
        <f t="shared" si="1"/>
        <v>⅞</v>
      </c>
      <c r="C11" s="50" t="s">
        <v>8775</v>
      </c>
    </row>
    <row r="12">
      <c r="B12" s="175"/>
    </row>
    <row r="13">
      <c r="B13" s="175"/>
    </row>
    <row r="14">
      <c r="B14" s="175"/>
    </row>
    <row r="15">
      <c r="B15" s="175"/>
    </row>
    <row r="16">
      <c r="B16" s="175"/>
    </row>
    <row r="17">
      <c r="B17" s="175"/>
    </row>
    <row r="18">
      <c r="B18" s="175"/>
    </row>
    <row r="19">
      <c r="B19" s="175"/>
    </row>
    <row r="20">
      <c r="B20" s="175"/>
    </row>
    <row r="21">
      <c r="B21" s="175"/>
    </row>
    <row r="22">
      <c r="B22" s="175"/>
    </row>
    <row r="23">
      <c r="B23" s="175"/>
    </row>
    <row r="24">
      <c r="B24" s="175"/>
    </row>
    <row r="25">
      <c r="B25" s="175"/>
    </row>
    <row r="26">
      <c r="B26" s="175"/>
    </row>
    <row r="27">
      <c r="B27" s="175"/>
    </row>
    <row r="28">
      <c r="B28" s="175"/>
    </row>
    <row r="29">
      <c r="B29" s="175"/>
    </row>
    <row r="30">
      <c r="B30" s="175"/>
    </row>
    <row r="31">
      <c r="B31" s="175"/>
    </row>
    <row r="32">
      <c r="B32" s="28"/>
    </row>
    <row r="33">
      <c r="B33" s="28"/>
    </row>
    <row r="34">
      <c r="B34" s="28"/>
    </row>
    <row r="35">
      <c r="B35" s="28"/>
    </row>
    <row r="36">
      <c r="B36" s="28"/>
    </row>
    <row r="37">
      <c r="B37" s="28"/>
    </row>
    <row r="38">
      <c r="B38" s="28"/>
    </row>
    <row r="39">
      <c r="B39" s="28"/>
    </row>
    <row r="40">
      <c r="B40" s="28"/>
    </row>
    <row r="41">
      <c r="B41" s="28"/>
    </row>
    <row r="42">
      <c r="B42" s="28"/>
    </row>
    <row r="43">
      <c r="B43" s="28"/>
    </row>
    <row r="44">
      <c r="B44" s="28"/>
    </row>
    <row r="45">
      <c r="B45" s="28"/>
    </row>
    <row r="46">
      <c r="B46" s="28"/>
    </row>
    <row r="47">
      <c r="B47" s="28"/>
    </row>
    <row r="48">
      <c r="B48" s="28"/>
    </row>
    <row r="49">
      <c r="B49" s="28"/>
    </row>
    <row r="50">
      <c r="B50" s="28"/>
    </row>
    <row r="51">
      <c r="B51" s="28"/>
    </row>
    <row r="52">
      <c r="B52" s="28"/>
    </row>
    <row r="53">
      <c r="B53" s="28"/>
    </row>
    <row r="54">
      <c r="B54" s="28"/>
    </row>
    <row r="55">
      <c r="B55" s="28"/>
    </row>
    <row r="56">
      <c r="B56" s="28"/>
    </row>
    <row r="57">
      <c r="B57" s="28"/>
    </row>
    <row r="58">
      <c r="B58" s="28"/>
    </row>
    <row r="59">
      <c r="B59" s="28"/>
    </row>
    <row r="60">
      <c r="B60" s="28"/>
    </row>
    <row r="61">
      <c r="B61" s="28"/>
    </row>
    <row r="62">
      <c r="B62" s="28"/>
    </row>
    <row r="63">
      <c r="B63" s="28"/>
    </row>
    <row r="64">
      <c r="B64" s="28"/>
    </row>
    <row r="65">
      <c r="B65" s="28"/>
    </row>
    <row r="66">
      <c r="B66" s="28"/>
    </row>
    <row r="67">
      <c r="B67" s="28"/>
    </row>
    <row r="68">
      <c r="B68" s="28"/>
    </row>
    <row r="69">
      <c r="B69" s="28"/>
    </row>
    <row r="70">
      <c r="B70" s="28"/>
    </row>
    <row r="71">
      <c r="B71" s="28"/>
    </row>
    <row r="72">
      <c r="B72" s="28"/>
    </row>
    <row r="73">
      <c r="B73" s="28"/>
    </row>
    <row r="74">
      <c r="B74" s="28"/>
    </row>
    <row r="75">
      <c r="B75" s="28"/>
    </row>
    <row r="76">
      <c r="B76" s="28"/>
    </row>
    <row r="77">
      <c r="B77" s="28"/>
    </row>
    <row r="78">
      <c r="B78" s="28"/>
    </row>
    <row r="79">
      <c r="B79" s="28"/>
    </row>
    <row r="80">
      <c r="B80" s="28"/>
    </row>
    <row r="81">
      <c r="B81" s="28"/>
    </row>
    <row r="82">
      <c r="B82" s="28"/>
    </row>
    <row r="83">
      <c r="B83" s="28"/>
    </row>
    <row r="84">
      <c r="B84" s="28"/>
    </row>
    <row r="85">
      <c r="B85" s="28"/>
    </row>
    <row r="86">
      <c r="B86" s="28"/>
    </row>
    <row r="87">
      <c r="B87" s="28"/>
    </row>
    <row r="88">
      <c r="B88" s="28"/>
    </row>
    <row r="89">
      <c r="B89" s="28"/>
    </row>
    <row r="90">
      <c r="B90" s="28"/>
    </row>
    <row r="91">
      <c r="B91" s="28"/>
    </row>
    <row r="92">
      <c r="B92" s="28"/>
    </row>
    <row r="93">
      <c r="B93" s="28"/>
    </row>
    <row r="94">
      <c r="B94" s="28"/>
    </row>
    <row r="95">
      <c r="B95" s="28"/>
    </row>
    <row r="96">
      <c r="B96" s="28"/>
    </row>
    <row r="97">
      <c r="B97" s="28"/>
    </row>
    <row r="98">
      <c r="B98" s="28"/>
    </row>
    <row r="99">
      <c r="B99" s="28"/>
    </row>
    <row r="100">
      <c r="B100" s="28"/>
    </row>
    <row r="101">
      <c r="B101" s="28"/>
    </row>
    <row r="102">
      <c r="B102" s="28"/>
    </row>
    <row r="103">
      <c r="B103" s="28"/>
    </row>
    <row r="104">
      <c r="B104" s="28"/>
    </row>
    <row r="105">
      <c r="B105" s="28"/>
    </row>
    <row r="106">
      <c r="B106" s="28"/>
    </row>
    <row r="107">
      <c r="B107" s="28"/>
    </row>
    <row r="108">
      <c r="B108" s="28"/>
    </row>
    <row r="109">
      <c r="B109" s="28"/>
    </row>
    <row r="110">
      <c r="B110" s="28"/>
    </row>
    <row r="111">
      <c r="B111" s="28"/>
    </row>
    <row r="112">
      <c r="B112" s="28"/>
    </row>
    <row r="113">
      <c r="B113" s="28"/>
    </row>
    <row r="114">
      <c r="B114" s="28"/>
    </row>
    <row r="115">
      <c r="B115" s="28"/>
    </row>
    <row r="116">
      <c r="B116" s="28"/>
    </row>
    <row r="117">
      <c r="B117" s="28"/>
    </row>
    <row r="118">
      <c r="B118" s="28"/>
    </row>
    <row r="119">
      <c r="B119" s="28"/>
    </row>
    <row r="120">
      <c r="B120" s="28"/>
    </row>
    <row r="121">
      <c r="B121" s="28"/>
    </row>
    <row r="122">
      <c r="B122" s="28"/>
    </row>
    <row r="123">
      <c r="B123" s="28"/>
    </row>
    <row r="124">
      <c r="B124" s="28"/>
    </row>
    <row r="125">
      <c r="B125" s="28"/>
    </row>
    <row r="126">
      <c r="B126" s="28"/>
    </row>
    <row r="127">
      <c r="B127" s="28"/>
    </row>
    <row r="128">
      <c r="B128" s="28"/>
    </row>
    <row r="129">
      <c r="B129" s="28"/>
    </row>
    <row r="130">
      <c r="B130" s="28"/>
    </row>
    <row r="131">
      <c r="B131" s="28"/>
    </row>
    <row r="132">
      <c r="B132" s="28"/>
    </row>
    <row r="133">
      <c r="B133" s="28"/>
    </row>
    <row r="134">
      <c r="B134" s="28"/>
    </row>
    <row r="135">
      <c r="B135" s="28"/>
    </row>
    <row r="136">
      <c r="B136" s="28"/>
    </row>
    <row r="137">
      <c r="B137" s="28"/>
    </row>
    <row r="138">
      <c r="B138" s="28"/>
    </row>
    <row r="139">
      <c r="B139" s="28"/>
    </row>
    <row r="140">
      <c r="B140" s="28"/>
    </row>
    <row r="141">
      <c r="B141" s="28"/>
    </row>
    <row r="142">
      <c r="B142" s="28"/>
    </row>
    <row r="143">
      <c r="B143" s="28"/>
    </row>
    <row r="144">
      <c r="B144" s="28"/>
    </row>
    <row r="145">
      <c r="B145" s="28"/>
    </row>
    <row r="146">
      <c r="B146" s="28"/>
    </row>
    <row r="147">
      <c r="B147" s="28"/>
    </row>
    <row r="148">
      <c r="B148" s="28"/>
    </row>
    <row r="149">
      <c r="B149" s="28"/>
    </row>
    <row r="150">
      <c r="B150" s="28"/>
    </row>
    <row r="151">
      <c r="B151" s="28"/>
    </row>
    <row r="152">
      <c r="B152" s="28"/>
    </row>
    <row r="153">
      <c r="B153" s="28"/>
    </row>
    <row r="154">
      <c r="B154" s="28"/>
    </row>
    <row r="155">
      <c r="B155" s="28"/>
    </row>
    <row r="156">
      <c r="B156" s="28"/>
    </row>
    <row r="157">
      <c r="B157" s="28"/>
    </row>
    <row r="158">
      <c r="B158" s="28"/>
    </row>
    <row r="159">
      <c r="B159" s="28"/>
    </row>
    <row r="160">
      <c r="B160" s="28"/>
    </row>
    <row r="161">
      <c r="B161" s="28"/>
    </row>
    <row r="162">
      <c r="B162" s="28"/>
    </row>
    <row r="163">
      <c r="B163" s="28"/>
    </row>
    <row r="164">
      <c r="B164" s="28"/>
    </row>
    <row r="165">
      <c r="B165" s="28"/>
    </row>
    <row r="166">
      <c r="B166" s="28"/>
    </row>
    <row r="167">
      <c r="B167" s="28"/>
    </row>
    <row r="168">
      <c r="B168" s="28"/>
    </row>
    <row r="169">
      <c r="B169" s="28"/>
    </row>
    <row r="170">
      <c r="B170" s="28"/>
    </row>
    <row r="171">
      <c r="B171" s="28"/>
    </row>
    <row r="172">
      <c r="B172" s="28"/>
    </row>
    <row r="173">
      <c r="B173" s="28"/>
    </row>
    <row r="174">
      <c r="B174" s="28"/>
    </row>
    <row r="175">
      <c r="B175" s="28"/>
    </row>
    <row r="176">
      <c r="B176" s="28"/>
    </row>
    <row r="177">
      <c r="B177" s="28"/>
    </row>
    <row r="178">
      <c r="B178" s="28"/>
    </row>
    <row r="179">
      <c r="B179" s="28"/>
    </row>
    <row r="180">
      <c r="B180" s="28"/>
    </row>
    <row r="181">
      <c r="B181" s="28"/>
    </row>
    <row r="182">
      <c r="B182" s="28"/>
    </row>
    <row r="183">
      <c r="B183" s="28"/>
    </row>
    <row r="184">
      <c r="B184" s="28"/>
    </row>
    <row r="185">
      <c r="B185" s="28"/>
    </row>
    <row r="186">
      <c r="B186" s="28"/>
    </row>
    <row r="187">
      <c r="B187" s="28"/>
    </row>
    <row r="188">
      <c r="B188" s="28"/>
    </row>
    <row r="189">
      <c r="B189" s="28"/>
    </row>
    <row r="190">
      <c r="B190" s="28"/>
    </row>
    <row r="191">
      <c r="B191" s="28"/>
    </row>
    <row r="192">
      <c r="B192" s="28"/>
    </row>
    <row r="193">
      <c r="B193" s="28"/>
    </row>
    <row r="194">
      <c r="B194" s="28"/>
    </row>
    <row r="195">
      <c r="B195" s="28"/>
    </row>
    <row r="196">
      <c r="B196" s="28"/>
    </row>
    <row r="197">
      <c r="B197" s="28"/>
    </row>
    <row r="198">
      <c r="B198" s="28"/>
    </row>
    <row r="199">
      <c r="B199" s="28"/>
    </row>
    <row r="200">
      <c r="B200" s="28"/>
    </row>
    <row r="201">
      <c r="B201" s="28"/>
    </row>
    <row r="202">
      <c r="B202" s="28"/>
    </row>
    <row r="203">
      <c r="B203" s="28"/>
    </row>
    <row r="204">
      <c r="B204" s="28"/>
    </row>
    <row r="205">
      <c r="B205" s="28"/>
    </row>
    <row r="206">
      <c r="B206" s="28"/>
    </row>
    <row r="207">
      <c r="B207" s="28"/>
    </row>
    <row r="208">
      <c r="B208" s="28"/>
    </row>
    <row r="209">
      <c r="B209" s="28"/>
    </row>
    <row r="210">
      <c r="B210" s="28"/>
    </row>
    <row r="211">
      <c r="B211" s="28"/>
    </row>
    <row r="212">
      <c r="B212" s="28"/>
    </row>
    <row r="213">
      <c r="B213" s="28"/>
    </row>
    <row r="214">
      <c r="B214" s="28"/>
    </row>
    <row r="215">
      <c r="B215" s="28"/>
    </row>
    <row r="216">
      <c r="B216" s="28"/>
    </row>
    <row r="217">
      <c r="B217" s="28"/>
    </row>
    <row r="218">
      <c r="B218" s="28"/>
    </row>
    <row r="219">
      <c r="B219" s="28"/>
    </row>
    <row r="220">
      <c r="B220" s="28"/>
    </row>
    <row r="221">
      <c r="B221" s="28"/>
    </row>
    <row r="222">
      <c r="B222" s="28"/>
    </row>
    <row r="223">
      <c r="B223" s="28"/>
    </row>
    <row r="224">
      <c r="B224" s="28"/>
    </row>
    <row r="225">
      <c r="B225" s="28"/>
    </row>
    <row r="226">
      <c r="B226" s="28"/>
    </row>
    <row r="227">
      <c r="B227" s="28"/>
    </row>
    <row r="228">
      <c r="B228" s="28"/>
    </row>
    <row r="229">
      <c r="B229" s="28"/>
    </row>
    <row r="230">
      <c r="B230" s="28"/>
    </row>
    <row r="231">
      <c r="B231" s="28"/>
    </row>
    <row r="232">
      <c r="B232" s="28"/>
    </row>
    <row r="233">
      <c r="B233" s="28"/>
    </row>
    <row r="234">
      <c r="B234" s="28"/>
    </row>
    <row r="235">
      <c r="B235" s="28"/>
    </row>
    <row r="236">
      <c r="B236" s="28"/>
    </row>
    <row r="237">
      <c r="B237" s="28"/>
    </row>
    <row r="238">
      <c r="B238" s="28"/>
    </row>
    <row r="239">
      <c r="B239" s="28"/>
    </row>
    <row r="240">
      <c r="B240" s="28"/>
    </row>
    <row r="241">
      <c r="B241" s="28"/>
    </row>
    <row r="242">
      <c r="B242" s="28"/>
    </row>
    <row r="243">
      <c r="B243" s="28"/>
    </row>
    <row r="244">
      <c r="B244" s="28"/>
    </row>
    <row r="245">
      <c r="B245" s="28"/>
    </row>
    <row r="246">
      <c r="B246" s="28"/>
    </row>
    <row r="247">
      <c r="B247" s="28"/>
    </row>
    <row r="248">
      <c r="B248" s="28"/>
    </row>
    <row r="249">
      <c r="B249" s="28"/>
    </row>
    <row r="250">
      <c r="B250" s="28"/>
    </row>
    <row r="251">
      <c r="B251" s="28"/>
    </row>
    <row r="252">
      <c r="B252" s="28"/>
    </row>
    <row r="253">
      <c r="B253" s="28"/>
    </row>
    <row r="254">
      <c r="B254" s="28"/>
    </row>
    <row r="255">
      <c r="B255" s="28"/>
    </row>
    <row r="256">
      <c r="B256" s="28"/>
    </row>
    <row r="257">
      <c r="B257" s="28"/>
    </row>
    <row r="258">
      <c r="B258" s="28"/>
    </row>
    <row r="259">
      <c r="B259" s="28"/>
    </row>
    <row r="260">
      <c r="B260" s="28"/>
    </row>
    <row r="261">
      <c r="B261" s="28"/>
    </row>
    <row r="262">
      <c r="B262" s="28"/>
    </row>
    <row r="263">
      <c r="B263" s="28"/>
    </row>
    <row r="264">
      <c r="B264" s="28"/>
    </row>
    <row r="265">
      <c r="B265" s="28"/>
    </row>
    <row r="266">
      <c r="B266" s="28"/>
    </row>
    <row r="267">
      <c r="B267" s="28"/>
    </row>
    <row r="268">
      <c r="B268" s="28"/>
    </row>
    <row r="269">
      <c r="B269" s="28"/>
    </row>
    <row r="270">
      <c r="B270" s="28"/>
    </row>
    <row r="271">
      <c r="B271" s="28"/>
    </row>
    <row r="272">
      <c r="B272" s="28"/>
    </row>
    <row r="273">
      <c r="B273" s="28"/>
    </row>
    <row r="274">
      <c r="B274" s="28"/>
    </row>
    <row r="275">
      <c r="B275" s="28"/>
    </row>
    <row r="276">
      <c r="B276" s="28"/>
    </row>
    <row r="277">
      <c r="B277" s="28"/>
    </row>
    <row r="278">
      <c r="B278" s="28"/>
    </row>
    <row r="279">
      <c r="B279" s="28"/>
    </row>
    <row r="280">
      <c r="B280" s="28"/>
    </row>
    <row r="281">
      <c r="B281" s="28"/>
    </row>
    <row r="282">
      <c r="B282" s="28"/>
    </row>
    <row r="283">
      <c r="B283" s="28"/>
    </row>
    <row r="284">
      <c r="B284" s="28"/>
    </row>
    <row r="285">
      <c r="B285" s="28"/>
    </row>
    <row r="286">
      <c r="B286" s="28"/>
    </row>
    <row r="287">
      <c r="B287" s="28"/>
    </row>
    <row r="288">
      <c r="B288" s="28"/>
    </row>
    <row r="289">
      <c r="B289" s="28"/>
    </row>
    <row r="290">
      <c r="B290" s="28"/>
    </row>
    <row r="291">
      <c r="B291" s="28"/>
    </row>
    <row r="292">
      <c r="B292" s="28"/>
    </row>
    <row r="293">
      <c r="B293" s="28"/>
    </row>
    <row r="294">
      <c r="B294" s="28"/>
    </row>
    <row r="295">
      <c r="B295" s="28"/>
    </row>
    <row r="296">
      <c r="B296" s="28"/>
    </row>
    <row r="297">
      <c r="B297" s="28"/>
    </row>
    <row r="298">
      <c r="B298" s="28"/>
    </row>
    <row r="299">
      <c r="B299" s="28"/>
    </row>
    <row r="300">
      <c r="B300" s="28"/>
    </row>
    <row r="301">
      <c r="B301" s="28"/>
    </row>
    <row r="302">
      <c r="B302" s="28"/>
    </row>
    <row r="303">
      <c r="B303" s="28"/>
    </row>
    <row r="304">
      <c r="B304" s="28"/>
    </row>
    <row r="305">
      <c r="B305" s="28"/>
    </row>
    <row r="306">
      <c r="B306" s="28"/>
    </row>
    <row r="307">
      <c r="B307" s="28"/>
    </row>
    <row r="308">
      <c r="B308" s="28"/>
    </row>
    <row r="309">
      <c r="B309" s="28"/>
    </row>
    <row r="310">
      <c r="B310" s="28"/>
    </row>
    <row r="311">
      <c r="B311" s="28"/>
    </row>
    <row r="312">
      <c r="B312" s="28"/>
    </row>
    <row r="313">
      <c r="B313" s="28"/>
    </row>
    <row r="314">
      <c r="B314" s="28"/>
    </row>
    <row r="315">
      <c r="B315" s="28"/>
    </row>
    <row r="316">
      <c r="B316" s="28"/>
    </row>
    <row r="317">
      <c r="B317" s="28"/>
    </row>
    <row r="318">
      <c r="B318" s="28"/>
    </row>
    <row r="319">
      <c r="B319" s="28"/>
    </row>
    <row r="320">
      <c r="B320" s="28"/>
    </row>
    <row r="321">
      <c r="B321" s="28"/>
    </row>
    <row r="322">
      <c r="B322" s="28"/>
    </row>
    <row r="323">
      <c r="B323" s="28"/>
    </row>
    <row r="324">
      <c r="B324" s="28"/>
    </row>
    <row r="325">
      <c r="B325" s="28"/>
    </row>
    <row r="326">
      <c r="B326" s="28"/>
    </row>
    <row r="327">
      <c r="B327" s="28"/>
    </row>
    <row r="328">
      <c r="B328" s="28"/>
    </row>
    <row r="329">
      <c r="B329" s="28"/>
    </row>
    <row r="330">
      <c r="B330" s="28"/>
    </row>
    <row r="331">
      <c r="B331" s="28"/>
    </row>
    <row r="332">
      <c r="B332" s="28"/>
    </row>
    <row r="333">
      <c r="B333" s="28"/>
    </row>
    <row r="334">
      <c r="B334" s="28"/>
    </row>
    <row r="335">
      <c r="B335" s="28"/>
    </row>
    <row r="336">
      <c r="B336" s="28"/>
    </row>
    <row r="337">
      <c r="B337" s="28"/>
    </row>
    <row r="338">
      <c r="B338" s="28"/>
    </row>
    <row r="339">
      <c r="B339" s="28"/>
    </row>
    <row r="340">
      <c r="B340" s="28"/>
    </row>
    <row r="341">
      <c r="B341" s="28"/>
    </row>
    <row r="342">
      <c r="B342" s="28"/>
    </row>
    <row r="343">
      <c r="B343" s="28"/>
    </row>
    <row r="344">
      <c r="B344" s="28"/>
    </row>
    <row r="345">
      <c r="B345" s="28"/>
    </row>
    <row r="346">
      <c r="B346" s="28"/>
    </row>
    <row r="347">
      <c r="B347" s="28"/>
    </row>
    <row r="348">
      <c r="B348" s="28"/>
    </row>
    <row r="349">
      <c r="B349" s="28"/>
    </row>
    <row r="350">
      <c r="B350" s="28"/>
    </row>
    <row r="351">
      <c r="B351" s="28"/>
    </row>
    <row r="352">
      <c r="B352" s="28"/>
    </row>
    <row r="353">
      <c r="B353" s="28"/>
    </row>
    <row r="354">
      <c r="B354" s="28"/>
    </row>
    <row r="355">
      <c r="B355" s="28"/>
    </row>
    <row r="356">
      <c r="B356" s="28"/>
    </row>
    <row r="357">
      <c r="B357" s="28"/>
    </row>
    <row r="358">
      <c r="B358" s="28"/>
    </row>
    <row r="359">
      <c r="B359" s="28"/>
    </row>
    <row r="360">
      <c r="B360" s="28"/>
    </row>
    <row r="361">
      <c r="B361" s="28"/>
    </row>
    <row r="362">
      <c r="B362" s="28"/>
    </row>
    <row r="363">
      <c r="B363" s="28"/>
    </row>
    <row r="364">
      <c r="B364" s="28"/>
    </row>
    <row r="365">
      <c r="B365" s="28"/>
    </row>
    <row r="366">
      <c r="B366" s="28"/>
    </row>
    <row r="367">
      <c r="B367" s="28"/>
    </row>
    <row r="368">
      <c r="B368" s="28"/>
    </row>
    <row r="369">
      <c r="B369" s="28"/>
    </row>
    <row r="370">
      <c r="B370" s="28"/>
    </row>
    <row r="371">
      <c r="B371" s="28"/>
    </row>
    <row r="372">
      <c r="B372" s="28"/>
    </row>
    <row r="373">
      <c r="B373" s="28"/>
    </row>
    <row r="374">
      <c r="B374" s="28"/>
    </row>
    <row r="375">
      <c r="B375" s="28"/>
    </row>
    <row r="376">
      <c r="B376" s="28"/>
    </row>
    <row r="377">
      <c r="B377" s="28"/>
    </row>
    <row r="378">
      <c r="B378" s="28"/>
    </row>
    <row r="379">
      <c r="B379" s="28"/>
    </row>
    <row r="380">
      <c r="B380" s="28"/>
    </row>
    <row r="381">
      <c r="B381" s="28"/>
    </row>
    <row r="382">
      <c r="B382" s="28"/>
    </row>
    <row r="383">
      <c r="B383" s="28"/>
    </row>
    <row r="384">
      <c r="B384" s="28"/>
    </row>
    <row r="385">
      <c r="B385" s="28"/>
    </row>
    <row r="386">
      <c r="B386" s="28"/>
    </row>
    <row r="387">
      <c r="B387" s="28"/>
    </row>
    <row r="388">
      <c r="B388" s="28"/>
    </row>
    <row r="389">
      <c r="B389" s="28"/>
    </row>
    <row r="390">
      <c r="B390" s="28"/>
    </row>
    <row r="391">
      <c r="B391" s="28"/>
    </row>
    <row r="392">
      <c r="B392" s="28"/>
    </row>
    <row r="393">
      <c r="B393" s="28"/>
    </row>
    <row r="394">
      <c r="B394" s="28"/>
    </row>
    <row r="395">
      <c r="B395" s="28"/>
    </row>
    <row r="396">
      <c r="B396" s="28"/>
    </row>
    <row r="397">
      <c r="B397" s="28"/>
    </row>
    <row r="398">
      <c r="B398" s="28"/>
    </row>
    <row r="399">
      <c r="B399" s="28"/>
    </row>
    <row r="400">
      <c r="B400" s="28"/>
    </row>
    <row r="401">
      <c r="B401" s="28"/>
    </row>
    <row r="402">
      <c r="B402" s="28"/>
    </row>
    <row r="403">
      <c r="B403" s="28"/>
    </row>
    <row r="404">
      <c r="B404" s="28"/>
    </row>
    <row r="405">
      <c r="B405" s="28"/>
    </row>
    <row r="406">
      <c r="B406" s="28"/>
    </row>
    <row r="407">
      <c r="B407" s="28"/>
    </row>
    <row r="408">
      <c r="B408" s="28"/>
    </row>
    <row r="409">
      <c r="B409" s="28"/>
    </row>
    <row r="410">
      <c r="B410" s="28"/>
    </row>
    <row r="411">
      <c r="B411" s="28"/>
    </row>
    <row r="412">
      <c r="B412" s="28"/>
    </row>
    <row r="413">
      <c r="B413" s="28"/>
    </row>
    <row r="414">
      <c r="B414" s="28"/>
    </row>
    <row r="415">
      <c r="B415" s="28"/>
    </row>
    <row r="416">
      <c r="B416" s="28"/>
    </row>
    <row r="417">
      <c r="B417" s="28"/>
    </row>
    <row r="418">
      <c r="B418" s="28"/>
    </row>
    <row r="419">
      <c r="B419" s="28"/>
    </row>
    <row r="420">
      <c r="B420" s="28"/>
    </row>
    <row r="421">
      <c r="B421" s="28"/>
    </row>
    <row r="422">
      <c r="B422" s="28"/>
    </row>
    <row r="423">
      <c r="B423" s="28"/>
    </row>
    <row r="424">
      <c r="B424" s="28"/>
    </row>
    <row r="425">
      <c r="B425" s="28"/>
    </row>
    <row r="426">
      <c r="B426" s="28"/>
    </row>
    <row r="427">
      <c r="B427" s="28"/>
    </row>
    <row r="428">
      <c r="B428" s="28"/>
    </row>
    <row r="429">
      <c r="B429" s="28"/>
    </row>
    <row r="430">
      <c r="B430" s="28"/>
    </row>
    <row r="431">
      <c r="B431" s="28"/>
    </row>
    <row r="432">
      <c r="B432" s="28"/>
    </row>
    <row r="433">
      <c r="B433" s="28"/>
    </row>
    <row r="434">
      <c r="B434" s="28"/>
    </row>
    <row r="435">
      <c r="B435" s="28"/>
    </row>
    <row r="436">
      <c r="B436" s="28"/>
    </row>
    <row r="437">
      <c r="B437" s="28"/>
    </row>
    <row r="438">
      <c r="B438" s="28"/>
    </row>
    <row r="439">
      <c r="B439" s="28"/>
    </row>
    <row r="440">
      <c r="B440" s="28"/>
    </row>
    <row r="441">
      <c r="B441" s="28"/>
    </row>
    <row r="442">
      <c r="B442" s="28"/>
    </row>
    <row r="443">
      <c r="B443" s="28"/>
    </row>
    <row r="444">
      <c r="B444" s="28"/>
    </row>
    <row r="445">
      <c r="B445" s="28"/>
    </row>
    <row r="446">
      <c r="B446" s="28"/>
    </row>
    <row r="447">
      <c r="B447" s="28"/>
    </row>
    <row r="448">
      <c r="B448" s="28"/>
    </row>
    <row r="449">
      <c r="B449" s="28"/>
    </row>
    <row r="450">
      <c r="B450" s="28"/>
    </row>
    <row r="451">
      <c r="B451" s="28"/>
    </row>
    <row r="452">
      <c r="B452" s="28"/>
    </row>
    <row r="453">
      <c r="B453" s="28"/>
    </row>
    <row r="454">
      <c r="B454" s="28"/>
    </row>
    <row r="455">
      <c r="B455" s="28"/>
    </row>
    <row r="456">
      <c r="B456" s="28"/>
    </row>
    <row r="457">
      <c r="B457" s="28"/>
    </row>
    <row r="458">
      <c r="B458" s="28"/>
    </row>
    <row r="459">
      <c r="B459" s="28"/>
    </row>
    <row r="460">
      <c r="B460" s="28"/>
    </row>
    <row r="461">
      <c r="B461" s="28"/>
    </row>
    <row r="462">
      <c r="B462" s="28"/>
    </row>
    <row r="463">
      <c r="B463" s="28"/>
    </row>
    <row r="464">
      <c r="B464" s="28"/>
    </row>
    <row r="465">
      <c r="B465" s="28"/>
    </row>
    <row r="466">
      <c r="B466" s="28"/>
    </row>
    <row r="467">
      <c r="B467" s="28"/>
    </row>
    <row r="468">
      <c r="B468" s="28"/>
    </row>
    <row r="469">
      <c r="B469" s="28"/>
    </row>
    <row r="470">
      <c r="B470" s="28"/>
    </row>
    <row r="471">
      <c r="B471" s="28"/>
    </row>
    <row r="472">
      <c r="B472" s="28"/>
    </row>
    <row r="473">
      <c r="B473" s="28"/>
    </row>
    <row r="474">
      <c r="B474" s="28"/>
    </row>
    <row r="475">
      <c r="B475" s="28"/>
    </row>
    <row r="476">
      <c r="B476" s="28"/>
    </row>
    <row r="477">
      <c r="B477" s="28"/>
    </row>
    <row r="478">
      <c r="B478" s="28"/>
    </row>
    <row r="479">
      <c r="B479" s="28"/>
    </row>
    <row r="480">
      <c r="B480" s="28"/>
    </row>
    <row r="481">
      <c r="B481" s="28"/>
    </row>
    <row r="482">
      <c r="B482" s="28"/>
    </row>
    <row r="483">
      <c r="B483" s="28"/>
    </row>
    <row r="484">
      <c r="B484" s="28"/>
    </row>
    <row r="485">
      <c r="B485" s="28"/>
    </row>
    <row r="486">
      <c r="B486" s="28"/>
    </row>
    <row r="487">
      <c r="B487" s="28"/>
    </row>
    <row r="488">
      <c r="B488" s="28"/>
    </row>
    <row r="489">
      <c r="B489" s="28"/>
    </row>
    <row r="490">
      <c r="B490" s="28"/>
    </row>
    <row r="491">
      <c r="B491" s="28"/>
    </row>
    <row r="492">
      <c r="B492" s="28"/>
    </row>
    <row r="493">
      <c r="B493" s="28"/>
    </row>
    <row r="494">
      <c r="B494" s="28"/>
    </row>
    <row r="495">
      <c r="B495" s="28"/>
    </row>
    <row r="496">
      <c r="B496" s="28"/>
    </row>
    <row r="497">
      <c r="B497" s="28"/>
    </row>
    <row r="498">
      <c r="B498" s="28"/>
    </row>
    <row r="499">
      <c r="B499" s="28"/>
    </row>
    <row r="500">
      <c r="B500" s="28"/>
    </row>
    <row r="501">
      <c r="B501" s="28"/>
    </row>
    <row r="502">
      <c r="B502" s="28"/>
    </row>
    <row r="503">
      <c r="B503" s="28"/>
    </row>
    <row r="504">
      <c r="B504" s="28"/>
    </row>
    <row r="505">
      <c r="B505" s="28"/>
    </row>
    <row r="506">
      <c r="B506" s="28"/>
    </row>
    <row r="507">
      <c r="B507" s="28"/>
    </row>
    <row r="508">
      <c r="B508" s="28"/>
    </row>
    <row r="509">
      <c r="B509" s="28"/>
    </row>
    <row r="510">
      <c r="B510" s="28"/>
    </row>
    <row r="511">
      <c r="B511" s="28"/>
    </row>
    <row r="512">
      <c r="B512" s="28"/>
    </row>
    <row r="513">
      <c r="B513" s="28"/>
    </row>
    <row r="514">
      <c r="B514" s="28"/>
    </row>
    <row r="515">
      <c r="B515" s="28"/>
    </row>
    <row r="516">
      <c r="B516" s="28"/>
    </row>
    <row r="517">
      <c r="B517" s="28"/>
    </row>
    <row r="518">
      <c r="B518" s="28"/>
    </row>
    <row r="519">
      <c r="B519" s="28"/>
    </row>
    <row r="520">
      <c r="B520" s="28"/>
    </row>
    <row r="521">
      <c r="B521" s="28"/>
    </row>
    <row r="522">
      <c r="B522" s="28"/>
    </row>
    <row r="523">
      <c r="B523" s="28"/>
    </row>
    <row r="524">
      <c r="B524" s="28"/>
    </row>
    <row r="525">
      <c r="B525" s="28"/>
    </row>
    <row r="526">
      <c r="B526" s="28"/>
    </row>
    <row r="527">
      <c r="B527" s="28"/>
    </row>
    <row r="528">
      <c r="B528" s="28"/>
    </row>
    <row r="529">
      <c r="B529" s="28"/>
    </row>
    <row r="530">
      <c r="B530" s="28"/>
    </row>
    <row r="531">
      <c r="B531" s="28"/>
    </row>
    <row r="532">
      <c r="B532" s="28"/>
    </row>
    <row r="533">
      <c r="B533" s="28"/>
    </row>
    <row r="534">
      <c r="B534" s="28"/>
    </row>
    <row r="535">
      <c r="B535" s="28"/>
    </row>
    <row r="536">
      <c r="B536" s="28"/>
    </row>
    <row r="537">
      <c r="B537" s="28"/>
    </row>
    <row r="538">
      <c r="B538" s="28"/>
    </row>
    <row r="539">
      <c r="B539" s="28"/>
    </row>
    <row r="540">
      <c r="B540" s="28"/>
    </row>
    <row r="541">
      <c r="B541" s="28"/>
    </row>
    <row r="542">
      <c r="B542" s="28"/>
    </row>
    <row r="543">
      <c r="B543" s="28"/>
    </row>
    <row r="544">
      <c r="B544" s="28"/>
    </row>
    <row r="545">
      <c r="B545" s="28"/>
    </row>
    <row r="546">
      <c r="B546" s="28"/>
    </row>
    <row r="547">
      <c r="B547" s="28"/>
    </row>
    <row r="548">
      <c r="B548" s="28"/>
    </row>
    <row r="549">
      <c r="B549" s="28"/>
    </row>
    <row r="550">
      <c r="B550" s="28"/>
    </row>
    <row r="551">
      <c r="B551" s="28"/>
    </row>
    <row r="552">
      <c r="B552" s="28"/>
    </row>
    <row r="553">
      <c r="B553" s="28"/>
    </row>
    <row r="554">
      <c r="B554" s="28"/>
    </row>
    <row r="555">
      <c r="B555" s="28"/>
    </row>
    <row r="556">
      <c r="B556" s="28"/>
    </row>
    <row r="557">
      <c r="B557" s="28"/>
    </row>
    <row r="558">
      <c r="B558" s="28"/>
    </row>
    <row r="559">
      <c r="B559" s="28"/>
    </row>
    <row r="560">
      <c r="B560" s="28"/>
    </row>
    <row r="561">
      <c r="B561" s="28"/>
    </row>
    <row r="562">
      <c r="B562" s="28"/>
    </row>
    <row r="563">
      <c r="B563" s="28"/>
    </row>
    <row r="564">
      <c r="B564" s="28"/>
    </row>
    <row r="565">
      <c r="B565" s="28"/>
    </row>
    <row r="566">
      <c r="B566" s="28"/>
    </row>
    <row r="567">
      <c r="B567" s="28"/>
    </row>
    <row r="568">
      <c r="B568" s="28"/>
    </row>
    <row r="569">
      <c r="B569" s="28"/>
    </row>
    <row r="570">
      <c r="B570" s="28"/>
    </row>
    <row r="571">
      <c r="B571" s="28"/>
    </row>
    <row r="572">
      <c r="B572" s="28"/>
    </row>
    <row r="573">
      <c r="B573" s="28"/>
    </row>
    <row r="574">
      <c r="B574" s="28"/>
    </row>
    <row r="575">
      <c r="B575" s="28"/>
    </row>
    <row r="576">
      <c r="B576" s="28"/>
    </row>
    <row r="577">
      <c r="B577" s="28"/>
    </row>
    <row r="578">
      <c r="B578" s="28"/>
    </row>
    <row r="579">
      <c r="B579" s="28"/>
    </row>
    <row r="580">
      <c r="B580" s="28"/>
    </row>
    <row r="581">
      <c r="B581" s="28"/>
    </row>
    <row r="582">
      <c r="B582" s="28"/>
    </row>
    <row r="583">
      <c r="B583" s="28"/>
    </row>
    <row r="584">
      <c r="B584" s="28"/>
    </row>
    <row r="585">
      <c r="B585" s="28"/>
    </row>
    <row r="586">
      <c r="B586" s="28"/>
    </row>
    <row r="587">
      <c r="B587" s="28"/>
    </row>
    <row r="588">
      <c r="B588" s="28"/>
    </row>
    <row r="589">
      <c r="B589" s="28"/>
    </row>
    <row r="590">
      <c r="B590" s="28"/>
    </row>
    <row r="591">
      <c r="B591" s="28"/>
    </row>
    <row r="592">
      <c r="B592" s="28"/>
    </row>
    <row r="593">
      <c r="B593" s="28"/>
    </row>
    <row r="594">
      <c r="B594" s="28"/>
    </row>
    <row r="595">
      <c r="B595" s="28"/>
    </row>
    <row r="596">
      <c r="B596" s="28"/>
    </row>
    <row r="597">
      <c r="B597" s="28"/>
    </row>
    <row r="598">
      <c r="B598" s="28"/>
    </row>
    <row r="599">
      <c r="B599" s="28"/>
    </row>
    <row r="600">
      <c r="B600" s="28"/>
    </row>
    <row r="601">
      <c r="B601" s="28"/>
    </row>
    <row r="602">
      <c r="B602" s="28"/>
    </row>
    <row r="603">
      <c r="B603" s="28"/>
    </row>
    <row r="604">
      <c r="B604" s="28"/>
    </row>
    <row r="605">
      <c r="B605" s="28"/>
    </row>
    <row r="606">
      <c r="B606" s="28"/>
    </row>
    <row r="607">
      <c r="B607" s="28"/>
    </row>
    <row r="608">
      <c r="B608" s="28"/>
    </row>
    <row r="609">
      <c r="B609" s="28"/>
    </row>
    <row r="610">
      <c r="B610" s="28"/>
    </row>
    <row r="611">
      <c r="B611" s="28"/>
    </row>
    <row r="612">
      <c r="B612" s="28"/>
    </row>
    <row r="613">
      <c r="B613" s="28"/>
    </row>
    <row r="614">
      <c r="B614" s="28"/>
    </row>
    <row r="615">
      <c r="B615" s="28"/>
    </row>
    <row r="616">
      <c r="B616" s="28"/>
    </row>
    <row r="617">
      <c r="B617" s="28"/>
    </row>
    <row r="618">
      <c r="B618" s="28"/>
    </row>
    <row r="619">
      <c r="B619" s="28"/>
    </row>
    <row r="620">
      <c r="B620" s="28"/>
    </row>
    <row r="621">
      <c r="B621" s="28"/>
    </row>
    <row r="622">
      <c r="B622" s="28"/>
    </row>
    <row r="623">
      <c r="B623" s="28"/>
    </row>
    <row r="624">
      <c r="B624" s="28"/>
    </row>
    <row r="625">
      <c r="B625" s="28"/>
    </row>
    <row r="626">
      <c r="B626" s="28"/>
    </row>
    <row r="627">
      <c r="B627" s="28"/>
    </row>
    <row r="628">
      <c r="B628" s="28"/>
    </row>
    <row r="629">
      <c r="B629" s="28"/>
    </row>
    <row r="630">
      <c r="B630" s="28"/>
    </row>
    <row r="631">
      <c r="B631" s="28"/>
    </row>
    <row r="632">
      <c r="B632" s="28"/>
    </row>
    <row r="633">
      <c r="B633" s="28"/>
    </row>
    <row r="634">
      <c r="B634" s="28"/>
    </row>
    <row r="635">
      <c r="B635" s="28"/>
    </row>
    <row r="636">
      <c r="B636" s="28"/>
    </row>
    <row r="637">
      <c r="B637" s="28"/>
    </row>
    <row r="638">
      <c r="B638" s="28"/>
    </row>
    <row r="639">
      <c r="B639" s="28"/>
    </row>
    <row r="640">
      <c r="B640" s="28"/>
    </row>
    <row r="641">
      <c r="B641" s="28"/>
    </row>
    <row r="642">
      <c r="B642" s="28"/>
    </row>
    <row r="643">
      <c r="B643" s="28"/>
    </row>
    <row r="644">
      <c r="B644" s="28"/>
    </row>
    <row r="645">
      <c r="B645" s="28"/>
    </row>
    <row r="646">
      <c r="B646" s="28"/>
    </row>
    <row r="647">
      <c r="B647" s="28"/>
    </row>
    <row r="648">
      <c r="B648" s="28"/>
    </row>
    <row r="649">
      <c r="B649" s="28"/>
    </row>
    <row r="650">
      <c r="B650" s="28"/>
    </row>
    <row r="651">
      <c r="B651" s="28"/>
    </row>
    <row r="652">
      <c r="B652" s="28"/>
    </row>
    <row r="653">
      <c r="B653" s="28"/>
    </row>
    <row r="654">
      <c r="B654" s="28"/>
    </row>
    <row r="655">
      <c r="B655" s="28"/>
    </row>
    <row r="656">
      <c r="B656" s="28"/>
    </row>
    <row r="657">
      <c r="B657" s="28"/>
    </row>
    <row r="658">
      <c r="B658" s="28"/>
    </row>
    <row r="659">
      <c r="B659" s="28"/>
    </row>
    <row r="660">
      <c r="B660" s="28"/>
    </row>
    <row r="661">
      <c r="B661" s="28"/>
    </row>
    <row r="662">
      <c r="B662" s="28"/>
    </row>
    <row r="663">
      <c r="B663" s="28"/>
    </row>
    <row r="664">
      <c r="B664" s="28"/>
    </row>
    <row r="665">
      <c r="B665" s="28"/>
    </row>
    <row r="666">
      <c r="B666" s="28"/>
    </row>
    <row r="667">
      <c r="B667" s="28"/>
    </row>
    <row r="668">
      <c r="B668" s="28"/>
    </row>
    <row r="669">
      <c r="B669" s="28"/>
    </row>
    <row r="670">
      <c r="B670" s="28"/>
    </row>
    <row r="671">
      <c r="B671" s="28"/>
    </row>
    <row r="672">
      <c r="B672" s="28"/>
    </row>
    <row r="673">
      <c r="B673" s="28"/>
    </row>
    <row r="674">
      <c r="B674" s="28"/>
    </row>
    <row r="675">
      <c r="B675" s="28"/>
    </row>
    <row r="676">
      <c r="B676" s="28"/>
    </row>
    <row r="677">
      <c r="B677" s="28"/>
    </row>
    <row r="678">
      <c r="B678" s="28"/>
    </row>
    <row r="679">
      <c r="B679" s="28"/>
    </row>
    <row r="680">
      <c r="B680" s="28"/>
    </row>
    <row r="681">
      <c r="B681" s="28"/>
    </row>
    <row r="682">
      <c r="B682" s="28"/>
    </row>
    <row r="683">
      <c r="B683" s="28"/>
    </row>
    <row r="684">
      <c r="B684" s="28"/>
    </row>
    <row r="685">
      <c r="B685" s="28"/>
    </row>
    <row r="686">
      <c r="B686" s="28"/>
    </row>
    <row r="687">
      <c r="B687" s="28"/>
    </row>
    <row r="688">
      <c r="B688" s="28"/>
    </row>
    <row r="689">
      <c r="B689" s="28"/>
    </row>
    <row r="690">
      <c r="B690" s="28"/>
    </row>
    <row r="691">
      <c r="B691" s="28"/>
    </row>
    <row r="692">
      <c r="B692" s="28"/>
    </row>
    <row r="693">
      <c r="B693" s="28"/>
    </row>
    <row r="694">
      <c r="B694" s="28"/>
    </row>
    <row r="695">
      <c r="B695" s="28"/>
    </row>
    <row r="696">
      <c r="B696" s="28"/>
    </row>
    <row r="697">
      <c r="B697" s="28"/>
    </row>
    <row r="698">
      <c r="B698" s="28"/>
    </row>
    <row r="699">
      <c r="B699" s="28"/>
    </row>
    <row r="700">
      <c r="B700" s="28"/>
    </row>
    <row r="701">
      <c r="B701" s="28"/>
    </row>
    <row r="702">
      <c r="B702" s="28"/>
    </row>
    <row r="703">
      <c r="B703" s="28"/>
    </row>
    <row r="704">
      <c r="B704" s="28"/>
    </row>
    <row r="705">
      <c r="B705" s="28"/>
    </row>
    <row r="706">
      <c r="B706" s="28"/>
    </row>
    <row r="707">
      <c r="B707" s="28"/>
    </row>
    <row r="708">
      <c r="B708" s="28"/>
    </row>
    <row r="709">
      <c r="B709" s="28"/>
    </row>
    <row r="710">
      <c r="B710" s="28"/>
    </row>
    <row r="711">
      <c r="B711" s="28"/>
    </row>
    <row r="712">
      <c r="B712" s="28"/>
    </row>
    <row r="713">
      <c r="B713" s="28"/>
    </row>
    <row r="714">
      <c r="B714" s="28"/>
    </row>
    <row r="715">
      <c r="B715" s="28"/>
    </row>
    <row r="716">
      <c r="B716" s="28"/>
    </row>
    <row r="717">
      <c r="B717" s="28"/>
    </row>
    <row r="718">
      <c r="B718" s="28"/>
    </row>
    <row r="719">
      <c r="B719" s="28"/>
    </row>
    <row r="720">
      <c r="B720" s="28"/>
    </row>
    <row r="721">
      <c r="B721" s="28"/>
    </row>
    <row r="722">
      <c r="B722" s="28"/>
    </row>
    <row r="723">
      <c r="B723" s="28"/>
    </row>
    <row r="724">
      <c r="B724" s="28"/>
    </row>
    <row r="725">
      <c r="B725" s="28"/>
    </row>
    <row r="726">
      <c r="B726" s="28"/>
    </row>
    <row r="727">
      <c r="B727" s="28"/>
    </row>
    <row r="728">
      <c r="B728" s="28"/>
    </row>
    <row r="729">
      <c r="B729" s="28"/>
    </row>
    <row r="730">
      <c r="B730" s="28"/>
    </row>
    <row r="731">
      <c r="B731" s="28"/>
    </row>
    <row r="732">
      <c r="B732" s="28"/>
    </row>
    <row r="733">
      <c r="B733" s="28"/>
    </row>
    <row r="734">
      <c r="B734" s="28"/>
    </row>
    <row r="735">
      <c r="B735" s="28"/>
    </row>
    <row r="736">
      <c r="B736" s="28"/>
    </row>
    <row r="737">
      <c r="B737" s="28"/>
    </row>
    <row r="738">
      <c r="B738" s="28"/>
    </row>
    <row r="739">
      <c r="B739" s="28"/>
    </row>
    <row r="740">
      <c r="B740" s="28"/>
    </row>
    <row r="741">
      <c r="B741" s="28"/>
    </row>
    <row r="742">
      <c r="B742" s="28"/>
    </row>
    <row r="743">
      <c r="B743" s="28"/>
    </row>
    <row r="744">
      <c r="B744" s="28"/>
    </row>
    <row r="745">
      <c r="B745" s="28"/>
    </row>
    <row r="746">
      <c r="B746" s="28"/>
    </row>
    <row r="747">
      <c r="B747" s="28"/>
    </row>
    <row r="748">
      <c r="B748" s="28"/>
    </row>
    <row r="749">
      <c r="B749" s="28"/>
    </row>
    <row r="750">
      <c r="B750" s="28"/>
    </row>
    <row r="751">
      <c r="B751" s="28"/>
    </row>
    <row r="752">
      <c r="B752" s="28"/>
    </row>
    <row r="753">
      <c r="B753" s="28"/>
    </row>
    <row r="754">
      <c r="B754" s="28"/>
    </row>
    <row r="755">
      <c r="B755" s="28"/>
    </row>
    <row r="756">
      <c r="B756" s="28"/>
    </row>
    <row r="757">
      <c r="B757" s="28"/>
    </row>
    <row r="758">
      <c r="B758" s="28"/>
    </row>
    <row r="759">
      <c r="B759" s="28"/>
    </row>
    <row r="760">
      <c r="B760" s="28"/>
    </row>
    <row r="761">
      <c r="B761" s="28"/>
    </row>
    <row r="762">
      <c r="B762" s="28"/>
    </row>
    <row r="763">
      <c r="B763" s="28"/>
    </row>
    <row r="764">
      <c r="B764" s="28"/>
    </row>
    <row r="765">
      <c r="B765" s="28"/>
    </row>
    <row r="766">
      <c r="B766" s="28"/>
    </row>
    <row r="767">
      <c r="B767" s="28"/>
    </row>
    <row r="768">
      <c r="B768" s="28"/>
    </row>
    <row r="769">
      <c r="B769" s="28"/>
    </row>
    <row r="770">
      <c r="B770" s="28"/>
    </row>
    <row r="771">
      <c r="B771" s="28"/>
    </row>
    <row r="772">
      <c r="B772" s="28"/>
    </row>
    <row r="773">
      <c r="B773" s="28"/>
    </row>
    <row r="774">
      <c r="B774" s="28"/>
    </row>
    <row r="775">
      <c r="B775" s="28"/>
    </row>
    <row r="776">
      <c r="B776" s="28"/>
    </row>
    <row r="777">
      <c r="B777" s="28"/>
    </row>
    <row r="778">
      <c r="B778" s="28"/>
    </row>
    <row r="779">
      <c r="B779" s="28"/>
    </row>
    <row r="780">
      <c r="B780" s="28"/>
    </row>
    <row r="781">
      <c r="B781" s="28"/>
    </row>
    <row r="782">
      <c r="B782" s="28"/>
    </row>
    <row r="783">
      <c r="B783" s="28"/>
    </row>
    <row r="784">
      <c r="B784" s="28"/>
    </row>
    <row r="785">
      <c r="B785" s="28"/>
    </row>
    <row r="786">
      <c r="B786" s="28"/>
    </row>
    <row r="787">
      <c r="B787" s="28"/>
    </row>
    <row r="788">
      <c r="B788" s="28"/>
    </row>
    <row r="789">
      <c r="B789" s="28"/>
    </row>
    <row r="790">
      <c r="B790" s="28"/>
    </row>
    <row r="791">
      <c r="B791" s="28"/>
    </row>
    <row r="792">
      <c r="B792" s="28"/>
    </row>
    <row r="793">
      <c r="B793" s="28"/>
    </row>
    <row r="794">
      <c r="B794" s="28"/>
    </row>
    <row r="795">
      <c r="B795" s="28"/>
    </row>
    <row r="796">
      <c r="B796" s="28"/>
    </row>
    <row r="797">
      <c r="B797" s="28"/>
    </row>
    <row r="798">
      <c r="B798" s="28"/>
    </row>
    <row r="799">
      <c r="B799" s="28"/>
    </row>
    <row r="800">
      <c r="B800" s="28"/>
    </row>
    <row r="801">
      <c r="B801" s="28"/>
    </row>
    <row r="802">
      <c r="B802" s="28"/>
    </row>
    <row r="803">
      <c r="B803" s="28"/>
    </row>
    <row r="804">
      <c r="B804" s="28"/>
    </row>
    <row r="805">
      <c r="B805" s="28"/>
    </row>
    <row r="806">
      <c r="B806" s="28"/>
    </row>
    <row r="807">
      <c r="B807" s="28"/>
    </row>
    <row r="808">
      <c r="B808" s="28"/>
    </row>
    <row r="809">
      <c r="B809" s="28"/>
    </row>
    <row r="810">
      <c r="B810" s="28"/>
    </row>
    <row r="811">
      <c r="B811" s="28"/>
    </row>
    <row r="812">
      <c r="B812" s="28"/>
    </row>
    <row r="813">
      <c r="B813" s="28"/>
    </row>
    <row r="814">
      <c r="B814" s="28"/>
    </row>
    <row r="815">
      <c r="B815" s="28"/>
    </row>
    <row r="816">
      <c r="B816" s="28"/>
    </row>
    <row r="817">
      <c r="B817" s="28"/>
    </row>
    <row r="818">
      <c r="B818" s="28"/>
    </row>
    <row r="819">
      <c r="B819" s="28"/>
    </row>
    <row r="820">
      <c r="B820" s="28"/>
    </row>
    <row r="821">
      <c r="B821" s="28"/>
    </row>
    <row r="822">
      <c r="B822" s="28"/>
    </row>
    <row r="823">
      <c r="B823" s="28"/>
    </row>
    <row r="824">
      <c r="B824" s="28"/>
    </row>
    <row r="825">
      <c r="B825" s="28"/>
    </row>
    <row r="826">
      <c r="B826" s="28"/>
    </row>
    <row r="827">
      <c r="B827" s="28"/>
    </row>
    <row r="828">
      <c r="B828" s="28"/>
    </row>
    <row r="829">
      <c r="B829" s="28"/>
    </row>
    <row r="830">
      <c r="B830" s="28"/>
    </row>
    <row r="831">
      <c r="B831" s="28"/>
    </row>
    <row r="832">
      <c r="B832" s="28"/>
    </row>
    <row r="833">
      <c r="B833" s="28"/>
    </row>
    <row r="834">
      <c r="B834" s="28"/>
    </row>
    <row r="835">
      <c r="B835" s="28"/>
    </row>
    <row r="836">
      <c r="B836" s="28"/>
    </row>
    <row r="837">
      <c r="B837" s="28"/>
    </row>
    <row r="838">
      <c r="B838" s="28"/>
    </row>
    <row r="839">
      <c r="B839" s="28"/>
    </row>
    <row r="840">
      <c r="B840" s="28"/>
    </row>
    <row r="841">
      <c r="B841" s="28"/>
    </row>
    <row r="842">
      <c r="B842" s="28"/>
    </row>
    <row r="843">
      <c r="B843" s="28"/>
    </row>
    <row r="844">
      <c r="B844" s="28"/>
    </row>
    <row r="845">
      <c r="B845" s="28"/>
    </row>
    <row r="846">
      <c r="B846" s="28"/>
    </row>
    <row r="847">
      <c r="B847" s="28"/>
    </row>
    <row r="848">
      <c r="B848" s="28"/>
    </row>
    <row r="849">
      <c r="B849" s="28"/>
    </row>
    <row r="850">
      <c r="B850" s="28"/>
    </row>
    <row r="851">
      <c r="B851" s="28"/>
    </row>
    <row r="852">
      <c r="B852" s="28"/>
    </row>
    <row r="853">
      <c r="B853" s="28"/>
    </row>
    <row r="854">
      <c r="B854" s="28"/>
    </row>
    <row r="855">
      <c r="B855" s="28"/>
    </row>
    <row r="856">
      <c r="B856" s="28"/>
    </row>
    <row r="857">
      <c r="B857" s="28"/>
    </row>
    <row r="858">
      <c r="B858" s="28"/>
    </row>
    <row r="859">
      <c r="B859" s="28"/>
    </row>
    <row r="860">
      <c r="B860" s="28"/>
    </row>
    <row r="861">
      <c r="B861" s="28"/>
    </row>
    <row r="862">
      <c r="B862" s="28"/>
    </row>
    <row r="863">
      <c r="B863" s="28"/>
    </row>
    <row r="864">
      <c r="B864" s="28"/>
    </row>
    <row r="865">
      <c r="B865" s="28"/>
    </row>
    <row r="866">
      <c r="B866" s="28"/>
    </row>
    <row r="867">
      <c r="B867" s="28"/>
    </row>
    <row r="868">
      <c r="B868" s="28"/>
    </row>
    <row r="869">
      <c r="B869" s="28"/>
    </row>
    <row r="870">
      <c r="B870" s="28"/>
    </row>
    <row r="871">
      <c r="B871" s="28"/>
    </row>
    <row r="872">
      <c r="B872" s="28"/>
    </row>
    <row r="873">
      <c r="B873" s="28"/>
    </row>
    <row r="874">
      <c r="B874" s="28"/>
    </row>
    <row r="875">
      <c r="B875" s="28"/>
    </row>
    <row r="876">
      <c r="B876" s="28"/>
    </row>
    <row r="877">
      <c r="B877" s="28"/>
    </row>
    <row r="878">
      <c r="B878" s="28"/>
    </row>
    <row r="879">
      <c r="B879" s="28"/>
    </row>
    <row r="880">
      <c r="B880" s="28"/>
    </row>
    <row r="881">
      <c r="B881" s="28"/>
    </row>
    <row r="882">
      <c r="B882" s="28"/>
    </row>
    <row r="883">
      <c r="B883" s="28"/>
    </row>
    <row r="884">
      <c r="B884" s="28"/>
    </row>
    <row r="885">
      <c r="B885" s="28"/>
    </row>
    <row r="886">
      <c r="B886" s="28"/>
    </row>
    <row r="887">
      <c r="B887" s="28"/>
    </row>
    <row r="888">
      <c r="B888" s="28"/>
    </row>
    <row r="889">
      <c r="B889" s="28"/>
    </row>
    <row r="890">
      <c r="B890" s="28"/>
    </row>
    <row r="891">
      <c r="B891" s="28"/>
    </row>
    <row r="892">
      <c r="B892" s="28"/>
    </row>
    <row r="893">
      <c r="B893" s="28"/>
    </row>
    <row r="894">
      <c r="B894" s="28"/>
    </row>
    <row r="895">
      <c r="B895" s="28"/>
    </row>
    <row r="896">
      <c r="B896" s="28"/>
    </row>
    <row r="897">
      <c r="B897" s="28"/>
    </row>
    <row r="898">
      <c r="B898" s="28"/>
    </row>
    <row r="899">
      <c r="B899" s="28"/>
    </row>
    <row r="900">
      <c r="B900" s="28"/>
    </row>
    <row r="901">
      <c r="B901" s="28"/>
    </row>
    <row r="902">
      <c r="B902" s="28"/>
    </row>
    <row r="903">
      <c r="B903" s="28"/>
    </row>
    <row r="904">
      <c r="B904" s="28"/>
    </row>
    <row r="905">
      <c r="B905" s="28"/>
    </row>
    <row r="906">
      <c r="B906" s="28"/>
    </row>
    <row r="907">
      <c r="B907" s="28"/>
    </row>
    <row r="908">
      <c r="B908" s="28"/>
    </row>
    <row r="909">
      <c r="B909" s="28"/>
    </row>
    <row r="910">
      <c r="B910" s="28"/>
    </row>
    <row r="911">
      <c r="B911" s="28"/>
    </row>
    <row r="912">
      <c r="B912" s="28"/>
    </row>
    <row r="913">
      <c r="B913" s="28"/>
    </row>
    <row r="914">
      <c r="B914" s="28"/>
    </row>
    <row r="915">
      <c r="B915" s="28"/>
    </row>
    <row r="916">
      <c r="B916" s="28"/>
    </row>
    <row r="917">
      <c r="B917" s="28"/>
    </row>
    <row r="918">
      <c r="B918" s="28"/>
    </row>
    <row r="919">
      <c r="B919" s="28"/>
    </row>
    <row r="920">
      <c r="B920" s="28"/>
    </row>
    <row r="921">
      <c r="B921" s="28"/>
    </row>
    <row r="922">
      <c r="B922" s="28"/>
    </row>
    <row r="923">
      <c r="B923" s="28"/>
    </row>
    <row r="924">
      <c r="B924" s="28"/>
    </row>
    <row r="925">
      <c r="B925" s="28"/>
    </row>
    <row r="926">
      <c r="B926" s="28"/>
    </row>
    <row r="927">
      <c r="B927" s="28"/>
    </row>
    <row r="928">
      <c r="B928" s="28"/>
    </row>
    <row r="929">
      <c r="B929" s="28"/>
    </row>
    <row r="930">
      <c r="B930" s="28"/>
    </row>
    <row r="931">
      <c r="B931" s="28"/>
    </row>
    <row r="932">
      <c r="B932" s="28"/>
    </row>
    <row r="933">
      <c r="B933" s="28"/>
    </row>
    <row r="934">
      <c r="B934" s="28"/>
    </row>
    <row r="935">
      <c r="B935" s="28"/>
    </row>
    <row r="936">
      <c r="B936" s="28"/>
    </row>
    <row r="937">
      <c r="B937" s="28"/>
    </row>
    <row r="938">
      <c r="B938" s="28"/>
    </row>
    <row r="939">
      <c r="B939" s="28"/>
    </row>
    <row r="940">
      <c r="B940" s="28"/>
    </row>
    <row r="941">
      <c r="B941" s="28"/>
    </row>
    <row r="942">
      <c r="B942" s="28"/>
    </row>
    <row r="943">
      <c r="B943" s="28"/>
    </row>
    <row r="944">
      <c r="B944" s="28"/>
    </row>
    <row r="945">
      <c r="B945" s="28"/>
    </row>
    <row r="946">
      <c r="B946" s="28"/>
    </row>
    <row r="947">
      <c r="B947" s="28"/>
    </row>
    <row r="948">
      <c r="B948" s="28"/>
    </row>
    <row r="949">
      <c r="B949" s="28"/>
    </row>
    <row r="950">
      <c r="B950" s="28"/>
    </row>
    <row r="951">
      <c r="B951" s="28"/>
    </row>
    <row r="952">
      <c r="B952" s="28"/>
    </row>
    <row r="953">
      <c r="B953" s="28"/>
    </row>
    <row r="954">
      <c r="B954" s="28"/>
    </row>
    <row r="955">
      <c r="B955" s="28"/>
    </row>
    <row r="956">
      <c r="B956" s="28"/>
    </row>
    <row r="957">
      <c r="B957" s="28"/>
    </row>
    <row r="958">
      <c r="B958" s="28"/>
    </row>
    <row r="959">
      <c r="B959" s="28"/>
    </row>
    <row r="960">
      <c r="B960" s="28"/>
    </row>
    <row r="961">
      <c r="B961" s="28"/>
    </row>
    <row r="962">
      <c r="B962" s="28"/>
    </row>
    <row r="963">
      <c r="B963" s="28"/>
    </row>
    <row r="964">
      <c r="B964" s="28"/>
    </row>
    <row r="965">
      <c r="B965" s="28"/>
    </row>
    <row r="966">
      <c r="B966" s="28"/>
    </row>
    <row r="967">
      <c r="B967" s="28"/>
    </row>
    <row r="968">
      <c r="B968" s="28"/>
    </row>
    <row r="969">
      <c r="B969" s="28"/>
    </row>
    <row r="970">
      <c r="B970" s="28"/>
    </row>
    <row r="971">
      <c r="B971" s="28"/>
    </row>
    <row r="972">
      <c r="B972" s="28"/>
    </row>
    <row r="973">
      <c r="B973" s="28"/>
    </row>
    <row r="974">
      <c r="B974" s="28"/>
    </row>
    <row r="975">
      <c r="B975" s="28"/>
    </row>
    <row r="976">
      <c r="B976" s="28"/>
    </row>
    <row r="977">
      <c r="B977" s="28"/>
    </row>
    <row r="978">
      <c r="B978" s="28"/>
    </row>
    <row r="979">
      <c r="B979" s="28"/>
    </row>
    <row r="980">
      <c r="B980" s="28"/>
    </row>
    <row r="981">
      <c r="B981" s="28"/>
    </row>
    <row r="982">
      <c r="B982" s="28"/>
    </row>
    <row r="983">
      <c r="B983" s="28"/>
    </row>
    <row r="984">
      <c r="B984" s="28"/>
    </row>
    <row r="985">
      <c r="B985" s="28"/>
    </row>
    <row r="986">
      <c r="B986" s="28"/>
    </row>
    <row r="987">
      <c r="B987" s="28"/>
    </row>
    <row r="988">
      <c r="B988" s="28"/>
    </row>
    <row r="989">
      <c r="B989" s="28"/>
    </row>
    <row r="990">
      <c r="B990" s="28"/>
    </row>
    <row r="991">
      <c r="B991" s="28"/>
    </row>
    <row r="992">
      <c r="B992" s="28"/>
    </row>
    <row r="993">
      <c r="B993" s="28"/>
    </row>
    <row r="994">
      <c r="B994" s="28"/>
    </row>
    <row r="995">
      <c r="B995" s="28"/>
    </row>
    <row r="996">
      <c r="B996" s="28"/>
    </row>
    <row r="997">
      <c r="B997" s="28"/>
    </row>
    <row r="998">
      <c r="B998" s="28"/>
    </row>
    <row r="999">
      <c r="B999" s="28"/>
    </row>
    <row r="1000">
      <c r="B1000" s="28"/>
    </row>
  </sheetData>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63"/>
  </cols>
  <sheetData>
    <row r="1">
      <c r="A1" s="206" t="s">
        <v>8383</v>
      </c>
    </row>
    <row r="2">
      <c r="A2" s="206" t="s">
        <v>8387</v>
      </c>
    </row>
    <row r="3">
      <c r="A3" s="206" t="s">
        <v>8386</v>
      </c>
    </row>
    <row r="4">
      <c r="A4" s="206" t="s">
        <v>5767</v>
      </c>
    </row>
    <row r="5">
      <c r="A5" s="206" t="s">
        <v>8389</v>
      </c>
      <c r="B5" s="207" t="s">
        <v>8776</v>
      </c>
    </row>
    <row r="6">
      <c r="A6" s="206" t="s">
        <v>8391</v>
      </c>
    </row>
    <row r="7">
      <c r="A7" s="206" t="s">
        <v>8777</v>
      </c>
    </row>
    <row r="8">
      <c r="A8" s="206" t="s">
        <v>8392</v>
      </c>
    </row>
    <row r="9">
      <c r="A9" s="206" t="s">
        <v>8778</v>
      </c>
    </row>
    <row r="10">
      <c r="A10" s="206" t="s">
        <v>8779</v>
      </c>
    </row>
    <row r="11">
      <c r="A11" s="206" t="s">
        <v>8388</v>
      </c>
    </row>
    <row r="12">
      <c r="A12" s="206" t="s">
        <v>8780</v>
      </c>
    </row>
    <row r="13">
      <c r="A13" s="206" t="s">
        <v>8390</v>
      </c>
    </row>
    <row r="14">
      <c r="A14" s="206" t="s">
        <v>8385</v>
      </c>
      <c r="B14" s="207" t="s">
        <v>8781</v>
      </c>
    </row>
    <row r="15">
      <c r="A15" s="206" t="s">
        <v>8782</v>
      </c>
    </row>
    <row r="16">
      <c r="A16" s="206" t="s">
        <v>8783</v>
      </c>
    </row>
    <row r="17">
      <c r="A17" s="206" t="s">
        <v>8784</v>
      </c>
    </row>
    <row r="18">
      <c r="A18" s="206" t="s">
        <v>8785</v>
      </c>
    </row>
    <row r="19">
      <c r="A19" s="158" t="s">
        <v>8407</v>
      </c>
    </row>
    <row r="20">
      <c r="A20" s="158" t="s">
        <v>8408</v>
      </c>
    </row>
    <row r="21">
      <c r="A21" s="158" t="s">
        <v>8409</v>
      </c>
    </row>
    <row r="22">
      <c r="A22" s="158" t="s">
        <v>8410</v>
      </c>
    </row>
    <row r="23">
      <c r="A23" s="158" t="s">
        <v>8411</v>
      </c>
    </row>
    <row r="24">
      <c r="A24" s="158" t="s">
        <v>8412</v>
      </c>
    </row>
    <row r="25">
      <c r="A25" s="158" t="s">
        <v>8413</v>
      </c>
    </row>
    <row r="26">
      <c r="A26" s="158" t="s">
        <v>8414</v>
      </c>
    </row>
    <row r="27">
      <c r="A27" s="158" t="s">
        <v>8415</v>
      </c>
    </row>
    <row r="28">
      <c r="A28" s="158" t="s">
        <v>8416</v>
      </c>
    </row>
    <row r="29">
      <c r="A29" s="208"/>
    </row>
    <row r="30">
      <c r="A30" s="208"/>
    </row>
    <row r="31">
      <c r="A31" s="208"/>
    </row>
    <row r="32">
      <c r="A32" s="208"/>
    </row>
    <row r="33">
      <c r="A33" s="208"/>
    </row>
    <row r="34">
      <c r="A34" s="208"/>
    </row>
    <row r="35">
      <c r="A35" s="208"/>
    </row>
    <row r="36">
      <c r="A36" s="208"/>
    </row>
    <row r="37">
      <c r="A37" s="208"/>
    </row>
    <row r="38">
      <c r="A38" s="208"/>
    </row>
    <row r="39">
      <c r="A39" s="208"/>
    </row>
    <row r="40">
      <c r="A40" s="208"/>
    </row>
    <row r="41">
      <c r="A41" s="208"/>
    </row>
    <row r="42">
      <c r="A42" s="208"/>
    </row>
    <row r="43">
      <c r="A43" s="208"/>
    </row>
    <row r="44">
      <c r="A44" s="208"/>
    </row>
    <row r="45">
      <c r="A45" s="208"/>
    </row>
    <row r="46">
      <c r="A46" s="208"/>
    </row>
    <row r="47">
      <c r="A47" s="208"/>
    </row>
    <row r="48">
      <c r="A48" s="208"/>
    </row>
    <row r="49">
      <c r="A49" s="208"/>
    </row>
    <row r="50">
      <c r="A50" s="208"/>
    </row>
    <row r="51">
      <c r="A51" s="208"/>
    </row>
    <row r="52">
      <c r="A52" s="208"/>
    </row>
    <row r="53">
      <c r="A53" s="208"/>
    </row>
    <row r="54">
      <c r="A54" s="208"/>
    </row>
    <row r="55">
      <c r="A55" s="208"/>
    </row>
    <row r="56">
      <c r="A56" s="208"/>
    </row>
    <row r="57">
      <c r="A57" s="208"/>
    </row>
    <row r="58">
      <c r="A58" s="208"/>
    </row>
    <row r="59">
      <c r="A59" s="208"/>
    </row>
    <row r="60">
      <c r="A60" s="208"/>
    </row>
    <row r="61">
      <c r="A61" s="208"/>
    </row>
    <row r="62">
      <c r="A62" s="208"/>
    </row>
    <row r="63">
      <c r="A63" s="208"/>
    </row>
    <row r="64">
      <c r="A64" s="208"/>
    </row>
    <row r="65">
      <c r="A65" s="208"/>
    </row>
    <row r="66">
      <c r="A66" s="208"/>
    </row>
    <row r="67">
      <c r="A67" s="208"/>
    </row>
    <row r="68">
      <c r="A68" s="208"/>
    </row>
    <row r="69">
      <c r="A69" s="208"/>
    </row>
    <row r="70">
      <c r="A70" s="208"/>
    </row>
    <row r="71">
      <c r="A71" s="208"/>
    </row>
    <row r="72">
      <c r="A72" s="208"/>
    </row>
    <row r="73">
      <c r="A73" s="208"/>
    </row>
    <row r="74">
      <c r="A74" s="208"/>
    </row>
    <row r="75">
      <c r="A75" s="208"/>
    </row>
    <row r="76">
      <c r="A76" s="208"/>
    </row>
    <row r="77">
      <c r="A77" s="208"/>
    </row>
    <row r="78">
      <c r="A78" s="208"/>
    </row>
    <row r="79">
      <c r="A79" s="208"/>
    </row>
    <row r="80">
      <c r="A80" s="208"/>
    </row>
    <row r="81">
      <c r="A81" s="208"/>
    </row>
    <row r="82">
      <c r="A82" s="208"/>
    </row>
    <row r="83">
      <c r="A83" s="208"/>
    </row>
    <row r="84">
      <c r="A84" s="208"/>
    </row>
    <row r="85">
      <c r="A85" s="208"/>
    </row>
    <row r="86">
      <c r="A86" s="208"/>
    </row>
    <row r="87">
      <c r="A87" s="208"/>
    </row>
    <row r="88">
      <c r="A88" s="208"/>
    </row>
    <row r="89">
      <c r="A89" s="208"/>
    </row>
    <row r="90">
      <c r="A90" s="208"/>
    </row>
    <row r="91">
      <c r="A91" s="208"/>
    </row>
    <row r="92">
      <c r="A92" s="208"/>
    </row>
    <row r="93">
      <c r="A93" s="208"/>
    </row>
    <row r="94">
      <c r="A94" s="208"/>
    </row>
    <row r="95">
      <c r="A95" s="208"/>
    </row>
    <row r="96">
      <c r="A96" s="208"/>
    </row>
    <row r="97">
      <c r="A97" s="208"/>
    </row>
    <row r="98">
      <c r="A98" s="208"/>
    </row>
    <row r="99">
      <c r="A99" s="208"/>
    </row>
    <row r="100">
      <c r="A100" s="208"/>
    </row>
    <row r="101">
      <c r="A101" s="208"/>
    </row>
    <row r="102">
      <c r="A102" s="208"/>
    </row>
    <row r="103">
      <c r="A103" s="208"/>
    </row>
    <row r="104">
      <c r="A104" s="208"/>
    </row>
    <row r="105">
      <c r="A105" s="208"/>
    </row>
    <row r="106">
      <c r="A106" s="208"/>
    </row>
    <row r="107">
      <c r="A107" s="208"/>
    </row>
    <row r="108">
      <c r="A108" s="208"/>
    </row>
    <row r="109">
      <c r="A109" s="208"/>
    </row>
    <row r="110">
      <c r="A110" s="208"/>
    </row>
    <row r="111">
      <c r="A111" s="208"/>
    </row>
    <row r="112">
      <c r="A112" s="208"/>
    </row>
    <row r="113">
      <c r="A113" s="208"/>
    </row>
    <row r="114">
      <c r="A114" s="208"/>
    </row>
    <row r="115">
      <c r="A115" s="208"/>
    </row>
    <row r="116">
      <c r="A116" s="208"/>
    </row>
    <row r="117">
      <c r="A117" s="208"/>
    </row>
    <row r="118">
      <c r="A118" s="208"/>
    </row>
    <row r="119">
      <c r="A119" s="208"/>
    </row>
    <row r="120">
      <c r="A120" s="208"/>
    </row>
    <row r="121">
      <c r="A121" s="208"/>
    </row>
    <row r="122">
      <c r="A122" s="208"/>
    </row>
    <row r="123">
      <c r="A123" s="208"/>
    </row>
    <row r="124">
      <c r="A124" s="208"/>
    </row>
    <row r="125">
      <c r="A125" s="208"/>
    </row>
    <row r="126">
      <c r="A126" s="208"/>
    </row>
    <row r="127">
      <c r="A127" s="208"/>
    </row>
    <row r="128">
      <c r="A128" s="208"/>
    </row>
    <row r="129">
      <c r="A129" s="208"/>
    </row>
    <row r="130">
      <c r="A130" s="208"/>
    </row>
    <row r="131">
      <c r="A131" s="208"/>
    </row>
    <row r="132">
      <c r="A132" s="208"/>
    </row>
    <row r="133">
      <c r="A133" s="208"/>
    </row>
    <row r="134">
      <c r="A134" s="208"/>
    </row>
    <row r="135">
      <c r="A135" s="208"/>
    </row>
    <row r="136">
      <c r="A136" s="208"/>
    </row>
    <row r="137">
      <c r="A137" s="208"/>
    </row>
    <row r="138">
      <c r="A138" s="208"/>
    </row>
    <row r="139">
      <c r="A139" s="208"/>
    </row>
    <row r="140">
      <c r="A140" s="208"/>
    </row>
    <row r="141">
      <c r="A141" s="208"/>
    </row>
    <row r="142">
      <c r="A142" s="208"/>
    </row>
    <row r="143">
      <c r="A143" s="208"/>
    </row>
    <row r="144">
      <c r="A144" s="208"/>
    </row>
    <row r="145">
      <c r="A145" s="208"/>
    </row>
    <row r="146">
      <c r="A146" s="208"/>
    </row>
    <row r="147">
      <c r="A147" s="208"/>
    </row>
    <row r="148">
      <c r="A148" s="208"/>
    </row>
    <row r="149">
      <c r="A149" s="208"/>
    </row>
    <row r="150">
      <c r="A150" s="208"/>
    </row>
    <row r="151">
      <c r="A151" s="208"/>
    </row>
    <row r="152">
      <c r="A152" s="208"/>
    </row>
    <row r="153">
      <c r="A153" s="208"/>
    </row>
    <row r="154">
      <c r="A154" s="208"/>
    </row>
    <row r="155">
      <c r="A155" s="208"/>
    </row>
    <row r="156">
      <c r="A156" s="208"/>
    </row>
    <row r="157">
      <c r="A157" s="208"/>
    </row>
    <row r="158">
      <c r="A158" s="208"/>
    </row>
    <row r="159">
      <c r="A159" s="208"/>
    </row>
    <row r="160">
      <c r="A160" s="208"/>
    </row>
    <row r="161">
      <c r="A161" s="208"/>
    </row>
    <row r="162">
      <c r="A162" s="208"/>
    </row>
    <row r="163">
      <c r="A163" s="208"/>
    </row>
    <row r="164">
      <c r="A164" s="208"/>
    </row>
    <row r="165">
      <c r="A165" s="208"/>
    </row>
    <row r="166">
      <c r="A166" s="208"/>
    </row>
    <row r="167">
      <c r="A167" s="208"/>
    </row>
    <row r="168">
      <c r="A168" s="208"/>
    </row>
    <row r="169">
      <c r="A169" s="208"/>
    </row>
    <row r="170">
      <c r="A170" s="208"/>
    </row>
    <row r="171">
      <c r="A171" s="208"/>
    </row>
    <row r="172">
      <c r="A172" s="208"/>
    </row>
    <row r="173">
      <c r="A173" s="208"/>
    </row>
    <row r="174">
      <c r="A174" s="208"/>
    </row>
    <row r="175">
      <c r="A175" s="208"/>
    </row>
    <row r="176">
      <c r="A176" s="208"/>
    </row>
    <row r="177">
      <c r="A177" s="208"/>
    </row>
    <row r="178">
      <c r="A178" s="208"/>
    </row>
    <row r="179">
      <c r="A179" s="208"/>
    </row>
    <row r="180">
      <c r="A180" s="208"/>
    </row>
    <row r="181">
      <c r="A181" s="208"/>
    </row>
    <row r="182">
      <c r="A182" s="208"/>
    </row>
    <row r="183">
      <c r="A183" s="208"/>
    </row>
    <row r="184">
      <c r="A184" s="208"/>
    </row>
    <row r="185">
      <c r="A185" s="208"/>
    </row>
    <row r="186">
      <c r="A186" s="208"/>
    </row>
    <row r="187">
      <c r="A187" s="208"/>
    </row>
    <row r="188">
      <c r="A188" s="208"/>
    </row>
    <row r="189">
      <c r="A189" s="208"/>
    </row>
    <row r="190">
      <c r="A190" s="208"/>
    </row>
    <row r="191">
      <c r="A191" s="208"/>
    </row>
    <row r="192">
      <c r="A192" s="208"/>
    </row>
    <row r="193">
      <c r="A193" s="208"/>
    </row>
    <row r="194">
      <c r="A194" s="208"/>
    </row>
    <row r="195">
      <c r="A195" s="208"/>
    </row>
    <row r="196">
      <c r="A196" s="208"/>
    </row>
    <row r="197">
      <c r="A197" s="208"/>
    </row>
    <row r="198">
      <c r="A198" s="208"/>
    </row>
    <row r="199">
      <c r="A199" s="208"/>
    </row>
    <row r="200">
      <c r="A200" s="208"/>
    </row>
    <row r="201">
      <c r="A201" s="208"/>
    </row>
    <row r="202">
      <c r="A202" s="208"/>
    </row>
    <row r="203">
      <c r="A203" s="208"/>
    </row>
    <row r="204">
      <c r="A204" s="208"/>
    </row>
    <row r="205">
      <c r="A205" s="208"/>
    </row>
    <row r="206">
      <c r="A206" s="208"/>
    </row>
    <row r="207">
      <c r="A207" s="208"/>
    </row>
    <row r="208">
      <c r="A208" s="208"/>
    </row>
    <row r="209">
      <c r="A209" s="208"/>
    </row>
    <row r="210">
      <c r="A210" s="208"/>
    </row>
    <row r="211">
      <c r="A211" s="208"/>
    </row>
    <row r="212">
      <c r="A212" s="208"/>
    </row>
    <row r="213">
      <c r="A213" s="208"/>
    </row>
    <row r="214">
      <c r="A214" s="208"/>
    </row>
    <row r="215">
      <c r="A215" s="208"/>
    </row>
    <row r="216">
      <c r="A216" s="208"/>
    </row>
    <row r="217">
      <c r="A217" s="208"/>
    </row>
    <row r="218">
      <c r="A218" s="208"/>
    </row>
    <row r="219">
      <c r="A219" s="208"/>
    </row>
    <row r="220">
      <c r="A220" s="208"/>
    </row>
    <row r="221">
      <c r="A221" s="208"/>
    </row>
    <row r="222">
      <c r="A222" s="208"/>
    </row>
    <row r="223">
      <c r="A223" s="208"/>
    </row>
    <row r="224">
      <c r="A224" s="208"/>
    </row>
    <row r="225">
      <c r="A225" s="208"/>
    </row>
    <row r="226">
      <c r="A226" s="208"/>
    </row>
    <row r="227">
      <c r="A227" s="208"/>
    </row>
    <row r="228">
      <c r="A228" s="208"/>
    </row>
    <row r="229">
      <c r="A229" s="208"/>
    </row>
    <row r="230">
      <c r="A230" s="208"/>
    </row>
    <row r="231">
      <c r="A231" s="208"/>
    </row>
    <row r="232">
      <c r="A232" s="208"/>
    </row>
    <row r="233">
      <c r="A233" s="208"/>
    </row>
    <row r="234">
      <c r="A234" s="208"/>
    </row>
    <row r="235">
      <c r="A235" s="208"/>
    </row>
    <row r="236">
      <c r="A236" s="208"/>
    </row>
    <row r="237">
      <c r="A237" s="208"/>
    </row>
    <row r="238">
      <c r="A238" s="208"/>
    </row>
    <row r="239">
      <c r="A239" s="208"/>
    </row>
    <row r="240">
      <c r="A240" s="208"/>
    </row>
    <row r="241">
      <c r="A241" s="208"/>
    </row>
    <row r="242">
      <c r="A242" s="208"/>
    </row>
    <row r="243">
      <c r="A243" s="208"/>
    </row>
    <row r="244">
      <c r="A244" s="208"/>
    </row>
    <row r="245">
      <c r="A245" s="208"/>
    </row>
    <row r="246">
      <c r="A246" s="208"/>
    </row>
    <row r="247">
      <c r="A247" s="208"/>
    </row>
    <row r="248">
      <c r="A248" s="208"/>
    </row>
    <row r="249">
      <c r="A249" s="208"/>
    </row>
    <row r="250">
      <c r="A250" s="208"/>
    </row>
    <row r="251">
      <c r="A251" s="208"/>
    </row>
    <row r="252">
      <c r="A252" s="208"/>
    </row>
    <row r="253">
      <c r="A253" s="208"/>
    </row>
    <row r="254">
      <c r="A254" s="208"/>
    </row>
    <row r="255">
      <c r="A255" s="208"/>
    </row>
    <row r="256">
      <c r="A256" s="208"/>
    </row>
    <row r="257">
      <c r="A257" s="208"/>
    </row>
    <row r="258">
      <c r="A258" s="208"/>
    </row>
    <row r="259">
      <c r="A259" s="208"/>
    </row>
    <row r="260">
      <c r="A260" s="208"/>
    </row>
    <row r="261">
      <c r="A261" s="208"/>
    </row>
    <row r="262">
      <c r="A262" s="208"/>
    </row>
    <row r="263">
      <c r="A263" s="208"/>
    </row>
    <row r="264">
      <c r="A264" s="208"/>
    </row>
    <row r="265">
      <c r="A265" s="208"/>
    </row>
    <row r="266">
      <c r="A266" s="208"/>
    </row>
    <row r="267">
      <c r="A267" s="208"/>
    </row>
    <row r="268">
      <c r="A268" s="208"/>
    </row>
    <row r="269">
      <c r="A269" s="208"/>
    </row>
    <row r="270">
      <c r="A270" s="208"/>
    </row>
    <row r="271">
      <c r="A271" s="208"/>
    </row>
    <row r="272">
      <c r="A272" s="208"/>
    </row>
    <row r="273">
      <c r="A273" s="208"/>
    </row>
    <row r="274">
      <c r="A274" s="208"/>
    </row>
    <row r="275">
      <c r="A275" s="208"/>
    </row>
    <row r="276">
      <c r="A276" s="208"/>
    </row>
    <row r="277">
      <c r="A277" s="208"/>
    </row>
    <row r="278">
      <c r="A278" s="208"/>
    </row>
    <row r="279">
      <c r="A279" s="208"/>
    </row>
    <row r="280">
      <c r="A280" s="208"/>
    </row>
    <row r="281">
      <c r="A281" s="208"/>
    </row>
    <row r="282">
      <c r="A282" s="208"/>
    </row>
    <row r="283">
      <c r="A283" s="208"/>
    </row>
    <row r="284">
      <c r="A284" s="208"/>
    </row>
    <row r="285">
      <c r="A285" s="208"/>
    </row>
    <row r="286">
      <c r="A286" s="208"/>
    </row>
    <row r="287">
      <c r="A287" s="208"/>
    </row>
    <row r="288">
      <c r="A288" s="208"/>
    </row>
    <row r="289">
      <c r="A289" s="208"/>
    </row>
    <row r="290">
      <c r="A290" s="208"/>
    </row>
    <row r="291">
      <c r="A291" s="208"/>
    </row>
    <row r="292">
      <c r="A292" s="208"/>
    </row>
    <row r="293">
      <c r="A293" s="208"/>
    </row>
    <row r="294">
      <c r="A294" s="208"/>
    </row>
    <row r="295">
      <c r="A295" s="208"/>
    </row>
    <row r="296">
      <c r="A296" s="208"/>
    </row>
    <row r="297">
      <c r="A297" s="208"/>
    </row>
    <row r="298">
      <c r="A298" s="208"/>
    </row>
    <row r="299">
      <c r="A299" s="208"/>
    </row>
    <row r="300">
      <c r="A300" s="208"/>
    </row>
    <row r="301">
      <c r="A301" s="208"/>
    </row>
    <row r="302">
      <c r="A302" s="208"/>
    </row>
    <row r="303">
      <c r="A303" s="208"/>
    </row>
    <row r="304">
      <c r="A304" s="208"/>
    </row>
    <row r="305">
      <c r="A305" s="208"/>
    </row>
    <row r="306">
      <c r="A306" s="208"/>
    </row>
    <row r="307">
      <c r="A307" s="208"/>
    </row>
    <row r="308">
      <c r="A308" s="208"/>
    </row>
    <row r="309">
      <c r="A309" s="208"/>
    </row>
    <row r="310">
      <c r="A310" s="208"/>
    </row>
    <row r="311">
      <c r="A311" s="208"/>
    </row>
    <row r="312">
      <c r="A312" s="208"/>
    </row>
    <row r="313">
      <c r="A313" s="208"/>
    </row>
    <row r="314">
      <c r="A314" s="208"/>
    </row>
    <row r="315">
      <c r="A315" s="208"/>
    </row>
    <row r="316">
      <c r="A316" s="208"/>
    </row>
    <row r="317">
      <c r="A317" s="208"/>
    </row>
    <row r="318">
      <c r="A318" s="208"/>
    </row>
    <row r="319">
      <c r="A319" s="208"/>
    </row>
    <row r="320">
      <c r="A320" s="208"/>
    </row>
    <row r="321">
      <c r="A321" s="208"/>
    </row>
    <row r="322">
      <c r="A322" s="208"/>
    </row>
    <row r="323">
      <c r="A323" s="208"/>
    </row>
    <row r="324">
      <c r="A324" s="208"/>
    </row>
    <row r="325">
      <c r="A325" s="208"/>
    </row>
    <row r="326">
      <c r="A326" s="208"/>
    </row>
    <row r="327">
      <c r="A327" s="208"/>
    </row>
    <row r="328">
      <c r="A328" s="208"/>
    </row>
    <row r="329">
      <c r="A329" s="208"/>
    </row>
    <row r="330">
      <c r="A330" s="208"/>
    </row>
    <row r="331">
      <c r="A331" s="208"/>
    </row>
    <row r="332">
      <c r="A332" s="208"/>
    </row>
    <row r="333">
      <c r="A333" s="208"/>
    </row>
    <row r="334">
      <c r="A334" s="208"/>
    </row>
    <row r="335">
      <c r="A335" s="208"/>
    </row>
    <row r="336">
      <c r="A336" s="208"/>
    </row>
    <row r="337">
      <c r="A337" s="208"/>
    </row>
    <row r="338">
      <c r="A338" s="208"/>
    </row>
    <row r="339">
      <c r="A339" s="208"/>
    </row>
    <row r="340">
      <c r="A340" s="208"/>
    </row>
    <row r="341">
      <c r="A341" s="208"/>
    </row>
    <row r="342">
      <c r="A342" s="208"/>
    </row>
    <row r="343">
      <c r="A343" s="208"/>
    </row>
    <row r="344">
      <c r="A344" s="208"/>
    </row>
    <row r="345">
      <c r="A345" s="208"/>
    </row>
    <row r="346">
      <c r="A346" s="208"/>
    </row>
    <row r="347">
      <c r="A347" s="208"/>
    </row>
    <row r="348">
      <c r="A348" s="208"/>
    </row>
    <row r="349">
      <c r="A349" s="208"/>
    </row>
    <row r="350">
      <c r="A350" s="208"/>
    </row>
    <row r="351">
      <c r="A351" s="208"/>
    </row>
    <row r="352">
      <c r="A352" s="208"/>
    </row>
    <row r="353">
      <c r="A353" s="208"/>
    </row>
    <row r="354">
      <c r="A354" s="208"/>
    </row>
    <row r="355">
      <c r="A355" s="208"/>
    </row>
    <row r="356">
      <c r="A356" s="208"/>
    </row>
    <row r="357">
      <c r="A357" s="208"/>
    </row>
    <row r="358">
      <c r="A358" s="208"/>
    </row>
    <row r="359">
      <c r="A359" s="208"/>
    </row>
    <row r="360">
      <c r="A360" s="208"/>
    </row>
    <row r="361">
      <c r="A361" s="208"/>
    </row>
    <row r="362">
      <c r="A362" s="208"/>
    </row>
    <row r="363">
      <c r="A363" s="208"/>
    </row>
    <row r="364">
      <c r="A364" s="208"/>
    </row>
    <row r="365">
      <c r="A365" s="208"/>
    </row>
    <row r="366">
      <c r="A366" s="208"/>
    </row>
    <row r="367">
      <c r="A367" s="208"/>
    </row>
    <row r="368">
      <c r="A368" s="208"/>
    </row>
    <row r="369">
      <c r="A369" s="208"/>
    </row>
    <row r="370">
      <c r="A370" s="208"/>
    </row>
    <row r="371">
      <c r="A371" s="208"/>
    </row>
    <row r="372">
      <c r="A372" s="208"/>
    </row>
    <row r="373">
      <c r="A373" s="208"/>
    </row>
    <row r="374">
      <c r="A374" s="208"/>
    </row>
    <row r="375">
      <c r="A375" s="208"/>
    </row>
    <row r="376">
      <c r="A376" s="208"/>
    </row>
    <row r="377">
      <c r="A377" s="208"/>
    </row>
    <row r="378">
      <c r="A378" s="208"/>
    </row>
    <row r="379">
      <c r="A379" s="208"/>
    </row>
    <row r="380">
      <c r="A380" s="208"/>
    </row>
    <row r="381">
      <c r="A381" s="208"/>
    </row>
    <row r="382">
      <c r="A382" s="208"/>
    </row>
    <row r="383">
      <c r="A383" s="208"/>
    </row>
    <row r="384">
      <c r="A384" s="208"/>
    </row>
    <row r="385">
      <c r="A385" s="208"/>
    </row>
    <row r="386">
      <c r="A386" s="208"/>
    </row>
    <row r="387">
      <c r="A387" s="208"/>
    </row>
    <row r="388">
      <c r="A388" s="208"/>
    </row>
    <row r="389">
      <c r="A389" s="208"/>
    </row>
    <row r="390">
      <c r="A390" s="208"/>
    </row>
    <row r="391">
      <c r="A391" s="208"/>
    </row>
    <row r="392">
      <c r="A392" s="208"/>
    </row>
    <row r="393">
      <c r="A393" s="208"/>
    </row>
    <row r="394">
      <c r="A394" s="208"/>
    </row>
    <row r="395">
      <c r="A395" s="208"/>
    </row>
    <row r="396">
      <c r="A396" s="208"/>
    </row>
    <row r="397">
      <c r="A397" s="208"/>
    </row>
    <row r="398">
      <c r="A398" s="208"/>
    </row>
    <row r="399">
      <c r="A399" s="208"/>
    </row>
    <row r="400">
      <c r="A400" s="208"/>
    </row>
    <row r="401">
      <c r="A401" s="208"/>
    </row>
    <row r="402">
      <c r="A402" s="208"/>
    </row>
    <row r="403">
      <c r="A403" s="208"/>
    </row>
    <row r="404">
      <c r="A404" s="208"/>
    </row>
    <row r="405">
      <c r="A405" s="208"/>
    </row>
    <row r="406">
      <c r="A406" s="208"/>
    </row>
    <row r="407">
      <c r="A407" s="208"/>
    </row>
    <row r="408">
      <c r="A408" s="208"/>
    </row>
    <row r="409">
      <c r="A409" s="208"/>
    </row>
    <row r="410">
      <c r="A410" s="208"/>
    </row>
    <row r="411">
      <c r="A411" s="208"/>
    </row>
    <row r="412">
      <c r="A412" s="208"/>
    </row>
    <row r="413">
      <c r="A413" s="208"/>
    </row>
    <row r="414">
      <c r="A414" s="208"/>
    </row>
    <row r="415">
      <c r="A415" s="208"/>
    </row>
    <row r="416">
      <c r="A416" s="208"/>
    </row>
    <row r="417">
      <c r="A417" s="208"/>
    </row>
    <row r="418">
      <c r="A418" s="208"/>
    </row>
    <row r="419">
      <c r="A419" s="208"/>
    </row>
    <row r="420">
      <c r="A420" s="208"/>
    </row>
    <row r="421">
      <c r="A421" s="208"/>
    </row>
    <row r="422">
      <c r="A422" s="208"/>
    </row>
    <row r="423">
      <c r="A423" s="208"/>
    </row>
    <row r="424">
      <c r="A424" s="208"/>
    </row>
    <row r="425">
      <c r="A425" s="208"/>
    </row>
    <row r="426">
      <c r="A426" s="208"/>
    </row>
    <row r="427">
      <c r="A427" s="208"/>
    </row>
    <row r="428">
      <c r="A428" s="208"/>
    </row>
    <row r="429">
      <c r="A429" s="208"/>
    </row>
    <row r="430">
      <c r="A430" s="208"/>
    </row>
    <row r="431">
      <c r="A431" s="208"/>
    </row>
    <row r="432">
      <c r="A432" s="208"/>
    </row>
    <row r="433">
      <c r="A433" s="208"/>
    </row>
    <row r="434">
      <c r="A434" s="208"/>
    </row>
    <row r="435">
      <c r="A435" s="208"/>
    </row>
    <row r="436">
      <c r="A436" s="208"/>
    </row>
    <row r="437">
      <c r="A437" s="208"/>
    </row>
    <row r="438">
      <c r="A438" s="208"/>
    </row>
    <row r="439">
      <c r="A439" s="208"/>
    </row>
    <row r="440">
      <c r="A440" s="208"/>
    </row>
    <row r="441">
      <c r="A441" s="208"/>
    </row>
    <row r="442">
      <c r="A442" s="208"/>
    </row>
    <row r="443">
      <c r="A443" s="208"/>
    </row>
    <row r="444">
      <c r="A444" s="208"/>
    </row>
    <row r="445">
      <c r="A445" s="208"/>
    </row>
    <row r="446">
      <c r="A446" s="208"/>
    </row>
    <row r="447">
      <c r="A447" s="208"/>
    </row>
    <row r="448">
      <c r="A448" s="208"/>
    </row>
    <row r="449">
      <c r="A449" s="208"/>
    </row>
    <row r="450">
      <c r="A450" s="208"/>
    </row>
    <row r="451">
      <c r="A451" s="208"/>
    </row>
    <row r="452">
      <c r="A452" s="208"/>
    </row>
    <row r="453">
      <c r="A453" s="208"/>
    </row>
    <row r="454">
      <c r="A454" s="208"/>
    </row>
    <row r="455">
      <c r="A455" s="208"/>
    </row>
    <row r="456">
      <c r="A456" s="208"/>
    </row>
    <row r="457">
      <c r="A457" s="208"/>
    </row>
    <row r="458">
      <c r="A458" s="208"/>
    </row>
    <row r="459">
      <c r="A459" s="208"/>
    </row>
    <row r="460">
      <c r="A460" s="208"/>
    </row>
    <row r="461">
      <c r="A461" s="208"/>
    </row>
    <row r="462">
      <c r="A462" s="208"/>
    </row>
    <row r="463">
      <c r="A463" s="208"/>
    </row>
    <row r="464">
      <c r="A464" s="208"/>
    </row>
    <row r="465">
      <c r="A465" s="208"/>
    </row>
    <row r="466">
      <c r="A466" s="208"/>
    </row>
    <row r="467">
      <c r="A467" s="208"/>
    </row>
    <row r="468">
      <c r="A468" s="208"/>
    </row>
    <row r="469">
      <c r="A469" s="208"/>
    </row>
    <row r="470">
      <c r="A470" s="208"/>
    </row>
    <row r="471">
      <c r="A471" s="208"/>
    </row>
    <row r="472">
      <c r="A472" s="208"/>
    </row>
    <row r="473">
      <c r="A473" s="208"/>
    </row>
    <row r="474">
      <c r="A474" s="208"/>
    </row>
    <row r="475">
      <c r="A475" s="208"/>
    </row>
    <row r="476">
      <c r="A476" s="208"/>
    </row>
    <row r="477">
      <c r="A477" s="208"/>
    </row>
    <row r="478">
      <c r="A478" s="208"/>
    </row>
    <row r="479">
      <c r="A479" s="208"/>
    </row>
    <row r="480">
      <c r="A480" s="208"/>
    </row>
    <row r="481">
      <c r="A481" s="208"/>
    </row>
    <row r="482">
      <c r="A482" s="208"/>
    </row>
    <row r="483">
      <c r="A483" s="208"/>
    </row>
    <row r="484">
      <c r="A484" s="208"/>
    </row>
    <row r="485">
      <c r="A485" s="208"/>
    </row>
    <row r="486">
      <c r="A486" s="208"/>
    </row>
    <row r="487">
      <c r="A487" s="208"/>
    </row>
    <row r="488">
      <c r="A488" s="208"/>
    </row>
    <row r="489">
      <c r="A489" s="208"/>
    </row>
    <row r="490">
      <c r="A490" s="208"/>
    </row>
    <row r="491">
      <c r="A491" s="208"/>
    </row>
    <row r="492">
      <c r="A492" s="208"/>
    </row>
    <row r="493">
      <c r="A493" s="208"/>
    </row>
    <row r="494">
      <c r="A494" s="208"/>
    </row>
    <row r="495">
      <c r="A495" s="208"/>
    </row>
    <row r="496">
      <c r="A496" s="208"/>
    </row>
    <row r="497">
      <c r="A497" s="208"/>
    </row>
    <row r="498">
      <c r="A498" s="208"/>
    </row>
    <row r="499">
      <c r="A499" s="208"/>
    </row>
    <row r="500">
      <c r="A500" s="208"/>
    </row>
    <row r="501">
      <c r="A501" s="208"/>
    </row>
    <row r="502">
      <c r="A502" s="208"/>
    </row>
    <row r="503">
      <c r="A503" s="208"/>
    </row>
    <row r="504">
      <c r="A504" s="208"/>
    </row>
    <row r="505">
      <c r="A505" s="208"/>
    </row>
    <row r="506">
      <c r="A506" s="208"/>
    </row>
    <row r="507">
      <c r="A507" s="208"/>
    </row>
    <row r="508">
      <c r="A508" s="208"/>
    </row>
    <row r="509">
      <c r="A509" s="208"/>
    </row>
    <row r="510">
      <c r="A510" s="208"/>
    </row>
    <row r="511">
      <c r="A511" s="208"/>
    </row>
    <row r="512">
      <c r="A512" s="208"/>
    </row>
    <row r="513">
      <c r="A513" s="208"/>
    </row>
    <row r="514">
      <c r="A514" s="208"/>
    </row>
    <row r="515">
      <c r="A515" s="208"/>
    </row>
    <row r="516">
      <c r="A516" s="208"/>
    </row>
    <row r="517">
      <c r="A517" s="208"/>
    </row>
    <row r="518">
      <c r="A518" s="208"/>
    </row>
    <row r="519">
      <c r="A519" s="208"/>
    </row>
    <row r="520">
      <c r="A520" s="208"/>
    </row>
    <row r="521">
      <c r="A521" s="208"/>
    </row>
    <row r="522">
      <c r="A522" s="208"/>
    </row>
    <row r="523">
      <c r="A523" s="208"/>
    </row>
    <row r="524">
      <c r="A524" s="208"/>
    </row>
    <row r="525">
      <c r="A525" s="208"/>
    </row>
    <row r="526">
      <c r="A526" s="208"/>
    </row>
    <row r="527">
      <c r="A527" s="208"/>
    </row>
    <row r="528">
      <c r="A528" s="208"/>
    </row>
    <row r="529">
      <c r="A529" s="208"/>
    </row>
    <row r="530">
      <c r="A530" s="208"/>
    </row>
    <row r="531">
      <c r="A531" s="208"/>
    </row>
    <row r="532">
      <c r="A532" s="208"/>
    </row>
    <row r="533">
      <c r="A533" s="208"/>
    </row>
    <row r="534">
      <c r="A534" s="208"/>
    </row>
    <row r="535">
      <c r="A535" s="208"/>
    </row>
    <row r="536">
      <c r="A536" s="208"/>
    </row>
    <row r="537">
      <c r="A537" s="208"/>
    </row>
    <row r="538">
      <c r="A538" s="208"/>
    </row>
    <row r="539">
      <c r="A539" s="208"/>
    </row>
    <row r="540">
      <c r="A540" s="208"/>
    </row>
    <row r="541">
      <c r="A541" s="208"/>
    </row>
    <row r="542">
      <c r="A542" s="208"/>
    </row>
    <row r="543">
      <c r="A543" s="208"/>
    </row>
    <row r="544">
      <c r="A544" s="208"/>
    </row>
    <row r="545">
      <c r="A545" s="208"/>
    </row>
    <row r="546">
      <c r="A546" s="208"/>
    </row>
    <row r="547">
      <c r="A547" s="208"/>
    </row>
    <row r="548">
      <c r="A548" s="208"/>
    </row>
    <row r="549">
      <c r="A549" s="208"/>
    </row>
    <row r="550">
      <c r="A550" s="208"/>
    </row>
    <row r="551">
      <c r="A551" s="208"/>
    </row>
    <row r="552">
      <c r="A552" s="208"/>
    </row>
    <row r="553">
      <c r="A553" s="208"/>
    </row>
    <row r="554">
      <c r="A554" s="208"/>
    </row>
    <row r="555">
      <c r="A555" s="208"/>
    </row>
    <row r="556">
      <c r="A556" s="208"/>
    </row>
    <row r="557">
      <c r="A557" s="208"/>
    </row>
    <row r="558">
      <c r="A558" s="208"/>
    </row>
    <row r="559">
      <c r="A559" s="208"/>
    </row>
    <row r="560">
      <c r="A560" s="208"/>
    </row>
    <row r="561">
      <c r="A561" s="208"/>
    </row>
    <row r="562">
      <c r="A562" s="208"/>
    </row>
    <row r="563">
      <c r="A563" s="208"/>
    </row>
    <row r="564">
      <c r="A564" s="208"/>
    </row>
    <row r="565">
      <c r="A565" s="208"/>
    </row>
    <row r="566">
      <c r="A566" s="208"/>
    </row>
    <row r="567">
      <c r="A567" s="208"/>
    </row>
    <row r="568">
      <c r="A568" s="208"/>
    </row>
    <row r="569">
      <c r="A569" s="208"/>
    </row>
    <row r="570">
      <c r="A570" s="208"/>
    </row>
    <row r="571">
      <c r="A571" s="208"/>
    </row>
    <row r="572">
      <c r="A572" s="208"/>
    </row>
    <row r="573">
      <c r="A573" s="208"/>
    </row>
    <row r="574">
      <c r="A574" s="208"/>
    </row>
    <row r="575">
      <c r="A575" s="208"/>
    </row>
    <row r="576">
      <c r="A576" s="208"/>
    </row>
    <row r="577">
      <c r="A577" s="208"/>
    </row>
    <row r="578">
      <c r="A578" s="208"/>
    </row>
    <row r="579">
      <c r="A579" s="208"/>
    </row>
    <row r="580">
      <c r="A580" s="208"/>
    </row>
    <row r="581">
      <c r="A581" s="208"/>
    </row>
    <row r="582">
      <c r="A582" s="208"/>
    </row>
    <row r="583">
      <c r="A583" s="208"/>
    </row>
    <row r="584">
      <c r="A584" s="208"/>
    </row>
    <row r="585">
      <c r="A585" s="208"/>
    </row>
    <row r="586">
      <c r="A586" s="208"/>
    </row>
    <row r="587">
      <c r="A587" s="208"/>
    </row>
    <row r="588">
      <c r="A588" s="208"/>
    </row>
    <row r="589">
      <c r="A589" s="208"/>
    </row>
    <row r="590">
      <c r="A590" s="208"/>
    </row>
    <row r="591">
      <c r="A591" s="208"/>
    </row>
    <row r="592">
      <c r="A592" s="208"/>
    </row>
    <row r="593">
      <c r="A593" s="208"/>
    </row>
    <row r="594">
      <c r="A594" s="208"/>
    </row>
    <row r="595">
      <c r="A595" s="208"/>
    </row>
    <row r="596">
      <c r="A596" s="208"/>
    </row>
    <row r="597">
      <c r="A597" s="208"/>
    </row>
    <row r="598">
      <c r="A598" s="208"/>
    </row>
    <row r="599">
      <c r="A599" s="208"/>
    </row>
    <row r="600">
      <c r="A600" s="208"/>
    </row>
    <row r="601">
      <c r="A601" s="208"/>
    </row>
    <row r="602">
      <c r="A602" s="208"/>
    </row>
    <row r="603">
      <c r="A603" s="208"/>
    </row>
    <row r="604">
      <c r="A604" s="208"/>
    </row>
    <row r="605">
      <c r="A605" s="208"/>
    </row>
    <row r="606">
      <c r="A606" s="208"/>
    </row>
    <row r="607">
      <c r="A607" s="208"/>
    </row>
    <row r="608">
      <c r="A608" s="208"/>
    </row>
    <row r="609">
      <c r="A609" s="208"/>
    </row>
    <row r="610">
      <c r="A610" s="208"/>
    </row>
    <row r="611">
      <c r="A611" s="208"/>
    </row>
    <row r="612">
      <c r="A612" s="208"/>
    </row>
    <row r="613">
      <c r="A613" s="208"/>
    </row>
    <row r="614">
      <c r="A614" s="208"/>
    </row>
    <row r="615">
      <c r="A615" s="208"/>
    </row>
    <row r="616">
      <c r="A616" s="208"/>
    </row>
    <row r="617">
      <c r="A617" s="208"/>
    </row>
    <row r="618">
      <c r="A618" s="208"/>
    </row>
    <row r="619">
      <c r="A619" s="208"/>
    </row>
    <row r="620">
      <c r="A620" s="208"/>
    </row>
    <row r="621">
      <c r="A621" s="208"/>
    </row>
    <row r="622">
      <c r="A622" s="208"/>
    </row>
    <row r="623">
      <c r="A623" s="208"/>
    </row>
    <row r="624">
      <c r="A624" s="208"/>
    </row>
    <row r="625">
      <c r="A625" s="208"/>
    </row>
    <row r="626">
      <c r="A626" s="208"/>
    </row>
    <row r="627">
      <c r="A627" s="208"/>
    </row>
    <row r="628">
      <c r="A628" s="208"/>
    </row>
    <row r="629">
      <c r="A629" s="208"/>
    </row>
    <row r="630">
      <c r="A630" s="208"/>
    </row>
    <row r="631">
      <c r="A631" s="208"/>
    </row>
    <row r="632">
      <c r="A632" s="208"/>
    </row>
    <row r="633">
      <c r="A633" s="208"/>
    </row>
    <row r="634">
      <c r="A634" s="208"/>
    </row>
    <row r="635">
      <c r="A635" s="208"/>
    </row>
    <row r="636">
      <c r="A636" s="208"/>
    </row>
    <row r="637">
      <c r="A637" s="208"/>
    </row>
    <row r="638">
      <c r="A638" s="208"/>
    </row>
    <row r="639">
      <c r="A639" s="208"/>
    </row>
    <row r="640">
      <c r="A640" s="208"/>
    </row>
    <row r="641">
      <c r="A641" s="208"/>
    </row>
    <row r="642">
      <c r="A642" s="208"/>
    </row>
    <row r="643">
      <c r="A643" s="208"/>
    </row>
    <row r="644">
      <c r="A644" s="208"/>
    </row>
    <row r="645">
      <c r="A645" s="208"/>
    </row>
    <row r="646">
      <c r="A646" s="208"/>
    </row>
    <row r="647">
      <c r="A647" s="208"/>
    </row>
    <row r="648">
      <c r="A648" s="208"/>
    </row>
    <row r="649">
      <c r="A649" s="208"/>
    </row>
    <row r="650">
      <c r="A650" s="208"/>
    </row>
    <row r="651">
      <c r="A651" s="208"/>
    </row>
    <row r="652">
      <c r="A652" s="208"/>
    </row>
    <row r="653">
      <c r="A653" s="208"/>
    </row>
    <row r="654">
      <c r="A654" s="208"/>
    </row>
    <row r="655">
      <c r="A655" s="208"/>
    </row>
    <row r="656">
      <c r="A656" s="208"/>
    </row>
    <row r="657">
      <c r="A657" s="208"/>
    </row>
    <row r="658">
      <c r="A658" s="208"/>
    </row>
    <row r="659">
      <c r="A659" s="208"/>
    </row>
    <row r="660">
      <c r="A660" s="208"/>
    </row>
    <row r="661">
      <c r="A661" s="208"/>
    </row>
    <row r="662">
      <c r="A662" s="208"/>
    </row>
    <row r="663">
      <c r="A663" s="208"/>
    </row>
    <row r="664">
      <c r="A664" s="208"/>
    </row>
    <row r="665">
      <c r="A665" s="208"/>
    </row>
    <row r="666">
      <c r="A666" s="208"/>
    </row>
    <row r="667">
      <c r="A667" s="208"/>
    </row>
    <row r="668">
      <c r="A668" s="208"/>
    </row>
    <row r="669">
      <c r="A669" s="208"/>
    </row>
    <row r="670">
      <c r="A670" s="208"/>
    </row>
    <row r="671">
      <c r="A671" s="208"/>
    </row>
    <row r="672">
      <c r="A672" s="208"/>
    </row>
    <row r="673">
      <c r="A673" s="208"/>
    </row>
    <row r="674">
      <c r="A674" s="208"/>
    </row>
    <row r="675">
      <c r="A675" s="208"/>
    </row>
    <row r="676">
      <c r="A676" s="208"/>
    </row>
    <row r="677">
      <c r="A677" s="208"/>
    </row>
    <row r="678">
      <c r="A678" s="208"/>
    </row>
    <row r="679">
      <c r="A679" s="208"/>
    </row>
    <row r="680">
      <c r="A680" s="208"/>
    </row>
    <row r="681">
      <c r="A681" s="208"/>
    </row>
    <row r="682">
      <c r="A682" s="208"/>
    </row>
    <row r="683">
      <c r="A683" s="208"/>
    </row>
    <row r="684">
      <c r="A684" s="208"/>
    </row>
    <row r="685">
      <c r="A685" s="208"/>
    </row>
    <row r="686">
      <c r="A686" s="208"/>
    </row>
    <row r="687">
      <c r="A687" s="208"/>
    </row>
    <row r="688">
      <c r="A688" s="208"/>
    </row>
    <row r="689">
      <c r="A689" s="208"/>
    </row>
    <row r="690">
      <c r="A690" s="208"/>
    </row>
    <row r="691">
      <c r="A691" s="208"/>
    </row>
    <row r="692">
      <c r="A692" s="208"/>
    </row>
    <row r="693">
      <c r="A693" s="208"/>
    </row>
    <row r="694">
      <c r="A694" s="208"/>
    </row>
    <row r="695">
      <c r="A695" s="208"/>
    </row>
    <row r="696">
      <c r="A696" s="208"/>
    </row>
    <row r="697">
      <c r="A697" s="208"/>
    </row>
    <row r="698">
      <c r="A698" s="208"/>
    </row>
    <row r="699">
      <c r="A699" s="208"/>
    </row>
    <row r="700">
      <c r="A700" s="208"/>
    </row>
    <row r="701">
      <c r="A701" s="208"/>
    </row>
    <row r="702">
      <c r="A702" s="208"/>
    </row>
    <row r="703">
      <c r="A703" s="208"/>
    </row>
    <row r="704">
      <c r="A704" s="208"/>
    </row>
    <row r="705">
      <c r="A705" s="208"/>
    </row>
    <row r="706">
      <c r="A706" s="208"/>
    </row>
    <row r="707">
      <c r="A707" s="208"/>
    </row>
    <row r="708">
      <c r="A708" s="208"/>
    </row>
    <row r="709">
      <c r="A709" s="208"/>
    </row>
    <row r="710">
      <c r="A710" s="208"/>
    </row>
    <row r="711">
      <c r="A711" s="208"/>
    </row>
    <row r="712">
      <c r="A712" s="208"/>
    </row>
    <row r="713">
      <c r="A713" s="208"/>
    </row>
    <row r="714">
      <c r="A714" s="208"/>
    </row>
    <row r="715">
      <c r="A715" s="208"/>
    </row>
    <row r="716">
      <c r="A716" s="208"/>
    </row>
    <row r="717">
      <c r="A717" s="208"/>
    </row>
    <row r="718">
      <c r="A718" s="208"/>
    </row>
    <row r="719">
      <c r="A719" s="208"/>
    </row>
    <row r="720">
      <c r="A720" s="208"/>
    </row>
    <row r="721">
      <c r="A721" s="208"/>
    </row>
    <row r="722">
      <c r="A722" s="208"/>
    </row>
    <row r="723">
      <c r="A723" s="208"/>
    </row>
    <row r="724">
      <c r="A724" s="208"/>
    </row>
    <row r="725">
      <c r="A725" s="208"/>
    </row>
    <row r="726">
      <c r="A726" s="208"/>
    </row>
    <row r="727">
      <c r="A727" s="208"/>
    </row>
    <row r="728">
      <c r="A728" s="208"/>
    </row>
    <row r="729">
      <c r="A729" s="208"/>
    </row>
    <row r="730">
      <c r="A730" s="208"/>
    </row>
    <row r="731">
      <c r="A731" s="208"/>
    </row>
    <row r="732">
      <c r="A732" s="208"/>
    </row>
    <row r="733">
      <c r="A733" s="208"/>
    </row>
    <row r="734">
      <c r="A734" s="208"/>
    </row>
    <row r="735">
      <c r="A735" s="208"/>
    </row>
    <row r="736">
      <c r="A736" s="208"/>
    </row>
    <row r="737">
      <c r="A737" s="208"/>
    </row>
    <row r="738">
      <c r="A738" s="208"/>
    </row>
    <row r="739">
      <c r="A739" s="208"/>
    </row>
    <row r="740">
      <c r="A740" s="208"/>
    </row>
    <row r="741">
      <c r="A741" s="208"/>
    </row>
    <row r="742">
      <c r="A742" s="208"/>
    </row>
    <row r="743">
      <c r="A743" s="208"/>
    </row>
    <row r="744">
      <c r="A744" s="208"/>
    </row>
    <row r="745">
      <c r="A745" s="208"/>
    </row>
    <row r="746">
      <c r="A746" s="208"/>
    </row>
    <row r="747">
      <c r="A747" s="208"/>
    </row>
    <row r="748">
      <c r="A748" s="208"/>
    </row>
    <row r="749">
      <c r="A749" s="208"/>
    </row>
    <row r="750">
      <c r="A750" s="208"/>
    </row>
    <row r="751">
      <c r="A751" s="208"/>
    </row>
    <row r="752">
      <c r="A752" s="208"/>
    </row>
    <row r="753">
      <c r="A753" s="208"/>
    </row>
    <row r="754">
      <c r="A754" s="208"/>
    </row>
    <row r="755">
      <c r="A755" s="208"/>
    </row>
    <row r="756">
      <c r="A756" s="208"/>
    </row>
    <row r="757">
      <c r="A757" s="208"/>
    </row>
    <row r="758">
      <c r="A758" s="208"/>
    </row>
    <row r="759">
      <c r="A759" s="208"/>
    </row>
    <row r="760">
      <c r="A760" s="208"/>
    </row>
    <row r="761">
      <c r="A761" s="208"/>
    </row>
    <row r="762">
      <c r="A762" s="208"/>
    </row>
    <row r="763">
      <c r="A763" s="208"/>
    </row>
    <row r="764">
      <c r="A764" s="208"/>
    </row>
    <row r="765">
      <c r="A765" s="208"/>
    </row>
    <row r="766">
      <c r="A766" s="208"/>
    </row>
    <row r="767">
      <c r="A767" s="208"/>
    </row>
    <row r="768">
      <c r="A768" s="208"/>
    </row>
    <row r="769">
      <c r="A769" s="208"/>
    </row>
    <row r="770">
      <c r="A770" s="208"/>
    </row>
    <row r="771">
      <c r="A771" s="208"/>
    </row>
    <row r="772">
      <c r="A772" s="208"/>
    </row>
    <row r="773">
      <c r="A773" s="208"/>
    </row>
    <row r="774">
      <c r="A774" s="208"/>
    </row>
    <row r="775">
      <c r="A775" s="208"/>
    </row>
    <row r="776">
      <c r="A776" s="208"/>
    </row>
    <row r="777">
      <c r="A777" s="208"/>
    </row>
    <row r="778">
      <c r="A778" s="208"/>
    </row>
    <row r="779">
      <c r="A779" s="208"/>
    </row>
    <row r="780">
      <c r="A780" s="208"/>
    </row>
    <row r="781">
      <c r="A781" s="208"/>
    </row>
    <row r="782">
      <c r="A782" s="208"/>
    </row>
    <row r="783">
      <c r="A783" s="208"/>
    </row>
    <row r="784">
      <c r="A784" s="208"/>
    </row>
    <row r="785">
      <c r="A785" s="208"/>
    </row>
    <row r="786">
      <c r="A786" s="208"/>
    </row>
    <row r="787">
      <c r="A787" s="208"/>
    </row>
    <row r="788">
      <c r="A788" s="208"/>
    </row>
    <row r="789">
      <c r="A789" s="208"/>
    </row>
    <row r="790">
      <c r="A790" s="208"/>
    </row>
    <row r="791">
      <c r="A791" s="208"/>
    </row>
    <row r="792">
      <c r="A792" s="208"/>
    </row>
    <row r="793">
      <c r="A793" s="208"/>
    </row>
    <row r="794">
      <c r="A794" s="208"/>
    </row>
    <row r="795">
      <c r="A795" s="208"/>
    </row>
    <row r="796">
      <c r="A796" s="208"/>
    </row>
    <row r="797">
      <c r="A797" s="208"/>
    </row>
    <row r="798">
      <c r="A798" s="208"/>
    </row>
    <row r="799">
      <c r="A799" s="208"/>
    </row>
    <row r="800">
      <c r="A800" s="208"/>
    </row>
    <row r="801">
      <c r="A801" s="208"/>
    </row>
    <row r="802">
      <c r="A802" s="208"/>
    </row>
    <row r="803">
      <c r="A803" s="208"/>
    </row>
    <row r="804">
      <c r="A804" s="208"/>
    </row>
    <row r="805">
      <c r="A805" s="208"/>
    </row>
    <row r="806">
      <c r="A806" s="208"/>
    </row>
    <row r="807">
      <c r="A807" s="208"/>
    </row>
    <row r="808">
      <c r="A808" s="208"/>
    </row>
    <row r="809">
      <c r="A809" s="208"/>
    </row>
    <row r="810">
      <c r="A810" s="208"/>
    </row>
    <row r="811">
      <c r="A811" s="208"/>
    </row>
    <row r="812">
      <c r="A812" s="208"/>
    </row>
    <row r="813">
      <c r="A813" s="208"/>
    </row>
    <row r="814">
      <c r="A814" s="208"/>
    </row>
    <row r="815">
      <c r="A815" s="208"/>
    </row>
    <row r="816">
      <c r="A816" s="208"/>
    </row>
    <row r="817">
      <c r="A817" s="208"/>
    </row>
    <row r="818">
      <c r="A818" s="208"/>
    </row>
    <row r="819">
      <c r="A819" s="208"/>
    </row>
    <row r="820">
      <c r="A820" s="208"/>
    </row>
    <row r="821">
      <c r="A821" s="208"/>
    </row>
    <row r="822">
      <c r="A822" s="208"/>
    </row>
    <row r="823">
      <c r="A823" s="208"/>
    </row>
    <row r="824">
      <c r="A824" s="208"/>
    </row>
    <row r="825">
      <c r="A825" s="208"/>
    </row>
    <row r="826">
      <c r="A826" s="208"/>
    </row>
    <row r="827">
      <c r="A827" s="208"/>
    </row>
    <row r="828">
      <c r="A828" s="208"/>
    </row>
    <row r="829">
      <c r="A829" s="208"/>
    </row>
    <row r="830">
      <c r="A830" s="208"/>
    </row>
    <row r="831">
      <c r="A831" s="208"/>
    </row>
    <row r="832">
      <c r="A832" s="208"/>
    </row>
    <row r="833">
      <c r="A833" s="208"/>
    </row>
    <row r="834">
      <c r="A834" s="208"/>
    </row>
    <row r="835">
      <c r="A835" s="208"/>
    </row>
    <row r="836">
      <c r="A836" s="208"/>
    </row>
    <row r="837">
      <c r="A837" s="208"/>
    </row>
    <row r="838">
      <c r="A838" s="208"/>
    </row>
    <row r="839">
      <c r="A839" s="208"/>
    </row>
    <row r="840">
      <c r="A840" s="208"/>
    </row>
    <row r="841">
      <c r="A841" s="208"/>
    </row>
    <row r="842">
      <c r="A842" s="208"/>
    </row>
    <row r="843">
      <c r="A843" s="208"/>
    </row>
    <row r="844">
      <c r="A844" s="208"/>
    </row>
    <row r="845">
      <c r="A845" s="208"/>
    </row>
    <row r="846">
      <c r="A846" s="208"/>
    </row>
    <row r="847">
      <c r="A847" s="208"/>
    </row>
    <row r="848">
      <c r="A848" s="208"/>
    </row>
    <row r="849">
      <c r="A849" s="208"/>
    </row>
    <row r="850">
      <c r="A850" s="208"/>
    </row>
    <row r="851">
      <c r="A851" s="208"/>
    </row>
    <row r="852">
      <c r="A852" s="208"/>
    </row>
    <row r="853">
      <c r="A853" s="208"/>
    </row>
    <row r="854">
      <c r="A854" s="208"/>
    </row>
    <row r="855">
      <c r="A855" s="208"/>
    </row>
    <row r="856">
      <c r="A856" s="208"/>
    </row>
    <row r="857">
      <c r="A857" s="208"/>
    </row>
    <row r="858">
      <c r="A858" s="208"/>
    </row>
    <row r="859">
      <c r="A859" s="208"/>
    </row>
    <row r="860">
      <c r="A860" s="208"/>
    </row>
    <row r="861">
      <c r="A861" s="208"/>
    </row>
    <row r="862">
      <c r="A862" s="208"/>
    </row>
    <row r="863">
      <c r="A863" s="208"/>
    </row>
    <row r="864">
      <c r="A864" s="208"/>
    </row>
    <row r="865">
      <c r="A865" s="208"/>
    </row>
    <row r="866">
      <c r="A866" s="208"/>
    </row>
    <row r="867">
      <c r="A867" s="208"/>
    </row>
    <row r="868">
      <c r="A868" s="208"/>
    </row>
    <row r="869">
      <c r="A869" s="208"/>
    </row>
    <row r="870">
      <c r="A870" s="208"/>
    </row>
    <row r="871">
      <c r="A871" s="208"/>
    </row>
    <row r="872">
      <c r="A872" s="208"/>
    </row>
    <row r="873">
      <c r="A873" s="208"/>
    </row>
    <row r="874">
      <c r="A874" s="208"/>
    </row>
    <row r="875">
      <c r="A875" s="208"/>
    </row>
    <row r="876">
      <c r="A876" s="208"/>
    </row>
    <row r="877">
      <c r="A877" s="208"/>
    </row>
    <row r="878">
      <c r="A878" s="208"/>
    </row>
    <row r="879">
      <c r="A879" s="208"/>
    </row>
    <row r="880">
      <c r="A880" s="208"/>
    </row>
    <row r="881">
      <c r="A881" s="208"/>
    </row>
    <row r="882">
      <c r="A882" s="208"/>
    </row>
    <row r="883">
      <c r="A883" s="208"/>
    </row>
    <row r="884">
      <c r="A884" s="208"/>
    </row>
    <row r="885">
      <c r="A885" s="208"/>
    </row>
    <row r="886">
      <c r="A886" s="208"/>
    </row>
    <row r="887">
      <c r="A887" s="208"/>
    </row>
    <row r="888">
      <c r="A888" s="208"/>
    </row>
    <row r="889">
      <c r="A889" s="208"/>
    </row>
    <row r="890">
      <c r="A890" s="208"/>
    </row>
    <row r="891">
      <c r="A891" s="208"/>
    </row>
    <row r="892">
      <c r="A892" s="208"/>
    </row>
    <row r="893">
      <c r="A893" s="208"/>
    </row>
    <row r="894">
      <c r="A894" s="208"/>
    </row>
    <row r="895">
      <c r="A895" s="208"/>
    </row>
    <row r="896">
      <c r="A896" s="208"/>
    </row>
    <row r="897">
      <c r="A897" s="208"/>
    </row>
    <row r="898">
      <c r="A898" s="208"/>
    </row>
    <row r="899">
      <c r="A899" s="208"/>
    </row>
    <row r="900">
      <c r="A900" s="208"/>
    </row>
    <row r="901">
      <c r="A901" s="208"/>
    </row>
    <row r="902">
      <c r="A902" s="208"/>
    </row>
    <row r="903">
      <c r="A903" s="208"/>
    </row>
    <row r="904">
      <c r="A904" s="208"/>
    </row>
    <row r="905">
      <c r="A905" s="208"/>
    </row>
    <row r="906">
      <c r="A906" s="208"/>
    </row>
    <row r="907">
      <c r="A907" s="208"/>
    </row>
    <row r="908">
      <c r="A908" s="208"/>
    </row>
    <row r="909">
      <c r="A909" s="208"/>
    </row>
    <row r="910">
      <c r="A910" s="208"/>
    </row>
    <row r="911">
      <c r="A911" s="208"/>
    </row>
    <row r="912">
      <c r="A912" s="208"/>
    </row>
    <row r="913">
      <c r="A913" s="208"/>
    </row>
    <row r="914">
      <c r="A914" s="208"/>
    </row>
    <row r="915">
      <c r="A915" s="208"/>
    </row>
    <row r="916">
      <c r="A916" s="208"/>
    </row>
    <row r="917">
      <c r="A917" s="208"/>
    </row>
    <row r="918">
      <c r="A918" s="208"/>
    </row>
    <row r="919">
      <c r="A919" s="208"/>
    </row>
    <row r="920">
      <c r="A920" s="208"/>
    </row>
    <row r="921">
      <c r="A921" s="208"/>
    </row>
    <row r="922">
      <c r="A922" s="208"/>
    </row>
    <row r="923">
      <c r="A923" s="208"/>
    </row>
    <row r="924">
      <c r="A924" s="208"/>
    </row>
    <row r="925">
      <c r="A925" s="208"/>
    </row>
    <row r="926">
      <c r="A926" s="208"/>
    </row>
    <row r="927">
      <c r="A927" s="208"/>
    </row>
    <row r="928">
      <c r="A928" s="208"/>
    </row>
    <row r="929">
      <c r="A929" s="208"/>
    </row>
    <row r="930">
      <c r="A930" s="208"/>
    </row>
    <row r="931">
      <c r="A931" s="208"/>
    </row>
    <row r="932">
      <c r="A932" s="208"/>
    </row>
    <row r="933">
      <c r="A933" s="208"/>
    </row>
    <row r="934">
      <c r="A934" s="208"/>
    </row>
    <row r="935">
      <c r="A935" s="208"/>
    </row>
    <row r="936">
      <c r="A936" s="208"/>
    </row>
    <row r="937">
      <c r="A937" s="208"/>
    </row>
    <row r="938">
      <c r="A938" s="208"/>
    </row>
    <row r="939">
      <c r="A939" s="208"/>
    </row>
    <row r="940">
      <c r="A940" s="208"/>
    </row>
    <row r="941">
      <c r="A941" s="208"/>
    </row>
    <row r="942">
      <c r="A942" s="208"/>
    </row>
    <row r="943">
      <c r="A943" s="208"/>
    </row>
    <row r="944">
      <c r="A944" s="208"/>
    </row>
    <row r="945">
      <c r="A945" s="208"/>
    </row>
    <row r="946">
      <c r="A946" s="208"/>
    </row>
    <row r="947">
      <c r="A947" s="208"/>
    </row>
    <row r="948">
      <c r="A948" s="208"/>
    </row>
    <row r="949">
      <c r="A949" s="208"/>
    </row>
    <row r="950">
      <c r="A950" s="208"/>
    </row>
    <row r="951">
      <c r="A951" s="208"/>
    </row>
    <row r="952">
      <c r="A952" s="208"/>
    </row>
    <row r="953">
      <c r="A953" s="208"/>
    </row>
    <row r="954">
      <c r="A954" s="208"/>
    </row>
    <row r="955">
      <c r="A955" s="208"/>
    </row>
    <row r="956">
      <c r="A956" s="208"/>
    </row>
    <row r="957">
      <c r="A957" s="208"/>
    </row>
    <row r="958">
      <c r="A958" s="208"/>
    </row>
    <row r="959">
      <c r="A959" s="208"/>
    </row>
    <row r="960">
      <c r="A960" s="208"/>
    </row>
    <row r="961">
      <c r="A961" s="208"/>
    </row>
    <row r="962">
      <c r="A962" s="208"/>
    </row>
    <row r="963">
      <c r="A963" s="208"/>
    </row>
    <row r="964">
      <c r="A964" s="208"/>
    </row>
    <row r="965">
      <c r="A965" s="208"/>
    </row>
    <row r="966">
      <c r="A966" s="208"/>
    </row>
    <row r="967">
      <c r="A967" s="208"/>
    </row>
    <row r="968">
      <c r="A968" s="208"/>
    </row>
    <row r="969">
      <c r="A969" s="208"/>
    </row>
    <row r="970">
      <c r="A970" s="208"/>
    </row>
    <row r="971">
      <c r="A971" s="208"/>
    </row>
    <row r="972">
      <c r="A972" s="208"/>
    </row>
    <row r="973">
      <c r="A973" s="208"/>
    </row>
    <row r="974">
      <c r="A974" s="208"/>
    </row>
    <row r="975">
      <c r="A975" s="208"/>
    </row>
    <row r="976">
      <c r="A976" s="208"/>
    </row>
    <row r="977">
      <c r="A977" s="208"/>
    </row>
    <row r="978">
      <c r="A978" s="208"/>
    </row>
    <row r="979">
      <c r="A979" s="208"/>
    </row>
    <row r="980">
      <c r="A980" s="208"/>
    </row>
    <row r="981">
      <c r="A981" s="208"/>
    </row>
    <row r="982">
      <c r="A982" s="208"/>
    </row>
    <row r="983">
      <c r="A983" s="208"/>
    </row>
    <row r="984">
      <c r="A984" s="208"/>
    </row>
    <row r="985">
      <c r="A985" s="208"/>
    </row>
    <row r="986">
      <c r="A986" s="208"/>
    </row>
    <row r="987">
      <c r="A987" s="208"/>
    </row>
    <row r="988">
      <c r="A988" s="208"/>
    </row>
    <row r="989">
      <c r="A989" s="208"/>
    </row>
    <row r="990">
      <c r="A990" s="208"/>
    </row>
    <row r="991">
      <c r="A991" s="208"/>
    </row>
    <row r="992">
      <c r="A992" s="208"/>
    </row>
    <row r="993">
      <c r="A993" s="208"/>
    </row>
    <row r="994">
      <c r="A994" s="208"/>
    </row>
    <row r="995">
      <c r="A995" s="208"/>
    </row>
    <row r="996">
      <c r="A996" s="208"/>
    </row>
    <row r="997">
      <c r="A997" s="208"/>
    </row>
    <row r="998">
      <c r="A998" s="208"/>
    </row>
    <row r="999">
      <c r="A999" s="208"/>
    </row>
    <row r="1000">
      <c r="A1000" s="208"/>
    </row>
  </sheetData>
  <drawing r:id="rId1"/>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0.5"/>
    <col customWidth="1" min="2" max="2" width="18.0"/>
    <col customWidth="1" min="3" max="5" width="41.5"/>
    <col customWidth="1" min="6" max="9" width="44.0"/>
    <col customWidth="1" min="10" max="11" width="20.88"/>
    <col customWidth="1" min="12" max="13" width="30.0"/>
  </cols>
  <sheetData>
    <row r="1">
      <c r="A1" s="17" t="s">
        <v>8786</v>
      </c>
      <c r="B1" s="17" t="s">
        <v>7697</v>
      </c>
      <c r="C1" s="89" t="s">
        <v>0</v>
      </c>
      <c r="D1" s="89" t="s">
        <v>8787</v>
      </c>
      <c r="E1" s="89" t="s">
        <v>8788</v>
      </c>
      <c r="F1" s="17" t="s">
        <v>8789</v>
      </c>
      <c r="G1" s="17" t="s">
        <v>8790</v>
      </c>
      <c r="H1" s="17" t="s">
        <v>8791</v>
      </c>
      <c r="I1" s="17" t="s">
        <v>8792</v>
      </c>
      <c r="J1" s="17" t="s">
        <v>8793</v>
      </c>
      <c r="K1" s="17" t="s">
        <v>8794</v>
      </c>
      <c r="L1" s="17" t="s">
        <v>8795</v>
      </c>
      <c r="M1" s="17" t="s">
        <v>8796</v>
      </c>
      <c r="N1" s="17" t="s">
        <v>8797</v>
      </c>
      <c r="O1" s="135"/>
      <c r="P1" s="135"/>
      <c r="Q1" s="135"/>
      <c r="R1" s="135"/>
      <c r="S1" s="135"/>
      <c r="T1" s="135"/>
      <c r="U1" s="135"/>
      <c r="V1" s="135"/>
      <c r="W1" s="135"/>
      <c r="X1" s="135"/>
      <c r="Y1" s="135"/>
      <c r="Z1" s="135"/>
      <c r="AA1" s="135"/>
      <c r="AB1" s="135"/>
      <c r="AC1" s="135"/>
      <c r="AD1" s="135"/>
      <c r="AE1" s="135"/>
      <c r="AF1" s="135"/>
    </row>
    <row r="2">
      <c r="A2" s="186" t="s">
        <v>8798</v>
      </c>
      <c r="B2" s="209" t="s">
        <v>8799</v>
      </c>
      <c r="C2" s="209" t="s">
        <v>24</v>
      </c>
      <c r="D2" s="209" t="s">
        <v>7</v>
      </c>
      <c r="E2" s="209" t="s">
        <v>8800</v>
      </c>
      <c r="F2" s="209" t="s">
        <v>8801</v>
      </c>
      <c r="G2" s="209" t="s">
        <v>8802</v>
      </c>
      <c r="H2" s="209" t="s">
        <v>8803</v>
      </c>
      <c r="I2" s="209" t="s">
        <v>8804</v>
      </c>
      <c r="J2" s="209" t="s">
        <v>8805</v>
      </c>
      <c r="K2" s="209" t="s">
        <v>8806</v>
      </c>
      <c r="N2" s="210"/>
      <c r="O2" s="210"/>
      <c r="P2" s="210"/>
      <c r="Q2" s="210"/>
      <c r="R2" s="210"/>
      <c r="S2" s="210"/>
      <c r="T2" s="210"/>
      <c r="U2" s="210"/>
      <c r="V2" s="210"/>
      <c r="W2" s="210"/>
      <c r="X2" s="210"/>
      <c r="Y2" s="210"/>
      <c r="Z2" s="210"/>
      <c r="AA2" s="210"/>
      <c r="AB2" s="210"/>
      <c r="AC2" s="210"/>
      <c r="AD2" s="210"/>
      <c r="AE2" s="210"/>
      <c r="AF2" s="210"/>
    </row>
    <row r="3">
      <c r="A3" s="186" t="s">
        <v>8807</v>
      </c>
      <c r="B3" s="209" t="s">
        <v>8808</v>
      </c>
      <c r="C3" s="209" t="s">
        <v>68</v>
      </c>
      <c r="D3" s="209" t="s">
        <v>7</v>
      </c>
      <c r="E3" s="209" t="s">
        <v>8809</v>
      </c>
      <c r="F3" s="209" t="s">
        <v>8801</v>
      </c>
      <c r="G3" s="209" t="s">
        <v>8810</v>
      </c>
      <c r="H3" s="210"/>
      <c r="I3" s="210"/>
      <c r="J3" s="209"/>
      <c r="K3" s="209"/>
      <c r="L3" s="209"/>
      <c r="M3" s="209"/>
      <c r="N3" s="210"/>
      <c r="O3" s="210"/>
      <c r="P3" s="210"/>
      <c r="Q3" s="210"/>
      <c r="R3" s="210"/>
      <c r="S3" s="210"/>
      <c r="T3" s="210"/>
      <c r="U3" s="210"/>
      <c r="V3" s="210"/>
      <c r="W3" s="210"/>
      <c r="X3" s="210"/>
      <c r="Y3" s="210"/>
      <c r="Z3" s="210"/>
      <c r="AA3" s="210"/>
      <c r="AB3" s="210"/>
      <c r="AC3" s="210"/>
      <c r="AD3" s="210"/>
      <c r="AE3" s="210"/>
      <c r="AF3" s="210"/>
    </row>
    <row r="4">
      <c r="A4" s="135"/>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row>
    <row r="5">
      <c r="A5" s="135"/>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row>
    <row r="6">
      <c r="A6" s="135"/>
      <c r="B6" s="135"/>
      <c r="C6" s="135"/>
      <c r="D6" s="135"/>
      <c r="E6" s="135"/>
      <c r="F6" s="135"/>
      <c r="G6" s="135"/>
      <c r="H6" s="135"/>
      <c r="I6" s="135"/>
      <c r="J6" s="135"/>
      <c r="K6" s="135"/>
      <c r="L6" s="135"/>
      <c r="M6" s="135"/>
      <c r="N6" s="135"/>
      <c r="O6" s="135"/>
      <c r="P6" s="135"/>
      <c r="Q6" s="135"/>
      <c r="R6" s="135"/>
      <c r="S6" s="135"/>
      <c r="T6" s="135"/>
      <c r="U6" s="135"/>
      <c r="V6" s="135"/>
      <c r="W6" s="135"/>
      <c r="X6" s="135"/>
      <c r="Y6" s="135"/>
      <c r="Z6" s="135"/>
      <c r="AA6" s="135"/>
      <c r="AB6" s="135"/>
      <c r="AC6" s="135"/>
      <c r="AD6" s="135"/>
      <c r="AE6" s="135"/>
      <c r="AF6" s="135"/>
    </row>
    <row r="7">
      <c r="A7" s="135"/>
      <c r="B7" s="135"/>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5"/>
      <c r="AC7" s="135"/>
      <c r="AD7" s="135"/>
      <c r="AE7" s="135"/>
      <c r="AF7" s="135"/>
    </row>
    <row r="8">
      <c r="A8" s="135"/>
      <c r="B8" s="135"/>
      <c r="C8" s="135"/>
      <c r="D8" s="135"/>
      <c r="E8" s="135"/>
      <c r="F8" s="135"/>
      <c r="G8" s="13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row>
    <row r="9">
      <c r="A9" s="135"/>
      <c r="B9" s="135"/>
      <c r="C9" s="135"/>
      <c r="D9" s="135"/>
      <c r="E9" s="135"/>
      <c r="F9" s="135"/>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row>
    <row r="10">
      <c r="A10" s="135"/>
      <c r="B10" s="135"/>
      <c r="C10" s="135"/>
      <c r="D10" s="135"/>
      <c r="E10" s="135"/>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row>
    <row r="11">
      <c r="A11" s="135"/>
      <c r="B11" s="135"/>
      <c r="C11" s="135"/>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row>
    <row r="12">
      <c r="A12" s="135"/>
      <c r="B12" s="135"/>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row>
    <row r="13">
      <c r="A13" s="135"/>
      <c r="B13" s="135"/>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row>
    <row r="14">
      <c r="A14" s="135"/>
      <c r="B14" s="135"/>
      <c r="C14" s="135"/>
      <c r="D14" s="135"/>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row>
    <row r="15">
      <c r="A15" s="135"/>
      <c r="B15" s="135"/>
      <c r="C15" s="135"/>
      <c r="D15" s="135"/>
      <c r="E15" s="135"/>
      <c r="F15" s="135"/>
      <c r="G15" s="13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row>
    <row r="16">
      <c r="A16" s="135"/>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row>
    <row r="17">
      <c r="A17" s="135"/>
      <c r="B17" s="135"/>
      <c r="C17" s="135"/>
      <c r="D17" s="135"/>
      <c r="E17" s="135"/>
      <c r="F17" s="135"/>
      <c r="G17" s="135"/>
      <c r="H17" s="135"/>
      <c r="I17" s="135"/>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row>
    <row r="18">
      <c r="A18" s="135"/>
      <c r="B18" s="135"/>
      <c r="C18" s="135"/>
      <c r="D18" s="135"/>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row>
    <row r="19">
      <c r="A19" s="135"/>
      <c r="B19" s="135"/>
      <c r="C19" s="135"/>
      <c r="D19" s="135"/>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row>
    <row r="20">
      <c r="A20" s="135"/>
      <c r="B20" s="135"/>
      <c r="C20" s="135"/>
      <c r="D20" s="135"/>
      <c r="E20" s="135"/>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row>
    <row r="21">
      <c r="A21" s="135"/>
      <c r="B21" s="135"/>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row>
    <row r="22">
      <c r="A22" s="135"/>
      <c r="B22" s="135"/>
      <c r="C22" s="135"/>
      <c r="D22" s="135"/>
      <c r="E22" s="135"/>
      <c r="F22" s="135"/>
      <c r="G22" s="135"/>
      <c r="H22" s="135"/>
      <c r="I22" s="135"/>
      <c r="J22" s="135"/>
      <c r="K22" s="135"/>
      <c r="L22" s="135"/>
      <c r="M22" s="135"/>
      <c r="N22" s="135"/>
      <c r="O22" s="135"/>
      <c r="P22" s="135"/>
      <c r="Q22" s="135"/>
      <c r="R22" s="135"/>
      <c r="S22" s="135"/>
      <c r="T22" s="135"/>
      <c r="U22" s="135"/>
      <c r="V22" s="135"/>
      <c r="W22" s="135"/>
      <c r="X22" s="135"/>
      <c r="Y22" s="135"/>
      <c r="Z22" s="135"/>
      <c r="AA22" s="135"/>
      <c r="AB22" s="135"/>
      <c r="AC22" s="135"/>
      <c r="AD22" s="135"/>
      <c r="AE22" s="135"/>
      <c r="AF22" s="135"/>
    </row>
    <row r="23">
      <c r="A23" s="135"/>
      <c r="B23" s="135"/>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row>
    <row r="24">
      <c r="A24" s="135"/>
      <c r="B24" s="135"/>
      <c r="C24" s="135"/>
      <c r="D24" s="135"/>
      <c r="E24" s="135"/>
      <c r="F24" s="135"/>
      <c r="G24" s="135"/>
      <c r="H24" s="135"/>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row>
    <row r="25">
      <c r="A25" s="135"/>
      <c r="B25" s="135"/>
      <c r="C25" s="135"/>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row>
    <row r="26">
      <c r="A26" s="135"/>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row>
    <row r="27">
      <c r="A27" s="135"/>
      <c r="B27" s="135"/>
      <c r="C27" s="135"/>
      <c r="D27" s="135"/>
      <c r="E27" s="135"/>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row>
    <row r="28">
      <c r="A28" s="135"/>
      <c r="B28" s="135"/>
      <c r="C28" s="135"/>
      <c r="D28" s="135"/>
      <c r="E28" s="135"/>
      <c r="F28" s="135"/>
      <c r="G28" s="135"/>
      <c r="H28" s="135"/>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row>
    <row r="29">
      <c r="A29" s="135"/>
      <c r="B29" s="135"/>
      <c r="C29" s="135"/>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row>
    <row r="30">
      <c r="A30" s="135"/>
      <c r="B30" s="135"/>
      <c r="C30" s="135"/>
      <c r="D30" s="135"/>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row>
    <row r="31">
      <c r="A31" s="135"/>
      <c r="B31" s="135"/>
      <c r="C31" s="135"/>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row>
    <row r="32">
      <c r="A32" s="135"/>
      <c r="B32" s="135"/>
      <c r="C32" s="135"/>
      <c r="D32" s="135"/>
      <c r="E32" s="135"/>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row>
    <row r="33">
      <c r="A33" s="135"/>
      <c r="B33" s="135"/>
      <c r="C33" s="135"/>
      <c r="D33" s="135"/>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row>
    <row r="34">
      <c r="A34" s="135"/>
      <c r="B34" s="135"/>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row>
    <row r="35">
      <c r="A35" s="135"/>
      <c r="B35" s="135"/>
      <c r="C35" s="135"/>
      <c r="D35" s="135"/>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row>
    <row r="36">
      <c r="A36" s="135"/>
      <c r="B36" s="135"/>
      <c r="C36" s="135"/>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row>
    <row r="37">
      <c r="A37" s="135"/>
      <c r="B37" s="135"/>
      <c r="C37" s="135"/>
      <c r="D37" s="135"/>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row>
    <row r="38">
      <c r="A38" s="135"/>
      <c r="B38" s="135"/>
      <c r="C38" s="135"/>
      <c r="D38" s="135"/>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row>
    <row r="39">
      <c r="A39" s="135"/>
      <c r="B39" s="135"/>
      <c r="C39" s="135"/>
      <c r="D39" s="135"/>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row>
    <row r="40">
      <c r="A40" s="135"/>
      <c r="B40" s="135"/>
      <c r="C40" s="135"/>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row>
    <row r="41">
      <c r="A41" s="135"/>
      <c r="B41" s="135"/>
      <c r="C41" s="135"/>
      <c r="D41" s="135"/>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row>
    <row r="42">
      <c r="A42" s="135"/>
      <c r="B42" s="135"/>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35"/>
      <c r="AE42" s="135"/>
      <c r="AF42" s="135"/>
    </row>
    <row r="43">
      <c r="A43" s="135"/>
      <c r="B43" s="135"/>
      <c r="C43" s="135"/>
      <c r="D43" s="135"/>
      <c r="E43" s="135"/>
      <c r="F43" s="135"/>
      <c r="G43" s="135"/>
      <c r="H43" s="135"/>
      <c r="I43" s="135"/>
      <c r="J43" s="135"/>
      <c r="K43" s="135"/>
      <c r="L43" s="135"/>
      <c r="M43" s="135"/>
      <c r="N43" s="135"/>
      <c r="O43" s="135"/>
      <c r="P43" s="135"/>
      <c r="Q43" s="135"/>
      <c r="R43" s="135"/>
      <c r="S43" s="135"/>
      <c r="T43" s="135"/>
      <c r="U43" s="135"/>
      <c r="V43" s="135"/>
      <c r="W43" s="135"/>
      <c r="X43" s="135"/>
      <c r="Y43" s="135"/>
      <c r="Z43" s="135"/>
      <c r="AA43" s="135"/>
      <c r="AB43" s="135"/>
      <c r="AC43" s="135"/>
      <c r="AD43" s="135"/>
      <c r="AE43" s="135"/>
      <c r="AF43" s="135"/>
    </row>
    <row r="44">
      <c r="A44" s="135"/>
      <c r="B44" s="135"/>
      <c r="C44" s="135"/>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row>
    <row r="45">
      <c r="A45" s="135"/>
      <c r="B45" s="135"/>
      <c r="C45" s="135"/>
      <c r="D45" s="135"/>
      <c r="E45" s="135"/>
      <c r="F45" s="135"/>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row>
    <row r="46">
      <c r="A46" s="135"/>
      <c r="B46" s="135"/>
      <c r="C46" s="135"/>
      <c r="D46" s="135"/>
      <c r="E46" s="135"/>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row>
    <row r="47">
      <c r="A47" s="135"/>
      <c r="B47" s="135"/>
      <c r="C47" s="135"/>
      <c r="D47" s="135"/>
      <c r="E47" s="135"/>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row>
    <row r="48">
      <c r="A48" s="135"/>
      <c r="B48" s="135"/>
      <c r="C48" s="135"/>
      <c r="D48" s="135"/>
      <c r="E48" s="135"/>
      <c r="F48" s="135"/>
      <c r="G48" s="135"/>
      <c r="H48" s="135"/>
      <c r="I48" s="135"/>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row>
    <row r="49">
      <c r="A49" s="135"/>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row>
    <row r="50">
      <c r="A50" s="135"/>
      <c r="B50" s="135"/>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row>
    <row r="51">
      <c r="A51" s="135"/>
      <c r="B51" s="135"/>
      <c r="C51" s="135"/>
      <c r="D51" s="135"/>
      <c r="E51" s="135"/>
      <c r="F51" s="135"/>
      <c r="G51" s="135"/>
      <c r="H51" s="135"/>
      <c r="I51" s="135"/>
      <c r="J51" s="135"/>
      <c r="K51" s="135"/>
      <c r="L51" s="135"/>
      <c r="M51" s="135"/>
      <c r="N51" s="135"/>
      <c r="O51" s="135"/>
      <c r="P51" s="135"/>
      <c r="Q51" s="135"/>
      <c r="R51" s="135"/>
      <c r="S51" s="135"/>
      <c r="T51" s="135"/>
      <c r="U51" s="135"/>
      <c r="V51" s="135"/>
      <c r="W51" s="135"/>
      <c r="X51" s="135"/>
      <c r="Y51" s="135"/>
      <c r="Z51" s="135"/>
      <c r="AA51" s="135"/>
      <c r="AB51" s="135"/>
      <c r="AC51" s="135"/>
      <c r="AD51" s="135"/>
      <c r="AE51" s="135"/>
      <c r="AF51" s="135"/>
    </row>
    <row r="52">
      <c r="A52" s="135"/>
      <c r="B52" s="135"/>
      <c r="C52" s="135"/>
      <c r="D52" s="135"/>
      <c r="E52" s="135"/>
      <c r="F52" s="135"/>
      <c r="G52" s="135"/>
      <c r="H52" s="135"/>
      <c r="I52" s="135"/>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row>
    <row r="53">
      <c r="A53" s="135"/>
      <c r="B53" s="135"/>
      <c r="C53" s="135"/>
      <c r="D53" s="135"/>
      <c r="E53" s="135"/>
      <c r="F53" s="135"/>
      <c r="G53" s="135"/>
      <c r="H53" s="135"/>
      <c r="I53" s="135"/>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row>
    <row r="54">
      <c r="A54" s="135"/>
      <c r="B54" s="135"/>
      <c r="C54" s="135"/>
      <c r="D54" s="135"/>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row>
    <row r="55">
      <c r="A55" s="135"/>
      <c r="B55" s="135"/>
      <c r="C55" s="135"/>
      <c r="D55" s="135"/>
      <c r="E55" s="135"/>
      <c r="F55" s="135"/>
      <c r="G55" s="135"/>
      <c r="H55" s="135"/>
      <c r="I55" s="135"/>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row>
    <row r="56">
      <c r="A56" s="135"/>
      <c r="B56" s="135"/>
      <c r="C56" s="135"/>
      <c r="D56" s="135"/>
      <c r="E56" s="135"/>
      <c r="F56" s="135"/>
      <c r="G56" s="135"/>
      <c r="H56" s="135"/>
      <c r="I56" s="135"/>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row>
    <row r="57">
      <c r="A57" s="135"/>
      <c r="B57" s="135"/>
      <c r="C57" s="135"/>
      <c r="D57" s="135"/>
      <c r="E57" s="135"/>
      <c r="F57" s="135"/>
      <c r="G57" s="135"/>
      <c r="H57" s="135"/>
      <c r="I57" s="135"/>
      <c r="J57" s="135"/>
      <c r="K57" s="135"/>
      <c r="L57" s="135"/>
      <c r="M57" s="135"/>
      <c r="N57" s="135"/>
      <c r="O57" s="135"/>
      <c r="P57" s="135"/>
      <c r="Q57" s="135"/>
      <c r="R57" s="135"/>
      <c r="S57" s="135"/>
      <c r="T57" s="135"/>
      <c r="U57" s="135"/>
      <c r="V57" s="135"/>
      <c r="W57" s="135"/>
      <c r="X57" s="135"/>
      <c r="Y57" s="135"/>
      <c r="Z57" s="135"/>
      <c r="AA57" s="135"/>
      <c r="AB57" s="135"/>
      <c r="AC57" s="135"/>
      <c r="AD57" s="135"/>
      <c r="AE57" s="135"/>
      <c r="AF57" s="135"/>
    </row>
    <row r="58">
      <c r="A58" s="135"/>
      <c r="B58" s="135"/>
      <c r="C58" s="135"/>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row>
    <row r="59">
      <c r="A59" s="135"/>
      <c r="B59" s="135"/>
      <c r="C59" s="135"/>
      <c r="D59" s="135"/>
      <c r="E59" s="135"/>
      <c r="F59" s="135"/>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row>
    <row r="60">
      <c r="A60" s="135"/>
      <c r="B60" s="135"/>
      <c r="C60" s="135"/>
      <c r="D60" s="135"/>
      <c r="E60" s="135"/>
      <c r="F60" s="135"/>
      <c r="G60" s="135"/>
      <c r="H60" s="135"/>
      <c r="I60" s="135"/>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row>
    <row r="61">
      <c r="A61" s="135"/>
      <c r="B61" s="135"/>
      <c r="C61" s="135"/>
      <c r="D61" s="135"/>
      <c r="E61" s="135"/>
      <c r="F61" s="135"/>
      <c r="G61" s="135"/>
      <c r="H61" s="135"/>
      <c r="I61" s="135"/>
      <c r="J61" s="135"/>
      <c r="K61" s="135"/>
      <c r="L61" s="135"/>
      <c r="M61" s="135"/>
      <c r="N61" s="135"/>
      <c r="O61" s="135"/>
      <c r="P61" s="135"/>
      <c r="Q61" s="135"/>
      <c r="R61" s="135"/>
      <c r="S61" s="135"/>
      <c r="T61" s="135"/>
      <c r="U61" s="135"/>
      <c r="V61" s="135"/>
      <c r="W61" s="135"/>
      <c r="X61" s="135"/>
      <c r="Y61" s="135"/>
      <c r="Z61" s="135"/>
      <c r="AA61" s="135"/>
      <c r="AB61" s="135"/>
      <c r="AC61" s="135"/>
      <c r="AD61" s="135"/>
      <c r="AE61" s="135"/>
      <c r="AF61" s="135"/>
    </row>
    <row r="62">
      <c r="A62" s="135"/>
      <c r="B62" s="135"/>
      <c r="C62" s="135"/>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row>
    <row r="63">
      <c r="A63" s="135"/>
      <c r="B63" s="135"/>
      <c r="C63" s="135"/>
      <c r="D63" s="135"/>
      <c r="E63" s="135"/>
      <c r="F63" s="135"/>
      <c r="G63" s="135"/>
      <c r="H63" s="135"/>
      <c r="I63" s="135"/>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row>
    <row r="64">
      <c r="A64" s="135"/>
      <c r="B64" s="135"/>
      <c r="C64" s="135"/>
      <c r="D64" s="135"/>
      <c r="E64" s="135"/>
      <c r="F64" s="135"/>
      <c r="G64" s="135"/>
      <c r="H64" s="135"/>
      <c r="I64" s="135"/>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row>
    <row r="65">
      <c r="A65" s="135"/>
      <c r="B65" s="135"/>
      <c r="C65" s="135"/>
      <c r="D65" s="135"/>
      <c r="E65" s="135"/>
      <c r="F65" s="135"/>
      <c r="G65" s="135"/>
      <c r="H65" s="135"/>
      <c r="I65" s="135"/>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row>
    <row r="66">
      <c r="A66" s="135"/>
      <c r="B66" s="135"/>
      <c r="C66" s="135"/>
      <c r="D66" s="135"/>
      <c r="E66" s="135"/>
      <c r="F66" s="135"/>
      <c r="G66" s="135"/>
      <c r="H66" s="135"/>
      <c r="I66" s="135"/>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row>
    <row r="67">
      <c r="A67" s="135"/>
      <c r="B67" s="135"/>
      <c r="C67" s="135"/>
      <c r="D67" s="135"/>
      <c r="E67" s="135"/>
      <c r="F67" s="135"/>
      <c r="G67" s="135"/>
      <c r="H67" s="135"/>
      <c r="I67" s="135"/>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row>
    <row r="68">
      <c r="A68" s="135"/>
      <c r="B68" s="135"/>
      <c r="C68" s="135"/>
      <c r="D68" s="135"/>
      <c r="E68" s="135"/>
      <c r="F68" s="135"/>
      <c r="G68" s="135"/>
      <c r="H68" s="135"/>
      <c r="I68" s="135"/>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row>
    <row r="69">
      <c r="A69" s="135"/>
      <c r="B69" s="135"/>
      <c r="C69" s="135"/>
      <c r="D69" s="135"/>
      <c r="E69" s="135"/>
      <c r="F69" s="135"/>
      <c r="G69" s="135"/>
      <c r="H69" s="135"/>
      <c r="I69" s="135"/>
      <c r="J69" s="135"/>
      <c r="K69" s="135"/>
      <c r="L69" s="135"/>
      <c r="M69" s="135"/>
      <c r="N69" s="135"/>
      <c r="O69" s="135"/>
      <c r="P69" s="135"/>
      <c r="Q69" s="135"/>
      <c r="R69" s="135"/>
      <c r="S69" s="135"/>
      <c r="T69" s="135"/>
      <c r="U69" s="135"/>
      <c r="V69" s="135"/>
      <c r="W69" s="135"/>
      <c r="X69" s="135"/>
      <c r="Y69" s="135"/>
      <c r="Z69" s="135"/>
      <c r="AA69" s="135"/>
      <c r="AB69" s="135"/>
      <c r="AC69" s="135"/>
      <c r="AD69" s="135"/>
      <c r="AE69" s="135"/>
      <c r="AF69" s="135"/>
    </row>
    <row r="70">
      <c r="A70" s="135"/>
      <c r="B70" s="135"/>
      <c r="C70" s="135"/>
      <c r="D70" s="135"/>
      <c r="E70" s="135"/>
      <c r="F70" s="135"/>
      <c r="G70" s="135"/>
      <c r="H70" s="135"/>
      <c r="I70" s="135"/>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row>
    <row r="71">
      <c r="A71" s="135"/>
      <c r="B71" s="135"/>
      <c r="C71" s="135"/>
      <c r="D71" s="135"/>
      <c r="E71" s="135"/>
      <c r="F71" s="135"/>
      <c r="G71" s="135"/>
      <c r="H71" s="135"/>
      <c r="I71" s="135"/>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row>
    <row r="72">
      <c r="A72" s="135"/>
      <c r="B72" s="135"/>
      <c r="C72" s="135"/>
      <c r="D72" s="135"/>
      <c r="E72" s="135"/>
      <c r="F72" s="135"/>
      <c r="G72" s="135"/>
      <c r="H72" s="135"/>
      <c r="I72" s="135"/>
      <c r="J72" s="135"/>
      <c r="K72" s="135"/>
      <c r="L72" s="135"/>
      <c r="M72" s="135"/>
      <c r="N72" s="135"/>
      <c r="O72" s="135"/>
      <c r="P72" s="135"/>
      <c r="Q72" s="135"/>
      <c r="R72" s="135"/>
      <c r="S72" s="135"/>
      <c r="T72" s="135"/>
      <c r="U72" s="135"/>
      <c r="V72" s="135"/>
      <c r="W72" s="135"/>
      <c r="X72" s="135"/>
      <c r="Y72" s="135"/>
      <c r="Z72" s="135"/>
      <c r="AA72" s="135"/>
      <c r="AB72" s="135"/>
      <c r="AC72" s="135"/>
      <c r="AD72" s="135"/>
      <c r="AE72" s="135"/>
      <c r="AF72" s="135"/>
    </row>
    <row r="73">
      <c r="A73" s="135"/>
      <c r="B73" s="135"/>
      <c r="C73" s="135"/>
      <c r="D73" s="135"/>
      <c r="E73" s="135"/>
      <c r="F73" s="135"/>
      <c r="G73" s="135"/>
      <c r="H73" s="135"/>
      <c r="I73" s="135"/>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row>
    <row r="74">
      <c r="A74" s="135"/>
      <c r="B74" s="135"/>
      <c r="C74" s="135"/>
      <c r="D74" s="135"/>
      <c r="E74" s="135"/>
      <c r="F74" s="135"/>
      <c r="G74" s="135"/>
      <c r="H74" s="135"/>
      <c r="I74" s="135"/>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row>
    <row r="75">
      <c r="A75" s="135"/>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row>
    <row r="76">
      <c r="A76" s="135"/>
      <c r="B76" s="135"/>
      <c r="C76" s="135"/>
      <c r="D76" s="135"/>
      <c r="E76" s="135"/>
      <c r="F76" s="135"/>
      <c r="G76" s="135"/>
      <c r="H76" s="135"/>
      <c r="I76" s="135"/>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row>
    <row r="77">
      <c r="A77" s="135"/>
      <c r="B77" s="135"/>
      <c r="C77" s="135"/>
      <c r="D77" s="135"/>
      <c r="E77" s="135"/>
      <c r="F77" s="135"/>
      <c r="G77" s="135"/>
      <c r="H77" s="135"/>
      <c r="I77" s="135"/>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row>
    <row r="78">
      <c r="A78" s="135"/>
      <c r="B78" s="135"/>
      <c r="C78" s="135"/>
      <c r="D78" s="135"/>
      <c r="E78" s="135"/>
      <c r="F78" s="135"/>
      <c r="G78" s="135"/>
      <c r="H78" s="135"/>
      <c r="I78" s="135"/>
      <c r="J78" s="135"/>
      <c r="K78" s="135"/>
      <c r="L78" s="135"/>
      <c r="M78" s="135"/>
      <c r="N78" s="135"/>
      <c r="O78" s="135"/>
      <c r="P78" s="135"/>
      <c r="Q78" s="135"/>
      <c r="R78" s="135"/>
      <c r="S78" s="135"/>
      <c r="T78" s="135"/>
      <c r="U78" s="135"/>
      <c r="V78" s="135"/>
      <c r="W78" s="135"/>
      <c r="X78" s="135"/>
      <c r="Y78" s="135"/>
      <c r="Z78" s="135"/>
      <c r="AA78" s="135"/>
      <c r="AB78" s="135"/>
      <c r="AC78" s="135"/>
      <c r="AD78" s="135"/>
      <c r="AE78" s="135"/>
      <c r="AF78" s="135"/>
    </row>
    <row r="79">
      <c r="A79" s="135"/>
      <c r="B79" s="135"/>
      <c r="C79" s="135"/>
      <c r="D79" s="135"/>
      <c r="E79" s="135"/>
      <c r="F79" s="135"/>
      <c r="G79" s="135"/>
      <c r="H79" s="135"/>
      <c r="I79" s="135"/>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row>
    <row r="80">
      <c r="A80" s="135"/>
      <c r="B80" s="135"/>
      <c r="C80" s="135"/>
      <c r="D80" s="135"/>
      <c r="E80" s="135"/>
      <c r="F80" s="135"/>
      <c r="G80" s="135"/>
      <c r="H80" s="135"/>
      <c r="I80" s="135"/>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row>
    <row r="81">
      <c r="A81" s="135"/>
      <c r="B81" s="135"/>
      <c r="C81" s="135"/>
      <c r="D81" s="135"/>
      <c r="E81" s="135"/>
      <c r="F81" s="135"/>
      <c r="G81" s="135"/>
      <c r="H81" s="135"/>
      <c r="I81" s="135"/>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row>
    <row r="82">
      <c r="A82" s="135"/>
      <c r="B82" s="135"/>
      <c r="C82" s="135"/>
      <c r="D82" s="135"/>
      <c r="E82" s="135"/>
      <c r="F82" s="135"/>
      <c r="G82" s="135"/>
      <c r="H82" s="135"/>
      <c r="I82" s="135"/>
      <c r="J82" s="135"/>
      <c r="K82" s="135"/>
      <c r="L82" s="135"/>
      <c r="M82" s="135"/>
      <c r="N82" s="135"/>
      <c r="O82" s="135"/>
      <c r="P82" s="135"/>
      <c r="Q82" s="135"/>
      <c r="R82" s="135"/>
      <c r="S82" s="135"/>
      <c r="T82" s="135"/>
      <c r="U82" s="135"/>
      <c r="V82" s="135"/>
      <c r="W82" s="135"/>
      <c r="X82" s="135"/>
      <c r="Y82" s="135"/>
      <c r="Z82" s="135"/>
      <c r="AA82" s="135"/>
      <c r="AB82" s="135"/>
      <c r="AC82" s="135"/>
      <c r="AD82" s="135"/>
      <c r="AE82" s="135"/>
      <c r="AF82" s="135"/>
    </row>
    <row r="83">
      <c r="A83" s="135"/>
      <c r="B83" s="135"/>
      <c r="C83" s="135"/>
      <c r="D83" s="135"/>
      <c r="E83" s="135"/>
      <c r="F83" s="135"/>
      <c r="G83" s="135"/>
      <c r="H83" s="135"/>
      <c r="I83" s="135"/>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row>
    <row r="84">
      <c r="A84" s="135"/>
      <c r="B84" s="135"/>
      <c r="C84" s="135"/>
      <c r="D84" s="135"/>
      <c r="E84" s="135"/>
      <c r="F84" s="135"/>
      <c r="G84" s="135"/>
      <c r="H84" s="135"/>
      <c r="I84" s="135"/>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row>
    <row r="85">
      <c r="A85" s="135"/>
      <c r="B85" s="135"/>
      <c r="C85" s="135"/>
      <c r="D85" s="135"/>
      <c r="E85" s="135"/>
      <c r="F85" s="135"/>
      <c r="G85" s="135"/>
      <c r="H85" s="135"/>
      <c r="I85" s="135"/>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row>
    <row r="86">
      <c r="A86" s="135"/>
      <c r="B86" s="135"/>
      <c r="C86" s="135"/>
      <c r="D86" s="135"/>
      <c r="E86" s="135"/>
      <c r="F86" s="135"/>
      <c r="G86" s="135"/>
      <c r="H86" s="135"/>
      <c r="I86" s="135"/>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row>
    <row r="87">
      <c r="A87" s="135"/>
      <c r="B87" s="135"/>
      <c r="C87" s="135"/>
      <c r="D87" s="135"/>
      <c r="E87" s="135"/>
      <c r="F87" s="135"/>
      <c r="G87" s="135"/>
      <c r="H87" s="135"/>
      <c r="I87" s="135"/>
      <c r="J87" s="135"/>
      <c r="K87" s="135"/>
      <c r="L87" s="135"/>
      <c r="M87" s="135"/>
      <c r="N87" s="135"/>
      <c r="O87" s="135"/>
      <c r="P87" s="135"/>
      <c r="Q87" s="135"/>
      <c r="R87" s="135"/>
      <c r="S87" s="135"/>
      <c r="T87" s="135"/>
      <c r="U87" s="135"/>
      <c r="V87" s="135"/>
      <c r="W87" s="135"/>
      <c r="X87" s="135"/>
      <c r="Y87" s="135"/>
      <c r="Z87" s="135"/>
      <c r="AA87" s="135"/>
      <c r="AB87" s="135"/>
      <c r="AC87" s="135"/>
      <c r="AD87" s="135"/>
      <c r="AE87" s="135"/>
      <c r="AF87" s="135"/>
    </row>
    <row r="88">
      <c r="A88" s="135"/>
      <c r="B88" s="135"/>
      <c r="C88" s="135"/>
      <c r="D88" s="135"/>
      <c r="E88" s="135"/>
      <c r="F88" s="135"/>
      <c r="G88" s="135"/>
      <c r="H88" s="135"/>
      <c r="I88" s="135"/>
      <c r="J88" s="135"/>
      <c r="K88" s="135"/>
      <c r="L88" s="135"/>
      <c r="M88" s="135"/>
      <c r="N88" s="135"/>
      <c r="O88" s="135"/>
      <c r="P88" s="135"/>
      <c r="Q88" s="135"/>
      <c r="R88" s="135"/>
      <c r="S88" s="135"/>
      <c r="T88" s="135"/>
      <c r="U88" s="135"/>
      <c r="V88" s="135"/>
      <c r="W88" s="135"/>
      <c r="X88" s="135"/>
      <c r="Y88" s="135"/>
      <c r="Z88" s="135"/>
      <c r="AA88" s="135"/>
      <c r="AB88" s="135"/>
      <c r="AC88" s="135"/>
      <c r="AD88" s="135"/>
      <c r="AE88" s="135"/>
      <c r="AF88" s="135"/>
    </row>
    <row r="89">
      <c r="A89" s="135"/>
      <c r="B89" s="135"/>
      <c r="C89" s="135"/>
      <c r="D89" s="135"/>
      <c r="E89" s="135"/>
      <c r="F89" s="135"/>
      <c r="G89" s="135"/>
      <c r="H89" s="135"/>
      <c r="I89" s="135"/>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row>
    <row r="90">
      <c r="A90" s="135"/>
      <c r="B90" s="135"/>
      <c r="C90" s="135"/>
      <c r="D90" s="135"/>
      <c r="E90" s="135"/>
      <c r="F90" s="135"/>
      <c r="G90" s="135"/>
      <c r="H90" s="135"/>
      <c r="I90" s="135"/>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row>
    <row r="91">
      <c r="A91" s="135"/>
      <c r="B91" s="135"/>
      <c r="C91" s="135"/>
      <c r="D91" s="135"/>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row>
    <row r="92">
      <c r="A92" s="135"/>
      <c r="B92" s="135"/>
      <c r="C92" s="135"/>
      <c r="D92" s="135"/>
      <c r="E92" s="135"/>
      <c r="F92" s="135"/>
      <c r="G92" s="135"/>
      <c r="H92" s="135"/>
      <c r="I92" s="135"/>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row>
    <row r="93">
      <c r="A93" s="135"/>
      <c r="B93" s="135"/>
      <c r="C93" s="135"/>
      <c r="D93" s="135"/>
      <c r="E93" s="135"/>
      <c r="F93" s="135"/>
      <c r="G93" s="135"/>
      <c r="H93" s="135"/>
      <c r="I93" s="135"/>
      <c r="J93" s="135"/>
      <c r="K93" s="135"/>
      <c r="L93" s="135"/>
      <c r="M93" s="135"/>
      <c r="N93" s="135"/>
      <c r="O93" s="135"/>
      <c r="P93" s="135"/>
      <c r="Q93" s="135"/>
      <c r="R93" s="135"/>
      <c r="S93" s="135"/>
      <c r="T93" s="135"/>
      <c r="U93" s="135"/>
      <c r="V93" s="135"/>
      <c r="W93" s="135"/>
      <c r="X93" s="135"/>
      <c r="Y93" s="135"/>
      <c r="Z93" s="135"/>
      <c r="AA93" s="135"/>
      <c r="AB93" s="135"/>
      <c r="AC93" s="135"/>
      <c r="AD93" s="135"/>
      <c r="AE93" s="135"/>
      <c r="AF93" s="135"/>
    </row>
    <row r="94">
      <c r="A94" s="135"/>
      <c r="B94" s="135"/>
      <c r="C94" s="135"/>
      <c r="D94" s="135"/>
      <c r="E94" s="135"/>
      <c r="F94" s="135"/>
      <c r="G94" s="135"/>
      <c r="H94" s="135"/>
      <c r="I94" s="135"/>
      <c r="J94" s="135"/>
      <c r="K94" s="135"/>
      <c r="L94" s="135"/>
      <c r="M94" s="135"/>
      <c r="N94" s="135"/>
      <c r="O94" s="135"/>
      <c r="P94" s="135"/>
      <c r="Q94" s="135"/>
      <c r="R94" s="135"/>
      <c r="S94" s="135"/>
      <c r="T94" s="135"/>
      <c r="U94" s="135"/>
      <c r="V94" s="135"/>
      <c r="W94" s="135"/>
      <c r="X94" s="135"/>
      <c r="Y94" s="135"/>
      <c r="Z94" s="135"/>
      <c r="AA94" s="135"/>
      <c r="AB94" s="135"/>
      <c r="AC94" s="135"/>
      <c r="AD94" s="135"/>
      <c r="AE94" s="135"/>
      <c r="AF94" s="135"/>
    </row>
    <row r="95">
      <c r="A95" s="135"/>
      <c r="B95" s="135"/>
      <c r="C95" s="135"/>
      <c r="D95" s="135"/>
      <c r="E95" s="135"/>
      <c r="F95" s="135"/>
      <c r="G95" s="135"/>
      <c r="H95" s="135"/>
      <c r="I95" s="135"/>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row>
    <row r="96">
      <c r="A96" s="135"/>
      <c r="B96" s="135"/>
      <c r="C96" s="135"/>
      <c r="D96" s="135"/>
      <c r="E96" s="135"/>
      <c r="F96" s="135"/>
      <c r="G96" s="135"/>
      <c r="H96" s="135"/>
      <c r="I96" s="135"/>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row>
    <row r="97">
      <c r="A97" s="135"/>
      <c r="B97" s="135"/>
      <c r="C97" s="135"/>
      <c r="D97" s="135"/>
      <c r="E97" s="135"/>
      <c r="F97" s="135"/>
      <c r="G97" s="135"/>
      <c r="H97" s="135"/>
      <c r="I97" s="135"/>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row>
    <row r="98">
      <c r="A98" s="135"/>
      <c r="B98" s="135"/>
      <c r="C98" s="135"/>
      <c r="D98" s="135"/>
      <c r="E98" s="135"/>
      <c r="F98" s="135"/>
      <c r="G98" s="135"/>
      <c r="H98" s="135"/>
      <c r="I98" s="135"/>
      <c r="J98" s="135"/>
      <c r="K98" s="135"/>
      <c r="L98" s="135"/>
      <c r="M98" s="135"/>
      <c r="N98" s="135"/>
      <c r="O98" s="135"/>
      <c r="P98" s="135"/>
      <c r="Q98" s="135"/>
      <c r="R98" s="135"/>
      <c r="S98" s="135"/>
      <c r="T98" s="135"/>
      <c r="U98" s="135"/>
      <c r="V98" s="135"/>
      <c r="W98" s="135"/>
      <c r="X98" s="135"/>
      <c r="Y98" s="135"/>
      <c r="Z98" s="135"/>
      <c r="AA98" s="135"/>
      <c r="AB98" s="135"/>
      <c r="AC98" s="135"/>
      <c r="AD98" s="135"/>
      <c r="AE98" s="135"/>
      <c r="AF98" s="135"/>
    </row>
    <row r="99">
      <c r="A99" s="135"/>
      <c r="B99" s="135"/>
      <c r="C99" s="135"/>
      <c r="D99" s="135"/>
      <c r="E99" s="135"/>
      <c r="F99" s="135"/>
      <c r="G99" s="135"/>
      <c r="H99" s="135"/>
      <c r="I99" s="135"/>
      <c r="J99" s="135"/>
      <c r="K99" s="135"/>
      <c r="L99" s="135"/>
      <c r="M99" s="135"/>
      <c r="N99" s="135"/>
      <c r="O99" s="135"/>
      <c r="P99" s="135"/>
      <c r="Q99" s="135"/>
      <c r="R99" s="135"/>
      <c r="S99" s="135"/>
      <c r="T99" s="135"/>
      <c r="U99" s="135"/>
      <c r="V99" s="135"/>
      <c r="W99" s="135"/>
      <c r="X99" s="135"/>
      <c r="Y99" s="135"/>
      <c r="Z99" s="135"/>
      <c r="AA99" s="135"/>
      <c r="AB99" s="135"/>
      <c r="AC99" s="135"/>
      <c r="AD99" s="135"/>
      <c r="AE99" s="135"/>
      <c r="AF99" s="135"/>
    </row>
    <row r="100">
      <c r="A100" s="135"/>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row>
    <row r="101">
      <c r="A101" s="13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row>
    <row r="102">
      <c r="A102" s="135"/>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row>
    <row r="103">
      <c r="A103" s="135"/>
      <c r="B103" s="135"/>
      <c r="C103" s="135"/>
      <c r="D103" s="135"/>
      <c r="E103" s="135"/>
      <c r="F103" s="135"/>
      <c r="G103" s="135"/>
      <c r="H103" s="135"/>
      <c r="I103" s="135"/>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row>
    <row r="104">
      <c r="A104" s="135"/>
      <c r="B104" s="135"/>
      <c r="C104" s="135"/>
      <c r="D104" s="135"/>
      <c r="E104" s="135"/>
      <c r="F104" s="135"/>
      <c r="G104" s="135"/>
      <c r="H104" s="135"/>
      <c r="I104" s="135"/>
      <c r="J104" s="135"/>
      <c r="K104" s="135"/>
      <c r="L104" s="135"/>
      <c r="M104" s="135"/>
      <c r="N104" s="135"/>
      <c r="O104" s="135"/>
      <c r="P104" s="135"/>
      <c r="Q104" s="135"/>
      <c r="R104" s="135"/>
      <c r="S104" s="135"/>
      <c r="T104" s="135"/>
      <c r="U104" s="135"/>
      <c r="V104" s="135"/>
      <c r="W104" s="135"/>
      <c r="X104" s="135"/>
      <c r="Y104" s="135"/>
      <c r="Z104" s="135"/>
      <c r="AA104" s="135"/>
      <c r="AB104" s="135"/>
      <c r="AC104" s="135"/>
      <c r="AD104" s="135"/>
      <c r="AE104" s="135"/>
      <c r="AF104" s="135"/>
    </row>
    <row r="105">
      <c r="A105" s="135"/>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row>
    <row r="106">
      <c r="A106" s="135"/>
      <c r="B106" s="135"/>
      <c r="C106" s="135"/>
      <c r="D106" s="135"/>
      <c r="E106" s="135"/>
      <c r="F106" s="135"/>
      <c r="G106" s="135"/>
      <c r="H106" s="135"/>
      <c r="I106" s="135"/>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row>
    <row r="107">
      <c r="A107" s="135"/>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row>
    <row r="108">
      <c r="A108" s="13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135"/>
      <c r="AD108" s="135"/>
      <c r="AE108" s="135"/>
      <c r="AF108" s="135"/>
    </row>
    <row r="109">
      <c r="A109" s="135"/>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row>
    <row r="110">
      <c r="A110" s="13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row>
    <row r="111">
      <c r="A111" s="135"/>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row>
    <row r="112">
      <c r="A112" s="135"/>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c r="X112" s="135"/>
      <c r="Y112" s="135"/>
      <c r="Z112" s="135"/>
      <c r="AA112" s="135"/>
      <c r="AB112" s="135"/>
      <c r="AC112" s="135"/>
      <c r="AD112" s="135"/>
      <c r="AE112" s="135"/>
      <c r="AF112" s="135"/>
    </row>
    <row r="113">
      <c r="A113" s="135"/>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row>
    <row r="114">
      <c r="A114" s="135"/>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row>
    <row r="115">
      <c r="A115" s="135"/>
      <c r="B115" s="135"/>
      <c r="C115" s="135"/>
      <c r="D115" s="135"/>
      <c r="E115" s="135"/>
      <c r="F115" s="135"/>
      <c r="G115" s="135"/>
      <c r="H115" s="135"/>
      <c r="I115" s="135"/>
      <c r="J115" s="135"/>
      <c r="K115" s="135"/>
      <c r="L115" s="135"/>
      <c r="M115" s="135"/>
      <c r="N115" s="135"/>
      <c r="O115" s="135"/>
      <c r="P115" s="135"/>
      <c r="Q115" s="135"/>
      <c r="R115" s="135"/>
      <c r="S115" s="135"/>
      <c r="T115" s="135"/>
      <c r="U115" s="135"/>
      <c r="V115" s="135"/>
      <c r="W115" s="135"/>
      <c r="X115" s="135"/>
      <c r="Y115" s="135"/>
      <c r="Z115" s="135"/>
      <c r="AA115" s="135"/>
      <c r="AB115" s="135"/>
      <c r="AC115" s="135"/>
      <c r="AD115" s="135"/>
      <c r="AE115" s="135"/>
      <c r="AF115" s="135"/>
    </row>
    <row r="116">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c r="X116" s="135"/>
      <c r="Y116" s="135"/>
      <c r="Z116" s="135"/>
      <c r="AA116" s="135"/>
      <c r="AB116" s="135"/>
      <c r="AC116" s="135"/>
      <c r="AD116" s="135"/>
      <c r="AE116" s="135"/>
      <c r="AF116" s="135"/>
    </row>
    <row r="117">
      <c r="A117" s="135"/>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c r="X117" s="135"/>
      <c r="Y117" s="135"/>
      <c r="Z117" s="135"/>
      <c r="AA117" s="135"/>
      <c r="AB117" s="135"/>
      <c r="AC117" s="135"/>
      <c r="AD117" s="135"/>
      <c r="AE117" s="135"/>
      <c r="AF117" s="135"/>
    </row>
    <row r="118">
      <c r="A118" s="135"/>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c r="X118" s="135"/>
      <c r="Y118" s="135"/>
      <c r="Z118" s="135"/>
      <c r="AA118" s="135"/>
      <c r="AB118" s="135"/>
      <c r="AC118" s="135"/>
      <c r="AD118" s="135"/>
      <c r="AE118" s="135"/>
      <c r="AF118" s="135"/>
    </row>
    <row r="119">
      <c r="A119" s="135"/>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c r="X119" s="135"/>
      <c r="Y119" s="135"/>
      <c r="Z119" s="135"/>
      <c r="AA119" s="135"/>
      <c r="AB119" s="135"/>
      <c r="AC119" s="135"/>
      <c r="AD119" s="135"/>
      <c r="AE119" s="135"/>
      <c r="AF119" s="135"/>
    </row>
    <row r="120">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c r="X120" s="135"/>
      <c r="Y120" s="135"/>
      <c r="Z120" s="135"/>
      <c r="AA120" s="135"/>
      <c r="AB120" s="135"/>
      <c r="AC120" s="135"/>
      <c r="AD120" s="135"/>
      <c r="AE120" s="135"/>
      <c r="AF120" s="135"/>
    </row>
    <row r="121">
      <c r="A121" s="135"/>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c r="X121" s="135"/>
      <c r="Y121" s="135"/>
      <c r="Z121" s="135"/>
      <c r="AA121" s="135"/>
      <c r="AB121" s="135"/>
      <c r="AC121" s="135"/>
      <c r="AD121" s="135"/>
      <c r="AE121" s="135"/>
      <c r="AF121" s="135"/>
    </row>
    <row r="122">
      <c r="A122" s="135"/>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c r="X122" s="135"/>
      <c r="Y122" s="135"/>
      <c r="Z122" s="135"/>
      <c r="AA122" s="135"/>
      <c r="AB122" s="135"/>
      <c r="AC122" s="135"/>
      <c r="AD122" s="135"/>
      <c r="AE122" s="135"/>
      <c r="AF122" s="135"/>
    </row>
    <row r="123">
      <c r="A123" s="135"/>
      <c r="B123" s="135"/>
      <c r="C123" s="135"/>
      <c r="D123" s="135"/>
      <c r="E123" s="135"/>
      <c r="F123" s="135"/>
      <c r="G123" s="135"/>
      <c r="H123" s="135"/>
      <c r="I123" s="135"/>
      <c r="J123" s="135"/>
      <c r="K123" s="135"/>
      <c r="L123" s="135"/>
      <c r="M123" s="135"/>
      <c r="N123" s="135"/>
      <c r="O123" s="135"/>
      <c r="P123" s="135"/>
      <c r="Q123" s="135"/>
      <c r="R123" s="135"/>
      <c r="S123" s="135"/>
      <c r="T123" s="135"/>
      <c r="U123" s="135"/>
      <c r="V123" s="135"/>
      <c r="W123" s="135"/>
      <c r="X123" s="135"/>
      <c r="Y123" s="135"/>
      <c r="Z123" s="135"/>
      <c r="AA123" s="135"/>
      <c r="AB123" s="135"/>
      <c r="AC123" s="135"/>
      <c r="AD123" s="135"/>
      <c r="AE123" s="135"/>
      <c r="AF123" s="135"/>
    </row>
    <row r="124">
      <c r="A124" s="13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c r="X124" s="135"/>
      <c r="Y124" s="135"/>
      <c r="Z124" s="135"/>
      <c r="AA124" s="135"/>
      <c r="AB124" s="135"/>
      <c r="AC124" s="135"/>
      <c r="AD124" s="135"/>
      <c r="AE124" s="135"/>
      <c r="AF124" s="135"/>
    </row>
    <row r="125">
      <c r="A125" s="13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c r="X125" s="135"/>
      <c r="Y125" s="135"/>
      <c r="Z125" s="135"/>
      <c r="AA125" s="135"/>
      <c r="AB125" s="135"/>
      <c r="AC125" s="135"/>
      <c r="AD125" s="135"/>
      <c r="AE125" s="135"/>
      <c r="AF125" s="135"/>
    </row>
    <row r="126">
      <c r="A126" s="13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c r="X126" s="135"/>
      <c r="Y126" s="135"/>
      <c r="Z126" s="135"/>
      <c r="AA126" s="135"/>
      <c r="AB126" s="135"/>
      <c r="AC126" s="135"/>
      <c r="AD126" s="135"/>
      <c r="AE126" s="135"/>
      <c r="AF126" s="135"/>
    </row>
    <row r="127">
      <c r="A127" s="13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135"/>
      <c r="AD127" s="135"/>
      <c r="AE127" s="135"/>
      <c r="AF127" s="135"/>
    </row>
    <row r="128">
      <c r="A128" s="13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c r="X128" s="135"/>
      <c r="Y128" s="135"/>
      <c r="Z128" s="135"/>
      <c r="AA128" s="135"/>
      <c r="AB128" s="135"/>
      <c r="AC128" s="135"/>
      <c r="AD128" s="135"/>
      <c r="AE128" s="135"/>
      <c r="AF128" s="135"/>
    </row>
    <row r="129">
      <c r="A129" s="135"/>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c r="X129" s="135"/>
      <c r="Y129" s="135"/>
      <c r="Z129" s="135"/>
      <c r="AA129" s="135"/>
      <c r="AB129" s="135"/>
      <c r="AC129" s="135"/>
      <c r="AD129" s="135"/>
      <c r="AE129" s="135"/>
      <c r="AF129" s="135"/>
    </row>
    <row r="130">
      <c r="A130" s="135"/>
      <c r="B130" s="135"/>
      <c r="C130" s="135"/>
      <c r="D130" s="135"/>
      <c r="E130" s="135"/>
      <c r="F130" s="135"/>
      <c r="G130" s="135"/>
      <c r="H130" s="135"/>
      <c r="I130" s="135"/>
      <c r="J130" s="135"/>
      <c r="K130" s="135"/>
      <c r="L130" s="135"/>
      <c r="M130" s="135"/>
      <c r="N130" s="135"/>
      <c r="O130" s="135"/>
      <c r="P130" s="135"/>
      <c r="Q130" s="135"/>
      <c r="R130" s="135"/>
      <c r="S130" s="135"/>
      <c r="T130" s="135"/>
      <c r="U130" s="135"/>
      <c r="V130" s="135"/>
      <c r="W130" s="135"/>
      <c r="X130" s="135"/>
      <c r="Y130" s="135"/>
      <c r="Z130" s="135"/>
      <c r="AA130" s="135"/>
      <c r="AB130" s="135"/>
      <c r="AC130" s="135"/>
      <c r="AD130" s="135"/>
      <c r="AE130" s="135"/>
      <c r="AF130" s="135"/>
    </row>
    <row r="131">
      <c r="A131" s="135"/>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c r="X131" s="135"/>
      <c r="Y131" s="135"/>
      <c r="Z131" s="135"/>
      <c r="AA131" s="135"/>
      <c r="AB131" s="135"/>
      <c r="AC131" s="135"/>
      <c r="AD131" s="135"/>
      <c r="AE131" s="135"/>
      <c r="AF131" s="135"/>
    </row>
    <row r="132">
      <c r="A132" s="135"/>
      <c r="B132" s="135"/>
      <c r="C132" s="135"/>
      <c r="D132" s="135"/>
      <c r="E132" s="135"/>
      <c r="F132" s="135"/>
      <c r="G132" s="135"/>
      <c r="H132" s="135"/>
      <c r="I132" s="135"/>
      <c r="J132" s="135"/>
      <c r="K132" s="135"/>
      <c r="L132" s="135"/>
      <c r="M132" s="135"/>
      <c r="N132" s="135"/>
      <c r="O132" s="135"/>
      <c r="P132" s="135"/>
      <c r="Q132" s="135"/>
      <c r="R132" s="135"/>
      <c r="S132" s="135"/>
      <c r="T132" s="135"/>
      <c r="U132" s="135"/>
      <c r="V132" s="135"/>
      <c r="W132" s="135"/>
      <c r="X132" s="135"/>
      <c r="Y132" s="135"/>
      <c r="Z132" s="135"/>
      <c r="AA132" s="135"/>
      <c r="AB132" s="135"/>
      <c r="AC132" s="135"/>
      <c r="AD132" s="135"/>
      <c r="AE132" s="135"/>
      <c r="AF132" s="135"/>
    </row>
    <row r="133">
      <c r="A133" s="135"/>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c r="X133" s="135"/>
      <c r="Y133" s="135"/>
      <c r="Z133" s="135"/>
      <c r="AA133" s="135"/>
      <c r="AB133" s="135"/>
      <c r="AC133" s="135"/>
      <c r="AD133" s="135"/>
      <c r="AE133" s="135"/>
      <c r="AF133" s="135"/>
    </row>
    <row r="134">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c r="X134" s="135"/>
      <c r="Y134" s="135"/>
      <c r="Z134" s="135"/>
      <c r="AA134" s="135"/>
      <c r="AB134" s="135"/>
      <c r="AC134" s="135"/>
      <c r="AD134" s="135"/>
      <c r="AE134" s="135"/>
      <c r="AF134" s="135"/>
    </row>
    <row r="135">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c r="X135" s="135"/>
      <c r="Y135" s="135"/>
      <c r="Z135" s="135"/>
      <c r="AA135" s="135"/>
      <c r="AB135" s="135"/>
      <c r="AC135" s="135"/>
      <c r="AD135" s="135"/>
      <c r="AE135" s="135"/>
      <c r="AF135" s="135"/>
    </row>
    <row r="136">
      <c r="A136" s="135"/>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c r="X136" s="135"/>
      <c r="Y136" s="135"/>
      <c r="Z136" s="135"/>
      <c r="AA136" s="135"/>
      <c r="AB136" s="135"/>
      <c r="AC136" s="135"/>
      <c r="AD136" s="135"/>
      <c r="AE136" s="135"/>
      <c r="AF136" s="135"/>
    </row>
    <row r="137">
      <c r="A137" s="135"/>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c r="X137" s="135"/>
      <c r="Y137" s="135"/>
      <c r="Z137" s="135"/>
      <c r="AA137" s="135"/>
      <c r="AB137" s="135"/>
      <c r="AC137" s="135"/>
      <c r="AD137" s="135"/>
      <c r="AE137" s="135"/>
      <c r="AF137" s="135"/>
    </row>
    <row r="138">
      <c r="A138" s="135"/>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c r="X138" s="135"/>
      <c r="Y138" s="135"/>
      <c r="Z138" s="135"/>
      <c r="AA138" s="135"/>
      <c r="AB138" s="135"/>
      <c r="AC138" s="135"/>
      <c r="AD138" s="135"/>
      <c r="AE138" s="135"/>
      <c r="AF138" s="135"/>
    </row>
    <row r="139">
      <c r="A139" s="135"/>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c r="X139" s="135"/>
      <c r="Y139" s="135"/>
      <c r="Z139" s="135"/>
      <c r="AA139" s="135"/>
      <c r="AB139" s="135"/>
      <c r="AC139" s="135"/>
      <c r="AD139" s="135"/>
      <c r="AE139" s="135"/>
      <c r="AF139" s="135"/>
    </row>
    <row r="140">
      <c r="A140" s="135"/>
      <c r="B140" s="135"/>
      <c r="C140" s="135"/>
      <c r="D140" s="135"/>
      <c r="E140" s="135"/>
      <c r="F140" s="135"/>
      <c r="G140" s="135"/>
      <c r="H140" s="135"/>
      <c r="I140" s="135"/>
      <c r="J140" s="135"/>
      <c r="K140" s="135"/>
      <c r="L140" s="135"/>
      <c r="M140" s="135"/>
      <c r="N140" s="135"/>
      <c r="O140" s="135"/>
      <c r="P140" s="135"/>
      <c r="Q140" s="135"/>
      <c r="R140" s="135"/>
      <c r="S140" s="135"/>
      <c r="T140" s="135"/>
      <c r="U140" s="135"/>
      <c r="V140" s="135"/>
      <c r="W140" s="135"/>
      <c r="X140" s="135"/>
      <c r="Y140" s="135"/>
      <c r="Z140" s="135"/>
      <c r="AA140" s="135"/>
      <c r="AB140" s="135"/>
      <c r="AC140" s="135"/>
      <c r="AD140" s="135"/>
      <c r="AE140" s="135"/>
      <c r="AF140" s="135"/>
    </row>
    <row r="141">
      <c r="A141" s="135"/>
      <c r="B141" s="135"/>
      <c r="C141" s="135"/>
      <c r="D141" s="135"/>
      <c r="E141" s="135"/>
      <c r="F141" s="135"/>
      <c r="G141" s="135"/>
      <c r="H141" s="135"/>
      <c r="I141" s="135"/>
      <c r="J141" s="135"/>
      <c r="K141" s="135"/>
      <c r="L141" s="135"/>
      <c r="M141" s="135"/>
      <c r="N141" s="135"/>
      <c r="O141" s="135"/>
      <c r="P141" s="135"/>
      <c r="Q141" s="135"/>
      <c r="R141" s="135"/>
      <c r="S141" s="135"/>
      <c r="T141" s="135"/>
      <c r="U141" s="135"/>
      <c r="V141" s="135"/>
      <c r="W141" s="135"/>
      <c r="X141" s="135"/>
      <c r="Y141" s="135"/>
      <c r="Z141" s="135"/>
      <c r="AA141" s="135"/>
      <c r="AB141" s="135"/>
      <c r="AC141" s="135"/>
      <c r="AD141" s="135"/>
      <c r="AE141" s="135"/>
      <c r="AF141" s="135"/>
    </row>
    <row r="142">
      <c r="A142" s="135"/>
      <c r="B142" s="135"/>
      <c r="C142" s="135"/>
      <c r="D142" s="135"/>
      <c r="E142" s="135"/>
      <c r="F142" s="135"/>
      <c r="G142" s="135"/>
      <c r="H142" s="135"/>
      <c r="I142" s="135"/>
      <c r="J142" s="135"/>
      <c r="K142" s="135"/>
      <c r="L142" s="135"/>
      <c r="M142" s="135"/>
      <c r="N142" s="135"/>
      <c r="O142" s="135"/>
      <c r="P142" s="135"/>
      <c r="Q142" s="135"/>
      <c r="R142" s="135"/>
      <c r="S142" s="135"/>
      <c r="T142" s="135"/>
      <c r="U142" s="135"/>
      <c r="V142" s="135"/>
      <c r="W142" s="135"/>
      <c r="X142" s="135"/>
      <c r="Y142" s="135"/>
      <c r="Z142" s="135"/>
      <c r="AA142" s="135"/>
      <c r="AB142" s="135"/>
      <c r="AC142" s="135"/>
      <c r="AD142" s="135"/>
      <c r="AE142" s="135"/>
      <c r="AF142" s="135"/>
    </row>
    <row r="143">
      <c r="A143" s="135"/>
      <c r="B143" s="135"/>
      <c r="C143" s="135"/>
      <c r="D143" s="135"/>
      <c r="E143" s="135"/>
      <c r="F143" s="135"/>
      <c r="G143" s="135"/>
      <c r="H143" s="135"/>
      <c r="I143" s="135"/>
      <c r="J143" s="135"/>
      <c r="K143" s="135"/>
      <c r="L143" s="135"/>
      <c r="M143" s="135"/>
      <c r="N143" s="135"/>
      <c r="O143" s="135"/>
      <c r="P143" s="135"/>
      <c r="Q143" s="135"/>
      <c r="R143" s="135"/>
      <c r="S143" s="135"/>
      <c r="T143" s="135"/>
      <c r="U143" s="135"/>
      <c r="V143" s="135"/>
      <c r="W143" s="135"/>
      <c r="X143" s="135"/>
      <c r="Y143" s="135"/>
      <c r="Z143" s="135"/>
      <c r="AA143" s="135"/>
      <c r="AB143" s="135"/>
      <c r="AC143" s="135"/>
      <c r="AD143" s="135"/>
      <c r="AE143" s="135"/>
      <c r="AF143" s="135"/>
    </row>
    <row r="144">
      <c r="A144" s="135"/>
      <c r="B144" s="135"/>
      <c r="C144" s="135"/>
      <c r="D144" s="135"/>
      <c r="E144" s="135"/>
      <c r="F144" s="135"/>
      <c r="G144" s="135"/>
      <c r="H144" s="135"/>
      <c r="I144" s="135"/>
      <c r="J144" s="135"/>
      <c r="K144" s="135"/>
      <c r="L144" s="135"/>
      <c r="M144" s="135"/>
      <c r="N144" s="135"/>
      <c r="O144" s="135"/>
      <c r="P144" s="135"/>
      <c r="Q144" s="135"/>
      <c r="R144" s="135"/>
      <c r="S144" s="135"/>
      <c r="T144" s="135"/>
      <c r="U144" s="135"/>
      <c r="V144" s="135"/>
      <c r="W144" s="135"/>
      <c r="X144" s="135"/>
      <c r="Y144" s="135"/>
      <c r="Z144" s="135"/>
      <c r="AA144" s="135"/>
      <c r="AB144" s="135"/>
      <c r="AC144" s="135"/>
      <c r="AD144" s="135"/>
      <c r="AE144" s="135"/>
      <c r="AF144" s="135"/>
    </row>
    <row r="145">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c r="X145" s="135"/>
      <c r="Y145" s="135"/>
      <c r="Z145" s="135"/>
      <c r="AA145" s="135"/>
      <c r="AB145" s="135"/>
      <c r="AC145" s="135"/>
      <c r="AD145" s="135"/>
      <c r="AE145" s="135"/>
      <c r="AF145" s="135"/>
    </row>
    <row r="146">
      <c r="A146" s="135"/>
      <c r="B146" s="135"/>
      <c r="C146" s="135"/>
      <c r="D146" s="135"/>
      <c r="E146" s="135"/>
      <c r="F146" s="135"/>
      <c r="G146" s="135"/>
      <c r="H146" s="135"/>
      <c r="I146" s="135"/>
      <c r="J146" s="135"/>
      <c r="K146" s="135"/>
      <c r="L146" s="135"/>
      <c r="M146" s="135"/>
      <c r="N146" s="135"/>
      <c r="O146" s="135"/>
      <c r="P146" s="135"/>
      <c r="Q146" s="135"/>
      <c r="R146" s="135"/>
      <c r="S146" s="135"/>
      <c r="T146" s="135"/>
      <c r="U146" s="135"/>
      <c r="V146" s="135"/>
      <c r="W146" s="135"/>
      <c r="X146" s="135"/>
      <c r="Y146" s="135"/>
      <c r="Z146" s="135"/>
      <c r="AA146" s="135"/>
      <c r="AB146" s="135"/>
      <c r="AC146" s="135"/>
      <c r="AD146" s="135"/>
      <c r="AE146" s="135"/>
      <c r="AF146" s="135"/>
    </row>
    <row r="147">
      <c r="A147" s="135"/>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c r="X147" s="135"/>
      <c r="Y147" s="135"/>
      <c r="Z147" s="135"/>
      <c r="AA147" s="135"/>
      <c r="AB147" s="135"/>
      <c r="AC147" s="135"/>
      <c r="AD147" s="135"/>
      <c r="AE147" s="135"/>
      <c r="AF147" s="135"/>
    </row>
    <row r="148">
      <c r="A148" s="135"/>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c r="X148" s="135"/>
      <c r="Y148" s="135"/>
      <c r="Z148" s="135"/>
      <c r="AA148" s="135"/>
      <c r="AB148" s="135"/>
      <c r="AC148" s="135"/>
      <c r="AD148" s="135"/>
      <c r="AE148" s="135"/>
      <c r="AF148" s="135"/>
    </row>
    <row r="149">
      <c r="A149" s="135"/>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c r="X149" s="135"/>
      <c r="Y149" s="135"/>
      <c r="Z149" s="135"/>
      <c r="AA149" s="135"/>
      <c r="AB149" s="135"/>
      <c r="AC149" s="135"/>
      <c r="AD149" s="135"/>
      <c r="AE149" s="135"/>
      <c r="AF149" s="135"/>
    </row>
    <row r="150">
      <c r="A150" s="135"/>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c r="X150" s="135"/>
      <c r="Y150" s="135"/>
      <c r="Z150" s="135"/>
      <c r="AA150" s="135"/>
      <c r="AB150" s="135"/>
      <c r="AC150" s="135"/>
      <c r="AD150" s="135"/>
      <c r="AE150" s="135"/>
      <c r="AF150" s="135"/>
    </row>
    <row r="151">
      <c r="A151" s="13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c r="X151" s="135"/>
      <c r="Y151" s="135"/>
      <c r="Z151" s="135"/>
      <c r="AA151" s="135"/>
      <c r="AB151" s="135"/>
      <c r="AC151" s="135"/>
      <c r="AD151" s="135"/>
      <c r="AE151" s="135"/>
      <c r="AF151" s="135"/>
    </row>
    <row r="152">
      <c r="A152" s="135"/>
      <c r="B152" s="135"/>
      <c r="C152" s="135"/>
      <c r="D152" s="135"/>
      <c r="E152" s="135"/>
      <c r="F152" s="135"/>
      <c r="G152" s="135"/>
      <c r="H152" s="135"/>
      <c r="I152" s="135"/>
      <c r="J152" s="135"/>
      <c r="K152" s="135"/>
      <c r="L152" s="135"/>
      <c r="M152" s="135"/>
      <c r="N152" s="135"/>
      <c r="O152" s="135"/>
      <c r="P152" s="135"/>
      <c r="Q152" s="135"/>
      <c r="R152" s="135"/>
      <c r="S152" s="135"/>
      <c r="T152" s="135"/>
      <c r="U152" s="135"/>
      <c r="V152" s="135"/>
      <c r="W152" s="135"/>
      <c r="X152" s="135"/>
      <c r="Y152" s="135"/>
      <c r="Z152" s="135"/>
      <c r="AA152" s="135"/>
      <c r="AB152" s="135"/>
      <c r="AC152" s="135"/>
      <c r="AD152" s="135"/>
      <c r="AE152" s="135"/>
      <c r="AF152" s="135"/>
    </row>
    <row r="153">
      <c r="A153" s="135"/>
      <c r="B153" s="135"/>
      <c r="C153" s="135"/>
      <c r="D153" s="135"/>
      <c r="E153" s="135"/>
      <c r="F153" s="135"/>
      <c r="G153" s="135"/>
      <c r="H153" s="135"/>
      <c r="I153" s="135"/>
      <c r="J153" s="135"/>
      <c r="K153" s="135"/>
      <c r="L153" s="135"/>
      <c r="M153" s="135"/>
      <c r="N153" s="135"/>
      <c r="O153" s="135"/>
      <c r="P153" s="135"/>
      <c r="Q153" s="135"/>
      <c r="R153" s="135"/>
      <c r="S153" s="135"/>
      <c r="T153" s="135"/>
      <c r="U153" s="135"/>
      <c r="V153" s="135"/>
      <c r="W153" s="135"/>
      <c r="X153" s="135"/>
      <c r="Y153" s="135"/>
      <c r="Z153" s="135"/>
      <c r="AA153" s="135"/>
      <c r="AB153" s="135"/>
      <c r="AC153" s="135"/>
      <c r="AD153" s="135"/>
      <c r="AE153" s="135"/>
      <c r="AF153" s="135"/>
    </row>
    <row r="154">
      <c r="A154" s="135"/>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row>
    <row r="155">
      <c r="A155" s="135"/>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c r="X155" s="135"/>
      <c r="Y155" s="135"/>
      <c r="Z155" s="135"/>
      <c r="AA155" s="135"/>
      <c r="AB155" s="135"/>
      <c r="AC155" s="135"/>
      <c r="AD155" s="135"/>
      <c r="AE155" s="135"/>
      <c r="AF155" s="135"/>
    </row>
    <row r="156">
      <c r="A156" s="135"/>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c r="X156" s="135"/>
      <c r="Y156" s="135"/>
      <c r="Z156" s="135"/>
      <c r="AA156" s="135"/>
      <c r="AB156" s="135"/>
      <c r="AC156" s="135"/>
      <c r="AD156" s="135"/>
      <c r="AE156" s="135"/>
      <c r="AF156" s="135"/>
    </row>
    <row r="157">
      <c r="A157" s="135"/>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c r="X157" s="135"/>
      <c r="Y157" s="135"/>
      <c r="Z157" s="135"/>
      <c r="AA157" s="135"/>
      <c r="AB157" s="135"/>
      <c r="AC157" s="135"/>
      <c r="AD157" s="135"/>
      <c r="AE157" s="135"/>
      <c r="AF157" s="135"/>
    </row>
    <row r="158">
      <c r="A158" s="135"/>
      <c r="B158" s="135"/>
      <c r="C158" s="135"/>
      <c r="D158" s="135"/>
      <c r="E158" s="135"/>
      <c r="F158" s="135"/>
      <c r="G158" s="135"/>
      <c r="H158" s="135"/>
      <c r="I158" s="135"/>
      <c r="J158" s="135"/>
      <c r="K158" s="135"/>
      <c r="L158" s="135"/>
      <c r="M158" s="135"/>
      <c r="N158" s="135"/>
      <c r="O158" s="135"/>
      <c r="P158" s="135"/>
      <c r="Q158" s="135"/>
      <c r="R158" s="135"/>
      <c r="S158" s="135"/>
      <c r="T158" s="135"/>
      <c r="U158" s="135"/>
      <c r="V158" s="135"/>
      <c r="W158" s="135"/>
      <c r="X158" s="135"/>
      <c r="Y158" s="135"/>
      <c r="Z158" s="135"/>
      <c r="AA158" s="135"/>
      <c r="AB158" s="135"/>
      <c r="AC158" s="135"/>
      <c r="AD158" s="135"/>
      <c r="AE158" s="135"/>
      <c r="AF158" s="135"/>
    </row>
    <row r="159">
      <c r="A159" s="135"/>
      <c r="B159" s="135"/>
      <c r="C159" s="135"/>
      <c r="D159" s="135"/>
      <c r="E159" s="135"/>
      <c r="F159" s="135"/>
      <c r="G159" s="135"/>
      <c r="H159" s="135"/>
      <c r="I159" s="135"/>
      <c r="J159" s="135"/>
      <c r="K159" s="135"/>
      <c r="L159" s="135"/>
      <c r="M159" s="135"/>
      <c r="N159" s="135"/>
      <c r="O159" s="135"/>
      <c r="P159" s="135"/>
      <c r="Q159" s="135"/>
      <c r="R159" s="135"/>
      <c r="S159" s="135"/>
      <c r="T159" s="135"/>
      <c r="U159" s="135"/>
      <c r="V159" s="135"/>
      <c r="W159" s="135"/>
      <c r="X159" s="135"/>
      <c r="Y159" s="135"/>
      <c r="Z159" s="135"/>
      <c r="AA159" s="135"/>
      <c r="AB159" s="135"/>
      <c r="AC159" s="135"/>
      <c r="AD159" s="135"/>
      <c r="AE159" s="135"/>
      <c r="AF159" s="135"/>
    </row>
    <row r="160">
      <c r="A160" s="135"/>
      <c r="B160" s="135"/>
      <c r="C160" s="135"/>
      <c r="D160" s="135"/>
      <c r="E160" s="135"/>
      <c r="F160" s="135"/>
      <c r="G160" s="135"/>
      <c r="H160" s="135"/>
      <c r="I160" s="135"/>
      <c r="J160" s="135"/>
      <c r="K160" s="135"/>
      <c r="L160" s="135"/>
      <c r="M160" s="135"/>
      <c r="N160" s="135"/>
      <c r="O160" s="135"/>
      <c r="P160" s="135"/>
      <c r="Q160" s="135"/>
      <c r="R160" s="135"/>
      <c r="S160" s="135"/>
      <c r="T160" s="135"/>
      <c r="U160" s="135"/>
      <c r="V160" s="135"/>
      <c r="W160" s="135"/>
      <c r="X160" s="135"/>
      <c r="Y160" s="135"/>
      <c r="Z160" s="135"/>
      <c r="AA160" s="135"/>
      <c r="AB160" s="135"/>
      <c r="AC160" s="135"/>
      <c r="AD160" s="135"/>
      <c r="AE160" s="135"/>
      <c r="AF160" s="135"/>
    </row>
    <row r="161">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c r="X161" s="135"/>
      <c r="Y161" s="135"/>
      <c r="Z161" s="135"/>
      <c r="AA161" s="135"/>
      <c r="AB161" s="135"/>
      <c r="AC161" s="135"/>
      <c r="AD161" s="135"/>
      <c r="AE161" s="135"/>
      <c r="AF161" s="135"/>
    </row>
    <row r="162">
      <c r="A162" s="135"/>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c r="X162" s="135"/>
      <c r="Y162" s="135"/>
      <c r="Z162" s="135"/>
      <c r="AA162" s="135"/>
      <c r="AB162" s="135"/>
      <c r="AC162" s="135"/>
      <c r="AD162" s="135"/>
      <c r="AE162" s="135"/>
      <c r="AF162" s="135"/>
    </row>
    <row r="163">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c r="X163" s="135"/>
      <c r="Y163" s="135"/>
      <c r="Z163" s="135"/>
      <c r="AA163" s="135"/>
      <c r="AB163" s="135"/>
      <c r="AC163" s="135"/>
      <c r="AD163" s="135"/>
      <c r="AE163" s="135"/>
      <c r="AF163" s="135"/>
    </row>
    <row r="164">
      <c r="A164" s="135"/>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c r="X164" s="135"/>
      <c r="Y164" s="135"/>
      <c r="Z164" s="135"/>
      <c r="AA164" s="135"/>
      <c r="AB164" s="135"/>
      <c r="AC164" s="135"/>
      <c r="AD164" s="135"/>
      <c r="AE164" s="135"/>
      <c r="AF164" s="135"/>
    </row>
    <row r="165">
      <c r="A165" s="135"/>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c r="X165" s="135"/>
      <c r="Y165" s="135"/>
      <c r="Z165" s="135"/>
      <c r="AA165" s="135"/>
      <c r="AB165" s="135"/>
      <c r="AC165" s="135"/>
      <c r="AD165" s="135"/>
      <c r="AE165" s="135"/>
      <c r="AF165" s="135"/>
    </row>
    <row r="166">
      <c r="A166" s="135"/>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c r="X166" s="135"/>
      <c r="Y166" s="135"/>
      <c r="Z166" s="135"/>
      <c r="AA166" s="135"/>
      <c r="AB166" s="135"/>
      <c r="AC166" s="135"/>
      <c r="AD166" s="135"/>
      <c r="AE166" s="135"/>
      <c r="AF166" s="135"/>
    </row>
    <row r="167">
      <c r="A167" s="135"/>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c r="X167" s="135"/>
      <c r="Y167" s="135"/>
      <c r="Z167" s="135"/>
      <c r="AA167" s="135"/>
      <c r="AB167" s="135"/>
      <c r="AC167" s="135"/>
      <c r="AD167" s="135"/>
      <c r="AE167" s="135"/>
      <c r="AF167" s="135"/>
    </row>
    <row r="168">
      <c r="A168" s="135"/>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c r="X168" s="135"/>
      <c r="Y168" s="135"/>
      <c r="Z168" s="135"/>
      <c r="AA168" s="135"/>
      <c r="AB168" s="135"/>
      <c r="AC168" s="135"/>
      <c r="AD168" s="135"/>
      <c r="AE168" s="135"/>
      <c r="AF168" s="135"/>
    </row>
    <row r="169">
      <c r="A169" s="135"/>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c r="X169" s="135"/>
      <c r="Y169" s="135"/>
      <c r="Z169" s="135"/>
      <c r="AA169" s="135"/>
      <c r="AB169" s="135"/>
      <c r="AC169" s="135"/>
      <c r="AD169" s="135"/>
      <c r="AE169" s="135"/>
      <c r="AF169" s="135"/>
    </row>
    <row r="170">
      <c r="A170" s="135"/>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c r="X170" s="135"/>
      <c r="Y170" s="135"/>
      <c r="Z170" s="135"/>
      <c r="AA170" s="135"/>
      <c r="AB170" s="135"/>
      <c r="AC170" s="135"/>
      <c r="AD170" s="135"/>
      <c r="AE170" s="135"/>
      <c r="AF170" s="135"/>
    </row>
    <row r="171">
      <c r="A171" s="135"/>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c r="X171" s="135"/>
      <c r="Y171" s="135"/>
      <c r="Z171" s="135"/>
      <c r="AA171" s="135"/>
      <c r="AB171" s="135"/>
      <c r="AC171" s="135"/>
      <c r="AD171" s="135"/>
      <c r="AE171" s="135"/>
      <c r="AF171" s="135"/>
    </row>
    <row r="172">
      <c r="A172" s="135"/>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c r="X172" s="135"/>
      <c r="Y172" s="135"/>
      <c r="Z172" s="135"/>
      <c r="AA172" s="135"/>
      <c r="AB172" s="135"/>
      <c r="AC172" s="135"/>
      <c r="AD172" s="135"/>
      <c r="AE172" s="135"/>
      <c r="AF172" s="135"/>
    </row>
    <row r="173">
      <c r="A173" s="135"/>
      <c r="B173" s="135"/>
      <c r="C173" s="135"/>
      <c r="D173" s="135"/>
      <c r="E173" s="135"/>
      <c r="F173" s="135"/>
      <c r="G173" s="135"/>
      <c r="H173" s="135"/>
      <c r="I173" s="135"/>
      <c r="J173" s="135"/>
      <c r="K173" s="135"/>
      <c r="L173" s="135"/>
      <c r="M173" s="135"/>
      <c r="N173" s="135"/>
      <c r="O173" s="135"/>
      <c r="P173" s="135"/>
      <c r="Q173" s="135"/>
      <c r="R173" s="135"/>
      <c r="S173" s="135"/>
      <c r="T173" s="135"/>
      <c r="U173" s="135"/>
      <c r="V173" s="135"/>
      <c r="W173" s="135"/>
      <c r="X173" s="135"/>
      <c r="Y173" s="135"/>
      <c r="Z173" s="135"/>
      <c r="AA173" s="135"/>
      <c r="AB173" s="135"/>
      <c r="AC173" s="135"/>
      <c r="AD173" s="135"/>
      <c r="AE173" s="135"/>
      <c r="AF173" s="135"/>
    </row>
    <row r="174">
      <c r="A174" s="135"/>
      <c r="B174" s="135"/>
      <c r="C174" s="135"/>
      <c r="D174" s="135"/>
      <c r="E174" s="135"/>
      <c r="F174" s="135"/>
      <c r="G174" s="135"/>
      <c r="H174" s="135"/>
      <c r="I174" s="135"/>
      <c r="J174" s="135"/>
      <c r="K174" s="135"/>
      <c r="L174" s="135"/>
      <c r="M174" s="135"/>
      <c r="N174" s="135"/>
      <c r="O174" s="135"/>
      <c r="P174" s="135"/>
      <c r="Q174" s="135"/>
      <c r="R174" s="135"/>
      <c r="S174" s="135"/>
      <c r="T174" s="135"/>
      <c r="U174" s="135"/>
      <c r="V174" s="135"/>
      <c r="W174" s="135"/>
      <c r="X174" s="135"/>
      <c r="Y174" s="135"/>
      <c r="Z174" s="135"/>
      <c r="AA174" s="135"/>
      <c r="AB174" s="135"/>
      <c r="AC174" s="135"/>
      <c r="AD174" s="135"/>
      <c r="AE174" s="135"/>
      <c r="AF174" s="135"/>
    </row>
    <row r="175">
      <c r="A175" s="135"/>
      <c r="B175" s="135"/>
      <c r="C175" s="135"/>
      <c r="D175" s="135"/>
      <c r="E175" s="135"/>
      <c r="F175" s="135"/>
      <c r="G175" s="135"/>
      <c r="H175" s="135"/>
      <c r="I175" s="135"/>
      <c r="J175" s="135"/>
      <c r="K175" s="135"/>
      <c r="L175" s="135"/>
      <c r="M175" s="135"/>
      <c r="N175" s="135"/>
      <c r="O175" s="135"/>
      <c r="P175" s="135"/>
      <c r="Q175" s="135"/>
      <c r="R175" s="135"/>
      <c r="S175" s="135"/>
      <c r="T175" s="135"/>
      <c r="U175" s="135"/>
      <c r="V175" s="135"/>
      <c r="W175" s="135"/>
      <c r="X175" s="135"/>
      <c r="Y175" s="135"/>
      <c r="Z175" s="135"/>
      <c r="AA175" s="135"/>
      <c r="AB175" s="135"/>
      <c r="AC175" s="135"/>
      <c r="AD175" s="135"/>
      <c r="AE175" s="135"/>
      <c r="AF175" s="135"/>
    </row>
    <row r="176">
      <c r="A176" s="135"/>
      <c r="B176" s="135"/>
      <c r="C176" s="135"/>
      <c r="D176" s="135"/>
      <c r="E176" s="135"/>
      <c r="F176" s="135"/>
      <c r="G176" s="135"/>
      <c r="H176" s="135"/>
      <c r="I176" s="135"/>
      <c r="J176" s="135"/>
      <c r="K176" s="135"/>
      <c r="L176" s="135"/>
      <c r="M176" s="135"/>
      <c r="N176" s="135"/>
      <c r="O176" s="135"/>
      <c r="P176" s="135"/>
      <c r="Q176" s="135"/>
      <c r="R176" s="135"/>
      <c r="S176" s="135"/>
      <c r="T176" s="135"/>
      <c r="U176" s="135"/>
      <c r="V176" s="135"/>
      <c r="W176" s="135"/>
      <c r="X176" s="135"/>
      <c r="Y176" s="135"/>
      <c r="Z176" s="135"/>
      <c r="AA176" s="135"/>
      <c r="AB176" s="135"/>
      <c r="AC176" s="135"/>
      <c r="AD176" s="135"/>
      <c r="AE176" s="135"/>
      <c r="AF176" s="135"/>
    </row>
    <row r="177">
      <c r="A177" s="135"/>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c r="X177" s="135"/>
      <c r="Y177" s="135"/>
      <c r="Z177" s="135"/>
      <c r="AA177" s="135"/>
      <c r="AB177" s="135"/>
      <c r="AC177" s="135"/>
      <c r="AD177" s="135"/>
      <c r="AE177" s="135"/>
      <c r="AF177" s="135"/>
    </row>
    <row r="178">
      <c r="A178" s="135"/>
      <c r="B178" s="135"/>
      <c r="C178" s="135"/>
      <c r="D178" s="135"/>
      <c r="E178" s="135"/>
      <c r="F178" s="135"/>
      <c r="G178" s="135"/>
      <c r="H178" s="135"/>
      <c r="I178" s="135"/>
      <c r="J178" s="135"/>
      <c r="K178" s="135"/>
      <c r="L178" s="135"/>
      <c r="M178" s="135"/>
      <c r="N178" s="135"/>
      <c r="O178" s="135"/>
      <c r="P178" s="135"/>
      <c r="Q178" s="135"/>
      <c r="R178" s="135"/>
      <c r="S178" s="135"/>
      <c r="T178" s="135"/>
      <c r="U178" s="135"/>
      <c r="V178" s="135"/>
      <c r="W178" s="135"/>
      <c r="X178" s="135"/>
      <c r="Y178" s="135"/>
      <c r="Z178" s="135"/>
      <c r="AA178" s="135"/>
      <c r="AB178" s="135"/>
      <c r="AC178" s="135"/>
      <c r="AD178" s="135"/>
      <c r="AE178" s="135"/>
      <c r="AF178" s="135"/>
    </row>
    <row r="179">
      <c r="A179" s="135"/>
      <c r="B179" s="135"/>
      <c r="C179" s="135"/>
      <c r="D179" s="135"/>
      <c r="E179" s="135"/>
      <c r="F179" s="135"/>
      <c r="G179" s="135"/>
      <c r="H179" s="135"/>
      <c r="I179" s="135"/>
      <c r="J179" s="135"/>
      <c r="K179" s="135"/>
      <c r="L179" s="135"/>
      <c r="M179" s="135"/>
      <c r="N179" s="135"/>
      <c r="O179" s="135"/>
      <c r="P179" s="135"/>
      <c r="Q179" s="135"/>
      <c r="R179" s="135"/>
      <c r="S179" s="135"/>
      <c r="T179" s="135"/>
      <c r="U179" s="135"/>
      <c r="V179" s="135"/>
      <c r="W179" s="135"/>
      <c r="X179" s="135"/>
      <c r="Y179" s="135"/>
      <c r="Z179" s="135"/>
      <c r="AA179" s="135"/>
      <c r="AB179" s="135"/>
      <c r="AC179" s="135"/>
      <c r="AD179" s="135"/>
      <c r="AE179" s="135"/>
      <c r="AF179" s="135"/>
    </row>
    <row r="180">
      <c r="A180" s="135"/>
      <c r="B180" s="135"/>
      <c r="C180" s="135"/>
      <c r="D180" s="135"/>
      <c r="E180" s="135"/>
      <c r="F180" s="135"/>
      <c r="G180" s="135"/>
      <c r="H180" s="135"/>
      <c r="I180" s="135"/>
      <c r="J180" s="135"/>
      <c r="K180" s="135"/>
      <c r="L180" s="135"/>
      <c r="M180" s="135"/>
      <c r="N180" s="135"/>
      <c r="O180" s="135"/>
      <c r="P180" s="135"/>
      <c r="Q180" s="135"/>
      <c r="R180" s="135"/>
      <c r="S180" s="135"/>
      <c r="T180" s="135"/>
      <c r="U180" s="135"/>
      <c r="V180" s="135"/>
      <c r="W180" s="135"/>
      <c r="X180" s="135"/>
      <c r="Y180" s="135"/>
      <c r="Z180" s="135"/>
      <c r="AA180" s="135"/>
      <c r="AB180" s="135"/>
      <c r="AC180" s="135"/>
      <c r="AD180" s="135"/>
      <c r="AE180" s="135"/>
      <c r="AF180" s="135"/>
    </row>
    <row r="181">
      <c r="A181" s="135"/>
      <c r="B181" s="135"/>
      <c r="C181" s="135"/>
      <c r="D181" s="135"/>
      <c r="E181" s="135"/>
      <c r="F181" s="135"/>
      <c r="G181" s="135"/>
      <c r="H181" s="135"/>
      <c r="I181" s="135"/>
      <c r="J181" s="135"/>
      <c r="K181" s="135"/>
      <c r="L181" s="135"/>
      <c r="M181" s="135"/>
      <c r="N181" s="135"/>
      <c r="O181" s="135"/>
      <c r="P181" s="135"/>
      <c r="Q181" s="135"/>
      <c r="R181" s="135"/>
      <c r="S181" s="135"/>
      <c r="T181" s="135"/>
      <c r="U181" s="135"/>
      <c r="V181" s="135"/>
      <c r="W181" s="135"/>
      <c r="X181" s="135"/>
      <c r="Y181" s="135"/>
      <c r="Z181" s="135"/>
      <c r="AA181" s="135"/>
      <c r="AB181" s="135"/>
      <c r="AC181" s="135"/>
      <c r="AD181" s="135"/>
      <c r="AE181" s="135"/>
      <c r="AF181" s="135"/>
    </row>
    <row r="182">
      <c r="A182" s="135"/>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c r="X182" s="135"/>
      <c r="Y182" s="135"/>
      <c r="Z182" s="135"/>
      <c r="AA182" s="135"/>
      <c r="AB182" s="135"/>
      <c r="AC182" s="135"/>
      <c r="AD182" s="135"/>
      <c r="AE182" s="135"/>
      <c r="AF182" s="135"/>
    </row>
    <row r="183">
      <c r="A183" s="135"/>
      <c r="B183" s="135"/>
      <c r="C183" s="135"/>
      <c r="D183" s="135"/>
      <c r="E183" s="135"/>
      <c r="F183" s="135"/>
      <c r="G183" s="135"/>
      <c r="H183" s="135"/>
      <c r="I183" s="135"/>
      <c r="J183" s="135"/>
      <c r="K183" s="135"/>
      <c r="L183" s="135"/>
      <c r="M183" s="135"/>
      <c r="N183" s="135"/>
      <c r="O183" s="135"/>
      <c r="P183" s="135"/>
      <c r="Q183" s="135"/>
      <c r="R183" s="135"/>
      <c r="S183" s="135"/>
      <c r="T183" s="135"/>
      <c r="U183" s="135"/>
      <c r="V183" s="135"/>
      <c r="W183" s="135"/>
      <c r="X183" s="135"/>
      <c r="Y183" s="135"/>
      <c r="Z183" s="135"/>
      <c r="AA183" s="135"/>
      <c r="AB183" s="135"/>
      <c r="AC183" s="135"/>
      <c r="AD183" s="135"/>
      <c r="AE183" s="135"/>
      <c r="AF183" s="135"/>
    </row>
    <row r="184">
      <c r="A184" s="135"/>
      <c r="B184" s="135"/>
      <c r="C184" s="135"/>
      <c r="D184" s="135"/>
      <c r="E184" s="135"/>
      <c r="F184" s="135"/>
      <c r="G184" s="135"/>
      <c r="H184" s="135"/>
      <c r="I184" s="135"/>
      <c r="J184" s="135"/>
      <c r="K184" s="135"/>
      <c r="L184" s="135"/>
      <c r="M184" s="135"/>
      <c r="N184" s="135"/>
      <c r="O184" s="135"/>
      <c r="P184" s="135"/>
      <c r="Q184" s="135"/>
      <c r="R184" s="135"/>
      <c r="S184" s="135"/>
      <c r="T184" s="135"/>
      <c r="U184" s="135"/>
      <c r="V184" s="135"/>
      <c r="W184" s="135"/>
      <c r="X184" s="135"/>
      <c r="Y184" s="135"/>
      <c r="Z184" s="135"/>
      <c r="AA184" s="135"/>
      <c r="AB184" s="135"/>
      <c r="AC184" s="135"/>
      <c r="AD184" s="135"/>
      <c r="AE184" s="135"/>
      <c r="AF184" s="135"/>
    </row>
    <row r="185">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c r="X185" s="135"/>
      <c r="Y185" s="135"/>
      <c r="Z185" s="135"/>
      <c r="AA185" s="135"/>
      <c r="AB185" s="135"/>
      <c r="AC185" s="135"/>
      <c r="AD185" s="135"/>
      <c r="AE185" s="135"/>
      <c r="AF185" s="135"/>
    </row>
    <row r="186">
      <c r="A186" s="135"/>
      <c r="B186" s="135"/>
      <c r="C186" s="135"/>
      <c r="D186" s="135"/>
      <c r="E186" s="135"/>
      <c r="F186" s="135"/>
      <c r="G186" s="135"/>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row>
    <row r="187">
      <c r="A187" s="13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row>
    <row r="188">
      <c r="A188" s="135"/>
      <c r="B188" s="135"/>
      <c r="C188" s="135"/>
      <c r="D188" s="135"/>
      <c r="E188" s="135"/>
      <c r="F188" s="135"/>
      <c r="G188" s="135"/>
      <c r="H188" s="135"/>
      <c r="I188" s="135"/>
      <c r="J188" s="135"/>
      <c r="K188" s="135"/>
      <c r="L188" s="135"/>
      <c r="M188" s="135"/>
      <c r="N188" s="135"/>
      <c r="O188" s="135"/>
      <c r="P188" s="135"/>
      <c r="Q188" s="135"/>
      <c r="R188" s="135"/>
      <c r="S188" s="135"/>
      <c r="T188" s="135"/>
      <c r="U188" s="135"/>
      <c r="V188" s="135"/>
      <c r="W188" s="135"/>
      <c r="X188" s="135"/>
      <c r="Y188" s="135"/>
      <c r="Z188" s="135"/>
      <c r="AA188" s="135"/>
      <c r="AB188" s="135"/>
      <c r="AC188" s="135"/>
      <c r="AD188" s="135"/>
      <c r="AE188" s="135"/>
      <c r="AF188" s="135"/>
    </row>
    <row r="189">
      <c r="A189" s="135"/>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c r="X189" s="135"/>
      <c r="Y189" s="135"/>
      <c r="Z189" s="135"/>
      <c r="AA189" s="135"/>
      <c r="AB189" s="135"/>
      <c r="AC189" s="135"/>
      <c r="AD189" s="135"/>
      <c r="AE189" s="135"/>
      <c r="AF189" s="135"/>
    </row>
    <row r="190">
      <c r="A190" s="135"/>
      <c r="B190" s="135"/>
      <c r="C190" s="135"/>
      <c r="D190" s="135"/>
      <c r="E190" s="135"/>
      <c r="F190" s="135"/>
      <c r="G190" s="135"/>
      <c r="H190" s="135"/>
      <c r="I190" s="135"/>
      <c r="J190" s="135"/>
      <c r="K190" s="135"/>
      <c r="L190" s="135"/>
      <c r="M190" s="135"/>
      <c r="N190" s="135"/>
      <c r="O190" s="135"/>
      <c r="P190" s="135"/>
      <c r="Q190" s="135"/>
      <c r="R190" s="135"/>
      <c r="S190" s="135"/>
      <c r="T190" s="135"/>
      <c r="U190" s="135"/>
      <c r="V190" s="135"/>
      <c r="W190" s="135"/>
      <c r="X190" s="135"/>
      <c r="Y190" s="135"/>
      <c r="Z190" s="135"/>
      <c r="AA190" s="135"/>
      <c r="AB190" s="135"/>
      <c r="AC190" s="135"/>
      <c r="AD190" s="135"/>
      <c r="AE190" s="135"/>
      <c r="AF190" s="135"/>
    </row>
    <row r="191">
      <c r="A191" s="135"/>
      <c r="B191" s="135"/>
      <c r="C191" s="135"/>
      <c r="D191" s="135"/>
      <c r="E191" s="135"/>
      <c r="F191" s="135"/>
      <c r="G191" s="135"/>
      <c r="H191" s="135"/>
      <c r="I191" s="135"/>
      <c r="J191" s="135"/>
      <c r="K191" s="135"/>
      <c r="L191" s="135"/>
      <c r="M191" s="135"/>
      <c r="N191" s="135"/>
      <c r="O191" s="135"/>
      <c r="P191" s="135"/>
      <c r="Q191" s="135"/>
      <c r="R191" s="135"/>
      <c r="S191" s="135"/>
      <c r="T191" s="135"/>
      <c r="U191" s="135"/>
      <c r="V191" s="135"/>
      <c r="W191" s="135"/>
      <c r="X191" s="135"/>
      <c r="Y191" s="135"/>
      <c r="Z191" s="135"/>
      <c r="AA191" s="135"/>
      <c r="AB191" s="135"/>
      <c r="AC191" s="135"/>
      <c r="AD191" s="135"/>
      <c r="AE191" s="135"/>
      <c r="AF191" s="135"/>
    </row>
    <row r="192">
      <c r="A192" s="135"/>
      <c r="B192" s="135"/>
      <c r="C192" s="135"/>
      <c r="D192" s="135"/>
      <c r="E192" s="135"/>
      <c r="F192" s="135"/>
      <c r="G192" s="135"/>
      <c r="H192" s="135"/>
      <c r="I192" s="135"/>
      <c r="J192" s="135"/>
      <c r="K192" s="135"/>
      <c r="L192" s="135"/>
      <c r="M192" s="135"/>
      <c r="N192" s="135"/>
      <c r="O192" s="135"/>
      <c r="P192" s="135"/>
      <c r="Q192" s="135"/>
      <c r="R192" s="135"/>
      <c r="S192" s="135"/>
      <c r="T192" s="135"/>
      <c r="U192" s="135"/>
      <c r="V192" s="135"/>
      <c r="W192" s="135"/>
      <c r="X192" s="135"/>
      <c r="Y192" s="135"/>
      <c r="Z192" s="135"/>
      <c r="AA192" s="135"/>
      <c r="AB192" s="135"/>
      <c r="AC192" s="135"/>
      <c r="AD192" s="135"/>
      <c r="AE192" s="135"/>
      <c r="AF192" s="135"/>
    </row>
    <row r="193">
      <c r="A193" s="135"/>
      <c r="B193" s="135"/>
      <c r="C193" s="135"/>
      <c r="D193" s="135"/>
      <c r="E193" s="135"/>
      <c r="F193" s="135"/>
      <c r="G193" s="135"/>
      <c r="H193" s="135"/>
      <c r="I193" s="135"/>
      <c r="J193" s="135"/>
      <c r="K193" s="135"/>
      <c r="L193" s="135"/>
      <c r="M193" s="135"/>
      <c r="N193" s="135"/>
      <c r="O193" s="135"/>
      <c r="P193" s="135"/>
      <c r="Q193" s="135"/>
      <c r="R193" s="135"/>
      <c r="S193" s="135"/>
      <c r="T193" s="135"/>
      <c r="U193" s="135"/>
      <c r="V193" s="135"/>
      <c r="W193" s="135"/>
      <c r="X193" s="135"/>
      <c r="Y193" s="135"/>
      <c r="Z193" s="135"/>
      <c r="AA193" s="135"/>
      <c r="AB193" s="135"/>
      <c r="AC193" s="135"/>
      <c r="AD193" s="135"/>
      <c r="AE193" s="135"/>
      <c r="AF193" s="135"/>
    </row>
    <row r="194">
      <c r="A194" s="135"/>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c r="X194" s="135"/>
      <c r="Y194" s="135"/>
      <c r="Z194" s="135"/>
      <c r="AA194" s="135"/>
      <c r="AB194" s="135"/>
      <c r="AC194" s="135"/>
      <c r="AD194" s="135"/>
      <c r="AE194" s="135"/>
      <c r="AF194" s="135"/>
    </row>
    <row r="195">
      <c r="A195" s="135"/>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c r="X195" s="135"/>
      <c r="Y195" s="135"/>
      <c r="Z195" s="135"/>
      <c r="AA195" s="135"/>
      <c r="AB195" s="135"/>
      <c r="AC195" s="135"/>
      <c r="AD195" s="135"/>
      <c r="AE195" s="135"/>
      <c r="AF195" s="135"/>
    </row>
    <row r="196">
      <c r="A196" s="135"/>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c r="X196" s="135"/>
      <c r="Y196" s="135"/>
      <c r="Z196" s="135"/>
      <c r="AA196" s="135"/>
      <c r="AB196" s="135"/>
      <c r="AC196" s="135"/>
      <c r="AD196" s="135"/>
      <c r="AE196" s="135"/>
      <c r="AF196" s="135"/>
    </row>
    <row r="197">
      <c r="A197" s="135"/>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c r="X197" s="135"/>
      <c r="Y197" s="135"/>
      <c r="Z197" s="135"/>
      <c r="AA197" s="135"/>
      <c r="AB197" s="135"/>
      <c r="AC197" s="135"/>
      <c r="AD197" s="135"/>
      <c r="AE197" s="135"/>
      <c r="AF197" s="135"/>
    </row>
    <row r="198">
      <c r="A198" s="135"/>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c r="X198" s="135"/>
      <c r="Y198" s="135"/>
      <c r="Z198" s="135"/>
      <c r="AA198" s="135"/>
      <c r="AB198" s="135"/>
      <c r="AC198" s="135"/>
      <c r="AD198" s="135"/>
      <c r="AE198" s="135"/>
      <c r="AF198" s="135"/>
    </row>
    <row r="199">
      <c r="A199" s="135"/>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c r="X199" s="135"/>
      <c r="Y199" s="135"/>
      <c r="Z199" s="135"/>
      <c r="AA199" s="135"/>
      <c r="AB199" s="135"/>
      <c r="AC199" s="135"/>
      <c r="AD199" s="135"/>
      <c r="AE199" s="135"/>
      <c r="AF199" s="135"/>
    </row>
    <row r="200">
      <c r="A200" s="135"/>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c r="X200" s="135"/>
      <c r="Y200" s="135"/>
      <c r="Z200" s="135"/>
      <c r="AA200" s="135"/>
      <c r="AB200" s="135"/>
      <c r="AC200" s="135"/>
      <c r="AD200" s="135"/>
      <c r="AE200" s="135"/>
      <c r="AF200" s="135"/>
    </row>
    <row r="201">
      <c r="A201" s="135"/>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c r="X201" s="135"/>
      <c r="Y201" s="135"/>
      <c r="Z201" s="135"/>
      <c r="AA201" s="135"/>
      <c r="AB201" s="135"/>
      <c r="AC201" s="135"/>
      <c r="AD201" s="135"/>
      <c r="AE201" s="135"/>
      <c r="AF201" s="135"/>
    </row>
    <row r="202">
      <c r="A202" s="135"/>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c r="X202" s="135"/>
      <c r="Y202" s="135"/>
      <c r="Z202" s="135"/>
      <c r="AA202" s="135"/>
      <c r="AB202" s="135"/>
      <c r="AC202" s="135"/>
      <c r="AD202" s="135"/>
      <c r="AE202" s="135"/>
      <c r="AF202" s="135"/>
    </row>
    <row r="203">
      <c r="A203" s="135"/>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c r="X203" s="135"/>
      <c r="Y203" s="135"/>
      <c r="Z203" s="135"/>
      <c r="AA203" s="135"/>
      <c r="AB203" s="135"/>
      <c r="AC203" s="135"/>
      <c r="AD203" s="135"/>
      <c r="AE203" s="135"/>
      <c r="AF203" s="135"/>
    </row>
    <row r="204">
      <c r="A204" s="135"/>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c r="X204" s="135"/>
      <c r="Y204" s="135"/>
      <c r="Z204" s="135"/>
      <c r="AA204" s="135"/>
      <c r="AB204" s="135"/>
      <c r="AC204" s="135"/>
      <c r="AD204" s="135"/>
      <c r="AE204" s="135"/>
      <c r="AF204" s="135"/>
    </row>
    <row r="205">
      <c r="A205" s="135"/>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c r="X205" s="135"/>
      <c r="Y205" s="135"/>
      <c r="Z205" s="135"/>
      <c r="AA205" s="135"/>
      <c r="AB205" s="135"/>
      <c r="AC205" s="135"/>
      <c r="AD205" s="135"/>
      <c r="AE205" s="135"/>
      <c r="AF205" s="135"/>
    </row>
    <row r="206">
      <c r="A206" s="135"/>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c r="X206" s="135"/>
      <c r="Y206" s="135"/>
      <c r="Z206" s="135"/>
      <c r="AA206" s="135"/>
      <c r="AB206" s="135"/>
      <c r="AC206" s="135"/>
      <c r="AD206" s="135"/>
      <c r="AE206" s="135"/>
      <c r="AF206" s="135"/>
    </row>
    <row r="207">
      <c r="A207" s="13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c r="X207" s="135"/>
      <c r="Y207" s="135"/>
      <c r="Z207" s="135"/>
      <c r="AA207" s="135"/>
      <c r="AB207" s="135"/>
      <c r="AC207" s="135"/>
      <c r="AD207" s="135"/>
      <c r="AE207" s="135"/>
      <c r="AF207" s="135"/>
    </row>
    <row r="208">
      <c r="A208" s="13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c r="X208" s="135"/>
      <c r="Y208" s="135"/>
      <c r="Z208" s="135"/>
      <c r="AA208" s="135"/>
      <c r="AB208" s="135"/>
      <c r="AC208" s="135"/>
      <c r="AD208" s="135"/>
      <c r="AE208" s="135"/>
      <c r="AF208" s="135"/>
    </row>
    <row r="209">
      <c r="A209" s="13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c r="X209" s="135"/>
      <c r="Y209" s="135"/>
      <c r="Z209" s="135"/>
      <c r="AA209" s="135"/>
      <c r="AB209" s="135"/>
      <c r="AC209" s="135"/>
      <c r="AD209" s="135"/>
      <c r="AE209" s="135"/>
      <c r="AF209" s="135"/>
    </row>
    <row r="210">
      <c r="A210" s="135"/>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c r="X210" s="135"/>
      <c r="Y210" s="135"/>
      <c r="Z210" s="135"/>
      <c r="AA210" s="135"/>
      <c r="AB210" s="135"/>
      <c r="AC210" s="135"/>
      <c r="AD210" s="135"/>
      <c r="AE210" s="135"/>
      <c r="AF210" s="135"/>
    </row>
    <row r="211">
      <c r="A211" s="135"/>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c r="X211" s="135"/>
      <c r="Y211" s="135"/>
      <c r="Z211" s="135"/>
      <c r="AA211" s="135"/>
      <c r="AB211" s="135"/>
      <c r="AC211" s="135"/>
      <c r="AD211" s="135"/>
      <c r="AE211" s="135"/>
      <c r="AF211" s="135"/>
    </row>
    <row r="212">
      <c r="A212" s="135"/>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c r="X212" s="135"/>
      <c r="Y212" s="135"/>
      <c r="Z212" s="135"/>
      <c r="AA212" s="135"/>
      <c r="AB212" s="135"/>
      <c r="AC212" s="135"/>
      <c r="AD212" s="135"/>
      <c r="AE212" s="135"/>
      <c r="AF212" s="135"/>
    </row>
    <row r="213">
      <c r="A213" s="135"/>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c r="X213" s="135"/>
      <c r="Y213" s="135"/>
      <c r="Z213" s="135"/>
      <c r="AA213" s="135"/>
      <c r="AB213" s="135"/>
      <c r="AC213" s="135"/>
      <c r="AD213" s="135"/>
      <c r="AE213" s="135"/>
      <c r="AF213" s="135"/>
    </row>
    <row r="214">
      <c r="A214" s="135"/>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c r="X214" s="135"/>
      <c r="Y214" s="135"/>
      <c r="Z214" s="135"/>
      <c r="AA214" s="135"/>
      <c r="AB214" s="135"/>
      <c r="AC214" s="135"/>
      <c r="AD214" s="135"/>
      <c r="AE214" s="135"/>
      <c r="AF214" s="135"/>
    </row>
    <row r="215">
      <c r="A215" s="135"/>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c r="X215" s="135"/>
      <c r="Y215" s="135"/>
      <c r="Z215" s="135"/>
      <c r="AA215" s="135"/>
      <c r="AB215" s="135"/>
      <c r="AC215" s="135"/>
      <c r="AD215" s="135"/>
      <c r="AE215" s="135"/>
      <c r="AF215" s="135"/>
    </row>
    <row r="216">
      <c r="A216" s="135"/>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c r="X216" s="135"/>
      <c r="Y216" s="135"/>
      <c r="Z216" s="135"/>
      <c r="AA216" s="135"/>
      <c r="AB216" s="135"/>
      <c r="AC216" s="135"/>
      <c r="AD216" s="135"/>
      <c r="AE216" s="135"/>
      <c r="AF216" s="135"/>
    </row>
    <row r="217">
      <c r="A217" s="135"/>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c r="X217" s="135"/>
      <c r="Y217" s="135"/>
      <c r="Z217" s="135"/>
      <c r="AA217" s="135"/>
      <c r="AB217" s="135"/>
      <c r="AC217" s="135"/>
      <c r="AD217" s="135"/>
      <c r="AE217" s="135"/>
      <c r="AF217" s="135"/>
    </row>
    <row r="218">
      <c r="A218" s="135"/>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c r="X218" s="135"/>
      <c r="Y218" s="135"/>
      <c r="Z218" s="135"/>
      <c r="AA218" s="135"/>
      <c r="AB218" s="135"/>
      <c r="AC218" s="135"/>
      <c r="AD218" s="135"/>
      <c r="AE218" s="135"/>
      <c r="AF218" s="135"/>
    </row>
    <row r="219">
      <c r="A219" s="135"/>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c r="X219" s="135"/>
      <c r="Y219" s="135"/>
      <c r="Z219" s="135"/>
      <c r="AA219" s="135"/>
      <c r="AB219" s="135"/>
      <c r="AC219" s="135"/>
      <c r="AD219" s="135"/>
      <c r="AE219" s="135"/>
      <c r="AF219" s="135"/>
    </row>
    <row r="220">
      <c r="A220" s="135"/>
      <c r="B220" s="135"/>
      <c r="C220" s="135"/>
      <c r="D220" s="135"/>
      <c r="E220" s="135"/>
      <c r="F220" s="135"/>
      <c r="G220" s="135"/>
      <c r="H220" s="135"/>
      <c r="I220" s="135"/>
      <c r="J220" s="135"/>
      <c r="K220" s="135"/>
      <c r="L220" s="135"/>
      <c r="M220" s="135"/>
      <c r="N220" s="135"/>
      <c r="O220" s="135"/>
      <c r="P220" s="135"/>
      <c r="Q220" s="135"/>
      <c r="R220" s="135"/>
      <c r="S220" s="135"/>
      <c r="T220" s="135"/>
      <c r="U220" s="135"/>
      <c r="V220" s="135"/>
      <c r="W220" s="135"/>
      <c r="X220" s="135"/>
      <c r="Y220" s="135"/>
      <c r="Z220" s="135"/>
      <c r="AA220" s="135"/>
      <c r="AB220" s="135"/>
      <c r="AC220" s="135"/>
      <c r="AD220" s="135"/>
      <c r="AE220" s="135"/>
      <c r="AF220" s="135"/>
    </row>
    <row r="221">
      <c r="A221" s="135"/>
      <c r="B221" s="135"/>
      <c r="C221" s="135"/>
      <c r="D221" s="135"/>
      <c r="E221" s="135"/>
      <c r="F221" s="135"/>
      <c r="G221" s="135"/>
      <c r="H221" s="135"/>
      <c r="I221" s="135"/>
      <c r="J221" s="135"/>
      <c r="K221" s="135"/>
      <c r="L221" s="135"/>
      <c r="M221" s="135"/>
      <c r="N221" s="135"/>
      <c r="O221" s="135"/>
      <c r="P221" s="135"/>
      <c r="Q221" s="135"/>
      <c r="R221" s="135"/>
      <c r="S221" s="135"/>
      <c r="T221" s="135"/>
      <c r="U221" s="135"/>
      <c r="V221" s="135"/>
      <c r="W221" s="135"/>
      <c r="X221" s="135"/>
      <c r="Y221" s="135"/>
      <c r="Z221" s="135"/>
      <c r="AA221" s="135"/>
      <c r="AB221" s="135"/>
      <c r="AC221" s="135"/>
      <c r="AD221" s="135"/>
      <c r="AE221" s="135"/>
      <c r="AF221" s="135"/>
    </row>
    <row r="222">
      <c r="A222" s="135"/>
      <c r="B222" s="135"/>
      <c r="C222" s="135"/>
      <c r="D222" s="135"/>
      <c r="E222" s="135"/>
      <c r="F222" s="135"/>
      <c r="G222" s="135"/>
      <c r="H222" s="135"/>
      <c r="I222" s="135"/>
      <c r="J222" s="135"/>
      <c r="K222" s="135"/>
      <c r="L222" s="135"/>
      <c r="M222" s="135"/>
      <c r="N222" s="135"/>
      <c r="O222" s="135"/>
      <c r="P222" s="135"/>
      <c r="Q222" s="135"/>
      <c r="R222" s="135"/>
      <c r="S222" s="135"/>
      <c r="T222" s="135"/>
      <c r="U222" s="135"/>
      <c r="V222" s="135"/>
      <c r="W222" s="135"/>
      <c r="X222" s="135"/>
      <c r="Y222" s="135"/>
      <c r="Z222" s="135"/>
      <c r="AA222" s="135"/>
      <c r="AB222" s="135"/>
      <c r="AC222" s="135"/>
      <c r="AD222" s="135"/>
      <c r="AE222" s="135"/>
      <c r="AF222" s="135"/>
    </row>
    <row r="223">
      <c r="A223" s="135"/>
      <c r="B223" s="135"/>
      <c r="C223" s="135"/>
      <c r="D223" s="135"/>
      <c r="E223" s="135"/>
      <c r="F223" s="135"/>
      <c r="G223" s="135"/>
      <c r="H223" s="135"/>
      <c r="I223" s="135"/>
      <c r="J223" s="135"/>
      <c r="K223" s="135"/>
      <c r="L223" s="135"/>
      <c r="M223" s="135"/>
      <c r="N223" s="135"/>
      <c r="O223" s="135"/>
      <c r="P223" s="135"/>
      <c r="Q223" s="135"/>
      <c r="R223" s="135"/>
      <c r="S223" s="135"/>
      <c r="T223" s="135"/>
      <c r="U223" s="135"/>
      <c r="V223" s="135"/>
      <c r="W223" s="135"/>
      <c r="X223" s="135"/>
      <c r="Y223" s="135"/>
      <c r="Z223" s="135"/>
      <c r="AA223" s="135"/>
      <c r="AB223" s="135"/>
      <c r="AC223" s="135"/>
      <c r="AD223" s="135"/>
      <c r="AE223" s="135"/>
      <c r="AF223" s="135"/>
    </row>
    <row r="224">
      <c r="A224" s="135"/>
      <c r="B224" s="135"/>
      <c r="C224" s="135"/>
      <c r="D224" s="135"/>
      <c r="E224" s="135"/>
      <c r="F224" s="135"/>
      <c r="G224" s="135"/>
      <c r="H224" s="135"/>
      <c r="I224" s="135"/>
      <c r="J224" s="135"/>
      <c r="K224" s="135"/>
      <c r="L224" s="135"/>
      <c r="M224" s="135"/>
      <c r="N224" s="135"/>
      <c r="O224" s="135"/>
      <c r="P224" s="135"/>
      <c r="Q224" s="135"/>
      <c r="R224" s="135"/>
      <c r="S224" s="135"/>
      <c r="T224" s="135"/>
      <c r="U224" s="135"/>
      <c r="V224" s="135"/>
      <c r="W224" s="135"/>
      <c r="X224" s="135"/>
      <c r="Y224" s="135"/>
      <c r="Z224" s="135"/>
      <c r="AA224" s="135"/>
      <c r="AB224" s="135"/>
      <c r="AC224" s="135"/>
      <c r="AD224" s="135"/>
      <c r="AE224" s="135"/>
      <c r="AF224" s="135"/>
    </row>
    <row r="225">
      <c r="A225" s="135"/>
      <c r="B225" s="135"/>
      <c r="C225" s="135"/>
      <c r="D225" s="135"/>
      <c r="E225" s="135"/>
      <c r="F225" s="135"/>
      <c r="G225" s="135"/>
      <c r="H225" s="135"/>
      <c r="I225" s="135"/>
      <c r="J225" s="135"/>
      <c r="K225" s="135"/>
      <c r="L225" s="135"/>
      <c r="M225" s="135"/>
      <c r="N225" s="135"/>
      <c r="O225" s="135"/>
      <c r="P225" s="135"/>
      <c r="Q225" s="135"/>
      <c r="R225" s="135"/>
      <c r="S225" s="135"/>
      <c r="T225" s="135"/>
      <c r="U225" s="135"/>
      <c r="V225" s="135"/>
      <c r="W225" s="135"/>
      <c r="X225" s="135"/>
      <c r="Y225" s="135"/>
      <c r="Z225" s="135"/>
      <c r="AA225" s="135"/>
      <c r="AB225" s="135"/>
      <c r="AC225" s="135"/>
      <c r="AD225" s="135"/>
      <c r="AE225" s="135"/>
      <c r="AF225" s="135"/>
    </row>
    <row r="226">
      <c r="A226" s="135"/>
      <c r="B226" s="135"/>
      <c r="C226" s="135"/>
      <c r="D226" s="135"/>
      <c r="E226" s="135"/>
      <c r="F226" s="135"/>
      <c r="G226" s="135"/>
      <c r="H226" s="135"/>
      <c r="I226" s="135"/>
      <c r="J226" s="135"/>
      <c r="K226" s="135"/>
      <c r="L226" s="135"/>
      <c r="M226" s="135"/>
      <c r="N226" s="135"/>
      <c r="O226" s="135"/>
      <c r="P226" s="135"/>
      <c r="Q226" s="135"/>
      <c r="R226" s="135"/>
      <c r="S226" s="135"/>
      <c r="T226" s="135"/>
      <c r="U226" s="135"/>
      <c r="V226" s="135"/>
      <c r="W226" s="135"/>
      <c r="X226" s="135"/>
      <c r="Y226" s="135"/>
      <c r="Z226" s="135"/>
      <c r="AA226" s="135"/>
      <c r="AB226" s="135"/>
      <c r="AC226" s="135"/>
      <c r="AD226" s="135"/>
      <c r="AE226" s="135"/>
      <c r="AF226" s="135"/>
    </row>
    <row r="227">
      <c r="A227" s="135"/>
      <c r="B227" s="135"/>
      <c r="C227" s="135"/>
      <c r="D227" s="135"/>
      <c r="E227" s="135"/>
      <c r="F227" s="135"/>
      <c r="G227" s="135"/>
      <c r="H227" s="135"/>
      <c r="I227" s="135"/>
      <c r="J227" s="135"/>
      <c r="K227" s="135"/>
      <c r="L227" s="135"/>
      <c r="M227" s="135"/>
      <c r="N227" s="135"/>
      <c r="O227" s="135"/>
      <c r="P227" s="135"/>
      <c r="Q227" s="135"/>
      <c r="R227" s="135"/>
      <c r="S227" s="135"/>
      <c r="T227" s="135"/>
      <c r="U227" s="135"/>
      <c r="V227" s="135"/>
      <c r="W227" s="135"/>
      <c r="X227" s="135"/>
      <c r="Y227" s="135"/>
      <c r="Z227" s="135"/>
      <c r="AA227" s="135"/>
      <c r="AB227" s="135"/>
      <c r="AC227" s="135"/>
      <c r="AD227" s="135"/>
      <c r="AE227" s="135"/>
      <c r="AF227" s="135"/>
    </row>
    <row r="228">
      <c r="A228" s="135"/>
      <c r="B228" s="135"/>
      <c r="C228" s="135"/>
      <c r="D228" s="135"/>
      <c r="E228" s="135"/>
      <c r="F228" s="135"/>
      <c r="G228" s="135"/>
      <c r="H228" s="135"/>
      <c r="I228" s="135"/>
      <c r="J228" s="135"/>
      <c r="K228" s="135"/>
      <c r="L228" s="135"/>
      <c r="M228" s="135"/>
      <c r="N228" s="135"/>
      <c r="O228" s="135"/>
      <c r="P228" s="135"/>
      <c r="Q228" s="135"/>
      <c r="R228" s="135"/>
      <c r="S228" s="135"/>
      <c r="T228" s="135"/>
      <c r="U228" s="135"/>
      <c r="V228" s="135"/>
      <c r="W228" s="135"/>
      <c r="X228" s="135"/>
      <c r="Y228" s="135"/>
      <c r="Z228" s="135"/>
      <c r="AA228" s="135"/>
      <c r="AB228" s="135"/>
      <c r="AC228" s="135"/>
      <c r="AD228" s="135"/>
      <c r="AE228" s="135"/>
      <c r="AF228" s="135"/>
    </row>
    <row r="229">
      <c r="A229" s="135"/>
      <c r="B229" s="135"/>
      <c r="C229" s="135"/>
      <c r="D229" s="135"/>
      <c r="E229" s="135"/>
      <c r="F229" s="135"/>
      <c r="G229" s="135"/>
      <c r="H229" s="135"/>
      <c r="I229" s="135"/>
      <c r="J229" s="135"/>
      <c r="K229" s="135"/>
      <c r="L229" s="135"/>
      <c r="M229" s="135"/>
      <c r="N229" s="135"/>
      <c r="O229" s="135"/>
      <c r="P229" s="135"/>
      <c r="Q229" s="135"/>
      <c r="R229" s="135"/>
      <c r="S229" s="135"/>
      <c r="T229" s="135"/>
      <c r="U229" s="135"/>
      <c r="V229" s="135"/>
      <c r="W229" s="135"/>
      <c r="X229" s="135"/>
      <c r="Y229" s="135"/>
      <c r="Z229" s="135"/>
      <c r="AA229" s="135"/>
      <c r="AB229" s="135"/>
      <c r="AC229" s="135"/>
      <c r="AD229" s="135"/>
      <c r="AE229" s="135"/>
      <c r="AF229" s="135"/>
    </row>
    <row r="230">
      <c r="A230" s="135"/>
      <c r="B230" s="135"/>
      <c r="C230" s="135"/>
      <c r="D230" s="135"/>
      <c r="E230" s="135"/>
      <c r="F230" s="135"/>
      <c r="G230" s="135"/>
      <c r="H230" s="135"/>
      <c r="I230" s="135"/>
      <c r="J230" s="135"/>
      <c r="K230" s="135"/>
      <c r="L230" s="135"/>
      <c r="M230" s="135"/>
      <c r="N230" s="135"/>
      <c r="O230" s="135"/>
      <c r="P230" s="135"/>
      <c r="Q230" s="135"/>
      <c r="R230" s="135"/>
      <c r="S230" s="135"/>
      <c r="T230" s="135"/>
      <c r="U230" s="135"/>
      <c r="V230" s="135"/>
      <c r="W230" s="135"/>
      <c r="X230" s="135"/>
      <c r="Y230" s="135"/>
      <c r="Z230" s="135"/>
      <c r="AA230" s="135"/>
      <c r="AB230" s="135"/>
      <c r="AC230" s="135"/>
      <c r="AD230" s="135"/>
      <c r="AE230" s="135"/>
      <c r="AF230" s="135"/>
    </row>
    <row r="231">
      <c r="A231" s="135"/>
      <c r="B231" s="135"/>
      <c r="C231" s="135"/>
      <c r="D231" s="135"/>
      <c r="E231" s="135"/>
      <c r="F231" s="135"/>
      <c r="G231" s="135"/>
      <c r="H231" s="135"/>
      <c r="I231" s="135"/>
      <c r="J231" s="135"/>
      <c r="K231" s="135"/>
      <c r="L231" s="135"/>
      <c r="M231" s="135"/>
      <c r="N231" s="135"/>
      <c r="O231" s="135"/>
      <c r="P231" s="135"/>
      <c r="Q231" s="135"/>
      <c r="R231" s="135"/>
      <c r="S231" s="135"/>
      <c r="T231" s="135"/>
      <c r="U231" s="135"/>
      <c r="V231" s="135"/>
      <c r="W231" s="135"/>
      <c r="X231" s="135"/>
      <c r="Y231" s="135"/>
      <c r="Z231" s="135"/>
      <c r="AA231" s="135"/>
      <c r="AB231" s="135"/>
      <c r="AC231" s="135"/>
      <c r="AD231" s="135"/>
      <c r="AE231" s="135"/>
      <c r="AF231" s="135"/>
    </row>
    <row r="232">
      <c r="A232" s="135"/>
      <c r="B232" s="135"/>
      <c r="C232" s="135"/>
      <c r="D232" s="135"/>
      <c r="E232" s="135"/>
      <c r="F232" s="135"/>
      <c r="G232" s="135"/>
      <c r="H232" s="135"/>
      <c r="I232" s="135"/>
      <c r="J232" s="135"/>
      <c r="K232" s="135"/>
      <c r="L232" s="135"/>
      <c r="M232" s="135"/>
      <c r="N232" s="135"/>
      <c r="O232" s="135"/>
      <c r="P232" s="135"/>
      <c r="Q232" s="135"/>
      <c r="R232" s="135"/>
      <c r="S232" s="135"/>
      <c r="T232" s="135"/>
      <c r="U232" s="135"/>
      <c r="V232" s="135"/>
      <c r="W232" s="135"/>
      <c r="X232" s="135"/>
      <c r="Y232" s="135"/>
      <c r="Z232" s="135"/>
      <c r="AA232" s="135"/>
      <c r="AB232" s="135"/>
      <c r="AC232" s="135"/>
      <c r="AD232" s="135"/>
      <c r="AE232" s="135"/>
      <c r="AF232" s="135"/>
    </row>
    <row r="233">
      <c r="A233" s="135"/>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c r="X233" s="135"/>
      <c r="Y233" s="135"/>
      <c r="Z233" s="135"/>
      <c r="AA233" s="135"/>
      <c r="AB233" s="135"/>
      <c r="AC233" s="135"/>
      <c r="AD233" s="135"/>
      <c r="AE233" s="135"/>
      <c r="AF233" s="135"/>
    </row>
    <row r="234">
      <c r="A234" s="135"/>
      <c r="B234" s="135"/>
      <c r="C234" s="135"/>
      <c r="D234" s="135"/>
      <c r="E234" s="135"/>
      <c r="F234" s="135"/>
      <c r="G234" s="135"/>
      <c r="H234" s="135"/>
      <c r="I234" s="135"/>
      <c r="J234" s="135"/>
      <c r="K234" s="135"/>
      <c r="L234" s="135"/>
      <c r="M234" s="135"/>
      <c r="N234" s="135"/>
      <c r="O234" s="135"/>
      <c r="P234" s="135"/>
      <c r="Q234" s="135"/>
      <c r="R234" s="135"/>
      <c r="S234" s="135"/>
      <c r="T234" s="135"/>
      <c r="U234" s="135"/>
      <c r="V234" s="135"/>
      <c r="W234" s="135"/>
      <c r="X234" s="135"/>
      <c r="Y234" s="135"/>
      <c r="Z234" s="135"/>
      <c r="AA234" s="135"/>
      <c r="AB234" s="135"/>
      <c r="AC234" s="135"/>
      <c r="AD234" s="135"/>
      <c r="AE234" s="135"/>
      <c r="AF234" s="135"/>
    </row>
    <row r="235">
      <c r="A235" s="135"/>
      <c r="B235" s="135"/>
      <c r="C235" s="135"/>
      <c r="D235" s="135"/>
      <c r="E235" s="135"/>
      <c r="F235" s="135"/>
      <c r="G235" s="135"/>
      <c r="H235" s="135"/>
      <c r="I235" s="135"/>
      <c r="J235" s="135"/>
      <c r="K235" s="135"/>
      <c r="L235" s="135"/>
      <c r="M235" s="135"/>
      <c r="N235" s="135"/>
      <c r="O235" s="135"/>
      <c r="P235" s="135"/>
      <c r="Q235" s="135"/>
      <c r="R235" s="135"/>
      <c r="S235" s="135"/>
      <c r="T235" s="135"/>
      <c r="U235" s="135"/>
      <c r="V235" s="135"/>
      <c r="W235" s="135"/>
      <c r="X235" s="135"/>
      <c r="Y235" s="135"/>
      <c r="Z235" s="135"/>
      <c r="AA235" s="135"/>
      <c r="AB235" s="135"/>
      <c r="AC235" s="135"/>
      <c r="AD235" s="135"/>
      <c r="AE235" s="135"/>
      <c r="AF235" s="135"/>
    </row>
    <row r="236">
      <c r="A236" s="135"/>
      <c r="B236" s="135"/>
      <c r="C236" s="135"/>
      <c r="D236" s="135"/>
      <c r="E236" s="135"/>
      <c r="F236" s="135"/>
      <c r="G236" s="135"/>
      <c r="H236" s="135"/>
      <c r="I236" s="135"/>
      <c r="J236" s="135"/>
      <c r="K236" s="135"/>
      <c r="L236" s="135"/>
      <c r="M236" s="135"/>
      <c r="N236" s="135"/>
      <c r="O236" s="135"/>
      <c r="P236" s="135"/>
      <c r="Q236" s="135"/>
      <c r="R236" s="135"/>
      <c r="S236" s="135"/>
      <c r="T236" s="135"/>
      <c r="U236" s="135"/>
      <c r="V236" s="135"/>
      <c r="W236" s="135"/>
      <c r="X236" s="135"/>
      <c r="Y236" s="135"/>
      <c r="Z236" s="135"/>
      <c r="AA236" s="135"/>
      <c r="AB236" s="135"/>
      <c r="AC236" s="135"/>
      <c r="AD236" s="135"/>
      <c r="AE236" s="135"/>
      <c r="AF236" s="135"/>
    </row>
    <row r="237">
      <c r="A237" s="135"/>
      <c r="B237" s="135"/>
      <c r="C237" s="135"/>
      <c r="D237" s="135"/>
      <c r="E237" s="135"/>
      <c r="F237" s="135"/>
      <c r="G237" s="135"/>
      <c r="H237" s="135"/>
      <c r="I237" s="135"/>
      <c r="J237" s="135"/>
      <c r="K237" s="135"/>
      <c r="L237" s="135"/>
      <c r="M237" s="135"/>
      <c r="N237" s="135"/>
      <c r="O237" s="135"/>
      <c r="P237" s="135"/>
      <c r="Q237" s="135"/>
      <c r="R237" s="135"/>
      <c r="S237" s="135"/>
      <c r="T237" s="135"/>
      <c r="U237" s="135"/>
      <c r="V237" s="135"/>
      <c r="W237" s="135"/>
      <c r="X237" s="135"/>
      <c r="Y237" s="135"/>
      <c r="Z237" s="135"/>
      <c r="AA237" s="135"/>
      <c r="AB237" s="135"/>
      <c r="AC237" s="135"/>
      <c r="AD237" s="135"/>
      <c r="AE237" s="135"/>
      <c r="AF237" s="135"/>
    </row>
    <row r="238">
      <c r="A238" s="135"/>
      <c r="B238" s="135"/>
      <c r="C238" s="135"/>
      <c r="D238" s="135"/>
      <c r="E238" s="135"/>
      <c r="F238" s="135"/>
      <c r="G238" s="135"/>
      <c r="H238" s="135"/>
      <c r="I238" s="135"/>
      <c r="J238" s="135"/>
      <c r="K238" s="135"/>
      <c r="L238" s="135"/>
      <c r="M238" s="135"/>
      <c r="N238" s="135"/>
      <c r="O238" s="135"/>
      <c r="P238" s="135"/>
      <c r="Q238" s="135"/>
      <c r="R238" s="135"/>
      <c r="S238" s="135"/>
      <c r="T238" s="135"/>
      <c r="U238" s="135"/>
      <c r="V238" s="135"/>
      <c r="W238" s="135"/>
      <c r="X238" s="135"/>
      <c r="Y238" s="135"/>
      <c r="Z238" s="135"/>
      <c r="AA238" s="135"/>
      <c r="AB238" s="135"/>
      <c r="AC238" s="135"/>
      <c r="AD238" s="135"/>
      <c r="AE238" s="135"/>
      <c r="AF238" s="135"/>
    </row>
    <row r="239">
      <c r="A239" s="135"/>
      <c r="B239" s="135"/>
      <c r="C239" s="135"/>
      <c r="D239" s="135"/>
      <c r="E239" s="135"/>
      <c r="F239" s="135"/>
      <c r="G239" s="135"/>
      <c r="H239" s="135"/>
      <c r="I239" s="135"/>
      <c r="J239" s="135"/>
      <c r="K239" s="135"/>
      <c r="L239" s="135"/>
      <c r="M239" s="135"/>
      <c r="N239" s="135"/>
      <c r="O239" s="135"/>
      <c r="P239" s="135"/>
      <c r="Q239" s="135"/>
      <c r="R239" s="135"/>
      <c r="S239" s="135"/>
      <c r="T239" s="135"/>
      <c r="U239" s="135"/>
      <c r="V239" s="135"/>
      <c r="W239" s="135"/>
      <c r="X239" s="135"/>
      <c r="Y239" s="135"/>
      <c r="Z239" s="135"/>
      <c r="AA239" s="135"/>
      <c r="AB239" s="135"/>
      <c r="AC239" s="135"/>
      <c r="AD239" s="135"/>
      <c r="AE239" s="135"/>
      <c r="AF239" s="135"/>
    </row>
    <row r="240">
      <c r="A240" s="135"/>
      <c r="B240" s="135"/>
      <c r="C240" s="135"/>
      <c r="D240" s="135"/>
      <c r="E240" s="135"/>
      <c r="F240" s="135"/>
      <c r="G240" s="135"/>
      <c r="H240" s="135"/>
      <c r="I240" s="135"/>
      <c r="J240" s="135"/>
      <c r="K240" s="135"/>
      <c r="L240" s="135"/>
      <c r="M240" s="135"/>
      <c r="N240" s="135"/>
      <c r="O240" s="135"/>
      <c r="P240" s="135"/>
      <c r="Q240" s="135"/>
      <c r="R240" s="135"/>
      <c r="S240" s="135"/>
      <c r="T240" s="135"/>
      <c r="U240" s="135"/>
      <c r="V240" s="135"/>
      <c r="W240" s="135"/>
      <c r="X240" s="135"/>
      <c r="Y240" s="135"/>
      <c r="Z240" s="135"/>
      <c r="AA240" s="135"/>
      <c r="AB240" s="135"/>
      <c r="AC240" s="135"/>
      <c r="AD240" s="135"/>
      <c r="AE240" s="135"/>
      <c r="AF240" s="135"/>
    </row>
    <row r="241">
      <c r="A241" s="135"/>
      <c r="B241" s="135"/>
      <c r="C241" s="135"/>
      <c r="D241" s="135"/>
      <c r="E241" s="135"/>
      <c r="F241" s="135"/>
      <c r="G241" s="135"/>
      <c r="H241" s="135"/>
      <c r="I241" s="135"/>
      <c r="J241" s="135"/>
      <c r="K241" s="135"/>
      <c r="L241" s="135"/>
      <c r="M241" s="135"/>
      <c r="N241" s="135"/>
      <c r="O241" s="135"/>
      <c r="P241" s="135"/>
      <c r="Q241" s="135"/>
      <c r="R241" s="135"/>
      <c r="S241" s="135"/>
      <c r="T241" s="135"/>
      <c r="U241" s="135"/>
      <c r="V241" s="135"/>
      <c r="W241" s="135"/>
      <c r="X241" s="135"/>
      <c r="Y241" s="135"/>
      <c r="Z241" s="135"/>
      <c r="AA241" s="135"/>
      <c r="AB241" s="135"/>
      <c r="AC241" s="135"/>
      <c r="AD241" s="135"/>
      <c r="AE241" s="135"/>
      <c r="AF241" s="135"/>
    </row>
    <row r="242">
      <c r="A242" s="135"/>
      <c r="B242" s="135"/>
      <c r="C242" s="135"/>
      <c r="D242" s="135"/>
      <c r="E242" s="135"/>
      <c r="F242" s="135"/>
      <c r="G242" s="135"/>
      <c r="H242" s="135"/>
      <c r="I242" s="135"/>
      <c r="J242" s="135"/>
      <c r="K242" s="135"/>
      <c r="L242" s="135"/>
      <c r="M242" s="135"/>
      <c r="N242" s="135"/>
      <c r="O242" s="135"/>
      <c r="P242" s="135"/>
      <c r="Q242" s="135"/>
      <c r="R242" s="135"/>
      <c r="S242" s="135"/>
      <c r="T242" s="135"/>
      <c r="U242" s="135"/>
      <c r="V242" s="135"/>
      <c r="W242" s="135"/>
      <c r="X242" s="135"/>
      <c r="Y242" s="135"/>
      <c r="Z242" s="135"/>
      <c r="AA242" s="135"/>
      <c r="AB242" s="135"/>
      <c r="AC242" s="135"/>
      <c r="AD242" s="135"/>
      <c r="AE242" s="135"/>
      <c r="AF242" s="135"/>
    </row>
    <row r="243">
      <c r="A243" s="135"/>
      <c r="B243" s="135"/>
      <c r="C243" s="135"/>
      <c r="D243" s="135"/>
      <c r="E243" s="135"/>
      <c r="F243" s="135"/>
      <c r="G243" s="135"/>
      <c r="H243" s="135"/>
      <c r="I243" s="135"/>
      <c r="J243" s="135"/>
      <c r="K243" s="135"/>
      <c r="L243" s="135"/>
      <c r="M243" s="135"/>
      <c r="N243" s="135"/>
      <c r="O243" s="135"/>
      <c r="P243" s="135"/>
      <c r="Q243" s="135"/>
      <c r="R243" s="135"/>
      <c r="S243" s="135"/>
      <c r="T243" s="135"/>
      <c r="U243" s="135"/>
      <c r="V243" s="135"/>
      <c r="W243" s="135"/>
      <c r="X243" s="135"/>
      <c r="Y243" s="135"/>
      <c r="Z243" s="135"/>
      <c r="AA243" s="135"/>
      <c r="AB243" s="135"/>
      <c r="AC243" s="135"/>
      <c r="AD243" s="135"/>
      <c r="AE243" s="135"/>
      <c r="AF243" s="135"/>
    </row>
    <row r="244">
      <c r="A244" s="135"/>
      <c r="B244" s="135"/>
      <c r="C244" s="135"/>
      <c r="D244" s="135"/>
      <c r="E244" s="135"/>
      <c r="F244" s="135"/>
      <c r="G244" s="135"/>
      <c r="H244" s="135"/>
      <c r="I244" s="135"/>
      <c r="J244" s="135"/>
      <c r="K244" s="135"/>
      <c r="L244" s="135"/>
      <c r="M244" s="135"/>
      <c r="N244" s="135"/>
      <c r="O244" s="135"/>
      <c r="P244" s="135"/>
      <c r="Q244" s="135"/>
      <c r="R244" s="135"/>
      <c r="S244" s="135"/>
      <c r="T244" s="135"/>
      <c r="U244" s="135"/>
      <c r="V244" s="135"/>
      <c r="W244" s="135"/>
      <c r="X244" s="135"/>
      <c r="Y244" s="135"/>
      <c r="Z244" s="135"/>
      <c r="AA244" s="135"/>
      <c r="AB244" s="135"/>
      <c r="AC244" s="135"/>
      <c r="AD244" s="135"/>
      <c r="AE244" s="135"/>
      <c r="AF244" s="135"/>
    </row>
    <row r="245">
      <c r="A245" s="135"/>
      <c r="B245" s="135"/>
      <c r="C245" s="135"/>
      <c r="D245" s="135"/>
      <c r="E245" s="135"/>
      <c r="F245" s="135"/>
      <c r="G245" s="135"/>
      <c r="H245" s="135"/>
      <c r="I245" s="135"/>
      <c r="J245" s="135"/>
      <c r="K245" s="135"/>
      <c r="L245" s="135"/>
      <c r="M245" s="135"/>
      <c r="N245" s="135"/>
      <c r="O245" s="135"/>
      <c r="P245" s="135"/>
      <c r="Q245" s="135"/>
      <c r="R245" s="135"/>
      <c r="S245" s="135"/>
      <c r="T245" s="135"/>
      <c r="U245" s="135"/>
      <c r="V245" s="135"/>
      <c r="W245" s="135"/>
      <c r="X245" s="135"/>
      <c r="Y245" s="135"/>
      <c r="Z245" s="135"/>
      <c r="AA245" s="135"/>
      <c r="AB245" s="135"/>
      <c r="AC245" s="135"/>
      <c r="AD245" s="135"/>
      <c r="AE245" s="135"/>
      <c r="AF245" s="135"/>
    </row>
    <row r="246">
      <c r="A246" s="135"/>
      <c r="B246" s="135"/>
      <c r="C246" s="135"/>
      <c r="D246" s="135"/>
      <c r="E246" s="135"/>
      <c r="F246" s="135"/>
      <c r="G246" s="135"/>
      <c r="H246" s="135"/>
      <c r="I246" s="135"/>
      <c r="J246" s="135"/>
      <c r="K246" s="135"/>
      <c r="L246" s="135"/>
      <c r="M246" s="135"/>
      <c r="N246" s="135"/>
      <c r="O246" s="135"/>
      <c r="P246" s="135"/>
      <c r="Q246" s="135"/>
      <c r="R246" s="135"/>
      <c r="S246" s="135"/>
      <c r="T246" s="135"/>
      <c r="U246" s="135"/>
      <c r="V246" s="135"/>
      <c r="W246" s="135"/>
      <c r="X246" s="135"/>
      <c r="Y246" s="135"/>
      <c r="Z246" s="135"/>
      <c r="AA246" s="135"/>
      <c r="AB246" s="135"/>
      <c r="AC246" s="135"/>
      <c r="AD246" s="135"/>
      <c r="AE246" s="135"/>
      <c r="AF246" s="135"/>
    </row>
    <row r="247">
      <c r="A247" s="135"/>
      <c r="B247" s="135"/>
      <c r="C247" s="135"/>
      <c r="D247" s="135"/>
      <c r="E247" s="135"/>
      <c r="F247" s="135"/>
      <c r="G247" s="135"/>
      <c r="H247" s="135"/>
      <c r="I247" s="135"/>
      <c r="J247" s="135"/>
      <c r="K247" s="135"/>
      <c r="L247" s="135"/>
      <c r="M247" s="135"/>
      <c r="N247" s="135"/>
      <c r="O247" s="135"/>
      <c r="P247" s="135"/>
      <c r="Q247" s="135"/>
      <c r="R247" s="135"/>
      <c r="S247" s="135"/>
      <c r="T247" s="135"/>
      <c r="U247" s="135"/>
      <c r="V247" s="135"/>
      <c r="W247" s="135"/>
      <c r="X247" s="135"/>
      <c r="Y247" s="135"/>
      <c r="Z247" s="135"/>
      <c r="AA247" s="135"/>
      <c r="AB247" s="135"/>
      <c r="AC247" s="135"/>
      <c r="AD247" s="135"/>
      <c r="AE247" s="135"/>
      <c r="AF247" s="135"/>
    </row>
    <row r="248">
      <c r="A248" s="135"/>
      <c r="B248" s="135"/>
      <c r="C248" s="135"/>
      <c r="D248" s="135"/>
      <c r="E248" s="135"/>
      <c r="F248" s="135"/>
      <c r="G248" s="135"/>
      <c r="H248" s="135"/>
      <c r="I248" s="135"/>
      <c r="J248" s="135"/>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row>
    <row r="249">
      <c r="A249" s="135"/>
      <c r="B249" s="135"/>
      <c r="C249" s="135"/>
      <c r="D249" s="135"/>
      <c r="E249" s="135"/>
      <c r="F249" s="135"/>
      <c r="G249" s="135"/>
      <c r="H249" s="135"/>
      <c r="I249" s="135"/>
      <c r="J249" s="135"/>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row>
    <row r="250">
      <c r="A250" s="135"/>
      <c r="B250" s="135"/>
      <c r="C250" s="135"/>
      <c r="D250" s="135"/>
      <c r="E250" s="135"/>
      <c r="F250" s="135"/>
      <c r="G250" s="135"/>
      <c r="H250" s="135"/>
      <c r="I250" s="135"/>
      <c r="J250" s="135"/>
      <c r="K250" s="135"/>
      <c r="L250" s="135"/>
      <c r="M250" s="135"/>
      <c r="N250" s="135"/>
      <c r="O250" s="135"/>
      <c r="P250" s="135"/>
      <c r="Q250" s="135"/>
      <c r="R250" s="135"/>
      <c r="S250" s="135"/>
      <c r="T250" s="135"/>
      <c r="U250" s="135"/>
      <c r="V250" s="135"/>
      <c r="W250" s="135"/>
      <c r="X250" s="135"/>
      <c r="Y250" s="135"/>
      <c r="Z250" s="135"/>
      <c r="AA250" s="135"/>
      <c r="AB250" s="135"/>
      <c r="AC250" s="135"/>
      <c r="AD250" s="135"/>
      <c r="AE250" s="135"/>
      <c r="AF250" s="135"/>
    </row>
    <row r="251">
      <c r="A251" s="135"/>
      <c r="B251" s="135"/>
      <c r="C251" s="135"/>
      <c r="D251" s="135"/>
      <c r="E251" s="135"/>
      <c r="F251" s="135"/>
      <c r="G251" s="135"/>
      <c r="H251" s="135"/>
      <c r="I251" s="135"/>
      <c r="J251" s="135"/>
      <c r="K251" s="135"/>
      <c r="L251" s="135"/>
      <c r="M251" s="135"/>
      <c r="N251" s="135"/>
      <c r="O251" s="135"/>
      <c r="P251" s="135"/>
      <c r="Q251" s="135"/>
      <c r="R251" s="135"/>
      <c r="S251" s="135"/>
      <c r="T251" s="135"/>
      <c r="U251" s="135"/>
      <c r="V251" s="135"/>
      <c r="W251" s="135"/>
      <c r="X251" s="135"/>
      <c r="Y251" s="135"/>
      <c r="Z251" s="135"/>
      <c r="AA251" s="135"/>
      <c r="AB251" s="135"/>
      <c r="AC251" s="135"/>
      <c r="AD251" s="135"/>
      <c r="AE251" s="135"/>
      <c r="AF251" s="135"/>
    </row>
    <row r="252">
      <c r="A252" s="135"/>
      <c r="B252" s="135"/>
      <c r="C252" s="135"/>
      <c r="D252" s="135"/>
      <c r="E252" s="135"/>
      <c r="F252" s="135"/>
      <c r="G252" s="135"/>
      <c r="H252" s="135"/>
      <c r="I252" s="135"/>
      <c r="J252" s="135"/>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row>
    <row r="253">
      <c r="A253" s="135"/>
      <c r="B253" s="135"/>
      <c r="C253" s="135"/>
      <c r="D253" s="135"/>
      <c r="E253" s="135"/>
      <c r="F253" s="135"/>
      <c r="G253" s="135"/>
      <c r="H253" s="135"/>
      <c r="I253" s="135"/>
      <c r="J253" s="135"/>
      <c r="K253" s="135"/>
      <c r="L253" s="135"/>
      <c r="M253" s="135"/>
      <c r="N253" s="135"/>
      <c r="O253" s="135"/>
      <c r="P253" s="135"/>
      <c r="Q253" s="135"/>
      <c r="R253" s="135"/>
      <c r="S253" s="135"/>
      <c r="T253" s="135"/>
      <c r="U253" s="135"/>
      <c r="V253" s="135"/>
      <c r="W253" s="135"/>
      <c r="X253" s="135"/>
      <c r="Y253" s="135"/>
      <c r="Z253" s="135"/>
      <c r="AA253" s="135"/>
      <c r="AB253" s="135"/>
      <c r="AC253" s="135"/>
      <c r="AD253" s="135"/>
      <c r="AE253" s="135"/>
      <c r="AF253" s="135"/>
    </row>
    <row r="254">
      <c r="A254" s="135"/>
      <c r="B254" s="135"/>
      <c r="C254" s="135"/>
      <c r="D254" s="135"/>
      <c r="E254" s="135"/>
      <c r="F254" s="135"/>
      <c r="G254" s="135"/>
      <c r="H254" s="135"/>
      <c r="I254" s="135"/>
      <c r="J254" s="135"/>
      <c r="K254" s="135"/>
      <c r="L254" s="135"/>
      <c r="M254" s="135"/>
      <c r="N254" s="135"/>
      <c r="O254" s="135"/>
      <c r="P254" s="135"/>
      <c r="Q254" s="135"/>
      <c r="R254" s="135"/>
      <c r="S254" s="135"/>
      <c r="T254" s="135"/>
      <c r="U254" s="135"/>
      <c r="V254" s="135"/>
      <c r="W254" s="135"/>
      <c r="X254" s="135"/>
      <c r="Y254" s="135"/>
      <c r="Z254" s="135"/>
      <c r="AA254" s="135"/>
      <c r="AB254" s="135"/>
      <c r="AC254" s="135"/>
      <c r="AD254" s="135"/>
      <c r="AE254" s="135"/>
      <c r="AF254" s="135"/>
    </row>
    <row r="255">
      <c r="A255" s="135"/>
      <c r="B255" s="135"/>
      <c r="C255" s="135"/>
      <c r="D255" s="135"/>
      <c r="E255" s="135"/>
      <c r="F255" s="135"/>
      <c r="G255" s="135"/>
      <c r="H255" s="135"/>
      <c r="I255" s="135"/>
      <c r="J255" s="135"/>
      <c r="K255" s="135"/>
      <c r="L255" s="135"/>
      <c r="M255" s="135"/>
      <c r="N255" s="135"/>
      <c r="O255" s="135"/>
      <c r="P255" s="135"/>
      <c r="Q255" s="135"/>
      <c r="R255" s="135"/>
      <c r="S255" s="135"/>
      <c r="T255" s="135"/>
      <c r="U255" s="135"/>
      <c r="V255" s="135"/>
      <c r="W255" s="135"/>
      <c r="X255" s="135"/>
      <c r="Y255" s="135"/>
      <c r="Z255" s="135"/>
      <c r="AA255" s="135"/>
      <c r="AB255" s="135"/>
      <c r="AC255" s="135"/>
      <c r="AD255" s="135"/>
      <c r="AE255" s="135"/>
      <c r="AF255" s="135"/>
    </row>
    <row r="256">
      <c r="A256" s="135"/>
      <c r="B256" s="135"/>
      <c r="C256" s="135"/>
      <c r="D256" s="135"/>
      <c r="E256" s="135"/>
      <c r="F256" s="135"/>
      <c r="G256" s="135"/>
      <c r="H256" s="135"/>
      <c r="I256" s="135"/>
      <c r="J256" s="135"/>
      <c r="K256" s="135"/>
      <c r="L256" s="135"/>
      <c r="M256" s="135"/>
      <c r="N256" s="135"/>
      <c r="O256" s="135"/>
      <c r="P256" s="135"/>
      <c r="Q256" s="135"/>
      <c r="R256" s="135"/>
      <c r="S256" s="135"/>
      <c r="T256" s="135"/>
      <c r="U256" s="135"/>
      <c r="V256" s="135"/>
      <c r="W256" s="135"/>
      <c r="X256" s="135"/>
      <c r="Y256" s="135"/>
      <c r="Z256" s="135"/>
      <c r="AA256" s="135"/>
      <c r="AB256" s="135"/>
      <c r="AC256" s="135"/>
      <c r="AD256" s="135"/>
      <c r="AE256" s="135"/>
      <c r="AF256" s="135"/>
    </row>
    <row r="257">
      <c r="A257" s="135"/>
      <c r="B257" s="135"/>
      <c r="C257" s="135"/>
      <c r="D257" s="135"/>
      <c r="E257" s="135"/>
      <c r="F257" s="135"/>
      <c r="G257" s="135"/>
      <c r="H257" s="135"/>
      <c r="I257" s="135"/>
      <c r="J257" s="135"/>
      <c r="K257" s="135"/>
      <c r="L257" s="135"/>
      <c r="M257" s="135"/>
      <c r="N257" s="135"/>
      <c r="O257" s="135"/>
      <c r="P257" s="135"/>
      <c r="Q257" s="135"/>
      <c r="R257" s="135"/>
      <c r="S257" s="135"/>
      <c r="T257" s="135"/>
      <c r="U257" s="135"/>
      <c r="V257" s="135"/>
      <c r="W257" s="135"/>
      <c r="X257" s="135"/>
      <c r="Y257" s="135"/>
      <c r="Z257" s="135"/>
      <c r="AA257" s="135"/>
      <c r="AB257" s="135"/>
      <c r="AC257" s="135"/>
      <c r="AD257" s="135"/>
      <c r="AE257" s="135"/>
      <c r="AF257" s="135"/>
    </row>
    <row r="258">
      <c r="A258" s="135"/>
      <c r="B258" s="135"/>
      <c r="C258" s="135"/>
      <c r="D258" s="135"/>
      <c r="E258" s="135"/>
      <c r="F258" s="135"/>
      <c r="G258" s="135"/>
      <c r="H258" s="135"/>
      <c r="I258" s="135"/>
      <c r="J258" s="135"/>
      <c r="K258" s="135"/>
      <c r="L258" s="135"/>
      <c r="M258" s="135"/>
      <c r="N258" s="135"/>
      <c r="O258" s="135"/>
      <c r="P258" s="135"/>
      <c r="Q258" s="135"/>
      <c r="R258" s="135"/>
      <c r="S258" s="135"/>
      <c r="T258" s="135"/>
      <c r="U258" s="135"/>
      <c r="V258" s="135"/>
      <c r="W258" s="135"/>
      <c r="X258" s="135"/>
      <c r="Y258" s="135"/>
      <c r="Z258" s="135"/>
      <c r="AA258" s="135"/>
      <c r="AB258" s="135"/>
      <c r="AC258" s="135"/>
      <c r="AD258" s="135"/>
      <c r="AE258" s="135"/>
      <c r="AF258" s="135"/>
    </row>
    <row r="259">
      <c r="A259" s="135"/>
      <c r="B259" s="135"/>
      <c r="C259" s="135"/>
      <c r="D259" s="135"/>
      <c r="E259" s="135"/>
      <c r="F259" s="135"/>
      <c r="G259" s="135"/>
      <c r="H259" s="135"/>
      <c r="I259" s="135"/>
      <c r="J259" s="135"/>
      <c r="K259" s="135"/>
      <c r="L259" s="135"/>
      <c r="M259" s="135"/>
      <c r="N259" s="135"/>
      <c r="O259" s="135"/>
      <c r="P259" s="135"/>
      <c r="Q259" s="135"/>
      <c r="R259" s="135"/>
      <c r="S259" s="135"/>
      <c r="T259" s="135"/>
      <c r="U259" s="135"/>
      <c r="V259" s="135"/>
      <c r="W259" s="135"/>
      <c r="X259" s="135"/>
      <c r="Y259" s="135"/>
      <c r="Z259" s="135"/>
      <c r="AA259" s="135"/>
      <c r="AB259" s="135"/>
      <c r="AC259" s="135"/>
      <c r="AD259" s="135"/>
      <c r="AE259" s="135"/>
      <c r="AF259" s="135"/>
    </row>
    <row r="260">
      <c r="A260" s="135"/>
      <c r="B260" s="135"/>
      <c r="C260" s="135"/>
      <c r="D260" s="135"/>
      <c r="E260" s="135"/>
      <c r="F260" s="135"/>
      <c r="G260" s="135"/>
      <c r="H260" s="135"/>
      <c r="I260" s="135"/>
      <c r="J260" s="135"/>
      <c r="K260" s="135"/>
      <c r="L260" s="135"/>
      <c r="M260" s="135"/>
      <c r="N260" s="135"/>
      <c r="O260" s="135"/>
      <c r="P260" s="135"/>
      <c r="Q260" s="135"/>
      <c r="R260" s="135"/>
      <c r="S260" s="135"/>
      <c r="T260" s="135"/>
      <c r="U260" s="135"/>
      <c r="V260" s="135"/>
      <c r="W260" s="135"/>
      <c r="X260" s="135"/>
      <c r="Y260" s="135"/>
      <c r="Z260" s="135"/>
      <c r="AA260" s="135"/>
      <c r="AB260" s="135"/>
      <c r="AC260" s="135"/>
      <c r="AD260" s="135"/>
      <c r="AE260" s="135"/>
      <c r="AF260" s="135"/>
    </row>
    <row r="261">
      <c r="A261" s="135"/>
      <c r="B261" s="135"/>
      <c r="C261" s="135"/>
      <c r="D261" s="135"/>
      <c r="E261" s="135"/>
      <c r="F261" s="135"/>
      <c r="G261" s="135"/>
      <c r="H261" s="135"/>
      <c r="I261" s="135"/>
      <c r="J261" s="135"/>
      <c r="K261" s="135"/>
      <c r="L261" s="135"/>
      <c r="M261" s="135"/>
      <c r="N261" s="135"/>
      <c r="O261" s="135"/>
      <c r="P261" s="135"/>
      <c r="Q261" s="135"/>
      <c r="R261" s="135"/>
      <c r="S261" s="135"/>
      <c r="T261" s="135"/>
      <c r="U261" s="135"/>
      <c r="V261" s="135"/>
      <c r="W261" s="135"/>
      <c r="X261" s="135"/>
      <c r="Y261" s="135"/>
      <c r="Z261" s="135"/>
      <c r="AA261" s="135"/>
      <c r="AB261" s="135"/>
      <c r="AC261" s="135"/>
      <c r="AD261" s="135"/>
      <c r="AE261" s="135"/>
      <c r="AF261" s="135"/>
    </row>
    <row r="262">
      <c r="A262" s="135"/>
      <c r="B262" s="135"/>
      <c r="C262" s="135"/>
      <c r="D262" s="135"/>
      <c r="E262" s="135"/>
      <c r="F262" s="135"/>
      <c r="G262" s="135"/>
      <c r="H262" s="135"/>
      <c r="I262" s="135"/>
      <c r="J262" s="135"/>
      <c r="K262" s="135"/>
      <c r="L262" s="135"/>
      <c r="M262" s="135"/>
      <c r="N262" s="135"/>
      <c r="O262" s="135"/>
      <c r="P262" s="135"/>
      <c r="Q262" s="135"/>
      <c r="R262" s="135"/>
      <c r="S262" s="135"/>
      <c r="T262" s="135"/>
      <c r="U262" s="135"/>
      <c r="V262" s="135"/>
      <c r="W262" s="135"/>
      <c r="X262" s="135"/>
      <c r="Y262" s="135"/>
      <c r="Z262" s="135"/>
      <c r="AA262" s="135"/>
      <c r="AB262" s="135"/>
      <c r="AC262" s="135"/>
      <c r="AD262" s="135"/>
      <c r="AE262" s="135"/>
      <c r="AF262" s="135"/>
    </row>
    <row r="263">
      <c r="A263" s="135"/>
      <c r="B263" s="135"/>
      <c r="C263" s="135"/>
      <c r="D263" s="135"/>
      <c r="E263" s="135"/>
      <c r="F263" s="135"/>
      <c r="G263" s="135"/>
      <c r="H263" s="135"/>
      <c r="I263" s="135"/>
      <c r="J263" s="135"/>
      <c r="K263" s="135"/>
      <c r="L263" s="135"/>
      <c r="M263" s="135"/>
      <c r="N263" s="135"/>
      <c r="O263" s="135"/>
      <c r="P263" s="135"/>
      <c r="Q263" s="135"/>
      <c r="R263" s="135"/>
      <c r="S263" s="135"/>
      <c r="T263" s="135"/>
      <c r="U263" s="135"/>
      <c r="V263" s="135"/>
      <c r="W263" s="135"/>
      <c r="X263" s="135"/>
      <c r="Y263" s="135"/>
      <c r="Z263" s="135"/>
      <c r="AA263" s="135"/>
      <c r="AB263" s="135"/>
      <c r="AC263" s="135"/>
      <c r="AD263" s="135"/>
      <c r="AE263" s="135"/>
      <c r="AF263" s="135"/>
    </row>
    <row r="264">
      <c r="A264" s="135"/>
      <c r="B264" s="135"/>
      <c r="C264" s="135"/>
      <c r="D264" s="135"/>
      <c r="E264" s="135"/>
      <c r="F264" s="135"/>
      <c r="G264" s="135"/>
      <c r="H264" s="135"/>
      <c r="I264" s="135"/>
      <c r="J264" s="135"/>
      <c r="K264" s="135"/>
      <c r="L264" s="135"/>
      <c r="M264" s="135"/>
      <c r="N264" s="135"/>
      <c r="O264" s="135"/>
      <c r="P264" s="135"/>
      <c r="Q264" s="135"/>
      <c r="R264" s="135"/>
      <c r="S264" s="135"/>
      <c r="T264" s="135"/>
      <c r="U264" s="135"/>
      <c r="V264" s="135"/>
      <c r="W264" s="135"/>
      <c r="X264" s="135"/>
      <c r="Y264" s="135"/>
      <c r="Z264" s="135"/>
      <c r="AA264" s="135"/>
      <c r="AB264" s="135"/>
      <c r="AC264" s="135"/>
      <c r="AD264" s="135"/>
      <c r="AE264" s="135"/>
      <c r="AF264" s="135"/>
    </row>
    <row r="265">
      <c r="A265" s="135"/>
      <c r="B265" s="135"/>
      <c r="C265" s="135"/>
      <c r="D265" s="135"/>
      <c r="E265" s="135"/>
      <c r="F265" s="135"/>
      <c r="G265" s="135"/>
      <c r="H265" s="135"/>
      <c r="I265" s="135"/>
      <c r="J265" s="135"/>
      <c r="K265" s="135"/>
      <c r="L265" s="135"/>
      <c r="M265" s="135"/>
      <c r="N265" s="135"/>
      <c r="O265" s="135"/>
      <c r="P265" s="135"/>
      <c r="Q265" s="135"/>
      <c r="R265" s="135"/>
      <c r="S265" s="135"/>
      <c r="T265" s="135"/>
      <c r="U265" s="135"/>
      <c r="V265" s="135"/>
      <c r="W265" s="135"/>
      <c r="X265" s="135"/>
      <c r="Y265" s="135"/>
      <c r="Z265" s="135"/>
      <c r="AA265" s="135"/>
      <c r="AB265" s="135"/>
      <c r="AC265" s="135"/>
      <c r="AD265" s="135"/>
      <c r="AE265" s="135"/>
      <c r="AF265" s="135"/>
    </row>
    <row r="266">
      <c r="A266" s="135"/>
      <c r="B266" s="135"/>
      <c r="C266" s="135"/>
      <c r="D266" s="135"/>
      <c r="E266" s="135"/>
      <c r="F266" s="135"/>
      <c r="G266" s="135"/>
      <c r="H266" s="135"/>
      <c r="I266" s="135"/>
      <c r="J266" s="135"/>
      <c r="K266" s="135"/>
      <c r="L266" s="135"/>
      <c r="M266" s="135"/>
      <c r="N266" s="135"/>
      <c r="O266" s="135"/>
      <c r="P266" s="135"/>
      <c r="Q266" s="135"/>
      <c r="R266" s="135"/>
      <c r="S266" s="135"/>
      <c r="T266" s="135"/>
      <c r="U266" s="135"/>
      <c r="V266" s="135"/>
      <c r="W266" s="135"/>
      <c r="X266" s="135"/>
      <c r="Y266" s="135"/>
      <c r="Z266" s="135"/>
      <c r="AA266" s="135"/>
      <c r="AB266" s="135"/>
      <c r="AC266" s="135"/>
      <c r="AD266" s="135"/>
      <c r="AE266" s="135"/>
      <c r="AF266" s="135"/>
    </row>
    <row r="267">
      <c r="A267" s="135"/>
      <c r="B267" s="135"/>
      <c r="C267" s="135"/>
      <c r="D267" s="135"/>
      <c r="E267" s="135"/>
      <c r="F267" s="135"/>
      <c r="G267" s="135"/>
      <c r="H267" s="135"/>
      <c r="I267" s="135"/>
      <c r="J267" s="135"/>
      <c r="K267" s="135"/>
      <c r="L267" s="135"/>
      <c r="M267" s="135"/>
      <c r="N267" s="135"/>
      <c r="O267" s="135"/>
      <c r="P267" s="135"/>
      <c r="Q267" s="135"/>
      <c r="R267" s="135"/>
      <c r="S267" s="135"/>
      <c r="T267" s="135"/>
      <c r="U267" s="135"/>
      <c r="V267" s="135"/>
      <c r="W267" s="135"/>
      <c r="X267" s="135"/>
      <c r="Y267" s="135"/>
      <c r="Z267" s="135"/>
      <c r="AA267" s="135"/>
      <c r="AB267" s="135"/>
      <c r="AC267" s="135"/>
      <c r="AD267" s="135"/>
      <c r="AE267" s="135"/>
      <c r="AF267" s="135"/>
    </row>
    <row r="268">
      <c r="A268" s="135"/>
      <c r="B268" s="135"/>
      <c r="C268" s="135"/>
      <c r="D268" s="135"/>
      <c r="E268" s="135"/>
      <c r="F268" s="135"/>
      <c r="G268" s="135"/>
      <c r="H268" s="135"/>
      <c r="I268" s="135"/>
      <c r="J268" s="135"/>
      <c r="K268" s="135"/>
      <c r="L268" s="135"/>
      <c r="M268" s="135"/>
      <c r="N268" s="135"/>
      <c r="O268" s="135"/>
      <c r="P268" s="135"/>
      <c r="Q268" s="135"/>
      <c r="R268" s="135"/>
      <c r="S268" s="135"/>
      <c r="T268" s="135"/>
      <c r="U268" s="135"/>
      <c r="V268" s="135"/>
      <c r="W268" s="135"/>
      <c r="X268" s="135"/>
      <c r="Y268" s="135"/>
      <c r="Z268" s="135"/>
      <c r="AA268" s="135"/>
      <c r="AB268" s="135"/>
      <c r="AC268" s="135"/>
      <c r="AD268" s="135"/>
      <c r="AE268" s="135"/>
      <c r="AF268" s="135"/>
    </row>
    <row r="269">
      <c r="A269" s="135"/>
      <c r="B269" s="135"/>
      <c r="C269" s="135"/>
      <c r="D269" s="135"/>
      <c r="E269" s="135"/>
      <c r="F269" s="135"/>
      <c r="G269" s="135"/>
      <c r="H269" s="135"/>
      <c r="I269" s="135"/>
      <c r="J269" s="135"/>
      <c r="K269" s="135"/>
      <c r="L269" s="135"/>
      <c r="M269" s="135"/>
      <c r="N269" s="135"/>
      <c r="O269" s="135"/>
      <c r="P269" s="135"/>
      <c r="Q269" s="135"/>
      <c r="R269" s="135"/>
      <c r="S269" s="135"/>
      <c r="T269" s="135"/>
      <c r="U269" s="135"/>
      <c r="V269" s="135"/>
      <c r="W269" s="135"/>
      <c r="X269" s="135"/>
      <c r="Y269" s="135"/>
      <c r="Z269" s="135"/>
      <c r="AA269" s="135"/>
      <c r="AB269" s="135"/>
      <c r="AC269" s="135"/>
      <c r="AD269" s="135"/>
      <c r="AE269" s="135"/>
      <c r="AF269" s="135"/>
    </row>
    <row r="270">
      <c r="A270" s="135"/>
      <c r="B270" s="135"/>
      <c r="C270" s="135"/>
      <c r="D270" s="135"/>
      <c r="E270" s="135"/>
      <c r="F270" s="135"/>
      <c r="G270" s="135"/>
      <c r="H270" s="135"/>
      <c r="I270" s="135"/>
      <c r="J270" s="135"/>
      <c r="K270" s="135"/>
      <c r="L270" s="135"/>
      <c r="M270" s="135"/>
      <c r="N270" s="135"/>
      <c r="O270" s="135"/>
      <c r="P270" s="135"/>
      <c r="Q270" s="135"/>
      <c r="R270" s="135"/>
      <c r="S270" s="135"/>
      <c r="T270" s="135"/>
      <c r="U270" s="135"/>
      <c r="V270" s="135"/>
      <c r="W270" s="135"/>
      <c r="X270" s="135"/>
      <c r="Y270" s="135"/>
      <c r="Z270" s="135"/>
      <c r="AA270" s="135"/>
      <c r="AB270" s="135"/>
      <c r="AC270" s="135"/>
      <c r="AD270" s="135"/>
      <c r="AE270" s="135"/>
      <c r="AF270" s="135"/>
    </row>
    <row r="271">
      <c r="A271" s="135"/>
      <c r="B271" s="135"/>
      <c r="C271" s="135"/>
      <c r="D271" s="135"/>
      <c r="E271" s="135"/>
      <c r="F271" s="135"/>
      <c r="G271" s="135"/>
      <c r="H271" s="135"/>
      <c r="I271" s="135"/>
      <c r="J271" s="135"/>
      <c r="K271" s="135"/>
      <c r="L271" s="135"/>
      <c r="M271" s="135"/>
      <c r="N271" s="135"/>
      <c r="O271" s="135"/>
      <c r="P271" s="135"/>
      <c r="Q271" s="135"/>
      <c r="R271" s="135"/>
      <c r="S271" s="135"/>
      <c r="T271" s="135"/>
      <c r="U271" s="135"/>
      <c r="V271" s="135"/>
      <c r="W271" s="135"/>
      <c r="X271" s="135"/>
      <c r="Y271" s="135"/>
      <c r="Z271" s="135"/>
      <c r="AA271" s="135"/>
      <c r="AB271" s="135"/>
      <c r="AC271" s="135"/>
      <c r="AD271" s="135"/>
      <c r="AE271" s="135"/>
      <c r="AF271" s="135"/>
    </row>
    <row r="272">
      <c r="A272" s="135"/>
      <c r="B272" s="135"/>
      <c r="C272" s="135"/>
      <c r="D272" s="135"/>
      <c r="E272" s="135"/>
      <c r="F272" s="135"/>
      <c r="G272" s="135"/>
      <c r="H272" s="135"/>
      <c r="I272" s="135"/>
      <c r="J272" s="135"/>
      <c r="K272" s="135"/>
      <c r="L272" s="135"/>
      <c r="M272" s="135"/>
      <c r="N272" s="135"/>
      <c r="O272" s="135"/>
      <c r="P272" s="135"/>
      <c r="Q272" s="135"/>
      <c r="R272" s="135"/>
      <c r="S272" s="135"/>
      <c r="T272" s="135"/>
      <c r="U272" s="135"/>
      <c r="V272" s="135"/>
      <c r="W272" s="135"/>
      <c r="X272" s="135"/>
      <c r="Y272" s="135"/>
      <c r="Z272" s="135"/>
      <c r="AA272" s="135"/>
      <c r="AB272" s="135"/>
      <c r="AC272" s="135"/>
      <c r="AD272" s="135"/>
      <c r="AE272" s="135"/>
      <c r="AF272" s="135"/>
    </row>
    <row r="273">
      <c r="A273" s="135"/>
      <c r="B273" s="135"/>
      <c r="C273" s="135"/>
      <c r="D273" s="135"/>
      <c r="E273" s="135"/>
      <c r="F273" s="135"/>
      <c r="G273" s="135"/>
      <c r="H273" s="135"/>
      <c r="I273" s="135"/>
      <c r="J273" s="135"/>
      <c r="K273" s="135"/>
      <c r="L273" s="135"/>
      <c r="M273" s="135"/>
      <c r="N273" s="135"/>
      <c r="O273" s="135"/>
      <c r="P273" s="135"/>
      <c r="Q273" s="135"/>
      <c r="R273" s="135"/>
      <c r="S273" s="135"/>
      <c r="T273" s="135"/>
      <c r="U273" s="135"/>
      <c r="V273" s="135"/>
      <c r="W273" s="135"/>
      <c r="X273" s="135"/>
      <c r="Y273" s="135"/>
      <c r="Z273" s="135"/>
      <c r="AA273" s="135"/>
      <c r="AB273" s="135"/>
      <c r="AC273" s="135"/>
      <c r="AD273" s="135"/>
      <c r="AE273" s="135"/>
      <c r="AF273" s="135"/>
    </row>
    <row r="274">
      <c r="A274" s="135"/>
      <c r="B274" s="135"/>
      <c r="C274" s="135"/>
      <c r="D274" s="135"/>
      <c r="E274" s="135"/>
      <c r="F274" s="135"/>
      <c r="G274" s="135"/>
      <c r="H274" s="135"/>
      <c r="I274" s="135"/>
      <c r="J274" s="135"/>
      <c r="K274" s="135"/>
      <c r="L274" s="135"/>
      <c r="M274" s="135"/>
      <c r="N274" s="135"/>
      <c r="O274" s="135"/>
      <c r="P274" s="135"/>
      <c r="Q274" s="135"/>
      <c r="R274" s="135"/>
      <c r="S274" s="135"/>
      <c r="T274" s="135"/>
      <c r="U274" s="135"/>
      <c r="V274" s="135"/>
      <c r="W274" s="135"/>
      <c r="X274" s="135"/>
      <c r="Y274" s="135"/>
      <c r="Z274" s="135"/>
      <c r="AA274" s="135"/>
      <c r="AB274" s="135"/>
      <c r="AC274" s="135"/>
      <c r="AD274" s="135"/>
      <c r="AE274" s="135"/>
      <c r="AF274" s="135"/>
    </row>
    <row r="275">
      <c r="A275" s="135"/>
      <c r="B275" s="135"/>
      <c r="C275" s="135"/>
      <c r="D275" s="135"/>
      <c r="E275" s="135"/>
      <c r="F275" s="135"/>
      <c r="G275" s="135"/>
      <c r="H275" s="135"/>
      <c r="I275" s="135"/>
      <c r="J275" s="135"/>
      <c r="K275" s="135"/>
      <c r="L275" s="135"/>
      <c r="M275" s="135"/>
      <c r="N275" s="135"/>
      <c r="O275" s="135"/>
      <c r="P275" s="135"/>
      <c r="Q275" s="135"/>
      <c r="R275" s="135"/>
      <c r="S275" s="135"/>
      <c r="T275" s="135"/>
      <c r="U275" s="135"/>
      <c r="V275" s="135"/>
      <c r="W275" s="135"/>
      <c r="X275" s="135"/>
      <c r="Y275" s="135"/>
      <c r="Z275" s="135"/>
      <c r="AA275" s="135"/>
      <c r="AB275" s="135"/>
      <c r="AC275" s="135"/>
      <c r="AD275" s="135"/>
      <c r="AE275" s="135"/>
      <c r="AF275" s="135"/>
    </row>
    <row r="276">
      <c r="A276" s="135"/>
      <c r="B276" s="135"/>
      <c r="C276" s="135"/>
      <c r="D276" s="135"/>
      <c r="E276" s="135"/>
      <c r="F276" s="135"/>
      <c r="G276" s="135"/>
      <c r="H276" s="135"/>
      <c r="I276" s="135"/>
      <c r="J276" s="135"/>
      <c r="K276" s="135"/>
      <c r="L276" s="135"/>
      <c r="M276" s="135"/>
      <c r="N276" s="135"/>
      <c r="O276" s="135"/>
      <c r="P276" s="135"/>
      <c r="Q276" s="135"/>
      <c r="R276" s="135"/>
      <c r="S276" s="135"/>
      <c r="T276" s="135"/>
      <c r="U276" s="135"/>
      <c r="V276" s="135"/>
      <c r="W276" s="135"/>
      <c r="X276" s="135"/>
      <c r="Y276" s="135"/>
      <c r="Z276" s="135"/>
      <c r="AA276" s="135"/>
      <c r="AB276" s="135"/>
      <c r="AC276" s="135"/>
      <c r="AD276" s="135"/>
      <c r="AE276" s="135"/>
      <c r="AF276" s="135"/>
    </row>
    <row r="277">
      <c r="A277" s="135"/>
      <c r="B277" s="135"/>
      <c r="C277" s="135"/>
      <c r="D277" s="135"/>
      <c r="E277" s="135"/>
      <c r="F277" s="135"/>
      <c r="G277" s="135"/>
      <c r="H277" s="135"/>
      <c r="I277" s="135"/>
      <c r="J277" s="135"/>
      <c r="K277" s="135"/>
      <c r="L277" s="135"/>
      <c r="M277" s="135"/>
      <c r="N277" s="135"/>
      <c r="O277" s="135"/>
      <c r="P277" s="135"/>
      <c r="Q277" s="135"/>
      <c r="R277" s="135"/>
      <c r="S277" s="135"/>
      <c r="T277" s="135"/>
      <c r="U277" s="135"/>
      <c r="V277" s="135"/>
      <c r="W277" s="135"/>
      <c r="X277" s="135"/>
      <c r="Y277" s="135"/>
      <c r="Z277" s="135"/>
      <c r="AA277" s="135"/>
      <c r="AB277" s="135"/>
      <c r="AC277" s="135"/>
      <c r="AD277" s="135"/>
      <c r="AE277" s="135"/>
      <c r="AF277" s="135"/>
    </row>
    <row r="278">
      <c r="A278" s="135"/>
      <c r="B278" s="135"/>
      <c r="C278" s="135"/>
      <c r="D278" s="135"/>
      <c r="E278" s="135"/>
      <c r="F278" s="135"/>
      <c r="G278" s="135"/>
      <c r="H278" s="135"/>
      <c r="I278" s="135"/>
      <c r="J278" s="135"/>
      <c r="K278" s="135"/>
      <c r="L278" s="135"/>
      <c r="M278" s="135"/>
      <c r="N278" s="135"/>
      <c r="O278" s="135"/>
      <c r="P278" s="135"/>
      <c r="Q278" s="135"/>
      <c r="R278" s="135"/>
      <c r="S278" s="135"/>
      <c r="T278" s="135"/>
      <c r="U278" s="135"/>
      <c r="V278" s="135"/>
      <c r="W278" s="135"/>
      <c r="X278" s="135"/>
      <c r="Y278" s="135"/>
      <c r="Z278" s="135"/>
      <c r="AA278" s="135"/>
      <c r="AB278" s="135"/>
      <c r="AC278" s="135"/>
      <c r="AD278" s="135"/>
      <c r="AE278" s="135"/>
      <c r="AF278" s="135"/>
    </row>
    <row r="279">
      <c r="A279" s="135"/>
      <c r="B279" s="135"/>
      <c r="C279" s="135"/>
      <c r="D279" s="135"/>
      <c r="E279" s="135"/>
      <c r="F279" s="135"/>
      <c r="G279" s="135"/>
      <c r="H279" s="135"/>
      <c r="I279" s="135"/>
      <c r="J279" s="135"/>
      <c r="K279" s="135"/>
      <c r="L279" s="135"/>
      <c r="M279" s="135"/>
      <c r="N279" s="135"/>
      <c r="O279" s="135"/>
      <c r="P279" s="135"/>
      <c r="Q279" s="135"/>
      <c r="R279" s="135"/>
      <c r="S279" s="135"/>
      <c r="T279" s="135"/>
      <c r="U279" s="135"/>
      <c r="V279" s="135"/>
      <c r="W279" s="135"/>
      <c r="X279" s="135"/>
      <c r="Y279" s="135"/>
      <c r="Z279" s="135"/>
      <c r="AA279" s="135"/>
      <c r="AB279" s="135"/>
      <c r="AC279" s="135"/>
      <c r="AD279" s="135"/>
      <c r="AE279" s="135"/>
      <c r="AF279" s="135"/>
    </row>
    <row r="280">
      <c r="A280" s="135"/>
      <c r="B280" s="135"/>
      <c r="C280" s="135"/>
      <c r="D280" s="135"/>
      <c r="E280" s="135"/>
      <c r="F280" s="135"/>
      <c r="G280" s="135"/>
      <c r="H280" s="135"/>
      <c r="I280" s="135"/>
      <c r="J280" s="135"/>
      <c r="K280" s="135"/>
      <c r="L280" s="135"/>
      <c r="M280" s="135"/>
      <c r="N280" s="135"/>
      <c r="O280" s="135"/>
      <c r="P280" s="135"/>
      <c r="Q280" s="135"/>
      <c r="R280" s="135"/>
      <c r="S280" s="135"/>
      <c r="T280" s="135"/>
      <c r="U280" s="135"/>
      <c r="V280" s="135"/>
      <c r="W280" s="135"/>
      <c r="X280" s="135"/>
      <c r="Y280" s="135"/>
      <c r="Z280" s="135"/>
      <c r="AA280" s="135"/>
      <c r="AB280" s="135"/>
      <c r="AC280" s="135"/>
      <c r="AD280" s="135"/>
      <c r="AE280" s="135"/>
      <c r="AF280" s="135"/>
    </row>
    <row r="281">
      <c r="A281" s="135"/>
      <c r="B281" s="135"/>
      <c r="C281" s="135"/>
      <c r="D281" s="135"/>
      <c r="E281" s="135"/>
      <c r="F281" s="135"/>
      <c r="G281" s="135"/>
      <c r="H281" s="135"/>
      <c r="I281" s="135"/>
      <c r="J281" s="135"/>
      <c r="K281" s="135"/>
      <c r="L281" s="135"/>
      <c r="M281" s="135"/>
      <c r="N281" s="135"/>
      <c r="O281" s="135"/>
      <c r="P281" s="135"/>
      <c r="Q281" s="135"/>
      <c r="R281" s="135"/>
      <c r="S281" s="135"/>
      <c r="T281" s="135"/>
      <c r="U281" s="135"/>
      <c r="V281" s="135"/>
      <c r="W281" s="135"/>
      <c r="X281" s="135"/>
      <c r="Y281" s="135"/>
      <c r="Z281" s="135"/>
      <c r="AA281" s="135"/>
      <c r="AB281" s="135"/>
      <c r="AC281" s="135"/>
      <c r="AD281" s="135"/>
      <c r="AE281" s="135"/>
      <c r="AF281" s="135"/>
    </row>
    <row r="282">
      <c r="A282" s="135"/>
      <c r="B282" s="135"/>
      <c r="C282" s="135"/>
      <c r="D282" s="135"/>
      <c r="E282" s="135"/>
      <c r="F282" s="135"/>
      <c r="G282" s="135"/>
      <c r="H282" s="135"/>
      <c r="I282" s="135"/>
      <c r="J282" s="135"/>
      <c r="K282" s="135"/>
      <c r="L282" s="135"/>
      <c r="M282" s="135"/>
      <c r="N282" s="135"/>
      <c r="O282" s="135"/>
      <c r="P282" s="135"/>
      <c r="Q282" s="135"/>
      <c r="R282" s="135"/>
      <c r="S282" s="135"/>
      <c r="T282" s="135"/>
      <c r="U282" s="135"/>
      <c r="V282" s="135"/>
      <c r="W282" s="135"/>
      <c r="X282" s="135"/>
      <c r="Y282" s="135"/>
      <c r="Z282" s="135"/>
      <c r="AA282" s="135"/>
      <c r="AB282" s="135"/>
      <c r="AC282" s="135"/>
      <c r="AD282" s="135"/>
      <c r="AE282" s="135"/>
      <c r="AF282" s="135"/>
    </row>
    <row r="283">
      <c r="A283" s="135"/>
      <c r="B283" s="135"/>
      <c r="C283" s="135"/>
      <c r="D283" s="135"/>
      <c r="E283" s="135"/>
      <c r="F283" s="135"/>
      <c r="G283" s="135"/>
      <c r="H283" s="135"/>
      <c r="I283" s="135"/>
      <c r="J283" s="135"/>
      <c r="K283" s="135"/>
      <c r="L283" s="135"/>
      <c r="M283" s="135"/>
      <c r="N283" s="135"/>
      <c r="O283" s="135"/>
      <c r="P283" s="135"/>
      <c r="Q283" s="135"/>
      <c r="R283" s="135"/>
      <c r="S283" s="135"/>
      <c r="T283" s="135"/>
      <c r="U283" s="135"/>
      <c r="V283" s="135"/>
      <c r="W283" s="135"/>
      <c r="X283" s="135"/>
      <c r="Y283" s="135"/>
      <c r="Z283" s="135"/>
      <c r="AA283" s="135"/>
      <c r="AB283" s="135"/>
      <c r="AC283" s="135"/>
      <c r="AD283" s="135"/>
      <c r="AE283" s="135"/>
      <c r="AF283" s="135"/>
    </row>
    <row r="284">
      <c r="A284" s="135"/>
      <c r="B284" s="135"/>
      <c r="C284" s="135"/>
      <c r="D284" s="135"/>
      <c r="E284" s="135"/>
      <c r="F284" s="135"/>
      <c r="G284" s="135"/>
      <c r="H284" s="135"/>
      <c r="I284" s="135"/>
      <c r="J284" s="135"/>
      <c r="K284" s="135"/>
      <c r="L284" s="135"/>
      <c r="M284" s="135"/>
      <c r="N284" s="135"/>
      <c r="O284" s="135"/>
      <c r="P284" s="135"/>
      <c r="Q284" s="135"/>
      <c r="R284" s="135"/>
      <c r="S284" s="135"/>
      <c r="T284" s="135"/>
      <c r="U284" s="135"/>
      <c r="V284" s="135"/>
      <c r="W284" s="135"/>
      <c r="X284" s="135"/>
      <c r="Y284" s="135"/>
      <c r="Z284" s="135"/>
      <c r="AA284" s="135"/>
      <c r="AB284" s="135"/>
      <c r="AC284" s="135"/>
      <c r="AD284" s="135"/>
      <c r="AE284" s="135"/>
      <c r="AF284" s="135"/>
    </row>
    <row r="285">
      <c r="A285" s="135"/>
      <c r="B285" s="135"/>
      <c r="C285" s="135"/>
      <c r="D285" s="135"/>
      <c r="E285" s="135"/>
      <c r="F285" s="135"/>
      <c r="G285" s="135"/>
      <c r="H285" s="135"/>
      <c r="I285" s="135"/>
      <c r="J285" s="135"/>
      <c r="K285" s="135"/>
      <c r="L285" s="135"/>
      <c r="M285" s="135"/>
      <c r="N285" s="135"/>
      <c r="O285" s="135"/>
      <c r="P285" s="135"/>
      <c r="Q285" s="135"/>
      <c r="R285" s="135"/>
      <c r="S285" s="135"/>
      <c r="T285" s="135"/>
      <c r="U285" s="135"/>
      <c r="V285" s="135"/>
      <c r="W285" s="135"/>
      <c r="X285" s="135"/>
      <c r="Y285" s="135"/>
      <c r="Z285" s="135"/>
      <c r="AA285" s="135"/>
      <c r="AB285" s="135"/>
      <c r="AC285" s="135"/>
      <c r="AD285" s="135"/>
      <c r="AE285" s="135"/>
      <c r="AF285" s="135"/>
    </row>
    <row r="286">
      <c r="A286" s="135"/>
      <c r="B286" s="135"/>
      <c r="C286" s="135"/>
      <c r="D286" s="135"/>
      <c r="E286" s="135"/>
      <c r="F286" s="135"/>
      <c r="G286" s="135"/>
      <c r="H286" s="135"/>
      <c r="I286" s="135"/>
      <c r="J286" s="135"/>
      <c r="K286" s="135"/>
      <c r="L286" s="135"/>
      <c r="M286" s="135"/>
      <c r="N286" s="135"/>
      <c r="O286" s="135"/>
      <c r="P286" s="135"/>
      <c r="Q286" s="135"/>
      <c r="R286" s="135"/>
      <c r="S286" s="135"/>
      <c r="T286" s="135"/>
      <c r="U286" s="135"/>
      <c r="V286" s="135"/>
      <c r="W286" s="135"/>
      <c r="X286" s="135"/>
      <c r="Y286" s="135"/>
      <c r="Z286" s="135"/>
      <c r="AA286" s="135"/>
      <c r="AB286" s="135"/>
      <c r="AC286" s="135"/>
      <c r="AD286" s="135"/>
      <c r="AE286" s="135"/>
      <c r="AF286" s="135"/>
    </row>
    <row r="287">
      <c r="A287" s="135"/>
      <c r="B287" s="135"/>
      <c r="C287" s="135"/>
      <c r="D287" s="135"/>
      <c r="E287" s="135"/>
      <c r="F287" s="135"/>
      <c r="G287" s="135"/>
      <c r="H287" s="135"/>
      <c r="I287" s="135"/>
      <c r="J287" s="135"/>
      <c r="K287" s="135"/>
      <c r="L287" s="135"/>
      <c r="M287" s="135"/>
      <c r="N287" s="135"/>
      <c r="O287" s="135"/>
      <c r="P287" s="135"/>
      <c r="Q287" s="135"/>
      <c r="R287" s="135"/>
      <c r="S287" s="135"/>
      <c r="T287" s="135"/>
      <c r="U287" s="135"/>
      <c r="V287" s="135"/>
      <c r="W287" s="135"/>
      <c r="X287" s="135"/>
      <c r="Y287" s="135"/>
      <c r="Z287" s="135"/>
      <c r="AA287" s="135"/>
      <c r="AB287" s="135"/>
      <c r="AC287" s="135"/>
      <c r="AD287" s="135"/>
      <c r="AE287" s="135"/>
      <c r="AF287" s="135"/>
    </row>
    <row r="288">
      <c r="A288" s="135"/>
      <c r="B288" s="135"/>
      <c r="C288" s="135"/>
      <c r="D288" s="135"/>
      <c r="E288" s="135"/>
      <c r="F288" s="135"/>
      <c r="G288" s="135"/>
      <c r="H288" s="135"/>
      <c r="I288" s="135"/>
      <c r="J288" s="135"/>
      <c r="K288" s="135"/>
      <c r="L288" s="135"/>
      <c r="M288" s="135"/>
      <c r="N288" s="135"/>
      <c r="O288" s="135"/>
      <c r="P288" s="135"/>
      <c r="Q288" s="135"/>
      <c r="R288" s="135"/>
      <c r="S288" s="135"/>
      <c r="T288" s="135"/>
      <c r="U288" s="135"/>
      <c r="V288" s="135"/>
      <c r="W288" s="135"/>
      <c r="X288" s="135"/>
      <c r="Y288" s="135"/>
      <c r="Z288" s="135"/>
      <c r="AA288" s="135"/>
      <c r="AB288" s="135"/>
      <c r="AC288" s="135"/>
      <c r="AD288" s="135"/>
      <c r="AE288" s="135"/>
      <c r="AF288" s="135"/>
    </row>
    <row r="289">
      <c r="A289" s="135"/>
      <c r="B289" s="135"/>
      <c r="C289" s="135"/>
      <c r="D289" s="135"/>
      <c r="E289" s="135"/>
      <c r="F289" s="135"/>
      <c r="G289" s="135"/>
      <c r="H289" s="135"/>
      <c r="I289" s="135"/>
      <c r="J289" s="135"/>
      <c r="K289" s="135"/>
      <c r="L289" s="135"/>
      <c r="M289" s="135"/>
      <c r="N289" s="135"/>
      <c r="O289" s="135"/>
      <c r="P289" s="135"/>
      <c r="Q289" s="135"/>
      <c r="R289" s="135"/>
      <c r="S289" s="135"/>
      <c r="T289" s="135"/>
      <c r="U289" s="135"/>
      <c r="V289" s="135"/>
      <c r="W289" s="135"/>
      <c r="X289" s="135"/>
      <c r="Y289" s="135"/>
      <c r="Z289" s="135"/>
      <c r="AA289" s="135"/>
      <c r="AB289" s="135"/>
      <c r="AC289" s="135"/>
      <c r="AD289" s="135"/>
      <c r="AE289" s="135"/>
      <c r="AF289" s="135"/>
    </row>
    <row r="290">
      <c r="A290" s="135"/>
      <c r="B290" s="135"/>
      <c r="C290" s="135"/>
      <c r="D290" s="135"/>
      <c r="E290" s="135"/>
      <c r="F290" s="135"/>
      <c r="G290" s="135"/>
      <c r="H290" s="135"/>
      <c r="I290" s="135"/>
      <c r="J290" s="135"/>
      <c r="K290" s="135"/>
      <c r="L290" s="135"/>
      <c r="M290" s="135"/>
      <c r="N290" s="135"/>
      <c r="O290" s="135"/>
      <c r="P290" s="135"/>
      <c r="Q290" s="135"/>
      <c r="R290" s="135"/>
      <c r="S290" s="135"/>
      <c r="T290" s="135"/>
      <c r="U290" s="135"/>
      <c r="V290" s="135"/>
      <c r="W290" s="135"/>
      <c r="X290" s="135"/>
      <c r="Y290" s="135"/>
      <c r="Z290" s="135"/>
      <c r="AA290" s="135"/>
      <c r="AB290" s="135"/>
      <c r="AC290" s="135"/>
      <c r="AD290" s="135"/>
      <c r="AE290" s="135"/>
      <c r="AF290" s="135"/>
    </row>
    <row r="291">
      <c r="A291" s="135"/>
      <c r="B291" s="135"/>
      <c r="C291" s="135"/>
      <c r="D291" s="135"/>
      <c r="E291" s="135"/>
      <c r="F291" s="135"/>
      <c r="G291" s="135"/>
      <c r="H291" s="135"/>
      <c r="I291" s="135"/>
      <c r="J291" s="135"/>
      <c r="K291" s="135"/>
      <c r="L291" s="135"/>
      <c r="M291" s="135"/>
      <c r="N291" s="135"/>
      <c r="O291" s="135"/>
      <c r="P291" s="135"/>
      <c r="Q291" s="135"/>
      <c r="R291" s="135"/>
      <c r="S291" s="135"/>
      <c r="T291" s="135"/>
      <c r="U291" s="135"/>
      <c r="V291" s="135"/>
      <c r="W291" s="135"/>
      <c r="X291" s="135"/>
      <c r="Y291" s="135"/>
      <c r="Z291" s="135"/>
      <c r="AA291" s="135"/>
      <c r="AB291" s="135"/>
      <c r="AC291" s="135"/>
      <c r="AD291" s="135"/>
      <c r="AE291" s="135"/>
      <c r="AF291" s="135"/>
    </row>
    <row r="292">
      <c r="A292" s="135"/>
      <c r="B292" s="135"/>
      <c r="C292" s="135"/>
      <c r="D292" s="135"/>
      <c r="E292" s="135"/>
      <c r="F292" s="135"/>
      <c r="G292" s="135"/>
      <c r="H292" s="135"/>
      <c r="I292" s="135"/>
      <c r="J292" s="135"/>
      <c r="K292" s="135"/>
      <c r="L292" s="135"/>
      <c r="M292" s="135"/>
      <c r="N292" s="135"/>
      <c r="O292" s="135"/>
      <c r="P292" s="135"/>
      <c r="Q292" s="135"/>
      <c r="R292" s="135"/>
      <c r="S292" s="135"/>
      <c r="T292" s="135"/>
      <c r="U292" s="135"/>
      <c r="V292" s="135"/>
      <c r="W292" s="135"/>
      <c r="X292" s="135"/>
      <c r="Y292" s="135"/>
      <c r="Z292" s="135"/>
      <c r="AA292" s="135"/>
      <c r="AB292" s="135"/>
      <c r="AC292" s="135"/>
      <c r="AD292" s="135"/>
      <c r="AE292" s="135"/>
      <c r="AF292" s="135"/>
    </row>
    <row r="293">
      <c r="A293" s="135"/>
      <c r="B293" s="135"/>
      <c r="C293" s="135"/>
      <c r="D293" s="135"/>
      <c r="E293" s="135"/>
      <c r="F293" s="135"/>
      <c r="G293" s="135"/>
      <c r="H293" s="135"/>
      <c r="I293" s="135"/>
      <c r="J293" s="135"/>
      <c r="K293" s="135"/>
      <c r="L293" s="135"/>
      <c r="M293" s="135"/>
      <c r="N293" s="135"/>
      <c r="O293" s="135"/>
      <c r="P293" s="135"/>
      <c r="Q293" s="135"/>
      <c r="R293" s="135"/>
      <c r="S293" s="135"/>
      <c r="T293" s="135"/>
      <c r="U293" s="135"/>
      <c r="V293" s="135"/>
      <c r="W293" s="135"/>
      <c r="X293" s="135"/>
      <c r="Y293" s="135"/>
      <c r="Z293" s="135"/>
      <c r="AA293" s="135"/>
      <c r="AB293" s="135"/>
      <c r="AC293" s="135"/>
      <c r="AD293" s="135"/>
      <c r="AE293" s="135"/>
      <c r="AF293" s="135"/>
    </row>
    <row r="294">
      <c r="A294" s="135"/>
      <c r="B294" s="135"/>
      <c r="C294" s="135"/>
      <c r="D294" s="135"/>
      <c r="E294" s="135"/>
      <c r="F294" s="135"/>
      <c r="G294" s="135"/>
      <c r="H294" s="135"/>
      <c r="I294" s="135"/>
      <c r="J294" s="135"/>
      <c r="K294" s="135"/>
      <c r="L294" s="135"/>
      <c r="M294" s="135"/>
      <c r="N294" s="135"/>
      <c r="O294" s="135"/>
      <c r="P294" s="135"/>
      <c r="Q294" s="135"/>
      <c r="R294" s="135"/>
      <c r="S294" s="135"/>
      <c r="T294" s="135"/>
      <c r="U294" s="135"/>
      <c r="V294" s="135"/>
      <c r="W294" s="135"/>
      <c r="X294" s="135"/>
      <c r="Y294" s="135"/>
      <c r="Z294" s="135"/>
      <c r="AA294" s="135"/>
      <c r="AB294" s="135"/>
      <c r="AC294" s="135"/>
      <c r="AD294" s="135"/>
      <c r="AE294" s="135"/>
      <c r="AF294" s="135"/>
    </row>
    <row r="295">
      <c r="A295" s="135"/>
      <c r="B295" s="135"/>
      <c r="C295" s="135"/>
      <c r="D295" s="135"/>
      <c r="E295" s="135"/>
      <c r="F295" s="135"/>
      <c r="G295" s="135"/>
      <c r="H295" s="135"/>
      <c r="I295" s="135"/>
      <c r="J295" s="135"/>
      <c r="K295" s="135"/>
      <c r="L295" s="135"/>
      <c r="M295" s="135"/>
      <c r="N295" s="135"/>
      <c r="O295" s="135"/>
      <c r="P295" s="135"/>
      <c r="Q295" s="135"/>
      <c r="R295" s="135"/>
      <c r="S295" s="135"/>
      <c r="T295" s="135"/>
      <c r="U295" s="135"/>
      <c r="V295" s="135"/>
      <c r="W295" s="135"/>
      <c r="X295" s="135"/>
      <c r="Y295" s="135"/>
      <c r="Z295" s="135"/>
      <c r="AA295" s="135"/>
      <c r="AB295" s="135"/>
      <c r="AC295" s="135"/>
      <c r="AD295" s="135"/>
      <c r="AE295" s="135"/>
      <c r="AF295" s="135"/>
    </row>
    <row r="296">
      <c r="A296" s="135"/>
      <c r="B296" s="135"/>
      <c r="C296" s="135"/>
      <c r="D296" s="135"/>
      <c r="E296" s="135"/>
      <c r="F296" s="135"/>
      <c r="G296" s="135"/>
      <c r="H296" s="135"/>
      <c r="I296" s="135"/>
      <c r="J296" s="135"/>
      <c r="K296" s="135"/>
      <c r="L296" s="135"/>
      <c r="M296" s="135"/>
      <c r="N296" s="135"/>
      <c r="O296" s="135"/>
      <c r="P296" s="135"/>
      <c r="Q296" s="135"/>
      <c r="R296" s="135"/>
      <c r="S296" s="135"/>
      <c r="T296" s="135"/>
      <c r="U296" s="135"/>
      <c r="V296" s="135"/>
      <c r="W296" s="135"/>
      <c r="X296" s="135"/>
      <c r="Y296" s="135"/>
      <c r="Z296" s="135"/>
      <c r="AA296" s="135"/>
      <c r="AB296" s="135"/>
      <c r="AC296" s="135"/>
      <c r="AD296" s="135"/>
      <c r="AE296" s="135"/>
      <c r="AF296" s="135"/>
    </row>
    <row r="297">
      <c r="A297" s="135"/>
      <c r="B297" s="135"/>
      <c r="C297" s="135"/>
      <c r="D297" s="135"/>
      <c r="E297" s="135"/>
      <c r="F297" s="135"/>
      <c r="G297" s="135"/>
      <c r="H297" s="135"/>
      <c r="I297" s="135"/>
      <c r="J297" s="135"/>
      <c r="K297" s="135"/>
      <c r="L297" s="135"/>
      <c r="M297" s="135"/>
      <c r="N297" s="135"/>
      <c r="O297" s="135"/>
      <c r="P297" s="135"/>
      <c r="Q297" s="135"/>
      <c r="R297" s="135"/>
      <c r="S297" s="135"/>
      <c r="T297" s="135"/>
      <c r="U297" s="135"/>
      <c r="V297" s="135"/>
      <c r="W297" s="135"/>
      <c r="X297" s="135"/>
      <c r="Y297" s="135"/>
      <c r="Z297" s="135"/>
      <c r="AA297" s="135"/>
      <c r="AB297" s="135"/>
      <c r="AC297" s="135"/>
      <c r="AD297" s="135"/>
      <c r="AE297" s="135"/>
      <c r="AF297" s="135"/>
    </row>
    <row r="298">
      <c r="A298" s="135"/>
      <c r="B298" s="135"/>
      <c r="C298" s="135"/>
      <c r="D298" s="135"/>
      <c r="E298" s="135"/>
      <c r="F298" s="135"/>
      <c r="G298" s="135"/>
      <c r="H298" s="135"/>
      <c r="I298" s="135"/>
      <c r="J298" s="135"/>
      <c r="K298" s="135"/>
      <c r="L298" s="135"/>
      <c r="M298" s="135"/>
      <c r="N298" s="135"/>
      <c r="O298" s="135"/>
      <c r="P298" s="135"/>
      <c r="Q298" s="135"/>
      <c r="R298" s="135"/>
      <c r="S298" s="135"/>
      <c r="T298" s="135"/>
      <c r="U298" s="135"/>
      <c r="V298" s="135"/>
      <c r="W298" s="135"/>
      <c r="X298" s="135"/>
      <c r="Y298" s="135"/>
      <c r="Z298" s="135"/>
      <c r="AA298" s="135"/>
      <c r="AB298" s="135"/>
      <c r="AC298" s="135"/>
      <c r="AD298" s="135"/>
      <c r="AE298" s="135"/>
      <c r="AF298" s="135"/>
    </row>
    <row r="299">
      <c r="A299" s="135"/>
      <c r="B299" s="135"/>
      <c r="C299" s="135"/>
      <c r="D299" s="135"/>
      <c r="E299" s="135"/>
      <c r="F299" s="135"/>
      <c r="G299" s="135"/>
      <c r="H299" s="135"/>
      <c r="I299" s="135"/>
      <c r="J299" s="135"/>
      <c r="K299" s="135"/>
      <c r="L299" s="135"/>
      <c r="M299" s="135"/>
      <c r="N299" s="135"/>
      <c r="O299" s="135"/>
      <c r="P299" s="135"/>
      <c r="Q299" s="135"/>
      <c r="R299" s="135"/>
      <c r="S299" s="135"/>
      <c r="T299" s="135"/>
      <c r="U299" s="135"/>
      <c r="V299" s="135"/>
      <c r="W299" s="135"/>
      <c r="X299" s="135"/>
      <c r="Y299" s="135"/>
      <c r="Z299" s="135"/>
      <c r="AA299" s="135"/>
      <c r="AB299" s="135"/>
      <c r="AC299" s="135"/>
      <c r="AD299" s="135"/>
      <c r="AE299" s="135"/>
      <c r="AF299" s="135"/>
    </row>
    <row r="300">
      <c r="A300" s="135"/>
      <c r="B300" s="135"/>
      <c r="C300" s="135"/>
      <c r="D300" s="135"/>
      <c r="E300" s="135"/>
      <c r="F300" s="135"/>
      <c r="G300" s="135"/>
      <c r="H300" s="135"/>
      <c r="I300" s="135"/>
      <c r="J300" s="135"/>
      <c r="K300" s="135"/>
      <c r="L300" s="135"/>
      <c r="M300" s="135"/>
      <c r="N300" s="135"/>
      <c r="O300" s="135"/>
      <c r="P300" s="135"/>
      <c r="Q300" s="135"/>
      <c r="R300" s="135"/>
      <c r="S300" s="135"/>
      <c r="T300" s="135"/>
      <c r="U300" s="135"/>
      <c r="V300" s="135"/>
      <c r="W300" s="135"/>
      <c r="X300" s="135"/>
      <c r="Y300" s="135"/>
      <c r="Z300" s="135"/>
      <c r="AA300" s="135"/>
      <c r="AB300" s="135"/>
      <c r="AC300" s="135"/>
      <c r="AD300" s="135"/>
      <c r="AE300" s="135"/>
      <c r="AF300" s="135"/>
    </row>
    <row r="301">
      <c r="A301" s="135"/>
      <c r="B301" s="135"/>
      <c r="C301" s="135"/>
      <c r="D301" s="135"/>
      <c r="E301" s="135"/>
      <c r="F301" s="135"/>
      <c r="G301" s="135"/>
      <c r="H301" s="135"/>
      <c r="I301" s="135"/>
      <c r="J301" s="135"/>
      <c r="K301" s="135"/>
      <c r="L301" s="135"/>
      <c r="M301" s="135"/>
      <c r="N301" s="135"/>
      <c r="O301" s="135"/>
      <c r="P301" s="135"/>
      <c r="Q301" s="135"/>
      <c r="R301" s="135"/>
      <c r="S301" s="135"/>
      <c r="T301" s="135"/>
      <c r="U301" s="135"/>
      <c r="V301" s="135"/>
      <c r="W301" s="135"/>
      <c r="X301" s="135"/>
      <c r="Y301" s="135"/>
      <c r="Z301" s="135"/>
      <c r="AA301" s="135"/>
      <c r="AB301" s="135"/>
      <c r="AC301" s="135"/>
      <c r="AD301" s="135"/>
      <c r="AE301" s="135"/>
      <c r="AF301" s="135"/>
    </row>
    <row r="302">
      <c r="A302" s="135"/>
      <c r="B302" s="135"/>
      <c r="C302" s="135"/>
      <c r="D302" s="135"/>
      <c r="E302" s="135"/>
      <c r="F302" s="135"/>
      <c r="G302" s="135"/>
      <c r="H302" s="135"/>
      <c r="I302" s="135"/>
      <c r="J302" s="135"/>
      <c r="K302" s="135"/>
      <c r="L302" s="135"/>
      <c r="M302" s="135"/>
      <c r="N302" s="135"/>
      <c r="O302" s="135"/>
      <c r="P302" s="135"/>
      <c r="Q302" s="135"/>
      <c r="R302" s="135"/>
      <c r="S302" s="135"/>
      <c r="T302" s="135"/>
      <c r="U302" s="135"/>
      <c r="V302" s="135"/>
      <c r="W302" s="135"/>
      <c r="X302" s="135"/>
      <c r="Y302" s="135"/>
      <c r="Z302" s="135"/>
      <c r="AA302" s="135"/>
      <c r="AB302" s="135"/>
      <c r="AC302" s="135"/>
      <c r="AD302" s="135"/>
      <c r="AE302" s="135"/>
      <c r="AF302" s="135"/>
    </row>
    <row r="303">
      <c r="A303" s="135"/>
      <c r="B303" s="135"/>
      <c r="C303" s="135"/>
      <c r="D303" s="135"/>
      <c r="E303" s="135"/>
      <c r="F303" s="135"/>
      <c r="G303" s="135"/>
      <c r="H303" s="135"/>
      <c r="I303" s="135"/>
      <c r="J303" s="135"/>
      <c r="K303" s="135"/>
      <c r="L303" s="135"/>
      <c r="M303" s="135"/>
      <c r="N303" s="135"/>
      <c r="O303" s="135"/>
      <c r="P303" s="135"/>
      <c r="Q303" s="135"/>
      <c r="R303" s="135"/>
      <c r="S303" s="135"/>
      <c r="T303" s="135"/>
      <c r="U303" s="135"/>
      <c r="V303" s="135"/>
      <c r="W303" s="135"/>
      <c r="X303" s="135"/>
      <c r="Y303" s="135"/>
      <c r="Z303" s="135"/>
      <c r="AA303" s="135"/>
      <c r="AB303" s="135"/>
      <c r="AC303" s="135"/>
      <c r="AD303" s="135"/>
      <c r="AE303" s="135"/>
      <c r="AF303" s="135"/>
    </row>
    <row r="304">
      <c r="A304" s="135"/>
      <c r="B304" s="135"/>
      <c r="C304" s="135"/>
      <c r="D304" s="135"/>
      <c r="E304" s="135"/>
      <c r="F304" s="135"/>
      <c r="G304" s="135"/>
      <c r="H304" s="135"/>
      <c r="I304" s="135"/>
      <c r="J304" s="135"/>
      <c r="K304" s="135"/>
      <c r="L304" s="135"/>
      <c r="M304" s="135"/>
      <c r="N304" s="135"/>
      <c r="O304" s="135"/>
      <c r="P304" s="135"/>
      <c r="Q304" s="135"/>
      <c r="R304" s="135"/>
      <c r="S304" s="135"/>
      <c r="T304" s="135"/>
      <c r="U304" s="135"/>
      <c r="V304" s="135"/>
      <c r="W304" s="135"/>
      <c r="X304" s="135"/>
      <c r="Y304" s="135"/>
      <c r="Z304" s="135"/>
      <c r="AA304" s="135"/>
      <c r="AB304" s="135"/>
      <c r="AC304" s="135"/>
      <c r="AD304" s="135"/>
      <c r="AE304" s="135"/>
      <c r="AF304" s="135"/>
    </row>
    <row r="305">
      <c r="A305" s="135"/>
      <c r="B305" s="135"/>
      <c r="C305" s="135"/>
      <c r="D305" s="135"/>
      <c r="E305" s="135"/>
      <c r="F305" s="135"/>
      <c r="G305" s="135"/>
      <c r="H305" s="135"/>
      <c r="I305" s="135"/>
      <c r="J305" s="135"/>
      <c r="K305" s="135"/>
      <c r="L305" s="135"/>
      <c r="M305" s="135"/>
      <c r="N305" s="135"/>
      <c r="O305" s="135"/>
      <c r="P305" s="135"/>
      <c r="Q305" s="135"/>
      <c r="R305" s="135"/>
      <c r="S305" s="135"/>
      <c r="T305" s="135"/>
      <c r="U305" s="135"/>
      <c r="V305" s="135"/>
      <c r="W305" s="135"/>
      <c r="X305" s="135"/>
      <c r="Y305" s="135"/>
      <c r="Z305" s="135"/>
      <c r="AA305" s="135"/>
      <c r="AB305" s="135"/>
      <c r="AC305" s="135"/>
      <c r="AD305" s="135"/>
      <c r="AE305" s="135"/>
      <c r="AF305" s="135"/>
    </row>
    <row r="306">
      <c r="A306" s="135"/>
      <c r="B306" s="135"/>
      <c r="C306" s="135"/>
      <c r="D306" s="135"/>
      <c r="E306" s="135"/>
      <c r="F306" s="135"/>
      <c r="G306" s="135"/>
      <c r="H306" s="135"/>
      <c r="I306" s="135"/>
      <c r="J306" s="135"/>
      <c r="K306" s="135"/>
      <c r="L306" s="135"/>
      <c r="M306" s="135"/>
      <c r="N306" s="135"/>
      <c r="O306" s="135"/>
      <c r="P306" s="135"/>
      <c r="Q306" s="135"/>
      <c r="R306" s="135"/>
      <c r="S306" s="135"/>
      <c r="T306" s="135"/>
      <c r="U306" s="135"/>
      <c r="V306" s="135"/>
      <c r="W306" s="135"/>
      <c r="X306" s="135"/>
      <c r="Y306" s="135"/>
      <c r="Z306" s="135"/>
      <c r="AA306" s="135"/>
      <c r="AB306" s="135"/>
      <c r="AC306" s="135"/>
      <c r="AD306" s="135"/>
      <c r="AE306" s="135"/>
      <c r="AF306" s="135"/>
    </row>
    <row r="307">
      <c r="A307" s="135"/>
      <c r="B307" s="135"/>
      <c r="C307" s="135"/>
      <c r="D307" s="135"/>
      <c r="E307" s="135"/>
      <c r="F307" s="135"/>
      <c r="G307" s="135"/>
      <c r="H307" s="135"/>
      <c r="I307" s="135"/>
      <c r="J307" s="135"/>
      <c r="K307" s="135"/>
      <c r="L307" s="135"/>
      <c r="M307" s="135"/>
      <c r="N307" s="135"/>
      <c r="O307" s="135"/>
      <c r="P307" s="135"/>
      <c r="Q307" s="135"/>
      <c r="R307" s="135"/>
      <c r="S307" s="135"/>
      <c r="T307" s="135"/>
      <c r="U307" s="135"/>
      <c r="V307" s="135"/>
      <c r="W307" s="135"/>
      <c r="X307" s="135"/>
      <c r="Y307" s="135"/>
      <c r="Z307" s="135"/>
      <c r="AA307" s="135"/>
      <c r="AB307" s="135"/>
      <c r="AC307" s="135"/>
      <c r="AD307" s="135"/>
      <c r="AE307" s="135"/>
      <c r="AF307" s="135"/>
    </row>
    <row r="308">
      <c r="A308" s="135"/>
      <c r="B308" s="135"/>
      <c r="C308" s="135"/>
      <c r="D308" s="135"/>
      <c r="E308" s="135"/>
      <c r="F308" s="135"/>
      <c r="G308" s="135"/>
      <c r="H308" s="135"/>
      <c r="I308" s="135"/>
      <c r="J308" s="135"/>
      <c r="K308" s="135"/>
      <c r="L308" s="135"/>
      <c r="M308" s="135"/>
      <c r="N308" s="135"/>
      <c r="O308" s="135"/>
      <c r="P308" s="135"/>
      <c r="Q308" s="135"/>
      <c r="R308" s="135"/>
      <c r="S308" s="135"/>
      <c r="T308" s="135"/>
      <c r="U308" s="135"/>
      <c r="V308" s="135"/>
      <c r="W308" s="135"/>
      <c r="X308" s="135"/>
      <c r="Y308" s="135"/>
      <c r="Z308" s="135"/>
      <c r="AA308" s="135"/>
      <c r="AB308" s="135"/>
      <c r="AC308" s="135"/>
      <c r="AD308" s="135"/>
      <c r="AE308" s="135"/>
      <c r="AF308" s="135"/>
    </row>
    <row r="309">
      <c r="A309" s="135"/>
      <c r="B309" s="135"/>
      <c r="C309" s="135"/>
      <c r="D309" s="135"/>
      <c r="E309" s="135"/>
      <c r="F309" s="135"/>
      <c r="G309" s="135"/>
      <c r="H309" s="135"/>
      <c r="I309" s="135"/>
      <c r="J309" s="135"/>
      <c r="K309" s="135"/>
      <c r="L309" s="135"/>
      <c r="M309" s="135"/>
      <c r="N309" s="135"/>
      <c r="O309" s="135"/>
      <c r="P309" s="135"/>
      <c r="Q309" s="135"/>
      <c r="R309" s="135"/>
      <c r="S309" s="135"/>
      <c r="T309" s="135"/>
      <c r="U309" s="135"/>
      <c r="V309" s="135"/>
      <c r="W309" s="135"/>
      <c r="X309" s="135"/>
      <c r="Y309" s="135"/>
      <c r="Z309" s="135"/>
      <c r="AA309" s="135"/>
      <c r="AB309" s="135"/>
      <c r="AC309" s="135"/>
      <c r="AD309" s="135"/>
      <c r="AE309" s="135"/>
      <c r="AF309" s="135"/>
    </row>
    <row r="310">
      <c r="A310" s="135"/>
      <c r="B310" s="135"/>
      <c r="C310" s="135"/>
      <c r="D310" s="135"/>
      <c r="E310" s="135"/>
      <c r="F310" s="135"/>
      <c r="G310" s="135"/>
      <c r="H310" s="135"/>
      <c r="I310" s="135"/>
      <c r="J310" s="135"/>
      <c r="K310" s="135"/>
      <c r="L310" s="135"/>
      <c r="M310" s="135"/>
      <c r="N310" s="135"/>
      <c r="O310" s="135"/>
      <c r="P310" s="135"/>
      <c r="Q310" s="135"/>
      <c r="R310" s="135"/>
      <c r="S310" s="135"/>
      <c r="T310" s="135"/>
      <c r="U310" s="135"/>
      <c r="V310" s="135"/>
      <c r="W310" s="135"/>
      <c r="X310" s="135"/>
      <c r="Y310" s="135"/>
      <c r="Z310" s="135"/>
      <c r="AA310" s="135"/>
      <c r="AB310" s="135"/>
      <c r="AC310" s="135"/>
      <c r="AD310" s="135"/>
      <c r="AE310" s="135"/>
      <c r="AF310" s="135"/>
    </row>
    <row r="311">
      <c r="A311" s="135"/>
      <c r="B311" s="135"/>
      <c r="C311" s="135"/>
      <c r="D311" s="135"/>
      <c r="E311" s="135"/>
      <c r="F311" s="135"/>
      <c r="G311" s="135"/>
      <c r="H311" s="135"/>
      <c r="I311" s="135"/>
      <c r="J311" s="135"/>
      <c r="K311" s="135"/>
      <c r="L311" s="135"/>
      <c r="M311" s="135"/>
      <c r="N311" s="135"/>
      <c r="O311" s="135"/>
      <c r="P311" s="135"/>
      <c r="Q311" s="135"/>
      <c r="R311" s="135"/>
      <c r="S311" s="135"/>
      <c r="T311" s="135"/>
      <c r="U311" s="135"/>
      <c r="V311" s="135"/>
      <c r="W311" s="135"/>
      <c r="X311" s="135"/>
      <c r="Y311" s="135"/>
      <c r="Z311" s="135"/>
      <c r="AA311" s="135"/>
      <c r="AB311" s="135"/>
      <c r="AC311" s="135"/>
      <c r="AD311" s="135"/>
      <c r="AE311" s="135"/>
      <c r="AF311" s="135"/>
    </row>
    <row r="312">
      <c r="A312" s="135"/>
      <c r="B312" s="135"/>
      <c r="C312" s="135"/>
      <c r="D312" s="135"/>
      <c r="E312" s="135"/>
      <c r="F312" s="135"/>
      <c r="G312" s="135"/>
      <c r="H312" s="135"/>
      <c r="I312" s="135"/>
      <c r="J312" s="135"/>
      <c r="K312" s="135"/>
      <c r="L312" s="135"/>
      <c r="M312" s="135"/>
      <c r="N312" s="135"/>
      <c r="O312" s="135"/>
      <c r="P312" s="135"/>
      <c r="Q312" s="135"/>
      <c r="R312" s="135"/>
      <c r="S312" s="135"/>
      <c r="T312" s="135"/>
      <c r="U312" s="135"/>
      <c r="V312" s="135"/>
      <c r="W312" s="135"/>
      <c r="X312" s="135"/>
      <c r="Y312" s="135"/>
      <c r="Z312" s="135"/>
      <c r="AA312" s="135"/>
      <c r="AB312" s="135"/>
      <c r="AC312" s="135"/>
      <c r="AD312" s="135"/>
      <c r="AE312" s="135"/>
      <c r="AF312" s="135"/>
    </row>
    <row r="313">
      <c r="A313" s="135"/>
      <c r="B313" s="135"/>
      <c r="C313" s="135"/>
      <c r="D313" s="135"/>
      <c r="E313" s="135"/>
      <c r="F313" s="135"/>
      <c r="G313" s="135"/>
      <c r="H313" s="135"/>
      <c r="I313" s="135"/>
      <c r="J313" s="135"/>
      <c r="K313" s="135"/>
      <c r="L313" s="135"/>
      <c r="M313" s="135"/>
      <c r="N313" s="135"/>
      <c r="O313" s="135"/>
      <c r="P313" s="135"/>
      <c r="Q313" s="135"/>
      <c r="R313" s="135"/>
      <c r="S313" s="135"/>
      <c r="T313" s="135"/>
      <c r="U313" s="135"/>
      <c r="V313" s="135"/>
      <c r="W313" s="135"/>
      <c r="X313" s="135"/>
      <c r="Y313" s="135"/>
      <c r="Z313" s="135"/>
      <c r="AA313" s="135"/>
      <c r="AB313" s="135"/>
      <c r="AC313" s="135"/>
      <c r="AD313" s="135"/>
      <c r="AE313" s="135"/>
      <c r="AF313" s="135"/>
    </row>
    <row r="314">
      <c r="A314" s="135"/>
      <c r="B314" s="135"/>
      <c r="C314" s="135"/>
      <c r="D314" s="135"/>
      <c r="E314" s="135"/>
      <c r="F314" s="135"/>
      <c r="G314" s="135"/>
      <c r="H314" s="135"/>
      <c r="I314" s="135"/>
      <c r="J314" s="135"/>
      <c r="K314" s="135"/>
      <c r="L314" s="135"/>
      <c r="M314" s="135"/>
      <c r="N314" s="135"/>
      <c r="O314" s="135"/>
      <c r="P314" s="135"/>
      <c r="Q314" s="135"/>
      <c r="R314" s="135"/>
      <c r="S314" s="135"/>
      <c r="T314" s="135"/>
      <c r="U314" s="135"/>
      <c r="V314" s="135"/>
      <c r="W314" s="135"/>
      <c r="X314" s="135"/>
      <c r="Y314" s="135"/>
      <c r="Z314" s="135"/>
      <c r="AA314" s="135"/>
      <c r="AB314" s="135"/>
      <c r="AC314" s="135"/>
      <c r="AD314" s="135"/>
      <c r="AE314" s="135"/>
      <c r="AF314" s="135"/>
    </row>
    <row r="315">
      <c r="A315" s="135"/>
      <c r="B315" s="135"/>
      <c r="C315" s="135"/>
      <c r="D315" s="135"/>
      <c r="E315" s="135"/>
      <c r="F315" s="135"/>
      <c r="G315" s="135"/>
      <c r="H315" s="135"/>
      <c r="I315" s="135"/>
      <c r="J315" s="135"/>
      <c r="K315" s="135"/>
      <c r="L315" s="135"/>
      <c r="M315" s="135"/>
      <c r="N315" s="135"/>
      <c r="O315" s="135"/>
      <c r="P315" s="135"/>
      <c r="Q315" s="135"/>
      <c r="R315" s="135"/>
      <c r="S315" s="135"/>
      <c r="T315" s="135"/>
      <c r="U315" s="135"/>
      <c r="V315" s="135"/>
      <c r="W315" s="135"/>
      <c r="X315" s="135"/>
      <c r="Y315" s="135"/>
      <c r="Z315" s="135"/>
      <c r="AA315" s="135"/>
      <c r="AB315" s="135"/>
      <c r="AC315" s="135"/>
      <c r="AD315" s="135"/>
      <c r="AE315" s="135"/>
      <c r="AF315" s="135"/>
    </row>
    <row r="316">
      <c r="A316" s="135"/>
      <c r="B316" s="135"/>
      <c r="C316" s="135"/>
      <c r="D316" s="135"/>
      <c r="E316" s="135"/>
      <c r="F316" s="135"/>
      <c r="G316" s="135"/>
      <c r="H316" s="135"/>
      <c r="I316" s="135"/>
      <c r="J316" s="135"/>
      <c r="K316" s="135"/>
      <c r="L316" s="135"/>
      <c r="M316" s="135"/>
      <c r="N316" s="135"/>
      <c r="O316" s="135"/>
      <c r="P316" s="135"/>
      <c r="Q316" s="135"/>
      <c r="R316" s="135"/>
      <c r="S316" s="135"/>
      <c r="T316" s="135"/>
      <c r="U316" s="135"/>
      <c r="V316" s="135"/>
      <c r="W316" s="135"/>
      <c r="X316" s="135"/>
      <c r="Y316" s="135"/>
      <c r="Z316" s="135"/>
      <c r="AA316" s="135"/>
      <c r="AB316" s="135"/>
      <c r="AC316" s="135"/>
      <c r="AD316" s="135"/>
      <c r="AE316" s="135"/>
      <c r="AF316" s="135"/>
    </row>
    <row r="317">
      <c r="A317" s="135"/>
      <c r="B317" s="135"/>
      <c r="C317" s="135"/>
      <c r="D317" s="135"/>
      <c r="E317" s="135"/>
      <c r="F317" s="135"/>
      <c r="G317" s="135"/>
      <c r="H317" s="135"/>
      <c r="I317" s="135"/>
      <c r="J317" s="135"/>
      <c r="K317" s="135"/>
      <c r="L317" s="135"/>
      <c r="M317" s="135"/>
      <c r="N317" s="135"/>
      <c r="O317" s="135"/>
      <c r="P317" s="135"/>
      <c r="Q317" s="135"/>
      <c r="R317" s="135"/>
      <c r="S317" s="135"/>
      <c r="T317" s="135"/>
      <c r="U317" s="135"/>
      <c r="V317" s="135"/>
      <c r="W317" s="135"/>
      <c r="X317" s="135"/>
      <c r="Y317" s="135"/>
      <c r="Z317" s="135"/>
      <c r="AA317" s="135"/>
      <c r="AB317" s="135"/>
      <c r="AC317" s="135"/>
      <c r="AD317" s="135"/>
      <c r="AE317" s="135"/>
      <c r="AF317" s="135"/>
    </row>
    <row r="318">
      <c r="A318" s="135"/>
      <c r="B318" s="135"/>
      <c r="C318" s="135"/>
      <c r="D318" s="135"/>
      <c r="E318" s="135"/>
      <c r="F318" s="135"/>
      <c r="G318" s="135"/>
      <c r="H318" s="135"/>
      <c r="I318" s="135"/>
      <c r="J318" s="135"/>
      <c r="K318" s="135"/>
      <c r="L318" s="135"/>
      <c r="M318" s="135"/>
      <c r="N318" s="135"/>
      <c r="O318" s="135"/>
      <c r="P318" s="135"/>
      <c r="Q318" s="135"/>
      <c r="R318" s="135"/>
      <c r="S318" s="135"/>
      <c r="T318" s="135"/>
      <c r="U318" s="135"/>
      <c r="V318" s="135"/>
      <c r="W318" s="135"/>
      <c r="X318" s="135"/>
      <c r="Y318" s="135"/>
      <c r="Z318" s="135"/>
      <c r="AA318" s="135"/>
      <c r="AB318" s="135"/>
      <c r="AC318" s="135"/>
      <c r="AD318" s="135"/>
      <c r="AE318" s="135"/>
      <c r="AF318" s="135"/>
    </row>
    <row r="319">
      <c r="A319" s="135"/>
      <c r="B319" s="135"/>
      <c r="C319" s="135"/>
      <c r="D319" s="135"/>
      <c r="E319" s="135"/>
      <c r="F319" s="135"/>
      <c r="G319" s="135"/>
      <c r="H319" s="135"/>
      <c r="I319" s="135"/>
      <c r="J319" s="135"/>
      <c r="K319" s="135"/>
      <c r="L319" s="135"/>
      <c r="M319" s="135"/>
      <c r="N319" s="135"/>
      <c r="O319" s="135"/>
      <c r="P319" s="135"/>
      <c r="Q319" s="135"/>
      <c r="R319" s="135"/>
      <c r="S319" s="135"/>
      <c r="T319" s="135"/>
      <c r="U319" s="135"/>
      <c r="V319" s="135"/>
      <c r="W319" s="135"/>
      <c r="X319" s="135"/>
      <c r="Y319" s="135"/>
      <c r="Z319" s="135"/>
      <c r="AA319" s="135"/>
      <c r="AB319" s="135"/>
      <c r="AC319" s="135"/>
      <c r="AD319" s="135"/>
      <c r="AE319" s="135"/>
      <c r="AF319" s="135"/>
    </row>
    <row r="320">
      <c r="A320" s="135"/>
      <c r="B320" s="135"/>
      <c r="C320" s="135"/>
      <c r="D320" s="135"/>
      <c r="E320" s="135"/>
      <c r="F320" s="135"/>
      <c r="G320" s="135"/>
      <c r="H320" s="135"/>
      <c r="I320" s="135"/>
      <c r="J320" s="135"/>
      <c r="K320" s="135"/>
      <c r="L320" s="135"/>
      <c r="M320" s="135"/>
      <c r="N320" s="135"/>
      <c r="O320" s="135"/>
      <c r="P320" s="135"/>
      <c r="Q320" s="135"/>
      <c r="R320" s="135"/>
      <c r="S320" s="135"/>
      <c r="T320" s="135"/>
      <c r="U320" s="135"/>
      <c r="V320" s="135"/>
      <c r="W320" s="135"/>
      <c r="X320" s="135"/>
      <c r="Y320" s="135"/>
      <c r="Z320" s="135"/>
      <c r="AA320" s="135"/>
      <c r="AB320" s="135"/>
      <c r="AC320" s="135"/>
      <c r="AD320" s="135"/>
      <c r="AE320" s="135"/>
      <c r="AF320" s="135"/>
    </row>
    <row r="321">
      <c r="A321" s="135"/>
      <c r="B321" s="135"/>
      <c r="C321" s="135"/>
      <c r="D321" s="135"/>
      <c r="E321" s="135"/>
      <c r="F321" s="135"/>
      <c r="G321" s="135"/>
      <c r="H321" s="135"/>
      <c r="I321" s="135"/>
      <c r="J321" s="135"/>
      <c r="K321" s="135"/>
      <c r="L321" s="135"/>
      <c r="M321" s="135"/>
      <c r="N321" s="135"/>
      <c r="O321" s="135"/>
      <c r="P321" s="135"/>
      <c r="Q321" s="135"/>
      <c r="R321" s="135"/>
      <c r="S321" s="135"/>
      <c r="T321" s="135"/>
      <c r="U321" s="135"/>
      <c r="V321" s="135"/>
      <c r="W321" s="135"/>
      <c r="X321" s="135"/>
      <c r="Y321" s="135"/>
      <c r="Z321" s="135"/>
      <c r="AA321" s="135"/>
      <c r="AB321" s="135"/>
      <c r="AC321" s="135"/>
      <c r="AD321" s="135"/>
      <c r="AE321" s="135"/>
      <c r="AF321" s="135"/>
    </row>
    <row r="322">
      <c r="A322" s="135"/>
      <c r="B322" s="135"/>
      <c r="C322" s="135"/>
      <c r="D322" s="135"/>
      <c r="E322" s="135"/>
      <c r="F322" s="135"/>
      <c r="G322" s="135"/>
      <c r="H322" s="135"/>
      <c r="I322" s="135"/>
      <c r="J322" s="135"/>
      <c r="K322" s="135"/>
      <c r="L322" s="135"/>
      <c r="M322" s="135"/>
      <c r="N322" s="135"/>
      <c r="O322" s="135"/>
      <c r="P322" s="135"/>
      <c r="Q322" s="135"/>
      <c r="R322" s="135"/>
      <c r="S322" s="135"/>
      <c r="T322" s="135"/>
      <c r="U322" s="135"/>
      <c r="V322" s="135"/>
      <c r="W322" s="135"/>
      <c r="X322" s="135"/>
      <c r="Y322" s="135"/>
      <c r="Z322" s="135"/>
      <c r="AA322" s="135"/>
      <c r="AB322" s="135"/>
      <c r="AC322" s="135"/>
      <c r="AD322" s="135"/>
      <c r="AE322" s="135"/>
      <c r="AF322" s="135"/>
    </row>
    <row r="323">
      <c r="A323" s="135"/>
      <c r="B323" s="135"/>
      <c r="C323" s="135"/>
      <c r="D323" s="135"/>
      <c r="E323" s="135"/>
      <c r="F323" s="135"/>
      <c r="G323" s="135"/>
      <c r="H323" s="135"/>
      <c r="I323" s="135"/>
      <c r="J323" s="135"/>
      <c r="K323" s="135"/>
      <c r="L323" s="135"/>
      <c r="M323" s="135"/>
      <c r="N323" s="135"/>
      <c r="O323" s="135"/>
      <c r="P323" s="135"/>
      <c r="Q323" s="135"/>
      <c r="R323" s="135"/>
      <c r="S323" s="135"/>
      <c r="T323" s="135"/>
      <c r="U323" s="135"/>
      <c r="V323" s="135"/>
      <c r="W323" s="135"/>
      <c r="X323" s="135"/>
      <c r="Y323" s="135"/>
      <c r="Z323" s="135"/>
      <c r="AA323" s="135"/>
      <c r="AB323" s="135"/>
      <c r="AC323" s="135"/>
      <c r="AD323" s="135"/>
      <c r="AE323" s="135"/>
      <c r="AF323" s="135"/>
    </row>
    <row r="324">
      <c r="A324" s="135"/>
      <c r="B324" s="135"/>
      <c r="C324" s="135"/>
      <c r="D324" s="135"/>
      <c r="E324" s="135"/>
      <c r="F324" s="135"/>
      <c r="G324" s="135"/>
      <c r="H324" s="135"/>
      <c r="I324" s="135"/>
      <c r="J324" s="135"/>
      <c r="K324" s="135"/>
      <c r="L324" s="135"/>
      <c r="M324" s="135"/>
      <c r="N324" s="135"/>
      <c r="O324" s="135"/>
      <c r="P324" s="135"/>
      <c r="Q324" s="135"/>
      <c r="R324" s="135"/>
      <c r="S324" s="135"/>
      <c r="T324" s="135"/>
      <c r="U324" s="135"/>
      <c r="V324" s="135"/>
      <c r="W324" s="135"/>
      <c r="X324" s="135"/>
      <c r="Y324" s="135"/>
      <c r="Z324" s="135"/>
      <c r="AA324" s="135"/>
      <c r="AB324" s="135"/>
      <c r="AC324" s="135"/>
      <c r="AD324" s="135"/>
      <c r="AE324" s="135"/>
      <c r="AF324" s="135"/>
    </row>
    <row r="325">
      <c r="A325" s="135"/>
      <c r="B325" s="135"/>
      <c r="C325" s="135"/>
      <c r="D325" s="135"/>
      <c r="E325" s="135"/>
      <c r="F325" s="135"/>
      <c r="G325" s="135"/>
      <c r="H325" s="135"/>
      <c r="I325" s="135"/>
      <c r="J325" s="135"/>
      <c r="K325" s="135"/>
      <c r="L325" s="135"/>
      <c r="M325" s="135"/>
      <c r="N325" s="135"/>
      <c r="O325" s="135"/>
      <c r="P325" s="135"/>
      <c r="Q325" s="135"/>
      <c r="R325" s="135"/>
      <c r="S325" s="135"/>
      <c r="T325" s="135"/>
      <c r="U325" s="135"/>
      <c r="V325" s="135"/>
      <c r="W325" s="135"/>
      <c r="X325" s="135"/>
      <c r="Y325" s="135"/>
      <c r="Z325" s="135"/>
      <c r="AA325" s="135"/>
      <c r="AB325" s="135"/>
      <c r="AC325" s="135"/>
      <c r="AD325" s="135"/>
      <c r="AE325" s="135"/>
      <c r="AF325" s="135"/>
    </row>
    <row r="326">
      <c r="A326" s="135"/>
      <c r="B326" s="135"/>
      <c r="C326" s="135"/>
      <c r="D326" s="135"/>
      <c r="E326" s="135"/>
      <c r="F326" s="135"/>
      <c r="G326" s="135"/>
      <c r="H326" s="135"/>
      <c r="I326" s="135"/>
      <c r="J326" s="135"/>
      <c r="K326" s="135"/>
      <c r="L326" s="135"/>
      <c r="M326" s="135"/>
      <c r="N326" s="135"/>
      <c r="O326" s="135"/>
      <c r="P326" s="135"/>
      <c r="Q326" s="135"/>
      <c r="R326" s="135"/>
      <c r="S326" s="135"/>
      <c r="T326" s="135"/>
      <c r="U326" s="135"/>
      <c r="V326" s="135"/>
      <c r="W326" s="135"/>
      <c r="X326" s="135"/>
      <c r="Y326" s="135"/>
      <c r="Z326" s="135"/>
      <c r="AA326" s="135"/>
      <c r="AB326" s="135"/>
      <c r="AC326" s="135"/>
      <c r="AD326" s="135"/>
      <c r="AE326" s="135"/>
      <c r="AF326" s="135"/>
    </row>
    <row r="327">
      <c r="A327" s="135"/>
      <c r="B327" s="135"/>
      <c r="C327" s="135"/>
      <c r="D327" s="135"/>
      <c r="E327" s="135"/>
      <c r="F327" s="135"/>
      <c r="G327" s="135"/>
      <c r="H327" s="135"/>
      <c r="I327" s="135"/>
      <c r="J327" s="135"/>
      <c r="K327" s="135"/>
      <c r="L327" s="135"/>
      <c r="M327" s="135"/>
      <c r="N327" s="135"/>
      <c r="O327" s="135"/>
      <c r="P327" s="135"/>
      <c r="Q327" s="135"/>
      <c r="R327" s="135"/>
      <c r="S327" s="135"/>
      <c r="T327" s="135"/>
      <c r="U327" s="135"/>
      <c r="V327" s="135"/>
      <c r="W327" s="135"/>
      <c r="X327" s="135"/>
      <c r="Y327" s="135"/>
      <c r="Z327" s="135"/>
      <c r="AA327" s="135"/>
      <c r="AB327" s="135"/>
      <c r="AC327" s="135"/>
      <c r="AD327" s="135"/>
      <c r="AE327" s="135"/>
      <c r="AF327" s="135"/>
    </row>
    <row r="328">
      <c r="A328" s="135"/>
      <c r="B328" s="135"/>
      <c r="C328" s="135"/>
      <c r="D328" s="135"/>
      <c r="E328" s="135"/>
      <c r="F328" s="135"/>
      <c r="G328" s="135"/>
      <c r="H328" s="135"/>
      <c r="I328" s="135"/>
      <c r="J328" s="135"/>
      <c r="K328" s="135"/>
      <c r="L328" s="135"/>
      <c r="M328" s="135"/>
      <c r="N328" s="135"/>
      <c r="O328" s="135"/>
      <c r="P328" s="135"/>
      <c r="Q328" s="135"/>
      <c r="R328" s="135"/>
      <c r="S328" s="135"/>
      <c r="T328" s="135"/>
      <c r="U328" s="135"/>
      <c r="V328" s="135"/>
      <c r="W328" s="135"/>
      <c r="X328" s="135"/>
      <c r="Y328" s="135"/>
      <c r="Z328" s="135"/>
      <c r="AA328" s="135"/>
      <c r="AB328" s="135"/>
      <c r="AC328" s="135"/>
      <c r="AD328" s="135"/>
      <c r="AE328" s="135"/>
      <c r="AF328" s="135"/>
    </row>
    <row r="329">
      <c r="A329" s="135"/>
      <c r="B329" s="135"/>
      <c r="C329" s="135"/>
      <c r="D329" s="135"/>
      <c r="E329" s="135"/>
      <c r="F329" s="135"/>
      <c r="G329" s="135"/>
      <c r="H329" s="135"/>
      <c r="I329" s="135"/>
      <c r="J329" s="135"/>
      <c r="K329" s="135"/>
      <c r="L329" s="135"/>
      <c r="M329" s="135"/>
      <c r="N329" s="135"/>
      <c r="O329" s="135"/>
      <c r="P329" s="135"/>
      <c r="Q329" s="135"/>
      <c r="R329" s="135"/>
      <c r="S329" s="135"/>
      <c r="T329" s="135"/>
      <c r="U329" s="135"/>
      <c r="V329" s="135"/>
      <c r="W329" s="135"/>
      <c r="X329" s="135"/>
      <c r="Y329" s="135"/>
      <c r="Z329" s="135"/>
      <c r="AA329" s="135"/>
      <c r="AB329" s="135"/>
      <c r="AC329" s="135"/>
      <c r="AD329" s="135"/>
      <c r="AE329" s="135"/>
      <c r="AF329" s="135"/>
    </row>
    <row r="330">
      <c r="A330" s="135"/>
      <c r="B330" s="135"/>
      <c r="C330" s="135"/>
      <c r="D330" s="135"/>
      <c r="E330" s="135"/>
      <c r="F330" s="135"/>
      <c r="G330" s="135"/>
      <c r="H330" s="135"/>
      <c r="I330" s="135"/>
      <c r="J330" s="135"/>
      <c r="K330" s="135"/>
      <c r="L330" s="135"/>
      <c r="M330" s="135"/>
      <c r="N330" s="135"/>
      <c r="O330" s="135"/>
      <c r="P330" s="135"/>
      <c r="Q330" s="135"/>
      <c r="R330" s="135"/>
      <c r="S330" s="135"/>
      <c r="T330" s="135"/>
      <c r="U330" s="135"/>
      <c r="V330" s="135"/>
      <c r="W330" s="135"/>
      <c r="X330" s="135"/>
      <c r="Y330" s="135"/>
      <c r="Z330" s="135"/>
      <c r="AA330" s="135"/>
      <c r="AB330" s="135"/>
      <c r="AC330" s="135"/>
      <c r="AD330" s="135"/>
      <c r="AE330" s="135"/>
      <c r="AF330" s="135"/>
    </row>
    <row r="331">
      <c r="A331" s="135"/>
      <c r="B331" s="135"/>
      <c r="C331" s="135"/>
      <c r="D331" s="135"/>
      <c r="E331" s="135"/>
      <c r="F331" s="135"/>
      <c r="G331" s="135"/>
      <c r="H331" s="135"/>
      <c r="I331" s="135"/>
      <c r="J331" s="135"/>
      <c r="K331" s="135"/>
      <c r="L331" s="135"/>
      <c r="M331" s="135"/>
      <c r="N331" s="135"/>
      <c r="O331" s="135"/>
      <c r="P331" s="135"/>
      <c r="Q331" s="135"/>
      <c r="R331" s="135"/>
      <c r="S331" s="135"/>
      <c r="T331" s="135"/>
      <c r="U331" s="135"/>
      <c r="V331" s="135"/>
      <c r="W331" s="135"/>
      <c r="X331" s="135"/>
      <c r="Y331" s="135"/>
      <c r="Z331" s="135"/>
      <c r="AA331" s="135"/>
      <c r="AB331" s="135"/>
      <c r="AC331" s="135"/>
      <c r="AD331" s="135"/>
      <c r="AE331" s="135"/>
      <c r="AF331" s="135"/>
    </row>
    <row r="332">
      <c r="A332" s="135"/>
      <c r="B332" s="135"/>
      <c r="C332" s="135"/>
      <c r="D332" s="135"/>
      <c r="E332" s="135"/>
      <c r="F332" s="135"/>
      <c r="G332" s="135"/>
      <c r="H332" s="135"/>
      <c r="I332" s="135"/>
      <c r="J332" s="135"/>
      <c r="K332" s="135"/>
      <c r="L332" s="135"/>
      <c r="M332" s="135"/>
      <c r="N332" s="135"/>
      <c r="O332" s="135"/>
      <c r="P332" s="135"/>
      <c r="Q332" s="135"/>
      <c r="R332" s="135"/>
      <c r="S332" s="135"/>
      <c r="T332" s="135"/>
      <c r="U332" s="135"/>
      <c r="V332" s="135"/>
      <c r="W332" s="135"/>
      <c r="X332" s="135"/>
      <c r="Y332" s="135"/>
      <c r="Z332" s="135"/>
      <c r="AA332" s="135"/>
      <c r="AB332" s="135"/>
      <c r="AC332" s="135"/>
      <c r="AD332" s="135"/>
      <c r="AE332" s="135"/>
      <c r="AF332" s="135"/>
    </row>
    <row r="333">
      <c r="A333" s="135"/>
      <c r="B333" s="135"/>
      <c r="C333" s="135"/>
      <c r="D333" s="135"/>
      <c r="E333" s="135"/>
      <c r="F333" s="135"/>
      <c r="G333" s="135"/>
      <c r="H333" s="135"/>
      <c r="I333" s="135"/>
      <c r="J333" s="135"/>
      <c r="K333" s="135"/>
      <c r="L333" s="135"/>
      <c r="M333" s="135"/>
      <c r="N333" s="135"/>
      <c r="O333" s="135"/>
      <c r="P333" s="135"/>
      <c r="Q333" s="135"/>
      <c r="R333" s="135"/>
      <c r="S333" s="135"/>
      <c r="T333" s="135"/>
      <c r="U333" s="135"/>
      <c r="V333" s="135"/>
      <c r="W333" s="135"/>
      <c r="X333" s="135"/>
      <c r="Y333" s="135"/>
      <c r="Z333" s="135"/>
      <c r="AA333" s="135"/>
      <c r="AB333" s="135"/>
      <c r="AC333" s="135"/>
      <c r="AD333" s="135"/>
      <c r="AE333" s="135"/>
      <c r="AF333" s="135"/>
    </row>
    <row r="334">
      <c r="A334" s="135"/>
      <c r="B334" s="135"/>
      <c r="C334" s="135"/>
      <c r="D334" s="135"/>
      <c r="E334" s="135"/>
      <c r="F334" s="135"/>
      <c r="G334" s="135"/>
      <c r="H334" s="135"/>
      <c r="I334" s="135"/>
      <c r="J334" s="135"/>
      <c r="K334" s="135"/>
      <c r="L334" s="135"/>
      <c r="M334" s="135"/>
      <c r="N334" s="135"/>
      <c r="O334" s="135"/>
      <c r="P334" s="135"/>
      <c r="Q334" s="135"/>
      <c r="R334" s="135"/>
      <c r="S334" s="135"/>
      <c r="T334" s="135"/>
      <c r="U334" s="135"/>
      <c r="V334" s="135"/>
      <c r="W334" s="135"/>
      <c r="X334" s="135"/>
      <c r="Y334" s="135"/>
      <c r="Z334" s="135"/>
      <c r="AA334" s="135"/>
      <c r="AB334" s="135"/>
      <c r="AC334" s="135"/>
      <c r="AD334" s="135"/>
      <c r="AE334" s="135"/>
      <c r="AF334" s="135"/>
    </row>
    <row r="335">
      <c r="A335" s="135"/>
      <c r="B335" s="135"/>
      <c r="C335" s="135"/>
      <c r="D335" s="135"/>
      <c r="E335" s="135"/>
      <c r="F335" s="135"/>
      <c r="G335" s="135"/>
      <c r="H335" s="135"/>
      <c r="I335" s="135"/>
      <c r="J335" s="135"/>
      <c r="K335" s="135"/>
      <c r="L335" s="135"/>
      <c r="M335" s="135"/>
      <c r="N335" s="135"/>
      <c r="O335" s="135"/>
      <c r="P335" s="135"/>
      <c r="Q335" s="135"/>
      <c r="R335" s="135"/>
      <c r="S335" s="135"/>
      <c r="T335" s="135"/>
      <c r="U335" s="135"/>
      <c r="V335" s="135"/>
      <c r="W335" s="135"/>
      <c r="X335" s="135"/>
      <c r="Y335" s="135"/>
      <c r="Z335" s="135"/>
      <c r="AA335" s="135"/>
      <c r="AB335" s="135"/>
      <c r="AC335" s="135"/>
      <c r="AD335" s="135"/>
      <c r="AE335" s="135"/>
      <c r="AF335" s="135"/>
    </row>
    <row r="336">
      <c r="A336" s="135"/>
      <c r="B336" s="135"/>
      <c r="C336" s="135"/>
      <c r="D336" s="135"/>
      <c r="E336" s="135"/>
      <c r="F336" s="135"/>
      <c r="G336" s="135"/>
      <c r="H336" s="135"/>
      <c r="I336" s="135"/>
      <c r="J336" s="135"/>
      <c r="K336" s="135"/>
      <c r="L336" s="135"/>
      <c r="M336" s="135"/>
      <c r="N336" s="135"/>
      <c r="O336" s="135"/>
      <c r="P336" s="135"/>
      <c r="Q336" s="135"/>
      <c r="R336" s="135"/>
      <c r="S336" s="135"/>
      <c r="T336" s="135"/>
      <c r="U336" s="135"/>
      <c r="V336" s="135"/>
      <c r="W336" s="135"/>
      <c r="X336" s="135"/>
      <c r="Y336" s="135"/>
      <c r="Z336" s="135"/>
      <c r="AA336" s="135"/>
      <c r="AB336" s="135"/>
      <c r="AC336" s="135"/>
      <c r="AD336" s="135"/>
      <c r="AE336" s="135"/>
      <c r="AF336" s="135"/>
    </row>
    <row r="337">
      <c r="A337" s="135"/>
      <c r="B337" s="135"/>
      <c r="C337" s="135"/>
      <c r="D337" s="135"/>
      <c r="E337" s="135"/>
      <c r="F337" s="135"/>
      <c r="G337" s="135"/>
      <c r="H337" s="135"/>
      <c r="I337" s="135"/>
      <c r="J337" s="135"/>
      <c r="K337" s="135"/>
      <c r="L337" s="135"/>
      <c r="M337" s="135"/>
      <c r="N337" s="135"/>
      <c r="O337" s="135"/>
      <c r="P337" s="135"/>
      <c r="Q337" s="135"/>
      <c r="R337" s="135"/>
      <c r="S337" s="135"/>
      <c r="T337" s="135"/>
      <c r="U337" s="135"/>
      <c r="V337" s="135"/>
      <c r="W337" s="135"/>
      <c r="X337" s="135"/>
      <c r="Y337" s="135"/>
      <c r="Z337" s="135"/>
      <c r="AA337" s="135"/>
      <c r="AB337" s="135"/>
      <c r="AC337" s="135"/>
      <c r="AD337" s="135"/>
      <c r="AE337" s="135"/>
      <c r="AF337" s="135"/>
    </row>
    <row r="338">
      <c r="A338" s="135"/>
      <c r="B338" s="135"/>
      <c r="C338" s="135"/>
      <c r="D338" s="135"/>
      <c r="E338" s="135"/>
      <c r="F338" s="135"/>
      <c r="G338" s="135"/>
      <c r="H338" s="135"/>
      <c r="I338" s="135"/>
      <c r="J338" s="135"/>
      <c r="K338" s="135"/>
      <c r="L338" s="135"/>
      <c r="M338" s="135"/>
      <c r="N338" s="135"/>
      <c r="O338" s="135"/>
      <c r="P338" s="135"/>
      <c r="Q338" s="135"/>
      <c r="R338" s="135"/>
      <c r="S338" s="135"/>
      <c r="T338" s="135"/>
      <c r="U338" s="135"/>
      <c r="V338" s="135"/>
      <c r="W338" s="135"/>
      <c r="X338" s="135"/>
      <c r="Y338" s="135"/>
      <c r="Z338" s="135"/>
      <c r="AA338" s="135"/>
      <c r="AB338" s="135"/>
      <c r="AC338" s="135"/>
      <c r="AD338" s="135"/>
      <c r="AE338" s="135"/>
      <c r="AF338" s="135"/>
    </row>
    <row r="339">
      <c r="A339" s="135"/>
      <c r="B339" s="135"/>
      <c r="C339" s="135"/>
      <c r="D339" s="135"/>
      <c r="E339" s="135"/>
      <c r="F339" s="135"/>
      <c r="G339" s="135"/>
      <c r="H339" s="135"/>
      <c r="I339" s="135"/>
      <c r="J339" s="135"/>
      <c r="K339" s="135"/>
      <c r="L339" s="135"/>
      <c r="M339" s="135"/>
      <c r="N339" s="135"/>
      <c r="O339" s="135"/>
      <c r="P339" s="135"/>
      <c r="Q339" s="135"/>
      <c r="R339" s="135"/>
      <c r="S339" s="135"/>
      <c r="T339" s="135"/>
      <c r="U339" s="135"/>
      <c r="V339" s="135"/>
      <c r="W339" s="135"/>
      <c r="X339" s="135"/>
      <c r="Y339" s="135"/>
      <c r="Z339" s="135"/>
      <c r="AA339" s="135"/>
      <c r="AB339" s="135"/>
      <c r="AC339" s="135"/>
      <c r="AD339" s="135"/>
      <c r="AE339" s="135"/>
      <c r="AF339" s="135"/>
    </row>
    <row r="340">
      <c r="A340" s="135"/>
      <c r="B340" s="135"/>
      <c r="C340" s="135"/>
      <c r="D340" s="135"/>
      <c r="E340" s="135"/>
      <c r="F340" s="135"/>
      <c r="G340" s="135"/>
      <c r="H340" s="135"/>
      <c r="I340" s="135"/>
      <c r="J340" s="135"/>
      <c r="K340" s="135"/>
      <c r="L340" s="135"/>
      <c r="M340" s="135"/>
      <c r="N340" s="135"/>
      <c r="O340" s="135"/>
      <c r="P340" s="135"/>
      <c r="Q340" s="135"/>
      <c r="R340" s="135"/>
      <c r="S340" s="135"/>
      <c r="T340" s="135"/>
      <c r="U340" s="135"/>
      <c r="V340" s="135"/>
      <c r="W340" s="135"/>
      <c r="X340" s="135"/>
      <c r="Y340" s="135"/>
      <c r="Z340" s="135"/>
      <c r="AA340" s="135"/>
      <c r="AB340" s="135"/>
      <c r="AC340" s="135"/>
      <c r="AD340" s="135"/>
      <c r="AE340" s="135"/>
      <c r="AF340" s="135"/>
    </row>
    <row r="341">
      <c r="A341" s="135"/>
      <c r="B341" s="135"/>
      <c r="C341" s="135"/>
      <c r="D341" s="135"/>
      <c r="E341" s="135"/>
      <c r="F341" s="135"/>
      <c r="G341" s="135"/>
      <c r="H341" s="135"/>
      <c r="I341" s="135"/>
      <c r="J341" s="135"/>
      <c r="K341" s="135"/>
      <c r="L341" s="135"/>
      <c r="M341" s="135"/>
      <c r="N341" s="135"/>
      <c r="O341" s="135"/>
      <c r="P341" s="135"/>
      <c r="Q341" s="135"/>
      <c r="R341" s="135"/>
      <c r="S341" s="135"/>
      <c r="T341" s="135"/>
      <c r="U341" s="135"/>
      <c r="V341" s="135"/>
      <c r="W341" s="135"/>
      <c r="X341" s="135"/>
      <c r="Y341" s="135"/>
      <c r="Z341" s="135"/>
      <c r="AA341" s="135"/>
      <c r="AB341" s="135"/>
      <c r="AC341" s="135"/>
      <c r="AD341" s="135"/>
      <c r="AE341" s="135"/>
      <c r="AF341" s="135"/>
    </row>
    <row r="342">
      <c r="A342" s="135"/>
      <c r="B342" s="135"/>
      <c r="C342" s="135"/>
      <c r="D342" s="135"/>
      <c r="E342" s="135"/>
      <c r="F342" s="135"/>
      <c r="G342" s="135"/>
      <c r="H342" s="135"/>
      <c r="I342" s="135"/>
      <c r="J342" s="135"/>
      <c r="K342" s="135"/>
      <c r="L342" s="135"/>
      <c r="M342" s="135"/>
      <c r="N342" s="135"/>
      <c r="O342" s="135"/>
      <c r="P342" s="135"/>
      <c r="Q342" s="135"/>
      <c r="R342" s="135"/>
      <c r="S342" s="135"/>
      <c r="T342" s="135"/>
      <c r="U342" s="135"/>
      <c r="V342" s="135"/>
      <c r="W342" s="135"/>
      <c r="X342" s="135"/>
      <c r="Y342" s="135"/>
      <c r="Z342" s="135"/>
      <c r="AA342" s="135"/>
      <c r="AB342" s="135"/>
      <c r="AC342" s="135"/>
      <c r="AD342" s="135"/>
      <c r="AE342" s="135"/>
      <c r="AF342" s="135"/>
    </row>
    <row r="343">
      <c r="A343" s="135"/>
      <c r="B343" s="135"/>
      <c r="C343" s="135"/>
      <c r="D343" s="135"/>
      <c r="E343" s="135"/>
      <c r="F343" s="135"/>
      <c r="G343" s="135"/>
      <c r="H343" s="135"/>
      <c r="I343" s="135"/>
      <c r="J343" s="135"/>
      <c r="K343" s="135"/>
      <c r="L343" s="135"/>
      <c r="M343" s="135"/>
      <c r="N343" s="135"/>
      <c r="O343" s="135"/>
      <c r="P343" s="135"/>
      <c r="Q343" s="135"/>
      <c r="R343" s="135"/>
      <c r="S343" s="135"/>
      <c r="T343" s="135"/>
      <c r="U343" s="135"/>
      <c r="V343" s="135"/>
      <c r="W343" s="135"/>
      <c r="X343" s="135"/>
      <c r="Y343" s="135"/>
      <c r="Z343" s="135"/>
      <c r="AA343" s="135"/>
      <c r="AB343" s="135"/>
      <c r="AC343" s="135"/>
      <c r="AD343" s="135"/>
      <c r="AE343" s="135"/>
      <c r="AF343" s="135"/>
    </row>
    <row r="344">
      <c r="A344" s="135"/>
      <c r="B344" s="135"/>
      <c r="C344" s="135"/>
      <c r="D344" s="135"/>
      <c r="E344" s="135"/>
      <c r="F344" s="135"/>
      <c r="G344" s="135"/>
      <c r="H344" s="135"/>
      <c r="I344" s="135"/>
      <c r="J344" s="135"/>
      <c r="K344" s="135"/>
      <c r="L344" s="135"/>
      <c r="M344" s="135"/>
      <c r="N344" s="135"/>
      <c r="O344" s="135"/>
      <c r="P344" s="135"/>
      <c r="Q344" s="135"/>
      <c r="R344" s="135"/>
      <c r="S344" s="135"/>
      <c r="T344" s="135"/>
      <c r="U344" s="135"/>
      <c r="V344" s="135"/>
      <c r="W344" s="135"/>
      <c r="X344" s="135"/>
      <c r="Y344" s="135"/>
      <c r="Z344" s="135"/>
      <c r="AA344" s="135"/>
      <c r="AB344" s="135"/>
      <c r="AC344" s="135"/>
      <c r="AD344" s="135"/>
      <c r="AE344" s="135"/>
      <c r="AF344" s="135"/>
    </row>
    <row r="345">
      <c r="A345" s="135"/>
      <c r="B345" s="135"/>
      <c r="C345" s="135"/>
      <c r="D345" s="135"/>
      <c r="E345" s="135"/>
      <c r="F345" s="135"/>
      <c r="G345" s="135"/>
      <c r="H345" s="135"/>
      <c r="I345" s="135"/>
      <c r="J345" s="135"/>
      <c r="K345" s="135"/>
      <c r="L345" s="135"/>
      <c r="M345" s="135"/>
      <c r="N345" s="135"/>
      <c r="O345" s="135"/>
      <c r="P345" s="135"/>
      <c r="Q345" s="135"/>
      <c r="R345" s="135"/>
      <c r="S345" s="135"/>
      <c r="T345" s="135"/>
      <c r="U345" s="135"/>
      <c r="V345" s="135"/>
      <c r="W345" s="135"/>
      <c r="X345" s="135"/>
      <c r="Y345" s="135"/>
      <c r="Z345" s="135"/>
      <c r="AA345" s="135"/>
      <c r="AB345" s="135"/>
      <c r="AC345" s="135"/>
      <c r="AD345" s="135"/>
      <c r="AE345" s="135"/>
      <c r="AF345" s="135"/>
    </row>
    <row r="346">
      <c r="A346" s="135"/>
      <c r="B346" s="135"/>
      <c r="C346" s="135"/>
      <c r="D346" s="135"/>
      <c r="E346" s="135"/>
      <c r="F346" s="135"/>
      <c r="G346" s="135"/>
      <c r="H346" s="135"/>
      <c r="I346" s="135"/>
      <c r="J346" s="135"/>
      <c r="K346" s="135"/>
      <c r="L346" s="135"/>
      <c r="M346" s="135"/>
      <c r="N346" s="135"/>
      <c r="O346" s="135"/>
      <c r="P346" s="135"/>
      <c r="Q346" s="135"/>
      <c r="R346" s="135"/>
      <c r="S346" s="135"/>
      <c r="T346" s="135"/>
      <c r="U346" s="135"/>
      <c r="V346" s="135"/>
      <c r="W346" s="135"/>
      <c r="X346" s="135"/>
      <c r="Y346" s="135"/>
      <c r="Z346" s="135"/>
      <c r="AA346" s="135"/>
      <c r="AB346" s="135"/>
      <c r="AC346" s="135"/>
      <c r="AD346" s="135"/>
      <c r="AE346" s="135"/>
      <c r="AF346" s="135"/>
    </row>
    <row r="347">
      <c r="A347" s="135"/>
      <c r="B347" s="135"/>
      <c r="C347" s="135"/>
      <c r="D347" s="135"/>
      <c r="E347" s="135"/>
      <c r="F347" s="135"/>
      <c r="G347" s="135"/>
      <c r="H347" s="135"/>
      <c r="I347" s="135"/>
      <c r="J347" s="135"/>
      <c r="K347" s="135"/>
      <c r="L347" s="135"/>
      <c r="M347" s="135"/>
      <c r="N347" s="135"/>
      <c r="O347" s="135"/>
      <c r="P347" s="135"/>
      <c r="Q347" s="135"/>
      <c r="R347" s="135"/>
      <c r="S347" s="135"/>
      <c r="T347" s="135"/>
      <c r="U347" s="135"/>
      <c r="V347" s="135"/>
      <c r="W347" s="135"/>
      <c r="X347" s="135"/>
      <c r="Y347" s="135"/>
      <c r="Z347" s="135"/>
      <c r="AA347" s="135"/>
      <c r="AB347" s="135"/>
      <c r="AC347" s="135"/>
      <c r="AD347" s="135"/>
      <c r="AE347" s="135"/>
      <c r="AF347" s="135"/>
    </row>
    <row r="348">
      <c r="A348" s="135"/>
      <c r="B348" s="135"/>
      <c r="C348" s="135"/>
      <c r="D348" s="135"/>
      <c r="E348" s="135"/>
      <c r="F348" s="135"/>
      <c r="G348" s="135"/>
      <c r="H348" s="135"/>
      <c r="I348" s="135"/>
      <c r="J348" s="135"/>
      <c r="K348" s="135"/>
      <c r="L348" s="135"/>
      <c r="M348" s="135"/>
      <c r="N348" s="135"/>
      <c r="O348" s="135"/>
      <c r="P348" s="135"/>
      <c r="Q348" s="135"/>
      <c r="R348" s="135"/>
      <c r="S348" s="135"/>
      <c r="T348" s="135"/>
      <c r="U348" s="135"/>
      <c r="V348" s="135"/>
      <c r="W348" s="135"/>
      <c r="X348" s="135"/>
      <c r="Y348" s="135"/>
      <c r="Z348" s="135"/>
      <c r="AA348" s="135"/>
      <c r="AB348" s="135"/>
      <c r="AC348" s="135"/>
      <c r="AD348" s="135"/>
      <c r="AE348" s="135"/>
      <c r="AF348" s="135"/>
    </row>
    <row r="349">
      <c r="A349" s="135"/>
      <c r="B349" s="135"/>
      <c r="C349" s="135"/>
      <c r="D349" s="135"/>
      <c r="E349" s="135"/>
      <c r="F349" s="135"/>
      <c r="G349" s="135"/>
      <c r="H349" s="135"/>
      <c r="I349" s="135"/>
      <c r="J349" s="135"/>
      <c r="K349" s="135"/>
      <c r="L349" s="135"/>
      <c r="M349" s="135"/>
      <c r="N349" s="135"/>
      <c r="O349" s="135"/>
      <c r="P349" s="135"/>
      <c r="Q349" s="135"/>
      <c r="R349" s="135"/>
      <c r="S349" s="135"/>
      <c r="T349" s="135"/>
      <c r="U349" s="135"/>
      <c r="V349" s="135"/>
      <c r="W349" s="135"/>
      <c r="X349" s="135"/>
      <c r="Y349" s="135"/>
      <c r="Z349" s="135"/>
      <c r="AA349" s="135"/>
      <c r="AB349" s="135"/>
      <c r="AC349" s="135"/>
      <c r="AD349" s="135"/>
      <c r="AE349" s="135"/>
      <c r="AF349" s="135"/>
    </row>
    <row r="350">
      <c r="A350" s="135"/>
      <c r="B350" s="135"/>
      <c r="C350" s="135"/>
      <c r="D350" s="135"/>
      <c r="E350" s="135"/>
      <c r="F350" s="135"/>
      <c r="G350" s="135"/>
      <c r="H350" s="135"/>
      <c r="I350" s="135"/>
      <c r="J350" s="135"/>
      <c r="K350" s="135"/>
      <c r="L350" s="135"/>
      <c r="M350" s="135"/>
      <c r="N350" s="135"/>
      <c r="O350" s="135"/>
      <c r="P350" s="135"/>
      <c r="Q350" s="135"/>
      <c r="R350" s="135"/>
      <c r="S350" s="135"/>
      <c r="T350" s="135"/>
      <c r="U350" s="135"/>
      <c r="V350" s="135"/>
      <c r="W350" s="135"/>
      <c r="X350" s="135"/>
      <c r="Y350" s="135"/>
      <c r="Z350" s="135"/>
      <c r="AA350" s="135"/>
      <c r="AB350" s="135"/>
      <c r="AC350" s="135"/>
      <c r="AD350" s="135"/>
      <c r="AE350" s="135"/>
      <c r="AF350" s="135"/>
    </row>
    <row r="351">
      <c r="A351" s="135"/>
      <c r="B351" s="135"/>
      <c r="C351" s="135"/>
      <c r="D351" s="135"/>
      <c r="E351" s="135"/>
      <c r="F351" s="135"/>
      <c r="G351" s="135"/>
      <c r="H351" s="135"/>
      <c r="I351" s="135"/>
      <c r="J351" s="135"/>
      <c r="K351" s="135"/>
      <c r="L351" s="135"/>
      <c r="M351" s="135"/>
      <c r="N351" s="135"/>
      <c r="O351" s="135"/>
      <c r="P351" s="135"/>
      <c r="Q351" s="135"/>
      <c r="R351" s="135"/>
      <c r="S351" s="135"/>
      <c r="T351" s="135"/>
      <c r="U351" s="135"/>
      <c r="V351" s="135"/>
      <c r="W351" s="135"/>
      <c r="X351" s="135"/>
      <c r="Y351" s="135"/>
      <c r="Z351" s="135"/>
      <c r="AA351" s="135"/>
      <c r="AB351" s="135"/>
      <c r="AC351" s="135"/>
      <c r="AD351" s="135"/>
      <c r="AE351" s="135"/>
      <c r="AF351" s="135"/>
    </row>
    <row r="352">
      <c r="A352" s="135"/>
      <c r="B352" s="135"/>
      <c r="C352" s="135"/>
      <c r="D352" s="135"/>
      <c r="E352" s="135"/>
      <c r="F352" s="135"/>
      <c r="G352" s="135"/>
      <c r="H352" s="135"/>
      <c r="I352" s="135"/>
      <c r="J352" s="135"/>
      <c r="K352" s="135"/>
      <c r="L352" s="135"/>
      <c r="M352" s="135"/>
      <c r="N352" s="135"/>
      <c r="O352" s="135"/>
      <c r="P352" s="135"/>
      <c r="Q352" s="135"/>
      <c r="R352" s="135"/>
      <c r="S352" s="135"/>
      <c r="T352" s="135"/>
      <c r="U352" s="135"/>
      <c r="V352" s="135"/>
      <c r="W352" s="135"/>
      <c r="X352" s="135"/>
      <c r="Y352" s="135"/>
      <c r="Z352" s="135"/>
      <c r="AA352" s="135"/>
      <c r="AB352" s="135"/>
      <c r="AC352" s="135"/>
      <c r="AD352" s="135"/>
      <c r="AE352" s="135"/>
      <c r="AF352" s="135"/>
    </row>
    <row r="353">
      <c r="A353" s="135"/>
      <c r="B353" s="135"/>
      <c r="C353" s="135"/>
      <c r="D353" s="135"/>
      <c r="E353" s="135"/>
      <c r="F353" s="135"/>
      <c r="G353" s="135"/>
      <c r="H353" s="135"/>
      <c r="I353" s="135"/>
      <c r="J353" s="135"/>
      <c r="K353" s="135"/>
      <c r="L353" s="135"/>
      <c r="M353" s="135"/>
      <c r="N353" s="135"/>
      <c r="O353" s="135"/>
      <c r="P353" s="135"/>
      <c r="Q353" s="135"/>
      <c r="R353" s="135"/>
      <c r="S353" s="135"/>
      <c r="T353" s="135"/>
      <c r="U353" s="135"/>
      <c r="V353" s="135"/>
      <c r="W353" s="135"/>
      <c r="X353" s="135"/>
      <c r="Y353" s="135"/>
      <c r="Z353" s="135"/>
      <c r="AA353" s="135"/>
      <c r="AB353" s="135"/>
      <c r="AC353" s="135"/>
      <c r="AD353" s="135"/>
      <c r="AE353" s="135"/>
      <c r="AF353" s="135"/>
    </row>
    <row r="354">
      <c r="A354" s="135"/>
      <c r="B354" s="135"/>
      <c r="C354" s="135"/>
      <c r="D354" s="135"/>
      <c r="E354" s="135"/>
      <c r="F354" s="135"/>
      <c r="G354" s="135"/>
      <c r="H354" s="135"/>
      <c r="I354" s="135"/>
      <c r="J354" s="135"/>
      <c r="K354" s="135"/>
      <c r="L354" s="135"/>
      <c r="M354" s="135"/>
      <c r="N354" s="135"/>
      <c r="O354" s="135"/>
      <c r="P354" s="135"/>
      <c r="Q354" s="135"/>
      <c r="R354" s="135"/>
      <c r="S354" s="135"/>
      <c r="T354" s="135"/>
      <c r="U354" s="135"/>
      <c r="V354" s="135"/>
      <c r="W354" s="135"/>
      <c r="X354" s="135"/>
      <c r="Y354" s="135"/>
      <c r="Z354" s="135"/>
      <c r="AA354" s="135"/>
      <c r="AB354" s="135"/>
      <c r="AC354" s="135"/>
      <c r="AD354" s="135"/>
      <c r="AE354" s="135"/>
      <c r="AF354" s="135"/>
    </row>
    <row r="355">
      <c r="A355" s="135"/>
      <c r="B355" s="135"/>
      <c r="C355" s="135"/>
      <c r="D355" s="135"/>
      <c r="E355" s="135"/>
      <c r="F355" s="135"/>
      <c r="G355" s="135"/>
      <c r="H355" s="135"/>
      <c r="I355" s="135"/>
      <c r="J355" s="135"/>
      <c r="K355" s="135"/>
      <c r="L355" s="135"/>
      <c r="M355" s="135"/>
      <c r="N355" s="135"/>
      <c r="O355" s="135"/>
      <c r="P355" s="135"/>
      <c r="Q355" s="135"/>
      <c r="R355" s="135"/>
      <c r="S355" s="135"/>
      <c r="T355" s="135"/>
      <c r="U355" s="135"/>
      <c r="V355" s="135"/>
      <c r="W355" s="135"/>
      <c r="X355" s="135"/>
      <c r="Y355" s="135"/>
      <c r="Z355" s="135"/>
      <c r="AA355" s="135"/>
      <c r="AB355" s="135"/>
      <c r="AC355" s="135"/>
      <c r="AD355" s="135"/>
      <c r="AE355" s="135"/>
      <c r="AF355" s="135"/>
    </row>
    <row r="356">
      <c r="A356" s="135"/>
      <c r="B356" s="135"/>
      <c r="C356" s="135"/>
      <c r="D356" s="135"/>
      <c r="E356" s="135"/>
      <c r="F356" s="135"/>
      <c r="G356" s="135"/>
      <c r="H356" s="135"/>
      <c r="I356" s="135"/>
      <c r="J356" s="135"/>
      <c r="K356" s="135"/>
      <c r="L356" s="135"/>
      <c r="M356" s="135"/>
      <c r="N356" s="135"/>
      <c r="O356" s="135"/>
      <c r="P356" s="135"/>
      <c r="Q356" s="135"/>
      <c r="R356" s="135"/>
      <c r="S356" s="135"/>
      <c r="T356" s="135"/>
      <c r="U356" s="135"/>
      <c r="V356" s="135"/>
      <c r="W356" s="135"/>
      <c r="X356" s="135"/>
      <c r="Y356" s="135"/>
      <c r="Z356" s="135"/>
      <c r="AA356" s="135"/>
      <c r="AB356" s="135"/>
      <c r="AC356" s="135"/>
      <c r="AD356" s="135"/>
      <c r="AE356" s="135"/>
      <c r="AF356" s="135"/>
    </row>
    <row r="357">
      <c r="A357" s="135"/>
      <c r="B357" s="135"/>
      <c r="C357" s="135"/>
      <c r="D357" s="135"/>
      <c r="E357" s="135"/>
      <c r="F357" s="135"/>
      <c r="G357" s="135"/>
      <c r="H357" s="135"/>
      <c r="I357" s="135"/>
      <c r="J357" s="135"/>
      <c r="K357" s="135"/>
      <c r="L357" s="135"/>
      <c r="M357" s="135"/>
      <c r="N357" s="135"/>
      <c r="O357" s="135"/>
      <c r="P357" s="135"/>
      <c r="Q357" s="135"/>
      <c r="R357" s="135"/>
      <c r="S357" s="135"/>
      <c r="T357" s="135"/>
      <c r="U357" s="135"/>
      <c r="V357" s="135"/>
      <c r="W357" s="135"/>
      <c r="X357" s="135"/>
      <c r="Y357" s="135"/>
      <c r="Z357" s="135"/>
      <c r="AA357" s="135"/>
      <c r="AB357" s="135"/>
      <c r="AC357" s="135"/>
      <c r="AD357" s="135"/>
      <c r="AE357" s="135"/>
      <c r="AF357" s="135"/>
    </row>
    <row r="358">
      <c r="A358" s="135"/>
      <c r="B358" s="135"/>
      <c r="C358" s="135"/>
      <c r="D358" s="135"/>
      <c r="E358" s="135"/>
      <c r="F358" s="135"/>
      <c r="G358" s="135"/>
      <c r="H358" s="135"/>
      <c r="I358" s="135"/>
      <c r="J358" s="135"/>
      <c r="K358" s="135"/>
      <c r="L358" s="135"/>
      <c r="M358" s="135"/>
      <c r="N358" s="135"/>
      <c r="O358" s="135"/>
      <c r="P358" s="135"/>
      <c r="Q358" s="135"/>
      <c r="R358" s="135"/>
      <c r="S358" s="135"/>
      <c r="T358" s="135"/>
      <c r="U358" s="135"/>
      <c r="V358" s="135"/>
      <c r="W358" s="135"/>
      <c r="X358" s="135"/>
      <c r="Y358" s="135"/>
      <c r="Z358" s="135"/>
      <c r="AA358" s="135"/>
      <c r="AB358" s="135"/>
      <c r="AC358" s="135"/>
      <c r="AD358" s="135"/>
      <c r="AE358" s="135"/>
      <c r="AF358" s="135"/>
    </row>
    <row r="359">
      <c r="A359" s="135"/>
      <c r="B359" s="135"/>
      <c r="C359" s="135"/>
      <c r="D359" s="135"/>
      <c r="E359" s="135"/>
      <c r="F359" s="135"/>
      <c r="G359" s="135"/>
      <c r="H359" s="135"/>
      <c r="I359" s="135"/>
      <c r="J359" s="135"/>
      <c r="K359" s="135"/>
      <c r="L359" s="135"/>
      <c r="M359" s="135"/>
      <c r="N359" s="135"/>
      <c r="O359" s="135"/>
      <c r="P359" s="135"/>
      <c r="Q359" s="135"/>
      <c r="R359" s="135"/>
      <c r="S359" s="135"/>
      <c r="T359" s="135"/>
      <c r="U359" s="135"/>
      <c r="V359" s="135"/>
      <c r="W359" s="135"/>
      <c r="X359" s="135"/>
      <c r="Y359" s="135"/>
      <c r="Z359" s="135"/>
      <c r="AA359" s="135"/>
      <c r="AB359" s="135"/>
      <c r="AC359" s="135"/>
      <c r="AD359" s="135"/>
      <c r="AE359" s="135"/>
      <c r="AF359" s="135"/>
    </row>
    <row r="360">
      <c r="A360" s="135"/>
      <c r="B360" s="135"/>
      <c r="C360" s="135"/>
      <c r="D360" s="135"/>
      <c r="E360" s="135"/>
      <c r="F360" s="135"/>
      <c r="G360" s="135"/>
      <c r="H360" s="135"/>
      <c r="I360" s="135"/>
      <c r="J360" s="135"/>
      <c r="K360" s="135"/>
      <c r="L360" s="135"/>
      <c r="M360" s="135"/>
      <c r="N360" s="135"/>
      <c r="O360" s="135"/>
      <c r="P360" s="135"/>
      <c r="Q360" s="135"/>
      <c r="R360" s="135"/>
      <c r="S360" s="135"/>
      <c r="T360" s="135"/>
      <c r="U360" s="135"/>
      <c r="V360" s="135"/>
      <c r="W360" s="135"/>
      <c r="X360" s="135"/>
      <c r="Y360" s="135"/>
      <c r="Z360" s="135"/>
      <c r="AA360" s="135"/>
      <c r="AB360" s="135"/>
      <c r="AC360" s="135"/>
      <c r="AD360" s="135"/>
      <c r="AE360" s="135"/>
      <c r="AF360" s="135"/>
    </row>
    <row r="361">
      <c r="A361" s="135"/>
      <c r="B361" s="135"/>
      <c r="C361" s="135"/>
      <c r="D361" s="135"/>
      <c r="E361" s="135"/>
      <c r="F361" s="135"/>
      <c r="G361" s="135"/>
      <c r="H361" s="135"/>
      <c r="I361" s="135"/>
      <c r="J361" s="135"/>
      <c r="K361" s="135"/>
      <c r="L361" s="135"/>
      <c r="M361" s="135"/>
      <c r="N361" s="135"/>
      <c r="O361" s="135"/>
      <c r="P361" s="135"/>
      <c r="Q361" s="135"/>
      <c r="R361" s="135"/>
      <c r="S361" s="135"/>
      <c r="T361" s="135"/>
      <c r="U361" s="135"/>
      <c r="V361" s="135"/>
      <c r="W361" s="135"/>
      <c r="X361" s="135"/>
      <c r="Y361" s="135"/>
      <c r="Z361" s="135"/>
      <c r="AA361" s="135"/>
      <c r="AB361" s="135"/>
      <c r="AC361" s="135"/>
      <c r="AD361" s="135"/>
      <c r="AE361" s="135"/>
      <c r="AF361" s="135"/>
    </row>
    <row r="362">
      <c r="A362" s="135"/>
      <c r="B362" s="135"/>
      <c r="C362" s="135"/>
      <c r="D362" s="135"/>
      <c r="E362" s="135"/>
      <c r="F362" s="135"/>
      <c r="G362" s="135"/>
      <c r="H362" s="135"/>
      <c r="I362" s="135"/>
      <c r="J362" s="135"/>
      <c r="K362" s="135"/>
      <c r="L362" s="135"/>
      <c r="M362" s="135"/>
      <c r="N362" s="135"/>
      <c r="O362" s="135"/>
      <c r="P362" s="135"/>
      <c r="Q362" s="135"/>
      <c r="R362" s="135"/>
      <c r="S362" s="135"/>
      <c r="T362" s="135"/>
      <c r="U362" s="135"/>
      <c r="V362" s="135"/>
      <c r="W362" s="135"/>
      <c r="X362" s="135"/>
      <c r="Y362" s="135"/>
      <c r="Z362" s="135"/>
      <c r="AA362" s="135"/>
      <c r="AB362" s="135"/>
      <c r="AC362" s="135"/>
      <c r="AD362" s="135"/>
      <c r="AE362" s="135"/>
      <c r="AF362" s="135"/>
    </row>
    <row r="363">
      <c r="A363" s="135"/>
      <c r="B363" s="135"/>
      <c r="C363" s="135"/>
      <c r="D363" s="135"/>
      <c r="E363" s="135"/>
      <c r="F363" s="135"/>
      <c r="G363" s="135"/>
      <c r="H363" s="135"/>
      <c r="I363" s="135"/>
      <c r="J363" s="135"/>
      <c r="K363" s="135"/>
      <c r="L363" s="135"/>
      <c r="M363" s="135"/>
      <c r="N363" s="135"/>
      <c r="O363" s="135"/>
      <c r="P363" s="135"/>
      <c r="Q363" s="135"/>
      <c r="R363" s="135"/>
      <c r="S363" s="135"/>
      <c r="T363" s="135"/>
      <c r="U363" s="135"/>
      <c r="V363" s="135"/>
      <c r="W363" s="135"/>
      <c r="X363" s="135"/>
      <c r="Y363" s="135"/>
      <c r="Z363" s="135"/>
      <c r="AA363" s="135"/>
      <c r="AB363" s="135"/>
      <c r="AC363" s="135"/>
      <c r="AD363" s="135"/>
      <c r="AE363" s="135"/>
      <c r="AF363" s="135"/>
    </row>
    <row r="364">
      <c r="A364" s="135"/>
      <c r="B364" s="135"/>
      <c r="C364" s="135"/>
      <c r="D364" s="135"/>
      <c r="E364" s="135"/>
      <c r="F364" s="135"/>
      <c r="G364" s="135"/>
      <c r="H364" s="135"/>
      <c r="I364" s="135"/>
      <c r="J364" s="135"/>
      <c r="K364" s="135"/>
      <c r="L364" s="135"/>
      <c r="M364" s="135"/>
      <c r="N364" s="135"/>
      <c r="O364" s="135"/>
      <c r="P364" s="135"/>
      <c r="Q364" s="135"/>
      <c r="R364" s="135"/>
      <c r="S364" s="135"/>
      <c r="T364" s="135"/>
      <c r="U364" s="135"/>
      <c r="V364" s="135"/>
      <c r="W364" s="135"/>
      <c r="X364" s="135"/>
      <c r="Y364" s="135"/>
      <c r="Z364" s="135"/>
      <c r="AA364" s="135"/>
      <c r="AB364" s="135"/>
      <c r="AC364" s="135"/>
      <c r="AD364" s="135"/>
      <c r="AE364" s="135"/>
      <c r="AF364" s="135"/>
    </row>
    <row r="365">
      <c r="A365" s="135"/>
      <c r="B365" s="135"/>
      <c r="C365" s="135"/>
      <c r="D365" s="135"/>
      <c r="E365" s="135"/>
      <c r="F365" s="135"/>
      <c r="G365" s="135"/>
      <c r="H365" s="135"/>
      <c r="I365" s="135"/>
      <c r="J365" s="135"/>
      <c r="K365" s="135"/>
      <c r="L365" s="135"/>
      <c r="M365" s="135"/>
      <c r="N365" s="135"/>
      <c r="O365" s="135"/>
      <c r="P365" s="135"/>
      <c r="Q365" s="135"/>
      <c r="R365" s="135"/>
      <c r="S365" s="135"/>
      <c r="T365" s="135"/>
      <c r="U365" s="135"/>
      <c r="V365" s="135"/>
      <c r="W365" s="135"/>
      <c r="X365" s="135"/>
      <c r="Y365" s="135"/>
      <c r="Z365" s="135"/>
      <c r="AA365" s="135"/>
      <c r="AB365" s="135"/>
      <c r="AC365" s="135"/>
      <c r="AD365" s="135"/>
      <c r="AE365" s="135"/>
      <c r="AF365" s="135"/>
    </row>
    <row r="366">
      <c r="A366" s="135"/>
      <c r="B366" s="135"/>
      <c r="C366" s="135"/>
      <c r="D366" s="135"/>
      <c r="E366" s="135"/>
      <c r="F366" s="135"/>
      <c r="G366" s="135"/>
      <c r="H366" s="135"/>
      <c r="I366" s="135"/>
      <c r="J366" s="135"/>
      <c r="K366" s="135"/>
      <c r="L366" s="135"/>
      <c r="M366" s="135"/>
      <c r="N366" s="135"/>
      <c r="O366" s="135"/>
      <c r="P366" s="135"/>
      <c r="Q366" s="135"/>
      <c r="R366" s="135"/>
      <c r="S366" s="135"/>
      <c r="T366" s="135"/>
      <c r="U366" s="135"/>
      <c r="V366" s="135"/>
      <c r="W366" s="135"/>
      <c r="X366" s="135"/>
      <c r="Y366" s="135"/>
      <c r="Z366" s="135"/>
      <c r="AA366" s="135"/>
      <c r="AB366" s="135"/>
      <c r="AC366" s="135"/>
      <c r="AD366" s="135"/>
      <c r="AE366" s="135"/>
      <c r="AF366" s="135"/>
    </row>
    <row r="367">
      <c r="A367" s="135"/>
      <c r="B367" s="135"/>
      <c r="C367" s="135"/>
      <c r="D367" s="135"/>
      <c r="E367" s="135"/>
      <c r="F367" s="135"/>
      <c r="G367" s="135"/>
      <c r="H367" s="135"/>
      <c r="I367" s="135"/>
      <c r="J367" s="135"/>
      <c r="K367" s="135"/>
      <c r="L367" s="135"/>
      <c r="M367" s="135"/>
      <c r="N367" s="135"/>
      <c r="O367" s="135"/>
      <c r="P367" s="135"/>
      <c r="Q367" s="135"/>
      <c r="R367" s="135"/>
      <c r="S367" s="135"/>
      <c r="T367" s="135"/>
      <c r="U367" s="135"/>
      <c r="V367" s="135"/>
      <c r="W367" s="135"/>
      <c r="X367" s="135"/>
      <c r="Y367" s="135"/>
      <c r="Z367" s="135"/>
      <c r="AA367" s="135"/>
      <c r="AB367" s="135"/>
      <c r="AC367" s="135"/>
      <c r="AD367" s="135"/>
      <c r="AE367" s="135"/>
      <c r="AF367" s="135"/>
    </row>
    <row r="368">
      <c r="A368" s="135"/>
      <c r="B368" s="135"/>
      <c r="C368" s="135"/>
      <c r="D368" s="135"/>
      <c r="E368" s="135"/>
      <c r="F368" s="135"/>
      <c r="G368" s="135"/>
      <c r="H368" s="135"/>
      <c r="I368" s="135"/>
      <c r="J368" s="135"/>
      <c r="K368" s="135"/>
      <c r="L368" s="135"/>
      <c r="M368" s="135"/>
      <c r="N368" s="135"/>
      <c r="O368" s="135"/>
      <c r="P368" s="135"/>
      <c r="Q368" s="135"/>
      <c r="R368" s="135"/>
      <c r="S368" s="135"/>
      <c r="T368" s="135"/>
      <c r="U368" s="135"/>
      <c r="V368" s="135"/>
      <c r="W368" s="135"/>
      <c r="X368" s="135"/>
      <c r="Y368" s="135"/>
      <c r="Z368" s="135"/>
      <c r="AA368" s="135"/>
      <c r="AB368" s="135"/>
      <c r="AC368" s="135"/>
      <c r="AD368" s="135"/>
      <c r="AE368" s="135"/>
      <c r="AF368" s="135"/>
    </row>
    <row r="369">
      <c r="A369" s="135"/>
      <c r="B369" s="135"/>
      <c r="C369" s="135"/>
      <c r="D369" s="135"/>
      <c r="E369" s="135"/>
      <c r="F369" s="135"/>
      <c r="G369" s="135"/>
      <c r="H369" s="135"/>
      <c r="I369" s="135"/>
      <c r="J369" s="135"/>
      <c r="K369" s="135"/>
      <c r="L369" s="135"/>
      <c r="M369" s="135"/>
      <c r="N369" s="135"/>
      <c r="O369" s="135"/>
      <c r="P369" s="135"/>
      <c r="Q369" s="135"/>
      <c r="R369" s="135"/>
      <c r="S369" s="135"/>
      <c r="T369" s="135"/>
      <c r="U369" s="135"/>
      <c r="V369" s="135"/>
      <c r="W369" s="135"/>
      <c r="X369" s="135"/>
      <c r="Y369" s="135"/>
      <c r="Z369" s="135"/>
      <c r="AA369" s="135"/>
      <c r="AB369" s="135"/>
      <c r="AC369" s="135"/>
      <c r="AD369" s="135"/>
      <c r="AE369" s="135"/>
      <c r="AF369" s="135"/>
    </row>
    <row r="370">
      <c r="A370" s="135"/>
      <c r="B370" s="135"/>
      <c r="C370" s="135"/>
      <c r="D370" s="135"/>
      <c r="E370" s="135"/>
      <c r="F370" s="135"/>
      <c r="G370" s="135"/>
      <c r="H370" s="135"/>
      <c r="I370" s="135"/>
      <c r="J370" s="135"/>
      <c r="K370" s="135"/>
      <c r="L370" s="135"/>
      <c r="M370" s="135"/>
      <c r="N370" s="135"/>
      <c r="O370" s="135"/>
      <c r="P370" s="135"/>
      <c r="Q370" s="135"/>
      <c r="R370" s="135"/>
      <c r="S370" s="135"/>
      <c r="T370" s="135"/>
      <c r="U370" s="135"/>
      <c r="V370" s="135"/>
      <c r="W370" s="135"/>
      <c r="X370" s="135"/>
      <c r="Y370" s="135"/>
      <c r="Z370" s="135"/>
      <c r="AA370" s="135"/>
      <c r="AB370" s="135"/>
      <c r="AC370" s="135"/>
      <c r="AD370" s="135"/>
      <c r="AE370" s="135"/>
      <c r="AF370" s="135"/>
    </row>
    <row r="371">
      <c r="A371" s="135"/>
      <c r="B371" s="135"/>
      <c r="C371" s="135"/>
      <c r="D371" s="135"/>
      <c r="E371" s="135"/>
      <c r="F371" s="135"/>
      <c r="G371" s="135"/>
      <c r="H371" s="135"/>
      <c r="I371" s="135"/>
      <c r="J371" s="135"/>
      <c r="K371" s="135"/>
      <c r="L371" s="135"/>
      <c r="M371" s="135"/>
      <c r="N371" s="135"/>
      <c r="O371" s="135"/>
      <c r="P371" s="135"/>
      <c r="Q371" s="135"/>
      <c r="R371" s="135"/>
      <c r="S371" s="135"/>
      <c r="T371" s="135"/>
      <c r="U371" s="135"/>
      <c r="V371" s="135"/>
      <c r="W371" s="135"/>
      <c r="X371" s="135"/>
      <c r="Y371" s="135"/>
      <c r="Z371" s="135"/>
      <c r="AA371" s="135"/>
      <c r="AB371" s="135"/>
      <c r="AC371" s="135"/>
      <c r="AD371" s="135"/>
      <c r="AE371" s="135"/>
      <c r="AF371" s="135"/>
    </row>
    <row r="372">
      <c r="A372" s="135"/>
      <c r="B372" s="135"/>
      <c r="C372" s="135"/>
      <c r="D372" s="135"/>
      <c r="E372" s="135"/>
      <c r="F372" s="135"/>
      <c r="G372" s="135"/>
      <c r="H372" s="135"/>
      <c r="I372" s="135"/>
      <c r="J372" s="135"/>
      <c r="K372" s="135"/>
      <c r="L372" s="135"/>
      <c r="M372" s="135"/>
      <c r="N372" s="135"/>
      <c r="O372" s="135"/>
      <c r="P372" s="135"/>
      <c r="Q372" s="135"/>
      <c r="R372" s="135"/>
      <c r="S372" s="135"/>
      <c r="T372" s="135"/>
      <c r="U372" s="135"/>
      <c r="V372" s="135"/>
      <c r="W372" s="135"/>
      <c r="X372" s="135"/>
      <c r="Y372" s="135"/>
      <c r="Z372" s="135"/>
      <c r="AA372" s="135"/>
      <c r="AB372" s="135"/>
      <c r="AC372" s="135"/>
      <c r="AD372" s="135"/>
      <c r="AE372" s="135"/>
      <c r="AF372" s="135"/>
    </row>
    <row r="373">
      <c r="A373" s="135"/>
      <c r="B373" s="135"/>
      <c r="C373" s="135"/>
      <c r="D373" s="135"/>
      <c r="E373" s="135"/>
      <c r="F373" s="135"/>
      <c r="G373" s="135"/>
      <c r="H373" s="135"/>
      <c r="I373" s="135"/>
      <c r="J373" s="135"/>
      <c r="K373" s="135"/>
      <c r="L373" s="135"/>
      <c r="M373" s="135"/>
      <c r="N373" s="135"/>
      <c r="O373" s="135"/>
      <c r="P373" s="135"/>
      <c r="Q373" s="135"/>
      <c r="R373" s="135"/>
      <c r="S373" s="135"/>
      <c r="T373" s="135"/>
      <c r="U373" s="135"/>
      <c r="V373" s="135"/>
      <c r="W373" s="135"/>
      <c r="X373" s="135"/>
      <c r="Y373" s="135"/>
      <c r="Z373" s="135"/>
      <c r="AA373" s="135"/>
      <c r="AB373" s="135"/>
      <c r="AC373" s="135"/>
      <c r="AD373" s="135"/>
      <c r="AE373" s="135"/>
      <c r="AF373" s="135"/>
    </row>
    <row r="374">
      <c r="A374" s="135"/>
      <c r="B374" s="135"/>
      <c r="C374" s="135"/>
      <c r="D374" s="135"/>
      <c r="E374" s="135"/>
      <c r="F374" s="135"/>
      <c r="G374" s="135"/>
      <c r="H374" s="135"/>
      <c r="I374" s="135"/>
      <c r="J374" s="135"/>
      <c r="K374" s="135"/>
      <c r="L374" s="135"/>
      <c r="M374" s="135"/>
      <c r="N374" s="135"/>
      <c r="O374" s="135"/>
      <c r="P374" s="135"/>
      <c r="Q374" s="135"/>
      <c r="R374" s="135"/>
      <c r="S374" s="135"/>
      <c r="T374" s="135"/>
      <c r="U374" s="135"/>
      <c r="V374" s="135"/>
      <c r="W374" s="135"/>
      <c r="X374" s="135"/>
      <c r="Y374" s="135"/>
      <c r="Z374" s="135"/>
      <c r="AA374" s="135"/>
      <c r="AB374" s="135"/>
      <c r="AC374" s="135"/>
      <c r="AD374" s="135"/>
      <c r="AE374" s="135"/>
      <c r="AF374" s="135"/>
    </row>
    <row r="375">
      <c r="A375" s="135"/>
      <c r="B375" s="135"/>
      <c r="C375" s="135"/>
      <c r="D375" s="135"/>
      <c r="E375" s="135"/>
      <c r="F375" s="135"/>
      <c r="G375" s="135"/>
      <c r="H375" s="135"/>
      <c r="I375" s="135"/>
      <c r="J375" s="135"/>
      <c r="K375" s="135"/>
      <c r="L375" s="135"/>
      <c r="M375" s="135"/>
      <c r="N375" s="135"/>
      <c r="O375" s="135"/>
      <c r="P375" s="135"/>
      <c r="Q375" s="135"/>
      <c r="R375" s="135"/>
      <c r="S375" s="135"/>
      <c r="T375" s="135"/>
      <c r="U375" s="135"/>
      <c r="V375" s="135"/>
      <c r="W375" s="135"/>
      <c r="X375" s="135"/>
      <c r="Y375" s="135"/>
      <c r="Z375" s="135"/>
      <c r="AA375" s="135"/>
      <c r="AB375" s="135"/>
      <c r="AC375" s="135"/>
      <c r="AD375" s="135"/>
      <c r="AE375" s="135"/>
      <c r="AF375" s="135"/>
    </row>
    <row r="376">
      <c r="A376" s="135"/>
      <c r="B376" s="135"/>
      <c r="C376" s="135"/>
      <c r="D376" s="135"/>
      <c r="E376" s="135"/>
      <c r="F376" s="135"/>
      <c r="G376" s="135"/>
      <c r="H376" s="135"/>
      <c r="I376" s="135"/>
      <c r="J376" s="135"/>
      <c r="K376" s="135"/>
      <c r="L376" s="135"/>
      <c r="M376" s="135"/>
      <c r="N376" s="135"/>
      <c r="O376" s="135"/>
      <c r="P376" s="135"/>
      <c r="Q376" s="135"/>
      <c r="R376" s="135"/>
      <c r="S376" s="135"/>
      <c r="T376" s="135"/>
      <c r="U376" s="135"/>
      <c r="V376" s="135"/>
      <c r="W376" s="135"/>
      <c r="X376" s="135"/>
      <c r="Y376" s="135"/>
      <c r="Z376" s="135"/>
      <c r="AA376" s="135"/>
      <c r="AB376" s="135"/>
      <c r="AC376" s="135"/>
      <c r="AD376" s="135"/>
      <c r="AE376" s="135"/>
      <c r="AF376" s="135"/>
    </row>
    <row r="377">
      <c r="A377" s="135"/>
      <c r="B377" s="135"/>
      <c r="C377" s="135"/>
      <c r="D377" s="135"/>
      <c r="E377" s="135"/>
      <c r="F377" s="135"/>
      <c r="G377" s="135"/>
      <c r="H377" s="135"/>
      <c r="I377" s="135"/>
      <c r="J377" s="135"/>
      <c r="K377" s="135"/>
      <c r="L377" s="135"/>
      <c r="M377" s="135"/>
      <c r="N377" s="135"/>
      <c r="O377" s="135"/>
      <c r="P377" s="135"/>
      <c r="Q377" s="135"/>
      <c r="R377" s="135"/>
      <c r="S377" s="135"/>
      <c r="T377" s="135"/>
      <c r="U377" s="135"/>
      <c r="V377" s="135"/>
      <c r="W377" s="135"/>
      <c r="X377" s="135"/>
      <c r="Y377" s="135"/>
      <c r="Z377" s="135"/>
      <c r="AA377" s="135"/>
      <c r="AB377" s="135"/>
      <c r="AC377" s="135"/>
      <c r="AD377" s="135"/>
      <c r="AE377" s="135"/>
      <c r="AF377" s="135"/>
    </row>
    <row r="378">
      <c r="A378" s="135"/>
      <c r="B378" s="135"/>
      <c r="C378" s="135"/>
      <c r="D378" s="135"/>
      <c r="E378" s="135"/>
      <c r="F378" s="135"/>
      <c r="G378" s="135"/>
      <c r="H378" s="135"/>
      <c r="I378" s="135"/>
      <c r="J378" s="135"/>
      <c r="K378" s="135"/>
      <c r="L378" s="135"/>
      <c r="M378" s="135"/>
      <c r="N378" s="135"/>
      <c r="O378" s="135"/>
      <c r="P378" s="135"/>
      <c r="Q378" s="135"/>
      <c r="R378" s="135"/>
      <c r="S378" s="135"/>
      <c r="T378" s="135"/>
      <c r="U378" s="135"/>
      <c r="V378" s="135"/>
      <c r="W378" s="135"/>
      <c r="X378" s="135"/>
      <c r="Y378" s="135"/>
      <c r="Z378" s="135"/>
      <c r="AA378" s="135"/>
      <c r="AB378" s="135"/>
      <c r="AC378" s="135"/>
      <c r="AD378" s="135"/>
      <c r="AE378" s="135"/>
      <c r="AF378" s="135"/>
    </row>
    <row r="379">
      <c r="A379" s="135"/>
      <c r="B379" s="135"/>
      <c r="C379" s="135"/>
      <c r="D379" s="135"/>
      <c r="E379" s="135"/>
      <c r="F379" s="135"/>
      <c r="G379" s="135"/>
      <c r="H379" s="135"/>
      <c r="I379" s="135"/>
      <c r="J379" s="135"/>
      <c r="K379" s="135"/>
      <c r="L379" s="135"/>
      <c r="M379" s="135"/>
      <c r="N379" s="135"/>
      <c r="O379" s="135"/>
      <c r="P379" s="135"/>
      <c r="Q379" s="135"/>
      <c r="R379" s="135"/>
      <c r="S379" s="135"/>
      <c r="T379" s="135"/>
      <c r="U379" s="135"/>
      <c r="V379" s="135"/>
      <c r="W379" s="135"/>
      <c r="X379" s="135"/>
      <c r="Y379" s="135"/>
      <c r="Z379" s="135"/>
      <c r="AA379" s="135"/>
      <c r="AB379" s="135"/>
      <c r="AC379" s="135"/>
      <c r="AD379" s="135"/>
      <c r="AE379" s="135"/>
      <c r="AF379" s="135"/>
    </row>
    <row r="380">
      <c r="A380" s="135"/>
      <c r="B380" s="135"/>
      <c r="C380" s="135"/>
      <c r="D380" s="135"/>
      <c r="E380" s="135"/>
      <c r="F380" s="135"/>
      <c r="G380" s="135"/>
      <c r="H380" s="135"/>
      <c r="I380" s="135"/>
      <c r="J380" s="135"/>
      <c r="K380" s="135"/>
      <c r="L380" s="135"/>
      <c r="M380" s="135"/>
      <c r="N380" s="135"/>
      <c r="O380" s="135"/>
      <c r="P380" s="135"/>
      <c r="Q380" s="135"/>
      <c r="R380" s="135"/>
      <c r="S380" s="135"/>
      <c r="T380" s="135"/>
      <c r="U380" s="135"/>
      <c r="V380" s="135"/>
      <c r="W380" s="135"/>
      <c r="X380" s="135"/>
      <c r="Y380" s="135"/>
      <c r="Z380" s="135"/>
      <c r="AA380" s="135"/>
      <c r="AB380" s="135"/>
      <c r="AC380" s="135"/>
      <c r="AD380" s="135"/>
      <c r="AE380" s="135"/>
      <c r="AF380" s="135"/>
    </row>
    <row r="381">
      <c r="A381" s="135"/>
      <c r="B381" s="135"/>
      <c r="C381" s="135"/>
      <c r="D381" s="135"/>
      <c r="E381" s="135"/>
      <c r="F381" s="135"/>
      <c r="G381" s="135"/>
      <c r="H381" s="135"/>
      <c r="I381" s="135"/>
      <c r="J381" s="135"/>
      <c r="K381" s="135"/>
      <c r="L381" s="135"/>
      <c r="M381" s="135"/>
      <c r="N381" s="135"/>
      <c r="O381" s="135"/>
      <c r="P381" s="135"/>
      <c r="Q381" s="135"/>
      <c r="R381" s="135"/>
      <c r="S381" s="135"/>
      <c r="T381" s="135"/>
      <c r="U381" s="135"/>
      <c r="V381" s="135"/>
      <c r="W381" s="135"/>
      <c r="X381" s="135"/>
      <c r="Y381" s="135"/>
      <c r="Z381" s="135"/>
      <c r="AA381" s="135"/>
      <c r="AB381" s="135"/>
      <c r="AC381" s="135"/>
      <c r="AD381" s="135"/>
      <c r="AE381" s="135"/>
      <c r="AF381" s="135"/>
    </row>
    <row r="382">
      <c r="A382" s="135"/>
      <c r="B382" s="135"/>
      <c r="C382" s="135"/>
      <c r="D382" s="135"/>
      <c r="E382" s="135"/>
      <c r="F382" s="135"/>
      <c r="G382" s="135"/>
      <c r="H382" s="135"/>
      <c r="I382" s="135"/>
      <c r="J382" s="135"/>
      <c r="K382" s="135"/>
      <c r="L382" s="135"/>
      <c r="M382" s="135"/>
      <c r="N382" s="135"/>
      <c r="O382" s="135"/>
      <c r="P382" s="135"/>
      <c r="Q382" s="135"/>
      <c r="R382" s="135"/>
      <c r="S382" s="135"/>
      <c r="T382" s="135"/>
      <c r="U382" s="135"/>
      <c r="V382" s="135"/>
      <c r="W382" s="135"/>
      <c r="X382" s="135"/>
      <c r="Y382" s="135"/>
      <c r="Z382" s="135"/>
      <c r="AA382" s="135"/>
      <c r="AB382" s="135"/>
      <c r="AC382" s="135"/>
      <c r="AD382" s="135"/>
      <c r="AE382" s="135"/>
      <c r="AF382" s="135"/>
    </row>
    <row r="383">
      <c r="A383" s="135"/>
      <c r="B383" s="135"/>
      <c r="C383" s="135"/>
      <c r="D383" s="135"/>
      <c r="E383" s="135"/>
      <c r="F383" s="135"/>
      <c r="G383" s="135"/>
      <c r="H383" s="135"/>
      <c r="I383" s="135"/>
      <c r="J383" s="135"/>
      <c r="K383" s="135"/>
      <c r="L383" s="135"/>
      <c r="M383" s="135"/>
      <c r="N383" s="135"/>
      <c r="O383" s="135"/>
      <c r="P383" s="135"/>
      <c r="Q383" s="135"/>
      <c r="R383" s="135"/>
      <c r="S383" s="135"/>
      <c r="T383" s="135"/>
      <c r="U383" s="135"/>
      <c r="V383" s="135"/>
      <c r="W383" s="135"/>
      <c r="X383" s="135"/>
      <c r="Y383" s="135"/>
      <c r="Z383" s="135"/>
      <c r="AA383" s="135"/>
      <c r="AB383" s="135"/>
      <c r="AC383" s="135"/>
      <c r="AD383" s="135"/>
      <c r="AE383" s="135"/>
      <c r="AF383" s="135"/>
    </row>
    <row r="384">
      <c r="A384" s="135"/>
      <c r="B384" s="135"/>
      <c r="C384" s="135"/>
      <c r="D384" s="135"/>
      <c r="E384" s="135"/>
      <c r="F384" s="135"/>
      <c r="G384" s="135"/>
      <c r="H384" s="135"/>
      <c r="I384" s="135"/>
      <c r="J384" s="135"/>
      <c r="K384" s="135"/>
      <c r="L384" s="135"/>
      <c r="M384" s="135"/>
      <c r="N384" s="135"/>
      <c r="O384" s="135"/>
      <c r="P384" s="135"/>
      <c r="Q384" s="135"/>
      <c r="R384" s="135"/>
      <c r="S384" s="135"/>
      <c r="T384" s="135"/>
      <c r="U384" s="135"/>
      <c r="V384" s="135"/>
      <c r="W384" s="135"/>
      <c r="X384" s="135"/>
      <c r="Y384" s="135"/>
      <c r="Z384" s="135"/>
      <c r="AA384" s="135"/>
      <c r="AB384" s="135"/>
      <c r="AC384" s="135"/>
      <c r="AD384" s="135"/>
      <c r="AE384" s="135"/>
      <c r="AF384" s="135"/>
    </row>
    <row r="385">
      <c r="A385" s="135"/>
      <c r="B385" s="135"/>
      <c r="C385" s="135"/>
      <c r="D385" s="135"/>
      <c r="E385" s="135"/>
      <c r="F385" s="135"/>
      <c r="G385" s="135"/>
      <c r="H385" s="135"/>
      <c r="I385" s="135"/>
      <c r="J385" s="135"/>
      <c r="K385" s="135"/>
      <c r="L385" s="135"/>
      <c r="M385" s="135"/>
      <c r="N385" s="135"/>
      <c r="O385" s="135"/>
      <c r="P385" s="135"/>
      <c r="Q385" s="135"/>
      <c r="R385" s="135"/>
      <c r="S385" s="135"/>
      <c r="T385" s="135"/>
      <c r="U385" s="135"/>
      <c r="V385" s="135"/>
      <c r="W385" s="135"/>
      <c r="X385" s="135"/>
      <c r="Y385" s="135"/>
      <c r="Z385" s="135"/>
      <c r="AA385" s="135"/>
      <c r="AB385" s="135"/>
      <c r="AC385" s="135"/>
      <c r="AD385" s="135"/>
      <c r="AE385" s="135"/>
      <c r="AF385" s="135"/>
    </row>
    <row r="386">
      <c r="A386" s="135"/>
      <c r="B386" s="135"/>
      <c r="C386" s="135"/>
      <c r="D386" s="135"/>
      <c r="E386" s="135"/>
      <c r="F386" s="135"/>
      <c r="G386" s="135"/>
      <c r="H386" s="135"/>
      <c r="I386" s="135"/>
      <c r="J386" s="135"/>
      <c r="K386" s="135"/>
      <c r="L386" s="135"/>
      <c r="M386" s="135"/>
      <c r="N386" s="135"/>
      <c r="O386" s="135"/>
      <c r="P386" s="135"/>
      <c r="Q386" s="135"/>
      <c r="R386" s="135"/>
      <c r="S386" s="135"/>
      <c r="T386" s="135"/>
      <c r="U386" s="135"/>
      <c r="V386" s="135"/>
      <c r="W386" s="135"/>
      <c r="X386" s="135"/>
      <c r="Y386" s="135"/>
      <c r="Z386" s="135"/>
      <c r="AA386" s="135"/>
      <c r="AB386" s="135"/>
      <c r="AC386" s="135"/>
      <c r="AD386" s="135"/>
      <c r="AE386" s="135"/>
      <c r="AF386" s="135"/>
    </row>
    <row r="387">
      <c r="A387" s="135"/>
      <c r="B387" s="135"/>
      <c r="C387" s="135"/>
      <c r="D387" s="135"/>
      <c r="E387" s="135"/>
      <c r="F387" s="135"/>
      <c r="G387" s="135"/>
      <c r="H387" s="135"/>
      <c r="I387" s="135"/>
      <c r="J387" s="135"/>
      <c r="K387" s="135"/>
      <c r="L387" s="135"/>
      <c r="M387" s="135"/>
      <c r="N387" s="135"/>
      <c r="O387" s="135"/>
      <c r="P387" s="135"/>
      <c r="Q387" s="135"/>
      <c r="R387" s="135"/>
      <c r="S387" s="135"/>
      <c r="T387" s="135"/>
      <c r="U387" s="135"/>
      <c r="V387" s="135"/>
      <c r="W387" s="135"/>
      <c r="X387" s="135"/>
      <c r="Y387" s="135"/>
      <c r="Z387" s="135"/>
      <c r="AA387" s="135"/>
      <c r="AB387" s="135"/>
      <c r="AC387" s="135"/>
      <c r="AD387" s="135"/>
      <c r="AE387" s="135"/>
      <c r="AF387" s="135"/>
    </row>
    <row r="388">
      <c r="A388" s="135"/>
      <c r="B388" s="135"/>
      <c r="C388" s="135"/>
      <c r="D388" s="135"/>
      <c r="E388" s="135"/>
      <c r="F388" s="135"/>
      <c r="G388" s="135"/>
      <c r="H388" s="135"/>
      <c r="I388" s="135"/>
      <c r="J388" s="135"/>
      <c r="K388" s="135"/>
      <c r="L388" s="135"/>
      <c r="M388" s="135"/>
      <c r="N388" s="135"/>
      <c r="O388" s="135"/>
      <c r="P388" s="135"/>
      <c r="Q388" s="135"/>
      <c r="R388" s="135"/>
      <c r="S388" s="135"/>
      <c r="T388" s="135"/>
      <c r="U388" s="135"/>
      <c r="V388" s="135"/>
      <c r="W388" s="135"/>
      <c r="X388" s="135"/>
      <c r="Y388" s="135"/>
      <c r="Z388" s="135"/>
      <c r="AA388" s="135"/>
      <c r="AB388" s="135"/>
      <c r="AC388" s="135"/>
      <c r="AD388" s="135"/>
      <c r="AE388" s="135"/>
      <c r="AF388" s="135"/>
    </row>
    <row r="389">
      <c r="A389" s="135"/>
      <c r="B389" s="135"/>
      <c r="C389" s="135"/>
      <c r="D389" s="135"/>
      <c r="E389" s="135"/>
      <c r="F389" s="135"/>
      <c r="G389" s="135"/>
      <c r="H389" s="135"/>
      <c r="I389" s="135"/>
      <c r="J389" s="135"/>
      <c r="K389" s="135"/>
      <c r="L389" s="135"/>
      <c r="M389" s="135"/>
      <c r="N389" s="135"/>
      <c r="O389" s="135"/>
      <c r="P389" s="135"/>
      <c r="Q389" s="135"/>
      <c r="R389" s="135"/>
      <c r="S389" s="135"/>
      <c r="T389" s="135"/>
      <c r="U389" s="135"/>
      <c r="V389" s="135"/>
      <c r="W389" s="135"/>
      <c r="X389" s="135"/>
      <c r="Y389" s="135"/>
      <c r="Z389" s="135"/>
      <c r="AA389" s="135"/>
      <c r="AB389" s="135"/>
      <c r="AC389" s="135"/>
      <c r="AD389" s="135"/>
      <c r="AE389" s="135"/>
      <c r="AF389" s="135"/>
    </row>
    <row r="390">
      <c r="A390" s="135"/>
      <c r="B390" s="135"/>
      <c r="C390" s="135"/>
      <c r="D390" s="135"/>
      <c r="E390" s="135"/>
      <c r="F390" s="135"/>
      <c r="G390" s="135"/>
      <c r="H390" s="135"/>
      <c r="I390" s="135"/>
      <c r="J390" s="135"/>
      <c r="K390" s="135"/>
      <c r="L390" s="135"/>
      <c r="M390" s="135"/>
      <c r="N390" s="135"/>
      <c r="O390" s="135"/>
      <c r="P390" s="135"/>
      <c r="Q390" s="135"/>
      <c r="R390" s="135"/>
      <c r="S390" s="135"/>
      <c r="T390" s="135"/>
      <c r="U390" s="135"/>
      <c r="V390" s="135"/>
      <c r="W390" s="135"/>
      <c r="X390" s="135"/>
      <c r="Y390" s="135"/>
      <c r="Z390" s="135"/>
      <c r="AA390" s="135"/>
      <c r="AB390" s="135"/>
      <c r="AC390" s="135"/>
      <c r="AD390" s="135"/>
      <c r="AE390" s="135"/>
      <c r="AF390" s="135"/>
    </row>
    <row r="391">
      <c r="A391" s="135"/>
      <c r="B391" s="135"/>
      <c r="C391" s="135"/>
      <c r="D391" s="135"/>
      <c r="E391" s="135"/>
      <c r="F391" s="135"/>
      <c r="G391" s="135"/>
      <c r="H391" s="135"/>
      <c r="I391" s="135"/>
      <c r="J391" s="135"/>
      <c r="K391" s="135"/>
      <c r="L391" s="135"/>
      <c r="M391" s="135"/>
      <c r="N391" s="135"/>
      <c r="O391" s="135"/>
      <c r="P391" s="135"/>
      <c r="Q391" s="135"/>
      <c r="R391" s="135"/>
      <c r="S391" s="135"/>
      <c r="T391" s="135"/>
      <c r="U391" s="135"/>
      <c r="V391" s="135"/>
      <c r="W391" s="135"/>
      <c r="X391" s="135"/>
      <c r="Y391" s="135"/>
      <c r="Z391" s="135"/>
      <c r="AA391" s="135"/>
      <c r="AB391" s="135"/>
      <c r="AC391" s="135"/>
      <c r="AD391" s="135"/>
      <c r="AE391" s="135"/>
      <c r="AF391" s="135"/>
    </row>
    <row r="392">
      <c r="A392" s="135"/>
      <c r="B392" s="135"/>
      <c r="C392" s="135"/>
      <c r="D392" s="135"/>
      <c r="E392" s="135"/>
      <c r="F392" s="135"/>
      <c r="G392" s="135"/>
      <c r="H392" s="135"/>
      <c r="I392" s="135"/>
      <c r="J392" s="135"/>
      <c r="K392" s="135"/>
      <c r="L392" s="135"/>
      <c r="M392" s="135"/>
      <c r="N392" s="135"/>
      <c r="O392" s="135"/>
      <c r="P392" s="135"/>
      <c r="Q392" s="135"/>
      <c r="R392" s="135"/>
      <c r="S392" s="135"/>
      <c r="T392" s="135"/>
      <c r="U392" s="135"/>
      <c r="V392" s="135"/>
      <c r="W392" s="135"/>
      <c r="X392" s="135"/>
      <c r="Y392" s="135"/>
      <c r="Z392" s="135"/>
      <c r="AA392" s="135"/>
      <c r="AB392" s="135"/>
      <c r="AC392" s="135"/>
      <c r="AD392" s="135"/>
      <c r="AE392" s="135"/>
      <c r="AF392" s="135"/>
    </row>
    <row r="393">
      <c r="A393" s="135"/>
      <c r="B393" s="135"/>
      <c r="C393" s="135"/>
      <c r="D393" s="135"/>
      <c r="E393" s="135"/>
      <c r="F393" s="135"/>
      <c r="G393" s="135"/>
      <c r="H393" s="135"/>
      <c r="I393" s="135"/>
      <c r="J393" s="135"/>
      <c r="K393" s="135"/>
      <c r="L393" s="135"/>
      <c r="M393" s="135"/>
      <c r="N393" s="135"/>
      <c r="O393" s="135"/>
      <c r="P393" s="135"/>
      <c r="Q393" s="135"/>
      <c r="R393" s="135"/>
      <c r="S393" s="135"/>
      <c r="T393" s="135"/>
      <c r="U393" s="135"/>
      <c r="V393" s="135"/>
      <c r="W393" s="135"/>
      <c r="X393" s="135"/>
      <c r="Y393" s="135"/>
      <c r="Z393" s="135"/>
      <c r="AA393" s="135"/>
      <c r="AB393" s="135"/>
      <c r="AC393" s="135"/>
      <c r="AD393" s="135"/>
      <c r="AE393" s="135"/>
      <c r="AF393" s="135"/>
    </row>
    <row r="394">
      <c r="A394" s="135"/>
      <c r="B394" s="135"/>
      <c r="C394" s="135"/>
      <c r="D394" s="135"/>
      <c r="E394" s="135"/>
      <c r="F394" s="135"/>
      <c r="G394" s="135"/>
      <c r="H394" s="135"/>
      <c r="I394" s="135"/>
      <c r="J394" s="135"/>
      <c r="K394" s="135"/>
      <c r="L394" s="135"/>
      <c r="M394" s="135"/>
      <c r="N394" s="135"/>
      <c r="O394" s="135"/>
      <c r="P394" s="135"/>
      <c r="Q394" s="135"/>
      <c r="R394" s="135"/>
      <c r="S394" s="135"/>
      <c r="T394" s="135"/>
      <c r="U394" s="135"/>
      <c r="V394" s="135"/>
      <c r="W394" s="135"/>
      <c r="X394" s="135"/>
      <c r="Y394" s="135"/>
      <c r="Z394" s="135"/>
      <c r="AA394" s="135"/>
      <c r="AB394" s="135"/>
      <c r="AC394" s="135"/>
      <c r="AD394" s="135"/>
      <c r="AE394" s="135"/>
      <c r="AF394" s="135"/>
    </row>
    <row r="395">
      <c r="A395" s="135"/>
      <c r="B395" s="135"/>
      <c r="C395" s="135"/>
      <c r="D395" s="135"/>
      <c r="E395" s="135"/>
      <c r="F395" s="135"/>
      <c r="G395" s="135"/>
      <c r="H395" s="135"/>
      <c r="I395" s="135"/>
      <c r="J395" s="135"/>
      <c r="K395" s="135"/>
      <c r="L395" s="135"/>
      <c r="M395" s="135"/>
      <c r="N395" s="135"/>
      <c r="O395" s="135"/>
      <c r="P395" s="135"/>
      <c r="Q395" s="135"/>
      <c r="R395" s="135"/>
      <c r="S395" s="135"/>
      <c r="T395" s="135"/>
      <c r="U395" s="135"/>
      <c r="V395" s="135"/>
      <c r="W395" s="135"/>
      <c r="X395" s="135"/>
      <c r="Y395" s="135"/>
      <c r="Z395" s="135"/>
      <c r="AA395" s="135"/>
      <c r="AB395" s="135"/>
      <c r="AC395" s="135"/>
      <c r="AD395" s="135"/>
      <c r="AE395" s="135"/>
      <c r="AF395" s="135"/>
    </row>
    <row r="396">
      <c r="A396" s="135"/>
      <c r="B396" s="135"/>
      <c r="C396" s="135"/>
      <c r="D396" s="135"/>
      <c r="E396" s="135"/>
      <c r="F396" s="135"/>
      <c r="G396" s="135"/>
      <c r="H396" s="135"/>
      <c r="I396" s="135"/>
      <c r="J396" s="135"/>
      <c r="K396" s="135"/>
      <c r="L396" s="135"/>
      <c r="M396" s="135"/>
      <c r="N396" s="135"/>
      <c r="O396" s="135"/>
      <c r="P396" s="135"/>
      <c r="Q396" s="135"/>
      <c r="R396" s="135"/>
      <c r="S396" s="135"/>
      <c r="T396" s="135"/>
      <c r="U396" s="135"/>
      <c r="V396" s="135"/>
      <c r="W396" s="135"/>
      <c r="X396" s="135"/>
      <c r="Y396" s="135"/>
      <c r="Z396" s="135"/>
      <c r="AA396" s="135"/>
      <c r="AB396" s="135"/>
      <c r="AC396" s="135"/>
      <c r="AD396" s="135"/>
      <c r="AE396" s="135"/>
      <c r="AF396" s="135"/>
    </row>
    <row r="397">
      <c r="A397" s="135"/>
      <c r="B397" s="135"/>
      <c r="C397" s="135"/>
      <c r="D397" s="135"/>
      <c r="E397" s="135"/>
      <c r="F397" s="135"/>
      <c r="G397" s="135"/>
      <c r="H397" s="135"/>
      <c r="I397" s="135"/>
      <c r="J397" s="135"/>
      <c r="K397" s="135"/>
      <c r="L397" s="135"/>
      <c r="M397" s="135"/>
      <c r="N397" s="135"/>
      <c r="O397" s="135"/>
      <c r="P397" s="135"/>
      <c r="Q397" s="135"/>
      <c r="R397" s="135"/>
      <c r="S397" s="135"/>
      <c r="T397" s="135"/>
      <c r="U397" s="135"/>
      <c r="V397" s="135"/>
      <c r="W397" s="135"/>
      <c r="X397" s="135"/>
      <c r="Y397" s="135"/>
      <c r="Z397" s="135"/>
      <c r="AA397" s="135"/>
      <c r="AB397" s="135"/>
      <c r="AC397" s="135"/>
      <c r="AD397" s="135"/>
      <c r="AE397" s="135"/>
      <c r="AF397" s="135"/>
    </row>
    <row r="398">
      <c r="A398" s="135"/>
      <c r="B398" s="135"/>
      <c r="C398" s="135"/>
      <c r="D398" s="135"/>
      <c r="E398" s="135"/>
      <c r="F398" s="135"/>
      <c r="G398" s="135"/>
      <c r="H398" s="135"/>
      <c r="I398" s="135"/>
      <c r="J398" s="135"/>
      <c r="K398" s="135"/>
      <c r="L398" s="135"/>
      <c r="M398" s="135"/>
      <c r="N398" s="135"/>
      <c r="O398" s="135"/>
      <c r="P398" s="135"/>
      <c r="Q398" s="135"/>
      <c r="R398" s="135"/>
      <c r="S398" s="135"/>
      <c r="T398" s="135"/>
      <c r="U398" s="135"/>
      <c r="V398" s="135"/>
      <c r="W398" s="135"/>
      <c r="X398" s="135"/>
      <c r="Y398" s="135"/>
      <c r="Z398" s="135"/>
      <c r="AA398" s="135"/>
      <c r="AB398" s="135"/>
      <c r="AC398" s="135"/>
      <c r="AD398" s="135"/>
      <c r="AE398" s="135"/>
      <c r="AF398" s="135"/>
    </row>
    <row r="399">
      <c r="A399" s="135"/>
      <c r="B399" s="135"/>
      <c r="C399" s="135"/>
      <c r="D399" s="135"/>
      <c r="E399" s="135"/>
      <c r="F399" s="135"/>
      <c r="G399" s="135"/>
      <c r="H399" s="135"/>
      <c r="I399" s="135"/>
      <c r="J399" s="135"/>
      <c r="K399" s="135"/>
      <c r="L399" s="135"/>
      <c r="M399" s="135"/>
      <c r="N399" s="135"/>
      <c r="O399" s="135"/>
      <c r="P399" s="135"/>
      <c r="Q399" s="135"/>
      <c r="R399" s="135"/>
      <c r="S399" s="135"/>
      <c r="T399" s="135"/>
      <c r="U399" s="135"/>
      <c r="V399" s="135"/>
      <c r="W399" s="135"/>
      <c r="X399" s="135"/>
      <c r="Y399" s="135"/>
      <c r="Z399" s="135"/>
      <c r="AA399" s="135"/>
      <c r="AB399" s="135"/>
      <c r="AC399" s="135"/>
      <c r="AD399" s="135"/>
      <c r="AE399" s="135"/>
      <c r="AF399" s="135"/>
    </row>
    <row r="400">
      <c r="A400" s="135"/>
      <c r="B400" s="135"/>
      <c r="C400" s="135"/>
      <c r="D400" s="135"/>
      <c r="E400" s="135"/>
      <c r="F400" s="135"/>
      <c r="G400" s="135"/>
      <c r="H400" s="135"/>
      <c r="I400" s="135"/>
      <c r="J400" s="135"/>
      <c r="K400" s="135"/>
      <c r="L400" s="135"/>
      <c r="M400" s="135"/>
      <c r="N400" s="135"/>
      <c r="O400" s="135"/>
      <c r="P400" s="135"/>
      <c r="Q400" s="135"/>
      <c r="R400" s="135"/>
      <c r="S400" s="135"/>
      <c r="T400" s="135"/>
      <c r="U400" s="135"/>
      <c r="V400" s="135"/>
      <c r="W400" s="135"/>
      <c r="X400" s="135"/>
      <c r="Y400" s="135"/>
      <c r="Z400" s="135"/>
      <c r="AA400" s="135"/>
      <c r="AB400" s="135"/>
      <c r="AC400" s="135"/>
      <c r="AD400" s="135"/>
      <c r="AE400" s="135"/>
      <c r="AF400" s="135"/>
    </row>
    <row r="401">
      <c r="A401" s="135"/>
      <c r="B401" s="135"/>
      <c r="C401" s="135"/>
      <c r="D401" s="135"/>
      <c r="E401" s="135"/>
      <c r="F401" s="135"/>
      <c r="G401" s="135"/>
      <c r="H401" s="135"/>
      <c r="I401" s="135"/>
      <c r="J401" s="135"/>
      <c r="K401" s="135"/>
      <c r="L401" s="135"/>
      <c r="M401" s="135"/>
      <c r="N401" s="135"/>
      <c r="O401" s="135"/>
      <c r="P401" s="135"/>
      <c r="Q401" s="135"/>
      <c r="R401" s="135"/>
      <c r="S401" s="135"/>
      <c r="T401" s="135"/>
      <c r="U401" s="135"/>
      <c r="V401" s="135"/>
      <c r="W401" s="135"/>
      <c r="X401" s="135"/>
      <c r="Y401" s="135"/>
      <c r="Z401" s="135"/>
      <c r="AA401" s="135"/>
      <c r="AB401" s="135"/>
      <c r="AC401" s="135"/>
      <c r="AD401" s="135"/>
      <c r="AE401" s="135"/>
      <c r="AF401" s="135"/>
    </row>
    <row r="402">
      <c r="A402" s="135"/>
      <c r="B402" s="135"/>
      <c r="C402" s="135"/>
      <c r="D402" s="135"/>
      <c r="E402" s="135"/>
      <c r="F402" s="135"/>
      <c r="G402" s="135"/>
      <c r="H402" s="135"/>
      <c r="I402" s="135"/>
      <c r="J402" s="135"/>
      <c r="K402" s="135"/>
      <c r="L402" s="135"/>
      <c r="M402" s="135"/>
      <c r="N402" s="135"/>
      <c r="O402" s="135"/>
      <c r="P402" s="135"/>
      <c r="Q402" s="135"/>
      <c r="R402" s="135"/>
      <c r="S402" s="135"/>
      <c r="T402" s="135"/>
      <c r="U402" s="135"/>
      <c r="V402" s="135"/>
      <c r="W402" s="135"/>
      <c r="X402" s="135"/>
      <c r="Y402" s="135"/>
      <c r="Z402" s="135"/>
      <c r="AA402" s="135"/>
      <c r="AB402" s="135"/>
      <c r="AC402" s="135"/>
      <c r="AD402" s="135"/>
      <c r="AE402" s="135"/>
      <c r="AF402" s="135"/>
    </row>
    <row r="403">
      <c r="A403" s="135"/>
      <c r="B403" s="135"/>
      <c r="C403" s="135"/>
      <c r="D403" s="135"/>
      <c r="E403" s="135"/>
      <c r="F403" s="135"/>
      <c r="G403" s="135"/>
      <c r="H403" s="135"/>
      <c r="I403" s="135"/>
      <c r="J403" s="135"/>
      <c r="K403" s="135"/>
      <c r="L403" s="135"/>
      <c r="M403" s="135"/>
      <c r="N403" s="135"/>
      <c r="O403" s="135"/>
      <c r="P403" s="135"/>
      <c r="Q403" s="135"/>
      <c r="R403" s="135"/>
      <c r="S403" s="135"/>
      <c r="T403" s="135"/>
      <c r="U403" s="135"/>
      <c r="V403" s="135"/>
      <c r="W403" s="135"/>
      <c r="X403" s="135"/>
      <c r="Y403" s="135"/>
      <c r="Z403" s="135"/>
      <c r="AA403" s="135"/>
      <c r="AB403" s="135"/>
      <c r="AC403" s="135"/>
      <c r="AD403" s="135"/>
      <c r="AE403" s="135"/>
      <c r="AF403" s="135"/>
    </row>
    <row r="404">
      <c r="A404" s="135"/>
      <c r="B404" s="135"/>
      <c r="C404" s="135"/>
      <c r="D404" s="135"/>
      <c r="E404" s="135"/>
      <c r="F404" s="135"/>
      <c r="G404" s="135"/>
      <c r="H404" s="135"/>
      <c r="I404" s="135"/>
      <c r="J404" s="135"/>
      <c r="K404" s="135"/>
      <c r="L404" s="135"/>
      <c r="M404" s="135"/>
      <c r="N404" s="135"/>
      <c r="O404" s="135"/>
      <c r="P404" s="135"/>
      <c r="Q404" s="135"/>
      <c r="R404" s="135"/>
      <c r="S404" s="135"/>
      <c r="T404" s="135"/>
      <c r="U404" s="135"/>
      <c r="V404" s="135"/>
      <c r="W404" s="135"/>
      <c r="X404" s="135"/>
      <c r="Y404" s="135"/>
      <c r="Z404" s="135"/>
      <c r="AA404" s="135"/>
      <c r="AB404" s="135"/>
      <c r="AC404" s="135"/>
      <c r="AD404" s="135"/>
      <c r="AE404" s="135"/>
      <c r="AF404" s="135"/>
    </row>
    <row r="405">
      <c r="A405" s="135"/>
      <c r="B405" s="135"/>
      <c r="C405" s="135"/>
      <c r="D405" s="135"/>
      <c r="E405" s="135"/>
      <c r="F405" s="135"/>
      <c r="G405" s="135"/>
      <c r="H405" s="135"/>
      <c r="I405" s="135"/>
      <c r="J405" s="135"/>
      <c r="K405" s="135"/>
      <c r="L405" s="135"/>
      <c r="M405" s="135"/>
      <c r="N405" s="135"/>
      <c r="O405" s="135"/>
      <c r="P405" s="135"/>
      <c r="Q405" s="135"/>
      <c r="R405" s="135"/>
      <c r="S405" s="135"/>
      <c r="T405" s="135"/>
      <c r="U405" s="135"/>
      <c r="V405" s="135"/>
      <c r="W405" s="135"/>
      <c r="X405" s="135"/>
      <c r="Y405" s="135"/>
      <c r="Z405" s="135"/>
      <c r="AA405" s="135"/>
      <c r="AB405" s="135"/>
      <c r="AC405" s="135"/>
      <c r="AD405" s="135"/>
      <c r="AE405" s="135"/>
      <c r="AF405" s="135"/>
    </row>
    <row r="406">
      <c r="A406" s="135"/>
      <c r="B406" s="135"/>
      <c r="C406" s="135"/>
      <c r="D406" s="135"/>
      <c r="E406" s="135"/>
      <c r="F406" s="135"/>
      <c r="G406" s="135"/>
      <c r="H406" s="135"/>
      <c r="I406" s="135"/>
      <c r="J406" s="135"/>
      <c r="K406" s="135"/>
      <c r="L406" s="135"/>
      <c r="M406" s="135"/>
      <c r="N406" s="135"/>
      <c r="O406" s="135"/>
      <c r="P406" s="135"/>
      <c r="Q406" s="135"/>
      <c r="R406" s="135"/>
      <c r="S406" s="135"/>
      <c r="T406" s="135"/>
      <c r="U406" s="135"/>
      <c r="V406" s="135"/>
      <c r="W406" s="135"/>
      <c r="X406" s="135"/>
      <c r="Y406" s="135"/>
      <c r="Z406" s="135"/>
      <c r="AA406" s="135"/>
      <c r="AB406" s="135"/>
      <c r="AC406" s="135"/>
      <c r="AD406" s="135"/>
      <c r="AE406" s="135"/>
      <c r="AF406" s="135"/>
    </row>
    <row r="407">
      <c r="A407" s="135"/>
      <c r="B407" s="135"/>
      <c r="C407" s="135"/>
      <c r="D407" s="135"/>
      <c r="E407" s="135"/>
      <c r="F407" s="135"/>
      <c r="G407" s="135"/>
      <c r="H407" s="135"/>
      <c r="I407" s="135"/>
      <c r="J407" s="135"/>
      <c r="K407" s="135"/>
      <c r="L407" s="135"/>
      <c r="M407" s="135"/>
      <c r="N407" s="135"/>
      <c r="O407" s="135"/>
      <c r="P407" s="135"/>
      <c r="Q407" s="135"/>
      <c r="R407" s="135"/>
      <c r="S407" s="135"/>
      <c r="T407" s="135"/>
      <c r="U407" s="135"/>
      <c r="V407" s="135"/>
      <c r="W407" s="135"/>
      <c r="X407" s="135"/>
      <c r="Y407" s="135"/>
      <c r="Z407" s="135"/>
      <c r="AA407" s="135"/>
      <c r="AB407" s="135"/>
      <c r="AC407" s="135"/>
      <c r="AD407" s="135"/>
      <c r="AE407" s="135"/>
      <c r="AF407" s="135"/>
    </row>
    <row r="408">
      <c r="A408" s="135"/>
      <c r="B408" s="135"/>
      <c r="C408" s="135"/>
      <c r="D408" s="135"/>
      <c r="E408" s="135"/>
      <c r="F408" s="135"/>
      <c r="G408" s="135"/>
      <c r="H408" s="135"/>
      <c r="I408" s="135"/>
      <c r="J408" s="135"/>
      <c r="K408" s="135"/>
      <c r="L408" s="135"/>
      <c r="M408" s="135"/>
      <c r="N408" s="135"/>
      <c r="O408" s="135"/>
      <c r="P408" s="135"/>
      <c r="Q408" s="135"/>
      <c r="R408" s="135"/>
      <c r="S408" s="135"/>
      <c r="T408" s="135"/>
      <c r="U408" s="135"/>
      <c r="V408" s="135"/>
      <c r="W408" s="135"/>
      <c r="X408" s="135"/>
      <c r="Y408" s="135"/>
      <c r="Z408" s="135"/>
      <c r="AA408" s="135"/>
      <c r="AB408" s="135"/>
      <c r="AC408" s="135"/>
      <c r="AD408" s="135"/>
      <c r="AE408" s="135"/>
      <c r="AF408" s="135"/>
    </row>
    <row r="409">
      <c r="A409" s="135"/>
      <c r="B409" s="135"/>
      <c r="C409" s="135"/>
      <c r="D409" s="135"/>
      <c r="E409" s="135"/>
      <c r="F409" s="135"/>
      <c r="G409" s="135"/>
      <c r="H409" s="135"/>
      <c r="I409" s="135"/>
      <c r="J409" s="135"/>
      <c r="K409" s="135"/>
      <c r="L409" s="135"/>
      <c r="M409" s="135"/>
      <c r="N409" s="135"/>
      <c r="O409" s="135"/>
      <c r="P409" s="135"/>
      <c r="Q409" s="135"/>
      <c r="R409" s="135"/>
      <c r="S409" s="135"/>
      <c r="T409" s="135"/>
      <c r="U409" s="135"/>
      <c r="V409" s="135"/>
      <c r="W409" s="135"/>
      <c r="X409" s="135"/>
      <c r="Y409" s="135"/>
      <c r="Z409" s="135"/>
      <c r="AA409" s="135"/>
      <c r="AB409" s="135"/>
      <c r="AC409" s="135"/>
      <c r="AD409" s="135"/>
      <c r="AE409" s="135"/>
      <c r="AF409" s="135"/>
    </row>
    <row r="410">
      <c r="A410" s="135"/>
      <c r="B410" s="135"/>
      <c r="C410" s="135"/>
      <c r="D410" s="135"/>
      <c r="E410" s="135"/>
      <c r="F410" s="135"/>
      <c r="G410" s="135"/>
      <c r="H410" s="135"/>
      <c r="I410" s="135"/>
      <c r="J410" s="135"/>
      <c r="K410" s="135"/>
      <c r="L410" s="135"/>
      <c r="M410" s="135"/>
      <c r="N410" s="135"/>
      <c r="O410" s="135"/>
      <c r="P410" s="135"/>
      <c r="Q410" s="135"/>
      <c r="R410" s="135"/>
      <c r="S410" s="135"/>
      <c r="T410" s="135"/>
      <c r="U410" s="135"/>
      <c r="V410" s="135"/>
      <c r="W410" s="135"/>
      <c r="X410" s="135"/>
      <c r="Y410" s="135"/>
      <c r="Z410" s="135"/>
      <c r="AA410" s="135"/>
      <c r="AB410" s="135"/>
      <c r="AC410" s="135"/>
      <c r="AD410" s="135"/>
      <c r="AE410" s="135"/>
      <c r="AF410" s="135"/>
    </row>
    <row r="411">
      <c r="A411" s="135"/>
      <c r="B411" s="135"/>
      <c r="C411" s="135"/>
      <c r="D411" s="135"/>
      <c r="E411" s="135"/>
      <c r="F411" s="135"/>
      <c r="G411" s="135"/>
      <c r="H411" s="135"/>
      <c r="I411" s="135"/>
      <c r="J411" s="135"/>
      <c r="K411" s="135"/>
      <c r="L411" s="135"/>
      <c r="M411" s="135"/>
      <c r="N411" s="135"/>
      <c r="O411" s="135"/>
      <c r="P411" s="135"/>
      <c r="Q411" s="135"/>
      <c r="R411" s="135"/>
      <c r="S411" s="135"/>
      <c r="T411" s="135"/>
      <c r="U411" s="135"/>
      <c r="V411" s="135"/>
      <c r="W411" s="135"/>
      <c r="X411" s="135"/>
      <c r="Y411" s="135"/>
      <c r="Z411" s="135"/>
      <c r="AA411" s="135"/>
      <c r="AB411" s="135"/>
      <c r="AC411" s="135"/>
      <c r="AD411" s="135"/>
      <c r="AE411" s="135"/>
      <c r="AF411" s="135"/>
    </row>
    <row r="412">
      <c r="A412" s="135"/>
      <c r="B412" s="135"/>
      <c r="C412" s="135"/>
      <c r="D412" s="135"/>
      <c r="E412" s="135"/>
      <c r="F412" s="135"/>
      <c r="G412" s="135"/>
      <c r="H412" s="135"/>
      <c r="I412" s="135"/>
      <c r="J412" s="135"/>
      <c r="K412" s="135"/>
      <c r="L412" s="135"/>
      <c r="M412" s="135"/>
      <c r="N412" s="135"/>
      <c r="O412" s="135"/>
      <c r="P412" s="135"/>
      <c r="Q412" s="135"/>
      <c r="R412" s="135"/>
      <c r="S412" s="135"/>
      <c r="T412" s="135"/>
      <c r="U412" s="135"/>
      <c r="V412" s="135"/>
      <c r="W412" s="135"/>
      <c r="X412" s="135"/>
      <c r="Y412" s="135"/>
      <c r="Z412" s="135"/>
      <c r="AA412" s="135"/>
      <c r="AB412" s="135"/>
      <c r="AC412" s="135"/>
      <c r="AD412" s="135"/>
      <c r="AE412" s="135"/>
      <c r="AF412" s="135"/>
    </row>
    <row r="413">
      <c r="A413" s="135"/>
      <c r="B413" s="135"/>
      <c r="C413" s="135"/>
      <c r="D413" s="135"/>
      <c r="E413" s="135"/>
      <c r="F413" s="135"/>
      <c r="G413" s="135"/>
      <c r="H413" s="135"/>
      <c r="I413" s="135"/>
      <c r="J413" s="135"/>
      <c r="K413" s="135"/>
      <c r="L413" s="135"/>
      <c r="M413" s="135"/>
      <c r="N413" s="135"/>
      <c r="O413" s="135"/>
      <c r="P413" s="135"/>
      <c r="Q413" s="135"/>
      <c r="R413" s="135"/>
      <c r="S413" s="135"/>
      <c r="T413" s="135"/>
      <c r="U413" s="135"/>
      <c r="V413" s="135"/>
      <c r="W413" s="135"/>
      <c r="X413" s="135"/>
      <c r="Y413" s="135"/>
      <c r="Z413" s="135"/>
      <c r="AA413" s="135"/>
      <c r="AB413" s="135"/>
      <c r="AC413" s="135"/>
      <c r="AD413" s="135"/>
      <c r="AE413" s="135"/>
      <c r="AF413" s="135"/>
    </row>
    <row r="414">
      <c r="A414" s="135"/>
      <c r="B414" s="135"/>
      <c r="C414" s="135"/>
      <c r="D414" s="135"/>
      <c r="E414" s="135"/>
      <c r="F414" s="135"/>
      <c r="G414" s="135"/>
      <c r="H414" s="135"/>
      <c r="I414" s="135"/>
      <c r="J414" s="135"/>
      <c r="K414" s="135"/>
      <c r="L414" s="135"/>
      <c r="M414" s="135"/>
      <c r="N414" s="135"/>
      <c r="O414" s="135"/>
      <c r="P414" s="135"/>
      <c r="Q414" s="135"/>
      <c r="R414" s="135"/>
      <c r="S414" s="135"/>
      <c r="T414" s="135"/>
      <c r="U414" s="135"/>
      <c r="V414" s="135"/>
      <c r="W414" s="135"/>
      <c r="X414" s="135"/>
      <c r="Y414" s="135"/>
      <c r="Z414" s="135"/>
      <c r="AA414" s="135"/>
      <c r="AB414" s="135"/>
      <c r="AC414" s="135"/>
      <c r="AD414" s="135"/>
      <c r="AE414" s="135"/>
      <c r="AF414" s="135"/>
    </row>
    <row r="415">
      <c r="A415" s="135"/>
      <c r="B415" s="135"/>
      <c r="C415" s="135"/>
      <c r="D415" s="135"/>
      <c r="E415" s="135"/>
      <c r="F415" s="135"/>
      <c r="G415" s="135"/>
      <c r="H415" s="135"/>
      <c r="I415" s="135"/>
      <c r="J415" s="135"/>
      <c r="K415" s="135"/>
      <c r="L415" s="135"/>
      <c r="M415" s="135"/>
      <c r="N415" s="135"/>
      <c r="O415" s="135"/>
      <c r="P415" s="135"/>
      <c r="Q415" s="135"/>
      <c r="R415" s="135"/>
      <c r="S415" s="135"/>
      <c r="T415" s="135"/>
      <c r="U415" s="135"/>
      <c r="V415" s="135"/>
      <c r="W415" s="135"/>
      <c r="X415" s="135"/>
      <c r="Y415" s="135"/>
      <c r="Z415" s="135"/>
      <c r="AA415" s="135"/>
      <c r="AB415" s="135"/>
      <c r="AC415" s="135"/>
      <c r="AD415" s="135"/>
      <c r="AE415" s="135"/>
      <c r="AF415" s="135"/>
    </row>
    <row r="416">
      <c r="A416" s="135"/>
      <c r="B416" s="135"/>
      <c r="C416" s="135"/>
      <c r="D416" s="135"/>
      <c r="E416" s="135"/>
      <c r="F416" s="135"/>
      <c r="G416" s="135"/>
      <c r="H416" s="135"/>
      <c r="I416" s="135"/>
      <c r="J416" s="135"/>
      <c r="K416" s="135"/>
      <c r="L416" s="135"/>
      <c r="M416" s="135"/>
      <c r="N416" s="135"/>
      <c r="O416" s="135"/>
      <c r="P416" s="135"/>
      <c r="Q416" s="135"/>
      <c r="R416" s="135"/>
      <c r="S416" s="135"/>
      <c r="T416" s="135"/>
      <c r="U416" s="135"/>
      <c r="V416" s="135"/>
      <c r="W416" s="135"/>
      <c r="X416" s="135"/>
      <c r="Y416" s="135"/>
      <c r="Z416" s="135"/>
      <c r="AA416" s="135"/>
      <c r="AB416" s="135"/>
      <c r="AC416" s="135"/>
      <c r="AD416" s="135"/>
      <c r="AE416" s="135"/>
      <c r="AF416" s="135"/>
    </row>
    <row r="417">
      <c r="A417" s="135"/>
      <c r="B417" s="135"/>
      <c r="C417" s="135"/>
      <c r="D417" s="135"/>
      <c r="E417" s="135"/>
      <c r="F417" s="135"/>
      <c r="G417" s="135"/>
      <c r="H417" s="135"/>
      <c r="I417" s="135"/>
      <c r="J417" s="135"/>
      <c r="K417" s="135"/>
      <c r="L417" s="135"/>
      <c r="M417" s="135"/>
      <c r="N417" s="135"/>
      <c r="O417" s="135"/>
      <c r="P417" s="135"/>
      <c r="Q417" s="135"/>
      <c r="R417" s="135"/>
      <c r="S417" s="135"/>
      <c r="T417" s="135"/>
      <c r="U417" s="135"/>
      <c r="V417" s="135"/>
      <c r="W417" s="135"/>
      <c r="X417" s="135"/>
      <c r="Y417" s="135"/>
      <c r="Z417" s="135"/>
      <c r="AA417" s="135"/>
      <c r="AB417" s="135"/>
      <c r="AC417" s="135"/>
      <c r="AD417" s="135"/>
      <c r="AE417" s="135"/>
      <c r="AF417" s="135"/>
    </row>
    <row r="418">
      <c r="A418" s="135"/>
      <c r="B418" s="135"/>
      <c r="C418" s="135"/>
      <c r="D418" s="135"/>
      <c r="E418" s="135"/>
      <c r="F418" s="135"/>
      <c r="G418" s="135"/>
      <c r="H418" s="135"/>
      <c r="I418" s="135"/>
      <c r="J418" s="135"/>
      <c r="K418" s="135"/>
      <c r="L418" s="135"/>
      <c r="M418" s="135"/>
      <c r="N418" s="135"/>
      <c r="O418" s="135"/>
      <c r="P418" s="135"/>
      <c r="Q418" s="135"/>
      <c r="R418" s="135"/>
      <c r="S418" s="135"/>
      <c r="T418" s="135"/>
      <c r="U418" s="135"/>
      <c r="V418" s="135"/>
      <c r="W418" s="135"/>
      <c r="X418" s="135"/>
      <c r="Y418" s="135"/>
      <c r="Z418" s="135"/>
      <c r="AA418" s="135"/>
      <c r="AB418" s="135"/>
      <c r="AC418" s="135"/>
      <c r="AD418" s="135"/>
      <c r="AE418" s="135"/>
      <c r="AF418" s="135"/>
    </row>
    <row r="419">
      <c r="A419" s="135"/>
      <c r="B419" s="135"/>
      <c r="C419" s="135"/>
      <c r="D419" s="135"/>
      <c r="E419" s="135"/>
      <c r="F419" s="135"/>
      <c r="G419" s="135"/>
      <c r="H419" s="135"/>
      <c r="I419" s="135"/>
      <c r="J419" s="135"/>
      <c r="K419" s="135"/>
      <c r="L419" s="135"/>
      <c r="M419" s="135"/>
      <c r="N419" s="135"/>
      <c r="O419" s="135"/>
      <c r="P419" s="135"/>
      <c r="Q419" s="135"/>
      <c r="R419" s="135"/>
      <c r="S419" s="135"/>
      <c r="T419" s="135"/>
      <c r="U419" s="135"/>
      <c r="V419" s="135"/>
      <c r="W419" s="135"/>
      <c r="X419" s="135"/>
      <c r="Y419" s="135"/>
      <c r="Z419" s="135"/>
      <c r="AA419" s="135"/>
      <c r="AB419" s="135"/>
      <c r="AC419" s="135"/>
      <c r="AD419" s="135"/>
      <c r="AE419" s="135"/>
      <c r="AF419" s="135"/>
    </row>
    <row r="420">
      <c r="A420" s="135"/>
      <c r="B420" s="135"/>
      <c r="C420" s="135"/>
      <c r="D420" s="135"/>
      <c r="E420" s="135"/>
      <c r="F420" s="135"/>
      <c r="G420" s="135"/>
      <c r="H420" s="135"/>
      <c r="I420" s="135"/>
      <c r="J420" s="135"/>
      <c r="K420" s="135"/>
      <c r="L420" s="135"/>
      <c r="M420" s="135"/>
      <c r="N420" s="135"/>
      <c r="O420" s="135"/>
      <c r="P420" s="135"/>
      <c r="Q420" s="135"/>
      <c r="R420" s="135"/>
      <c r="S420" s="135"/>
      <c r="T420" s="135"/>
      <c r="U420" s="135"/>
      <c r="V420" s="135"/>
      <c r="W420" s="135"/>
      <c r="X420" s="135"/>
      <c r="Y420" s="135"/>
      <c r="Z420" s="135"/>
      <c r="AA420" s="135"/>
      <c r="AB420" s="135"/>
      <c r="AC420" s="135"/>
      <c r="AD420" s="135"/>
      <c r="AE420" s="135"/>
      <c r="AF420" s="135"/>
    </row>
    <row r="421">
      <c r="A421" s="135"/>
      <c r="B421" s="135"/>
      <c r="C421" s="135"/>
      <c r="D421" s="135"/>
      <c r="E421" s="135"/>
      <c r="F421" s="135"/>
      <c r="G421" s="135"/>
      <c r="H421" s="135"/>
      <c r="I421" s="135"/>
      <c r="J421" s="135"/>
      <c r="K421" s="135"/>
      <c r="L421" s="135"/>
      <c r="M421" s="135"/>
      <c r="N421" s="135"/>
      <c r="O421" s="135"/>
      <c r="P421" s="135"/>
      <c r="Q421" s="135"/>
      <c r="R421" s="135"/>
      <c r="S421" s="135"/>
      <c r="T421" s="135"/>
      <c r="U421" s="135"/>
      <c r="V421" s="135"/>
      <c r="W421" s="135"/>
      <c r="X421" s="135"/>
      <c r="Y421" s="135"/>
      <c r="Z421" s="135"/>
      <c r="AA421" s="135"/>
      <c r="AB421" s="135"/>
      <c r="AC421" s="135"/>
      <c r="AD421" s="135"/>
      <c r="AE421" s="135"/>
      <c r="AF421" s="135"/>
    </row>
    <row r="422">
      <c r="A422" s="135"/>
      <c r="B422" s="135"/>
      <c r="C422" s="135"/>
      <c r="D422" s="135"/>
      <c r="E422" s="135"/>
      <c r="F422" s="135"/>
      <c r="G422" s="135"/>
      <c r="H422" s="135"/>
      <c r="I422" s="135"/>
      <c r="J422" s="135"/>
      <c r="K422" s="135"/>
      <c r="L422" s="135"/>
      <c r="M422" s="135"/>
      <c r="N422" s="135"/>
      <c r="O422" s="135"/>
      <c r="P422" s="135"/>
      <c r="Q422" s="135"/>
      <c r="R422" s="135"/>
      <c r="S422" s="135"/>
      <c r="T422" s="135"/>
      <c r="U422" s="135"/>
      <c r="V422" s="135"/>
      <c r="W422" s="135"/>
      <c r="X422" s="135"/>
      <c r="Y422" s="135"/>
      <c r="Z422" s="135"/>
      <c r="AA422" s="135"/>
      <c r="AB422" s="135"/>
      <c r="AC422" s="135"/>
      <c r="AD422" s="135"/>
      <c r="AE422" s="135"/>
      <c r="AF422" s="135"/>
    </row>
    <row r="423">
      <c r="A423" s="135"/>
      <c r="B423" s="135"/>
      <c r="C423" s="135"/>
      <c r="D423" s="135"/>
      <c r="E423" s="135"/>
      <c r="F423" s="135"/>
      <c r="G423" s="135"/>
      <c r="H423" s="135"/>
      <c r="I423" s="135"/>
      <c r="J423" s="135"/>
      <c r="K423" s="135"/>
      <c r="L423" s="135"/>
      <c r="M423" s="135"/>
      <c r="N423" s="135"/>
      <c r="O423" s="135"/>
      <c r="P423" s="135"/>
      <c r="Q423" s="135"/>
      <c r="R423" s="135"/>
      <c r="S423" s="135"/>
      <c r="T423" s="135"/>
      <c r="U423" s="135"/>
      <c r="V423" s="135"/>
      <c r="W423" s="135"/>
      <c r="X423" s="135"/>
      <c r="Y423" s="135"/>
      <c r="Z423" s="135"/>
      <c r="AA423" s="135"/>
      <c r="AB423" s="135"/>
      <c r="AC423" s="135"/>
      <c r="AD423" s="135"/>
      <c r="AE423" s="135"/>
      <c r="AF423" s="135"/>
    </row>
    <row r="424">
      <c r="A424" s="135"/>
      <c r="B424" s="135"/>
      <c r="C424" s="135"/>
      <c r="D424" s="135"/>
      <c r="E424" s="135"/>
      <c r="F424" s="135"/>
      <c r="G424" s="135"/>
      <c r="H424" s="135"/>
      <c r="I424" s="135"/>
      <c r="J424" s="135"/>
      <c r="K424" s="135"/>
      <c r="L424" s="135"/>
      <c r="M424" s="135"/>
      <c r="N424" s="135"/>
      <c r="O424" s="135"/>
      <c r="P424" s="135"/>
      <c r="Q424" s="135"/>
      <c r="R424" s="135"/>
      <c r="S424" s="135"/>
      <c r="T424" s="135"/>
      <c r="U424" s="135"/>
      <c r="V424" s="135"/>
      <c r="W424" s="135"/>
      <c r="X424" s="135"/>
      <c r="Y424" s="135"/>
      <c r="Z424" s="135"/>
      <c r="AA424" s="135"/>
      <c r="AB424" s="135"/>
      <c r="AC424" s="135"/>
      <c r="AD424" s="135"/>
      <c r="AE424" s="135"/>
      <c r="AF424" s="135"/>
    </row>
    <row r="425">
      <c r="A425" s="135"/>
      <c r="B425" s="135"/>
      <c r="C425" s="135"/>
      <c r="D425" s="135"/>
      <c r="E425" s="135"/>
      <c r="F425" s="135"/>
      <c r="G425" s="135"/>
      <c r="H425" s="135"/>
      <c r="I425" s="135"/>
      <c r="J425" s="135"/>
      <c r="K425" s="135"/>
      <c r="L425" s="135"/>
      <c r="M425" s="135"/>
      <c r="N425" s="135"/>
      <c r="O425" s="135"/>
      <c r="P425" s="135"/>
      <c r="Q425" s="135"/>
      <c r="R425" s="135"/>
      <c r="S425" s="135"/>
      <c r="T425" s="135"/>
      <c r="U425" s="135"/>
      <c r="V425" s="135"/>
      <c r="W425" s="135"/>
      <c r="X425" s="135"/>
      <c r="Y425" s="135"/>
      <c r="Z425" s="135"/>
      <c r="AA425" s="135"/>
      <c r="AB425" s="135"/>
      <c r="AC425" s="135"/>
      <c r="AD425" s="135"/>
      <c r="AE425" s="135"/>
      <c r="AF425" s="135"/>
    </row>
    <row r="426">
      <c r="A426" s="135"/>
      <c r="B426" s="135"/>
      <c r="C426" s="135"/>
      <c r="D426" s="135"/>
      <c r="E426" s="135"/>
      <c r="F426" s="135"/>
      <c r="G426" s="135"/>
      <c r="H426" s="135"/>
      <c r="I426" s="135"/>
      <c r="J426" s="135"/>
      <c r="K426" s="135"/>
      <c r="L426" s="135"/>
      <c r="M426" s="135"/>
      <c r="N426" s="135"/>
      <c r="O426" s="135"/>
      <c r="P426" s="135"/>
      <c r="Q426" s="135"/>
      <c r="R426" s="135"/>
      <c r="S426" s="135"/>
      <c r="T426" s="135"/>
      <c r="U426" s="135"/>
      <c r="V426" s="135"/>
      <c r="W426" s="135"/>
      <c r="X426" s="135"/>
      <c r="Y426" s="135"/>
      <c r="Z426" s="135"/>
      <c r="AA426" s="135"/>
      <c r="AB426" s="135"/>
      <c r="AC426" s="135"/>
      <c r="AD426" s="135"/>
      <c r="AE426" s="135"/>
      <c r="AF426" s="135"/>
    </row>
    <row r="427">
      <c r="A427" s="135"/>
      <c r="B427" s="135"/>
      <c r="C427" s="135"/>
      <c r="D427" s="135"/>
      <c r="E427" s="135"/>
      <c r="F427" s="135"/>
      <c r="G427" s="135"/>
      <c r="H427" s="135"/>
      <c r="I427" s="135"/>
      <c r="J427" s="135"/>
      <c r="K427" s="135"/>
      <c r="L427" s="135"/>
      <c r="M427" s="135"/>
      <c r="N427" s="135"/>
      <c r="O427" s="135"/>
      <c r="P427" s="135"/>
      <c r="Q427" s="135"/>
      <c r="R427" s="135"/>
      <c r="S427" s="135"/>
      <c r="T427" s="135"/>
      <c r="U427" s="135"/>
      <c r="V427" s="135"/>
      <c r="W427" s="135"/>
      <c r="X427" s="135"/>
      <c r="Y427" s="135"/>
      <c r="Z427" s="135"/>
      <c r="AA427" s="135"/>
      <c r="AB427" s="135"/>
      <c r="AC427" s="135"/>
      <c r="AD427" s="135"/>
      <c r="AE427" s="135"/>
      <c r="AF427" s="135"/>
    </row>
    <row r="428">
      <c r="A428" s="135"/>
      <c r="B428" s="135"/>
      <c r="C428" s="135"/>
      <c r="D428" s="135"/>
      <c r="E428" s="135"/>
      <c r="F428" s="135"/>
      <c r="G428" s="135"/>
      <c r="H428" s="135"/>
      <c r="I428" s="135"/>
      <c r="J428" s="135"/>
      <c r="K428" s="135"/>
      <c r="L428" s="135"/>
      <c r="M428" s="135"/>
      <c r="N428" s="135"/>
      <c r="O428" s="135"/>
      <c r="P428" s="135"/>
      <c r="Q428" s="135"/>
      <c r="R428" s="135"/>
      <c r="S428" s="135"/>
      <c r="T428" s="135"/>
      <c r="U428" s="135"/>
      <c r="V428" s="135"/>
      <c r="W428" s="135"/>
      <c r="X428" s="135"/>
      <c r="Y428" s="135"/>
      <c r="Z428" s="135"/>
      <c r="AA428" s="135"/>
      <c r="AB428" s="135"/>
      <c r="AC428" s="135"/>
      <c r="AD428" s="135"/>
      <c r="AE428" s="135"/>
      <c r="AF428" s="135"/>
    </row>
    <row r="429">
      <c r="A429" s="135"/>
      <c r="B429" s="135"/>
      <c r="C429" s="135"/>
      <c r="D429" s="135"/>
      <c r="E429" s="135"/>
      <c r="F429" s="135"/>
      <c r="G429" s="135"/>
      <c r="H429" s="135"/>
      <c r="I429" s="135"/>
      <c r="J429" s="135"/>
      <c r="K429" s="135"/>
      <c r="L429" s="135"/>
      <c r="M429" s="135"/>
      <c r="N429" s="135"/>
      <c r="O429" s="135"/>
      <c r="P429" s="135"/>
      <c r="Q429" s="135"/>
      <c r="R429" s="135"/>
      <c r="S429" s="135"/>
      <c r="T429" s="135"/>
      <c r="U429" s="135"/>
      <c r="V429" s="135"/>
      <c r="W429" s="135"/>
      <c r="X429" s="135"/>
      <c r="Y429" s="135"/>
      <c r="Z429" s="135"/>
      <c r="AA429" s="135"/>
      <c r="AB429" s="135"/>
      <c r="AC429" s="135"/>
      <c r="AD429" s="135"/>
      <c r="AE429" s="135"/>
      <c r="AF429" s="135"/>
    </row>
    <row r="430">
      <c r="A430" s="135"/>
      <c r="B430" s="135"/>
      <c r="C430" s="135"/>
      <c r="D430" s="135"/>
      <c r="E430" s="135"/>
      <c r="F430" s="135"/>
      <c r="G430" s="135"/>
      <c r="H430" s="135"/>
      <c r="I430" s="135"/>
      <c r="J430" s="135"/>
      <c r="K430" s="135"/>
      <c r="L430" s="135"/>
      <c r="M430" s="135"/>
      <c r="N430" s="135"/>
      <c r="O430" s="135"/>
      <c r="P430" s="135"/>
      <c r="Q430" s="135"/>
      <c r="R430" s="135"/>
      <c r="S430" s="135"/>
      <c r="T430" s="135"/>
      <c r="U430" s="135"/>
      <c r="V430" s="135"/>
      <c r="W430" s="135"/>
      <c r="X430" s="135"/>
      <c r="Y430" s="135"/>
      <c r="Z430" s="135"/>
      <c r="AA430" s="135"/>
      <c r="AB430" s="135"/>
      <c r="AC430" s="135"/>
      <c r="AD430" s="135"/>
      <c r="AE430" s="135"/>
      <c r="AF430" s="135"/>
    </row>
    <row r="431">
      <c r="A431" s="135"/>
      <c r="B431" s="135"/>
      <c r="C431" s="135"/>
      <c r="D431" s="135"/>
      <c r="E431" s="135"/>
      <c r="F431" s="135"/>
      <c r="G431" s="135"/>
      <c r="H431" s="135"/>
      <c r="I431" s="135"/>
      <c r="J431" s="135"/>
      <c r="K431" s="135"/>
      <c r="L431" s="135"/>
      <c r="M431" s="135"/>
      <c r="N431" s="135"/>
      <c r="O431" s="135"/>
      <c r="P431" s="135"/>
      <c r="Q431" s="135"/>
      <c r="R431" s="135"/>
      <c r="S431" s="135"/>
      <c r="T431" s="135"/>
      <c r="U431" s="135"/>
      <c r="V431" s="135"/>
      <c r="W431" s="135"/>
      <c r="X431" s="135"/>
      <c r="Y431" s="135"/>
      <c r="Z431" s="135"/>
      <c r="AA431" s="135"/>
      <c r="AB431" s="135"/>
      <c r="AC431" s="135"/>
      <c r="AD431" s="135"/>
      <c r="AE431" s="135"/>
      <c r="AF431" s="135"/>
    </row>
    <row r="432">
      <c r="A432" s="135"/>
      <c r="B432" s="135"/>
      <c r="C432" s="135"/>
      <c r="D432" s="135"/>
      <c r="E432" s="135"/>
      <c r="F432" s="135"/>
      <c r="G432" s="135"/>
      <c r="H432" s="135"/>
      <c r="I432" s="135"/>
      <c r="J432" s="135"/>
      <c r="K432" s="135"/>
      <c r="L432" s="135"/>
      <c r="M432" s="135"/>
      <c r="N432" s="135"/>
      <c r="O432" s="135"/>
      <c r="P432" s="135"/>
      <c r="Q432" s="135"/>
      <c r="R432" s="135"/>
      <c r="S432" s="135"/>
      <c r="T432" s="135"/>
      <c r="U432" s="135"/>
      <c r="V432" s="135"/>
      <c r="W432" s="135"/>
      <c r="X432" s="135"/>
      <c r="Y432" s="135"/>
      <c r="Z432" s="135"/>
      <c r="AA432" s="135"/>
      <c r="AB432" s="135"/>
      <c r="AC432" s="135"/>
      <c r="AD432" s="135"/>
      <c r="AE432" s="135"/>
      <c r="AF432" s="135"/>
    </row>
    <row r="433">
      <c r="A433" s="135"/>
      <c r="B433" s="135"/>
      <c r="C433" s="135"/>
      <c r="D433" s="135"/>
      <c r="E433" s="135"/>
      <c r="F433" s="135"/>
      <c r="G433" s="135"/>
      <c r="H433" s="135"/>
      <c r="I433" s="135"/>
      <c r="J433" s="135"/>
      <c r="K433" s="135"/>
      <c r="L433" s="135"/>
      <c r="M433" s="135"/>
      <c r="N433" s="135"/>
      <c r="O433" s="135"/>
      <c r="P433" s="135"/>
      <c r="Q433" s="135"/>
      <c r="R433" s="135"/>
      <c r="S433" s="135"/>
      <c r="T433" s="135"/>
      <c r="U433" s="135"/>
      <c r="V433" s="135"/>
      <c r="W433" s="135"/>
      <c r="X433" s="135"/>
      <c r="Y433" s="135"/>
      <c r="Z433" s="135"/>
      <c r="AA433" s="135"/>
      <c r="AB433" s="135"/>
      <c r="AC433" s="135"/>
      <c r="AD433" s="135"/>
      <c r="AE433" s="135"/>
      <c r="AF433" s="135"/>
    </row>
    <row r="434">
      <c r="A434" s="135"/>
      <c r="B434" s="135"/>
      <c r="C434" s="135"/>
      <c r="D434" s="135"/>
      <c r="E434" s="135"/>
      <c r="F434" s="135"/>
      <c r="G434" s="135"/>
      <c r="H434" s="135"/>
      <c r="I434" s="135"/>
      <c r="J434" s="135"/>
      <c r="K434" s="135"/>
      <c r="L434" s="135"/>
      <c r="M434" s="135"/>
      <c r="N434" s="135"/>
      <c r="O434" s="135"/>
      <c r="P434" s="135"/>
      <c r="Q434" s="135"/>
      <c r="R434" s="135"/>
      <c r="S434" s="135"/>
      <c r="T434" s="135"/>
      <c r="U434" s="135"/>
      <c r="V434" s="135"/>
      <c r="W434" s="135"/>
      <c r="X434" s="135"/>
      <c r="Y434" s="135"/>
      <c r="Z434" s="135"/>
      <c r="AA434" s="135"/>
      <c r="AB434" s="135"/>
      <c r="AC434" s="135"/>
      <c r="AD434" s="135"/>
      <c r="AE434" s="135"/>
      <c r="AF434" s="135"/>
    </row>
    <row r="435">
      <c r="A435" s="135"/>
      <c r="B435" s="135"/>
      <c r="C435" s="135"/>
      <c r="D435" s="135"/>
      <c r="E435" s="135"/>
      <c r="F435" s="135"/>
      <c r="G435" s="135"/>
      <c r="H435" s="135"/>
      <c r="I435" s="135"/>
      <c r="J435" s="135"/>
      <c r="K435" s="135"/>
      <c r="L435" s="135"/>
      <c r="M435" s="135"/>
      <c r="N435" s="135"/>
      <c r="O435" s="135"/>
      <c r="P435" s="135"/>
      <c r="Q435" s="135"/>
      <c r="R435" s="135"/>
      <c r="S435" s="135"/>
      <c r="T435" s="135"/>
      <c r="U435" s="135"/>
      <c r="V435" s="135"/>
      <c r="W435" s="135"/>
      <c r="X435" s="135"/>
      <c r="Y435" s="135"/>
      <c r="Z435" s="135"/>
      <c r="AA435" s="135"/>
      <c r="AB435" s="135"/>
      <c r="AC435" s="135"/>
      <c r="AD435" s="135"/>
      <c r="AE435" s="135"/>
      <c r="AF435" s="135"/>
    </row>
    <row r="436">
      <c r="A436" s="135"/>
      <c r="B436" s="135"/>
      <c r="C436" s="135"/>
      <c r="D436" s="135"/>
      <c r="E436" s="135"/>
      <c r="F436" s="135"/>
      <c r="G436" s="135"/>
      <c r="H436" s="135"/>
      <c r="I436" s="135"/>
      <c r="J436" s="135"/>
      <c r="K436" s="135"/>
      <c r="L436" s="135"/>
      <c r="M436" s="135"/>
      <c r="N436" s="135"/>
      <c r="O436" s="135"/>
      <c r="P436" s="135"/>
      <c r="Q436" s="135"/>
      <c r="R436" s="135"/>
      <c r="S436" s="135"/>
      <c r="T436" s="135"/>
      <c r="U436" s="135"/>
      <c r="V436" s="135"/>
      <c r="W436" s="135"/>
      <c r="X436" s="135"/>
      <c r="Y436" s="135"/>
      <c r="Z436" s="135"/>
      <c r="AA436" s="135"/>
      <c r="AB436" s="135"/>
      <c r="AC436" s="135"/>
      <c r="AD436" s="135"/>
      <c r="AE436" s="135"/>
      <c r="AF436" s="135"/>
    </row>
    <row r="437">
      <c r="A437" s="135"/>
      <c r="B437" s="135"/>
      <c r="C437" s="135"/>
      <c r="D437" s="135"/>
      <c r="E437" s="135"/>
      <c r="F437" s="135"/>
      <c r="G437" s="135"/>
      <c r="H437" s="135"/>
      <c r="I437" s="135"/>
      <c r="J437" s="135"/>
      <c r="K437" s="135"/>
      <c r="L437" s="135"/>
      <c r="M437" s="135"/>
      <c r="N437" s="135"/>
      <c r="O437" s="135"/>
      <c r="P437" s="135"/>
      <c r="Q437" s="135"/>
      <c r="R437" s="135"/>
      <c r="S437" s="135"/>
      <c r="T437" s="135"/>
      <c r="U437" s="135"/>
      <c r="V437" s="135"/>
      <c r="W437" s="135"/>
      <c r="X437" s="135"/>
      <c r="Y437" s="135"/>
      <c r="Z437" s="135"/>
      <c r="AA437" s="135"/>
      <c r="AB437" s="135"/>
      <c r="AC437" s="135"/>
      <c r="AD437" s="135"/>
      <c r="AE437" s="135"/>
      <c r="AF437" s="135"/>
    </row>
    <row r="438">
      <c r="A438" s="135"/>
      <c r="B438" s="135"/>
      <c r="C438" s="135"/>
      <c r="D438" s="135"/>
      <c r="E438" s="135"/>
      <c r="F438" s="135"/>
      <c r="G438" s="135"/>
      <c r="H438" s="135"/>
      <c r="I438" s="135"/>
      <c r="J438" s="135"/>
      <c r="K438" s="135"/>
      <c r="L438" s="135"/>
      <c r="M438" s="135"/>
      <c r="N438" s="135"/>
      <c r="O438" s="135"/>
      <c r="P438" s="135"/>
      <c r="Q438" s="135"/>
      <c r="R438" s="135"/>
      <c r="S438" s="135"/>
      <c r="T438" s="135"/>
      <c r="U438" s="135"/>
      <c r="V438" s="135"/>
      <c r="W438" s="135"/>
      <c r="X438" s="135"/>
      <c r="Y438" s="135"/>
      <c r="Z438" s="135"/>
      <c r="AA438" s="135"/>
      <c r="AB438" s="135"/>
      <c r="AC438" s="135"/>
      <c r="AD438" s="135"/>
      <c r="AE438" s="135"/>
      <c r="AF438" s="135"/>
    </row>
    <row r="439">
      <c r="A439" s="135"/>
      <c r="B439" s="135"/>
      <c r="C439" s="135"/>
      <c r="D439" s="135"/>
      <c r="E439" s="135"/>
      <c r="F439" s="135"/>
      <c r="G439" s="135"/>
      <c r="H439" s="135"/>
      <c r="I439" s="135"/>
      <c r="J439" s="135"/>
      <c r="K439" s="135"/>
      <c r="L439" s="135"/>
      <c r="M439" s="135"/>
      <c r="N439" s="135"/>
      <c r="O439" s="135"/>
      <c r="P439" s="135"/>
      <c r="Q439" s="135"/>
      <c r="R439" s="135"/>
      <c r="S439" s="135"/>
      <c r="T439" s="135"/>
      <c r="U439" s="135"/>
      <c r="V439" s="135"/>
      <c r="W439" s="135"/>
      <c r="X439" s="135"/>
      <c r="Y439" s="135"/>
      <c r="Z439" s="135"/>
      <c r="AA439" s="135"/>
      <c r="AB439" s="135"/>
      <c r="AC439" s="135"/>
      <c r="AD439" s="135"/>
      <c r="AE439" s="135"/>
      <c r="AF439" s="135"/>
    </row>
    <row r="440">
      <c r="A440" s="135"/>
      <c r="B440" s="135"/>
      <c r="C440" s="135"/>
      <c r="D440" s="135"/>
      <c r="E440" s="135"/>
      <c r="F440" s="135"/>
      <c r="G440" s="135"/>
      <c r="H440" s="135"/>
      <c r="I440" s="135"/>
      <c r="J440" s="135"/>
      <c r="K440" s="135"/>
      <c r="L440" s="135"/>
      <c r="M440" s="135"/>
      <c r="N440" s="135"/>
      <c r="O440" s="135"/>
      <c r="P440" s="135"/>
      <c r="Q440" s="135"/>
      <c r="R440" s="135"/>
      <c r="S440" s="135"/>
      <c r="T440" s="135"/>
      <c r="U440" s="135"/>
      <c r="V440" s="135"/>
      <c r="W440" s="135"/>
      <c r="X440" s="135"/>
      <c r="Y440" s="135"/>
      <c r="Z440" s="135"/>
      <c r="AA440" s="135"/>
      <c r="AB440" s="135"/>
      <c r="AC440" s="135"/>
      <c r="AD440" s="135"/>
      <c r="AE440" s="135"/>
      <c r="AF440" s="135"/>
    </row>
    <row r="441">
      <c r="A441" s="135"/>
      <c r="B441" s="135"/>
      <c r="C441" s="135"/>
      <c r="D441" s="135"/>
      <c r="E441" s="135"/>
      <c r="F441" s="135"/>
      <c r="G441" s="135"/>
      <c r="H441" s="135"/>
      <c r="I441" s="135"/>
      <c r="J441" s="135"/>
      <c r="K441" s="135"/>
      <c r="L441" s="135"/>
      <c r="M441" s="135"/>
      <c r="N441" s="135"/>
      <c r="O441" s="135"/>
      <c r="P441" s="135"/>
      <c r="Q441" s="135"/>
      <c r="R441" s="135"/>
      <c r="S441" s="135"/>
      <c r="T441" s="135"/>
      <c r="U441" s="135"/>
      <c r="V441" s="135"/>
      <c r="W441" s="135"/>
      <c r="X441" s="135"/>
      <c r="Y441" s="135"/>
      <c r="Z441" s="135"/>
      <c r="AA441" s="135"/>
      <c r="AB441" s="135"/>
      <c r="AC441" s="135"/>
      <c r="AD441" s="135"/>
      <c r="AE441" s="135"/>
      <c r="AF441" s="135"/>
    </row>
    <row r="442">
      <c r="A442" s="135"/>
      <c r="B442" s="135"/>
      <c r="C442" s="135"/>
      <c r="D442" s="135"/>
      <c r="E442" s="135"/>
      <c r="F442" s="135"/>
      <c r="G442" s="135"/>
      <c r="H442" s="135"/>
      <c r="I442" s="135"/>
      <c r="J442" s="135"/>
      <c r="K442" s="135"/>
      <c r="L442" s="135"/>
      <c r="M442" s="135"/>
      <c r="N442" s="135"/>
      <c r="O442" s="135"/>
      <c r="P442" s="135"/>
      <c r="Q442" s="135"/>
      <c r="R442" s="135"/>
      <c r="S442" s="135"/>
      <c r="T442" s="135"/>
      <c r="U442" s="135"/>
      <c r="V442" s="135"/>
      <c r="W442" s="135"/>
      <c r="X442" s="135"/>
      <c r="Y442" s="135"/>
      <c r="Z442" s="135"/>
      <c r="AA442" s="135"/>
      <c r="AB442" s="135"/>
      <c r="AC442" s="135"/>
      <c r="AD442" s="135"/>
      <c r="AE442" s="135"/>
      <c r="AF442" s="135"/>
    </row>
    <row r="443">
      <c r="A443" s="135"/>
      <c r="B443" s="135"/>
      <c r="C443" s="135"/>
      <c r="D443" s="135"/>
      <c r="E443" s="135"/>
      <c r="F443" s="135"/>
      <c r="G443" s="135"/>
      <c r="H443" s="135"/>
      <c r="I443" s="135"/>
      <c r="J443" s="135"/>
      <c r="K443" s="135"/>
      <c r="L443" s="135"/>
      <c r="M443" s="135"/>
      <c r="N443" s="135"/>
      <c r="O443" s="135"/>
      <c r="P443" s="135"/>
      <c r="Q443" s="135"/>
      <c r="R443" s="135"/>
      <c r="S443" s="135"/>
      <c r="T443" s="135"/>
      <c r="U443" s="135"/>
      <c r="V443" s="135"/>
      <c r="W443" s="135"/>
      <c r="X443" s="135"/>
      <c r="Y443" s="135"/>
      <c r="Z443" s="135"/>
      <c r="AA443" s="135"/>
      <c r="AB443" s="135"/>
      <c r="AC443" s="135"/>
      <c r="AD443" s="135"/>
      <c r="AE443" s="135"/>
      <c r="AF443" s="135"/>
    </row>
    <row r="444">
      <c r="A444" s="135"/>
      <c r="B444" s="135"/>
      <c r="C444" s="135"/>
      <c r="D444" s="135"/>
      <c r="E444" s="135"/>
      <c r="F444" s="135"/>
      <c r="G444" s="135"/>
      <c r="H444" s="135"/>
      <c r="I444" s="135"/>
      <c r="J444" s="135"/>
      <c r="K444" s="135"/>
      <c r="L444" s="135"/>
      <c r="M444" s="135"/>
      <c r="N444" s="135"/>
      <c r="O444" s="135"/>
      <c r="P444" s="135"/>
      <c r="Q444" s="135"/>
      <c r="R444" s="135"/>
      <c r="S444" s="135"/>
      <c r="T444" s="135"/>
      <c r="U444" s="135"/>
      <c r="V444" s="135"/>
      <c r="W444" s="135"/>
      <c r="X444" s="135"/>
      <c r="Y444" s="135"/>
      <c r="Z444" s="135"/>
      <c r="AA444" s="135"/>
      <c r="AB444" s="135"/>
      <c r="AC444" s="135"/>
      <c r="AD444" s="135"/>
      <c r="AE444" s="135"/>
      <c r="AF444" s="135"/>
    </row>
    <row r="445">
      <c r="A445" s="135"/>
      <c r="B445" s="135"/>
      <c r="C445" s="135"/>
      <c r="D445" s="135"/>
      <c r="E445" s="135"/>
      <c r="F445" s="135"/>
      <c r="G445" s="135"/>
      <c r="H445" s="135"/>
      <c r="I445" s="135"/>
      <c r="J445" s="135"/>
      <c r="K445" s="135"/>
      <c r="L445" s="135"/>
      <c r="M445" s="135"/>
      <c r="N445" s="135"/>
      <c r="O445" s="135"/>
      <c r="P445" s="135"/>
      <c r="Q445" s="135"/>
      <c r="R445" s="135"/>
      <c r="S445" s="135"/>
      <c r="T445" s="135"/>
      <c r="U445" s="135"/>
      <c r="V445" s="135"/>
      <c r="W445" s="135"/>
      <c r="X445" s="135"/>
      <c r="Y445" s="135"/>
      <c r="Z445" s="135"/>
      <c r="AA445" s="135"/>
      <c r="AB445" s="135"/>
      <c r="AC445" s="135"/>
      <c r="AD445" s="135"/>
      <c r="AE445" s="135"/>
      <c r="AF445" s="135"/>
    </row>
    <row r="446">
      <c r="A446" s="135"/>
      <c r="B446" s="135"/>
      <c r="C446" s="135"/>
      <c r="D446" s="135"/>
      <c r="E446" s="135"/>
      <c r="F446" s="135"/>
      <c r="G446" s="135"/>
      <c r="H446" s="135"/>
      <c r="I446" s="135"/>
      <c r="J446" s="135"/>
      <c r="K446" s="135"/>
      <c r="L446" s="135"/>
      <c r="M446" s="135"/>
      <c r="N446" s="135"/>
      <c r="O446" s="135"/>
      <c r="P446" s="135"/>
      <c r="Q446" s="135"/>
      <c r="R446" s="135"/>
      <c r="S446" s="135"/>
      <c r="T446" s="135"/>
      <c r="U446" s="135"/>
      <c r="V446" s="135"/>
      <c r="W446" s="135"/>
      <c r="X446" s="135"/>
      <c r="Y446" s="135"/>
      <c r="Z446" s="135"/>
      <c r="AA446" s="135"/>
      <c r="AB446" s="135"/>
      <c r="AC446" s="135"/>
      <c r="AD446" s="135"/>
      <c r="AE446" s="135"/>
      <c r="AF446" s="135"/>
    </row>
    <row r="447">
      <c r="A447" s="135"/>
      <c r="B447" s="135"/>
      <c r="C447" s="135"/>
      <c r="D447" s="135"/>
      <c r="E447" s="135"/>
      <c r="F447" s="135"/>
      <c r="G447" s="135"/>
      <c r="H447" s="135"/>
      <c r="I447" s="135"/>
      <c r="J447" s="135"/>
      <c r="K447" s="135"/>
      <c r="L447" s="135"/>
      <c r="M447" s="135"/>
      <c r="N447" s="135"/>
      <c r="O447" s="135"/>
      <c r="P447" s="135"/>
      <c r="Q447" s="135"/>
      <c r="R447" s="135"/>
      <c r="S447" s="135"/>
      <c r="T447" s="135"/>
      <c r="U447" s="135"/>
      <c r="V447" s="135"/>
      <c r="W447" s="135"/>
      <c r="X447" s="135"/>
      <c r="Y447" s="135"/>
      <c r="Z447" s="135"/>
      <c r="AA447" s="135"/>
      <c r="AB447" s="135"/>
      <c r="AC447" s="135"/>
      <c r="AD447" s="135"/>
      <c r="AE447" s="135"/>
      <c r="AF447" s="135"/>
    </row>
    <row r="448">
      <c r="A448" s="135"/>
      <c r="B448" s="135"/>
      <c r="C448" s="135"/>
      <c r="D448" s="135"/>
      <c r="E448" s="135"/>
      <c r="F448" s="135"/>
      <c r="G448" s="135"/>
      <c r="H448" s="135"/>
      <c r="I448" s="135"/>
      <c r="J448" s="135"/>
      <c r="K448" s="135"/>
      <c r="L448" s="135"/>
      <c r="M448" s="135"/>
      <c r="N448" s="135"/>
      <c r="O448" s="135"/>
      <c r="P448" s="135"/>
      <c r="Q448" s="135"/>
      <c r="R448" s="135"/>
      <c r="S448" s="135"/>
      <c r="T448" s="135"/>
      <c r="U448" s="135"/>
      <c r="V448" s="135"/>
      <c r="W448" s="135"/>
      <c r="X448" s="135"/>
      <c r="Y448" s="135"/>
      <c r="Z448" s="135"/>
      <c r="AA448" s="135"/>
      <c r="AB448" s="135"/>
      <c r="AC448" s="135"/>
      <c r="AD448" s="135"/>
      <c r="AE448" s="135"/>
      <c r="AF448" s="135"/>
    </row>
    <row r="449">
      <c r="A449" s="135"/>
      <c r="B449" s="135"/>
      <c r="C449" s="135"/>
      <c r="D449" s="135"/>
      <c r="E449" s="135"/>
      <c r="F449" s="135"/>
      <c r="G449" s="135"/>
      <c r="H449" s="135"/>
      <c r="I449" s="135"/>
      <c r="J449" s="135"/>
      <c r="K449" s="135"/>
      <c r="L449" s="135"/>
      <c r="M449" s="135"/>
      <c r="N449" s="135"/>
      <c r="O449" s="135"/>
      <c r="P449" s="135"/>
      <c r="Q449" s="135"/>
      <c r="R449" s="135"/>
      <c r="S449" s="135"/>
      <c r="T449" s="135"/>
      <c r="U449" s="135"/>
      <c r="V449" s="135"/>
      <c r="W449" s="135"/>
      <c r="X449" s="135"/>
      <c r="Y449" s="135"/>
      <c r="Z449" s="135"/>
      <c r="AA449" s="135"/>
      <c r="AB449" s="135"/>
      <c r="AC449" s="135"/>
      <c r="AD449" s="135"/>
      <c r="AE449" s="135"/>
      <c r="AF449" s="135"/>
    </row>
    <row r="450">
      <c r="A450" s="135"/>
      <c r="B450" s="135"/>
      <c r="C450" s="135"/>
      <c r="D450" s="135"/>
      <c r="E450" s="135"/>
      <c r="F450" s="135"/>
      <c r="G450" s="135"/>
      <c r="H450" s="135"/>
      <c r="I450" s="135"/>
      <c r="J450" s="135"/>
      <c r="K450" s="135"/>
      <c r="L450" s="135"/>
      <c r="M450" s="135"/>
      <c r="N450" s="135"/>
      <c r="O450" s="135"/>
      <c r="P450" s="135"/>
      <c r="Q450" s="135"/>
      <c r="R450" s="135"/>
      <c r="S450" s="135"/>
      <c r="T450" s="135"/>
      <c r="U450" s="135"/>
      <c r="V450" s="135"/>
      <c r="W450" s="135"/>
      <c r="X450" s="135"/>
      <c r="Y450" s="135"/>
      <c r="Z450" s="135"/>
      <c r="AA450" s="135"/>
      <c r="AB450" s="135"/>
      <c r="AC450" s="135"/>
      <c r="AD450" s="135"/>
      <c r="AE450" s="135"/>
      <c r="AF450" s="135"/>
    </row>
    <row r="451">
      <c r="A451" s="135"/>
      <c r="B451" s="135"/>
      <c r="C451" s="135"/>
      <c r="D451" s="135"/>
      <c r="E451" s="135"/>
      <c r="F451" s="135"/>
      <c r="G451" s="135"/>
      <c r="H451" s="135"/>
      <c r="I451" s="135"/>
      <c r="J451" s="135"/>
      <c r="K451" s="135"/>
      <c r="L451" s="135"/>
      <c r="M451" s="135"/>
      <c r="N451" s="135"/>
      <c r="O451" s="135"/>
      <c r="P451" s="135"/>
      <c r="Q451" s="135"/>
      <c r="R451" s="135"/>
      <c r="S451" s="135"/>
      <c r="T451" s="135"/>
      <c r="U451" s="135"/>
      <c r="V451" s="135"/>
      <c r="W451" s="135"/>
      <c r="X451" s="135"/>
      <c r="Y451" s="135"/>
      <c r="Z451" s="135"/>
      <c r="AA451" s="135"/>
      <c r="AB451" s="135"/>
      <c r="AC451" s="135"/>
      <c r="AD451" s="135"/>
      <c r="AE451" s="135"/>
      <c r="AF451" s="135"/>
    </row>
    <row r="452">
      <c r="A452" s="135"/>
      <c r="B452" s="135"/>
      <c r="C452" s="135"/>
      <c r="D452" s="135"/>
      <c r="E452" s="135"/>
      <c r="F452" s="135"/>
      <c r="G452" s="135"/>
      <c r="H452" s="135"/>
      <c r="I452" s="135"/>
      <c r="J452" s="135"/>
      <c r="K452" s="135"/>
      <c r="L452" s="135"/>
      <c r="M452" s="135"/>
      <c r="N452" s="135"/>
      <c r="O452" s="135"/>
      <c r="P452" s="135"/>
      <c r="Q452" s="135"/>
      <c r="R452" s="135"/>
      <c r="S452" s="135"/>
      <c r="T452" s="135"/>
      <c r="U452" s="135"/>
      <c r="V452" s="135"/>
      <c r="W452" s="135"/>
      <c r="X452" s="135"/>
      <c r="Y452" s="135"/>
      <c r="Z452" s="135"/>
      <c r="AA452" s="135"/>
      <c r="AB452" s="135"/>
      <c r="AC452" s="135"/>
      <c r="AD452" s="135"/>
      <c r="AE452" s="135"/>
      <c r="AF452" s="135"/>
    </row>
    <row r="453">
      <c r="A453" s="135"/>
      <c r="B453" s="135"/>
      <c r="C453" s="135"/>
      <c r="D453" s="135"/>
      <c r="E453" s="135"/>
      <c r="F453" s="135"/>
      <c r="G453" s="135"/>
      <c r="H453" s="135"/>
      <c r="I453" s="135"/>
      <c r="J453" s="135"/>
      <c r="K453" s="135"/>
      <c r="L453" s="135"/>
      <c r="M453" s="135"/>
      <c r="N453" s="135"/>
      <c r="O453" s="135"/>
      <c r="P453" s="135"/>
      <c r="Q453" s="135"/>
      <c r="R453" s="135"/>
      <c r="S453" s="135"/>
      <c r="T453" s="135"/>
      <c r="U453" s="135"/>
      <c r="V453" s="135"/>
      <c r="W453" s="135"/>
      <c r="X453" s="135"/>
      <c r="Y453" s="135"/>
      <c r="Z453" s="135"/>
      <c r="AA453" s="135"/>
      <c r="AB453" s="135"/>
      <c r="AC453" s="135"/>
      <c r="AD453" s="135"/>
      <c r="AE453" s="135"/>
      <c r="AF453" s="135"/>
    </row>
    <row r="454">
      <c r="A454" s="135"/>
      <c r="B454" s="135"/>
      <c r="C454" s="135"/>
      <c r="D454" s="135"/>
      <c r="E454" s="135"/>
      <c r="F454" s="135"/>
      <c r="G454" s="135"/>
      <c r="H454" s="135"/>
      <c r="I454" s="135"/>
      <c r="J454" s="135"/>
      <c r="K454" s="135"/>
      <c r="L454" s="135"/>
      <c r="M454" s="135"/>
      <c r="N454" s="135"/>
      <c r="O454" s="135"/>
      <c r="P454" s="135"/>
      <c r="Q454" s="135"/>
      <c r="R454" s="135"/>
      <c r="S454" s="135"/>
      <c r="T454" s="135"/>
      <c r="U454" s="135"/>
      <c r="V454" s="135"/>
      <c r="W454" s="135"/>
      <c r="X454" s="135"/>
      <c r="Y454" s="135"/>
      <c r="Z454" s="135"/>
      <c r="AA454" s="135"/>
      <c r="AB454" s="135"/>
      <c r="AC454" s="135"/>
      <c r="AD454" s="135"/>
      <c r="AE454" s="135"/>
      <c r="AF454" s="135"/>
    </row>
    <row r="455">
      <c r="A455" s="135"/>
      <c r="B455" s="135"/>
      <c r="C455" s="135"/>
      <c r="D455" s="135"/>
      <c r="E455" s="135"/>
      <c r="F455" s="135"/>
      <c r="G455" s="135"/>
      <c r="H455" s="135"/>
      <c r="I455" s="135"/>
      <c r="J455" s="135"/>
      <c r="K455" s="135"/>
      <c r="L455" s="135"/>
      <c r="M455" s="135"/>
      <c r="N455" s="135"/>
      <c r="O455" s="135"/>
      <c r="P455" s="135"/>
      <c r="Q455" s="135"/>
      <c r="R455" s="135"/>
      <c r="S455" s="135"/>
      <c r="T455" s="135"/>
      <c r="U455" s="135"/>
      <c r="V455" s="135"/>
      <c r="W455" s="135"/>
      <c r="X455" s="135"/>
      <c r="Y455" s="135"/>
      <c r="Z455" s="135"/>
      <c r="AA455" s="135"/>
      <c r="AB455" s="135"/>
      <c r="AC455" s="135"/>
      <c r="AD455" s="135"/>
      <c r="AE455" s="135"/>
      <c r="AF455" s="135"/>
    </row>
    <row r="456">
      <c r="A456" s="135"/>
      <c r="B456" s="135"/>
      <c r="C456" s="135"/>
      <c r="D456" s="135"/>
      <c r="E456" s="135"/>
      <c r="F456" s="135"/>
      <c r="G456" s="135"/>
      <c r="H456" s="135"/>
      <c r="I456" s="135"/>
      <c r="J456" s="135"/>
      <c r="K456" s="135"/>
      <c r="L456" s="135"/>
      <c r="M456" s="135"/>
      <c r="N456" s="135"/>
      <c r="O456" s="135"/>
      <c r="P456" s="135"/>
      <c r="Q456" s="135"/>
      <c r="R456" s="135"/>
      <c r="S456" s="135"/>
      <c r="T456" s="135"/>
      <c r="U456" s="135"/>
      <c r="V456" s="135"/>
      <c r="W456" s="135"/>
      <c r="X456" s="135"/>
      <c r="Y456" s="135"/>
      <c r="Z456" s="135"/>
      <c r="AA456" s="135"/>
      <c r="AB456" s="135"/>
      <c r="AC456" s="135"/>
      <c r="AD456" s="135"/>
      <c r="AE456" s="135"/>
      <c r="AF456" s="135"/>
    </row>
    <row r="457">
      <c r="A457" s="135"/>
      <c r="B457" s="135"/>
      <c r="C457" s="135"/>
      <c r="D457" s="135"/>
      <c r="E457" s="135"/>
      <c r="F457" s="135"/>
      <c r="G457" s="135"/>
      <c r="H457" s="135"/>
      <c r="I457" s="135"/>
      <c r="J457" s="135"/>
      <c r="K457" s="135"/>
      <c r="L457" s="135"/>
      <c r="M457" s="135"/>
      <c r="N457" s="135"/>
      <c r="O457" s="135"/>
      <c r="P457" s="135"/>
      <c r="Q457" s="135"/>
      <c r="R457" s="135"/>
      <c r="S457" s="135"/>
      <c r="T457" s="135"/>
      <c r="U457" s="135"/>
      <c r="V457" s="135"/>
      <c r="W457" s="135"/>
      <c r="X457" s="135"/>
      <c r="Y457" s="135"/>
      <c r="Z457" s="135"/>
      <c r="AA457" s="135"/>
      <c r="AB457" s="135"/>
      <c r="AC457" s="135"/>
      <c r="AD457" s="135"/>
      <c r="AE457" s="135"/>
      <c r="AF457" s="135"/>
    </row>
    <row r="458">
      <c r="A458" s="135"/>
      <c r="B458" s="135"/>
      <c r="C458" s="135"/>
      <c r="D458" s="135"/>
      <c r="E458" s="135"/>
      <c r="F458" s="135"/>
      <c r="G458" s="135"/>
      <c r="H458" s="135"/>
      <c r="I458" s="135"/>
      <c r="J458" s="135"/>
      <c r="K458" s="135"/>
      <c r="L458" s="135"/>
      <c r="M458" s="135"/>
      <c r="N458" s="135"/>
      <c r="O458" s="135"/>
      <c r="P458" s="135"/>
      <c r="Q458" s="135"/>
      <c r="R458" s="135"/>
      <c r="S458" s="135"/>
      <c r="T458" s="135"/>
      <c r="U458" s="135"/>
      <c r="V458" s="135"/>
      <c r="W458" s="135"/>
      <c r="X458" s="135"/>
      <c r="Y458" s="135"/>
      <c r="Z458" s="135"/>
      <c r="AA458" s="135"/>
      <c r="AB458" s="135"/>
      <c r="AC458" s="135"/>
      <c r="AD458" s="135"/>
      <c r="AE458" s="135"/>
      <c r="AF458" s="135"/>
    </row>
    <row r="459">
      <c r="A459" s="135"/>
      <c r="B459" s="135"/>
      <c r="C459" s="135"/>
      <c r="D459" s="135"/>
      <c r="E459" s="135"/>
      <c r="F459" s="135"/>
      <c r="G459" s="135"/>
      <c r="H459" s="135"/>
      <c r="I459" s="135"/>
      <c r="J459" s="135"/>
      <c r="K459" s="135"/>
      <c r="L459" s="135"/>
      <c r="M459" s="135"/>
      <c r="N459" s="135"/>
      <c r="O459" s="135"/>
      <c r="P459" s="135"/>
      <c r="Q459" s="135"/>
      <c r="R459" s="135"/>
      <c r="S459" s="135"/>
      <c r="T459" s="135"/>
      <c r="U459" s="135"/>
      <c r="V459" s="135"/>
      <c r="W459" s="135"/>
      <c r="X459" s="135"/>
      <c r="Y459" s="135"/>
      <c r="Z459" s="135"/>
      <c r="AA459" s="135"/>
      <c r="AB459" s="135"/>
      <c r="AC459" s="135"/>
      <c r="AD459" s="135"/>
      <c r="AE459" s="135"/>
      <c r="AF459" s="135"/>
    </row>
    <row r="460">
      <c r="A460" s="135"/>
      <c r="B460" s="135"/>
      <c r="C460" s="135"/>
      <c r="D460" s="135"/>
      <c r="E460" s="135"/>
      <c r="F460" s="135"/>
      <c r="G460" s="135"/>
      <c r="H460" s="135"/>
      <c r="I460" s="135"/>
      <c r="J460" s="135"/>
      <c r="K460" s="135"/>
      <c r="L460" s="135"/>
      <c r="M460" s="135"/>
      <c r="N460" s="135"/>
      <c r="O460" s="135"/>
      <c r="P460" s="135"/>
      <c r="Q460" s="135"/>
      <c r="R460" s="135"/>
      <c r="S460" s="135"/>
      <c r="T460" s="135"/>
      <c r="U460" s="135"/>
      <c r="V460" s="135"/>
      <c r="W460" s="135"/>
      <c r="X460" s="135"/>
      <c r="Y460" s="135"/>
      <c r="Z460" s="135"/>
      <c r="AA460" s="135"/>
      <c r="AB460" s="135"/>
      <c r="AC460" s="135"/>
      <c r="AD460" s="135"/>
      <c r="AE460" s="135"/>
      <c r="AF460" s="135"/>
    </row>
    <row r="461">
      <c r="A461" s="135"/>
      <c r="B461" s="135"/>
      <c r="C461" s="135"/>
      <c r="D461" s="135"/>
      <c r="E461" s="135"/>
      <c r="F461" s="135"/>
      <c r="G461" s="135"/>
      <c r="H461" s="135"/>
      <c r="I461" s="135"/>
      <c r="J461" s="135"/>
      <c r="K461" s="135"/>
      <c r="L461" s="135"/>
      <c r="M461" s="135"/>
      <c r="N461" s="135"/>
      <c r="O461" s="135"/>
      <c r="P461" s="135"/>
      <c r="Q461" s="135"/>
      <c r="R461" s="135"/>
      <c r="S461" s="135"/>
      <c r="T461" s="135"/>
      <c r="U461" s="135"/>
      <c r="V461" s="135"/>
      <c r="W461" s="135"/>
      <c r="X461" s="135"/>
      <c r="Y461" s="135"/>
      <c r="Z461" s="135"/>
      <c r="AA461" s="135"/>
      <c r="AB461" s="135"/>
      <c r="AC461" s="135"/>
      <c r="AD461" s="135"/>
      <c r="AE461" s="135"/>
      <c r="AF461" s="135"/>
    </row>
    <row r="462">
      <c r="A462" s="135"/>
      <c r="B462" s="135"/>
      <c r="C462" s="135"/>
      <c r="D462" s="135"/>
      <c r="E462" s="135"/>
      <c r="F462" s="135"/>
      <c r="G462" s="135"/>
      <c r="H462" s="135"/>
      <c r="I462" s="135"/>
      <c r="J462" s="135"/>
      <c r="K462" s="135"/>
      <c r="L462" s="135"/>
      <c r="M462" s="135"/>
      <c r="N462" s="135"/>
      <c r="O462" s="135"/>
      <c r="P462" s="135"/>
      <c r="Q462" s="135"/>
      <c r="R462" s="135"/>
      <c r="S462" s="135"/>
      <c r="T462" s="135"/>
      <c r="U462" s="135"/>
      <c r="V462" s="135"/>
      <c r="W462" s="135"/>
      <c r="X462" s="135"/>
      <c r="Y462" s="135"/>
      <c r="Z462" s="135"/>
      <c r="AA462" s="135"/>
      <c r="AB462" s="135"/>
      <c r="AC462" s="135"/>
      <c r="AD462" s="135"/>
      <c r="AE462" s="135"/>
      <c r="AF462" s="135"/>
    </row>
    <row r="463">
      <c r="A463" s="135"/>
      <c r="B463" s="135"/>
      <c r="C463" s="135"/>
      <c r="D463" s="135"/>
      <c r="E463" s="135"/>
      <c r="F463" s="135"/>
      <c r="G463" s="135"/>
      <c r="H463" s="135"/>
      <c r="I463" s="135"/>
      <c r="J463" s="135"/>
      <c r="K463" s="135"/>
      <c r="L463" s="135"/>
      <c r="M463" s="135"/>
      <c r="N463" s="135"/>
      <c r="O463" s="135"/>
      <c r="P463" s="135"/>
      <c r="Q463" s="135"/>
      <c r="R463" s="135"/>
      <c r="S463" s="135"/>
      <c r="T463" s="135"/>
      <c r="U463" s="135"/>
      <c r="V463" s="135"/>
      <c r="W463" s="135"/>
      <c r="X463" s="135"/>
      <c r="Y463" s="135"/>
      <c r="Z463" s="135"/>
      <c r="AA463" s="135"/>
      <c r="AB463" s="135"/>
      <c r="AC463" s="135"/>
      <c r="AD463" s="135"/>
      <c r="AE463" s="135"/>
      <c r="AF463" s="135"/>
    </row>
    <row r="464">
      <c r="A464" s="135"/>
      <c r="B464" s="135"/>
      <c r="C464" s="135"/>
      <c r="D464" s="135"/>
      <c r="E464" s="135"/>
      <c r="F464" s="135"/>
      <c r="G464" s="135"/>
      <c r="H464" s="135"/>
      <c r="I464" s="135"/>
      <c r="J464" s="135"/>
      <c r="K464" s="135"/>
      <c r="L464" s="135"/>
      <c r="M464" s="135"/>
      <c r="N464" s="135"/>
      <c r="O464" s="135"/>
      <c r="P464" s="135"/>
      <c r="Q464" s="135"/>
      <c r="R464" s="135"/>
      <c r="S464" s="135"/>
      <c r="T464" s="135"/>
      <c r="U464" s="135"/>
      <c r="V464" s="135"/>
      <c r="W464" s="135"/>
      <c r="X464" s="135"/>
      <c r="Y464" s="135"/>
      <c r="Z464" s="135"/>
      <c r="AA464" s="135"/>
      <c r="AB464" s="135"/>
      <c r="AC464" s="135"/>
      <c r="AD464" s="135"/>
      <c r="AE464" s="135"/>
      <c r="AF464" s="135"/>
    </row>
    <row r="465">
      <c r="A465" s="135"/>
      <c r="B465" s="135"/>
      <c r="C465" s="135"/>
      <c r="D465" s="135"/>
      <c r="E465" s="135"/>
      <c r="F465" s="135"/>
      <c r="G465" s="135"/>
      <c r="H465" s="135"/>
      <c r="I465" s="135"/>
      <c r="J465" s="135"/>
      <c r="K465" s="135"/>
      <c r="L465" s="135"/>
      <c r="M465" s="135"/>
      <c r="N465" s="135"/>
      <c r="O465" s="135"/>
      <c r="P465" s="135"/>
      <c r="Q465" s="135"/>
      <c r="R465" s="135"/>
      <c r="S465" s="135"/>
      <c r="T465" s="135"/>
      <c r="U465" s="135"/>
      <c r="V465" s="135"/>
      <c r="W465" s="135"/>
      <c r="X465" s="135"/>
      <c r="Y465" s="135"/>
      <c r="Z465" s="135"/>
      <c r="AA465" s="135"/>
      <c r="AB465" s="135"/>
      <c r="AC465" s="135"/>
      <c r="AD465" s="135"/>
      <c r="AE465" s="135"/>
      <c r="AF465" s="135"/>
    </row>
    <row r="466">
      <c r="A466" s="135"/>
      <c r="B466" s="135"/>
      <c r="C466" s="135"/>
      <c r="D466" s="135"/>
      <c r="E466" s="135"/>
      <c r="F466" s="135"/>
      <c r="G466" s="135"/>
      <c r="H466" s="135"/>
      <c r="I466" s="135"/>
      <c r="J466" s="135"/>
      <c r="K466" s="135"/>
      <c r="L466" s="135"/>
      <c r="M466" s="135"/>
      <c r="N466" s="135"/>
      <c r="O466" s="135"/>
      <c r="P466" s="135"/>
      <c r="Q466" s="135"/>
      <c r="R466" s="135"/>
      <c r="S466" s="135"/>
      <c r="T466" s="135"/>
      <c r="U466" s="135"/>
      <c r="V466" s="135"/>
      <c r="W466" s="135"/>
      <c r="X466" s="135"/>
      <c r="Y466" s="135"/>
      <c r="Z466" s="135"/>
      <c r="AA466" s="135"/>
      <c r="AB466" s="135"/>
      <c r="AC466" s="135"/>
      <c r="AD466" s="135"/>
      <c r="AE466" s="135"/>
      <c r="AF466" s="135"/>
    </row>
    <row r="467">
      <c r="A467" s="135"/>
      <c r="B467" s="135"/>
      <c r="C467" s="135"/>
      <c r="D467" s="135"/>
      <c r="E467" s="135"/>
      <c r="F467" s="135"/>
      <c r="G467" s="135"/>
      <c r="H467" s="135"/>
      <c r="I467" s="135"/>
      <c r="J467" s="135"/>
      <c r="K467" s="135"/>
      <c r="L467" s="135"/>
      <c r="M467" s="135"/>
      <c r="N467" s="135"/>
      <c r="O467" s="135"/>
      <c r="P467" s="135"/>
      <c r="Q467" s="135"/>
      <c r="R467" s="135"/>
      <c r="S467" s="135"/>
      <c r="T467" s="135"/>
      <c r="U467" s="135"/>
      <c r="V467" s="135"/>
      <c r="W467" s="135"/>
      <c r="X467" s="135"/>
      <c r="Y467" s="135"/>
      <c r="Z467" s="135"/>
      <c r="AA467" s="135"/>
      <c r="AB467" s="135"/>
      <c r="AC467" s="135"/>
      <c r="AD467" s="135"/>
      <c r="AE467" s="135"/>
      <c r="AF467" s="135"/>
    </row>
    <row r="468">
      <c r="A468" s="135"/>
      <c r="B468" s="135"/>
      <c r="C468" s="135"/>
      <c r="D468" s="135"/>
      <c r="E468" s="135"/>
      <c r="F468" s="135"/>
      <c r="G468" s="135"/>
      <c r="H468" s="135"/>
      <c r="I468" s="135"/>
      <c r="J468" s="135"/>
      <c r="K468" s="135"/>
      <c r="L468" s="135"/>
      <c r="M468" s="135"/>
      <c r="N468" s="135"/>
      <c r="O468" s="135"/>
      <c r="P468" s="135"/>
      <c r="Q468" s="135"/>
      <c r="R468" s="135"/>
      <c r="S468" s="135"/>
      <c r="T468" s="135"/>
      <c r="U468" s="135"/>
      <c r="V468" s="135"/>
      <c r="W468" s="135"/>
      <c r="X468" s="135"/>
      <c r="Y468" s="135"/>
      <c r="Z468" s="135"/>
      <c r="AA468" s="135"/>
      <c r="AB468" s="135"/>
      <c r="AC468" s="135"/>
      <c r="AD468" s="135"/>
      <c r="AE468" s="135"/>
      <c r="AF468" s="135"/>
    </row>
    <row r="469">
      <c r="A469" s="135"/>
      <c r="B469" s="135"/>
      <c r="C469" s="135"/>
      <c r="D469" s="135"/>
      <c r="E469" s="135"/>
      <c r="F469" s="135"/>
      <c r="G469" s="135"/>
      <c r="H469" s="135"/>
      <c r="I469" s="135"/>
      <c r="J469" s="135"/>
      <c r="K469" s="135"/>
      <c r="L469" s="135"/>
      <c r="M469" s="135"/>
      <c r="N469" s="135"/>
      <c r="O469" s="135"/>
      <c r="P469" s="135"/>
      <c r="Q469" s="135"/>
      <c r="R469" s="135"/>
      <c r="S469" s="135"/>
      <c r="T469" s="135"/>
      <c r="U469" s="135"/>
      <c r="V469" s="135"/>
      <c r="W469" s="135"/>
      <c r="X469" s="135"/>
      <c r="Y469" s="135"/>
      <c r="Z469" s="135"/>
      <c r="AA469" s="135"/>
      <c r="AB469" s="135"/>
      <c r="AC469" s="135"/>
      <c r="AD469" s="135"/>
      <c r="AE469" s="135"/>
      <c r="AF469" s="135"/>
    </row>
    <row r="470">
      <c r="A470" s="135"/>
      <c r="B470" s="135"/>
      <c r="C470" s="135"/>
      <c r="D470" s="135"/>
      <c r="E470" s="135"/>
      <c r="F470" s="135"/>
      <c r="G470" s="135"/>
      <c r="H470" s="135"/>
      <c r="I470" s="135"/>
      <c r="J470" s="135"/>
      <c r="K470" s="135"/>
      <c r="L470" s="135"/>
      <c r="M470" s="135"/>
      <c r="N470" s="135"/>
      <c r="O470" s="135"/>
      <c r="P470" s="135"/>
      <c r="Q470" s="135"/>
      <c r="R470" s="135"/>
      <c r="S470" s="135"/>
      <c r="T470" s="135"/>
      <c r="U470" s="135"/>
      <c r="V470" s="135"/>
      <c r="W470" s="135"/>
      <c r="X470" s="135"/>
      <c r="Y470" s="135"/>
      <c r="Z470" s="135"/>
      <c r="AA470" s="135"/>
      <c r="AB470" s="135"/>
      <c r="AC470" s="135"/>
      <c r="AD470" s="135"/>
      <c r="AE470" s="135"/>
      <c r="AF470" s="135"/>
    </row>
    <row r="471">
      <c r="A471" s="135"/>
      <c r="B471" s="135"/>
      <c r="C471" s="135"/>
      <c r="D471" s="135"/>
      <c r="E471" s="135"/>
      <c r="F471" s="135"/>
      <c r="G471" s="135"/>
      <c r="H471" s="135"/>
      <c r="I471" s="135"/>
      <c r="J471" s="135"/>
      <c r="K471" s="135"/>
      <c r="L471" s="135"/>
      <c r="M471" s="135"/>
      <c r="N471" s="135"/>
      <c r="O471" s="135"/>
      <c r="P471" s="135"/>
      <c r="Q471" s="135"/>
      <c r="R471" s="135"/>
      <c r="S471" s="135"/>
      <c r="T471" s="135"/>
      <c r="U471" s="135"/>
      <c r="V471" s="135"/>
      <c r="W471" s="135"/>
      <c r="X471" s="135"/>
      <c r="Y471" s="135"/>
      <c r="Z471" s="135"/>
      <c r="AA471" s="135"/>
      <c r="AB471" s="135"/>
      <c r="AC471" s="135"/>
      <c r="AD471" s="135"/>
      <c r="AE471" s="135"/>
      <c r="AF471" s="135"/>
    </row>
    <row r="472">
      <c r="A472" s="135"/>
      <c r="B472" s="135"/>
      <c r="C472" s="135"/>
      <c r="D472" s="135"/>
      <c r="E472" s="135"/>
      <c r="F472" s="135"/>
      <c r="G472" s="135"/>
      <c r="H472" s="135"/>
      <c r="I472" s="135"/>
      <c r="J472" s="135"/>
      <c r="K472" s="135"/>
      <c r="L472" s="135"/>
      <c r="M472" s="135"/>
      <c r="N472" s="135"/>
      <c r="O472" s="135"/>
      <c r="P472" s="135"/>
      <c r="Q472" s="135"/>
      <c r="R472" s="135"/>
      <c r="S472" s="135"/>
      <c r="T472" s="135"/>
      <c r="U472" s="135"/>
      <c r="V472" s="135"/>
      <c r="W472" s="135"/>
      <c r="X472" s="135"/>
      <c r="Y472" s="135"/>
      <c r="Z472" s="135"/>
      <c r="AA472" s="135"/>
      <c r="AB472" s="135"/>
      <c r="AC472" s="135"/>
      <c r="AD472" s="135"/>
      <c r="AE472" s="135"/>
      <c r="AF472" s="135"/>
    </row>
    <row r="473">
      <c r="A473" s="135"/>
      <c r="B473" s="135"/>
      <c r="C473" s="135"/>
      <c r="D473" s="135"/>
      <c r="E473" s="135"/>
      <c r="F473" s="135"/>
      <c r="G473" s="135"/>
      <c r="H473" s="135"/>
      <c r="I473" s="135"/>
      <c r="J473" s="135"/>
      <c r="K473" s="135"/>
      <c r="L473" s="135"/>
      <c r="M473" s="135"/>
      <c r="N473" s="135"/>
      <c r="O473" s="135"/>
      <c r="P473" s="135"/>
      <c r="Q473" s="135"/>
      <c r="R473" s="135"/>
      <c r="S473" s="135"/>
      <c r="T473" s="135"/>
      <c r="U473" s="135"/>
      <c r="V473" s="135"/>
      <c r="W473" s="135"/>
      <c r="X473" s="135"/>
      <c r="Y473" s="135"/>
      <c r="Z473" s="135"/>
      <c r="AA473" s="135"/>
      <c r="AB473" s="135"/>
      <c r="AC473" s="135"/>
      <c r="AD473" s="135"/>
      <c r="AE473" s="135"/>
      <c r="AF473" s="135"/>
    </row>
    <row r="474">
      <c r="A474" s="135"/>
      <c r="B474" s="135"/>
      <c r="C474" s="135"/>
      <c r="D474" s="135"/>
      <c r="E474" s="135"/>
      <c r="F474" s="135"/>
      <c r="G474" s="135"/>
      <c r="H474" s="135"/>
      <c r="I474" s="135"/>
      <c r="J474" s="135"/>
      <c r="K474" s="135"/>
      <c r="L474" s="135"/>
      <c r="M474" s="135"/>
      <c r="N474" s="135"/>
      <c r="O474" s="135"/>
      <c r="P474" s="135"/>
      <c r="Q474" s="135"/>
      <c r="R474" s="135"/>
      <c r="S474" s="135"/>
      <c r="T474" s="135"/>
      <c r="U474" s="135"/>
      <c r="V474" s="135"/>
      <c r="W474" s="135"/>
      <c r="X474" s="135"/>
      <c r="Y474" s="135"/>
      <c r="Z474" s="135"/>
      <c r="AA474" s="135"/>
      <c r="AB474" s="135"/>
      <c r="AC474" s="135"/>
      <c r="AD474" s="135"/>
      <c r="AE474" s="135"/>
      <c r="AF474" s="135"/>
    </row>
    <row r="475">
      <c r="A475" s="135"/>
      <c r="B475" s="135"/>
      <c r="C475" s="135"/>
      <c r="D475" s="135"/>
      <c r="E475" s="135"/>
      <c r="F475" s="135"/>
      <c r="G475" s="135"/>
      <c r="H475" s="135"/>
      <c r="I475" s="135"/>
      <c r="J475" s="135"/>
      <c r="K475" s="135"/>
      <c r="L475" s="135"/>
      <c r="M475" s="135"/>
      <c r="N475" s="135"/>
      <c r="O475" s="135"/>
      <c r="P475" s="135"/>
      <c r="Q475" s="135"/>
      <c r="R475" s="135"/>
      <c r="S475" s="135"/>
      <c r="T475" s="135"/>
      <c r="U475" s="135"/>
      <c r="V475" s="135"/>
      <c r="W475" s="135"/>
      <c r="X475" s="135"/>
      <c r="Y475" s="135"/>
      <c r="Z475" s="135"/>
      <c r="AA475" s="135"/>
      <c r="AB475" s="135"/>
      <c r="AC475" s="135"/>
      <c r="AD475" s="135"/>
      <c r="AE475" s="135"/>
      <c r="AF475" s="135"/>
    </row>
    <row r="476">
      <c r="A476" s="135"/>
      <c r="B476" s="135"/>
      <c r="C476" s="135"/>
      <c r="D476" s="135"/>
      <c r="E476" s="135"/>
      <c r="F476" s="135"/>
      <c r="G476" s="135"/>
      <c r="H476" s="135"/>
      <c r="I476" s="135"/>
      <c r="J476" s="135"/>
      <c r="K476" s="135"/>
      <c r="L476" s="135"/>
      <c r="M476" s="135"/>
      <c r="N476" s="135"/>
      <c r="O476" s="135"/>
      <c r="P476" s="135"/>
      <c r="Q476" s="135"/>
      <c r="R476" s="135"/>
      <c r="S476" s="135"/>
      <c r="T476" s="135"/>
      <c r="U476" s="135"/>
      <c r="V476" s="135"/>
      <c r="W476" s="135"/>
      <c r="X476" s="135"/>
      <c r="Y476" s="135"/>
      <c r="Z476" s="135"/>
      <c r="AA476" s="135"/>
      <c r="AB476" s="135"/>
      <c r="AC476" s="135"/>
      <c r="AD476" s="135"/>
      <c r="AE476" s="135"/>
      <c r="AF476" s="135"/>
    </row>
    <row r="477">
      <c r="A477" s="135"/>
      <c r="B477" s="135"/>
      <c r="C477" s="135"/>
      <c r="D477" s="135"/>
      <c r="E477" s="135"/>
      <c r="F477" s="135"/>
      <c r="G477" s="135"/>
      <c r="H477" s="135"/>
      <c r="I477" s="135"/>
      <c r="J477" s="135"/>
      <c r="K477" s="135"/>
      <c r="L477" s="135"/>
      <c r="M477" s="135"/>
      <c r="N477" s="135"/>
      <c r="O477" s="135"/>
      <c r="P477" s="135"/>
      <c r="Q477" s="135"/>
      <c r="R477" s="135"/>
      <c r="S477" s="135"/>
      <c r="T477" s="135"/>
      <c r="U477" s="135"/>
      <c r="V477" s="135"/>
      <c r="W477" s="135"/>
      <c r="X477" s="135"/>
      <c r="Y477" s="135"/>
      <c r="Z477" s="135"/>
      <c r="AA477" s="135"/>
      <c r="AB477" s="135"/>
      <c r="AC477" s="135"/>
      <c r="AD477" s="135"/>
      <c r="AE477" s="135"/>
      <c r="AF477" s="135"/>
    </row>
    <row r="478">
      <c r="A478" s="135"/>
      <c r="B478" s="135"/>
      <c r="C478" s="135"/>
      <c r="D478" s="135"/>
      <c r="E478" s="135"/>
      <c r="F478" s="135"/>
      <c r="G478" s="135"/>
      <c r="H478" s="135"/>
      <c r="I478" s="135"/>
      <c r="J478" s="135"/>
      <c r="K478" s="135"/>
      <c r="L478" s="135"/>
      <c r="M478" s="135"/>
      <c r="N478" s="135"/>
      <c r="O478" s="135"/>
      <c r="P478" s="135"/>
      <c r="Q478" s="135"/>
      <c r="R478" s="135"/>
      <c r="S478" s="135"/>
      <c r="T478" s="135"/>
      <c r="U478" s="135"/>
      <c r="V478" s="135"/>
      <c r="W478" s="135"/>
      <c r="X478" s="135"/>
      <c r="Y478" s="135"/>
      <c r="Z478" s="135"/>
      <c r="AA478" s="135"/>
      <c r="AB478" s="135"/>
      <c r="AC478" s="135"/>
      <c r="AD478" s="135"/>
      <c r="AE478" s="135"/>
      <c r="AF478" s="135"/>
    </row>
    <row r="479">
      <c r="A479" s="135"/>
      <c r="B479" s="135"/>
      <c r="C479" s="135"/>
      <c r="D479" s="135"/>
      <c r="E479" s="135"/>
      <c r="F479" s="135"/>
      <c r="G479" s="135"/>
      <c r="H479" s="135"/>
      <c r="I479" s="135"/>
      <c r="J479" s="135"/>
      <c r="K479" s="135"/>
      <c r="L479" s="135"/>
      <c r="M479" s="135"/>
      <c r="N479" s="135"/>
      <c r="O479" s="135"/>
      <c r="P479" s="135"/>
      <c r="Q479" s="135"/>
      <c r="R479" s="135"/>
      <c r="S479" s="135"/>
      <c r="T479" s="135"/>
      <c r="U479" s="135"/>
      <c r="V479" s="135"/>
      <c r="W479" s="135"/>
      <c r="X479" s="135"/>
      <c r="Y479" s="135"/>
      <c r="Z479" s="135"/>
      <c r="AA479" s="135"/>
      <c r="AB479" s="135"/>
      <c r="AC479" s="135"/>
      <c r="AD479" s="135"/>
      <c r="AE479" s="135"/>
      <c r="AF479" s="135"/>
    </row>
    <row r="480">
      <c r="A480" s="135"/>
      <c r="B480" s="135"/>
      <c r="C480" s="135"/>
      <c r="D480" s="135"/>
      <c r="E480" s="135"/>
      <c r="F480" s="135"/>
      <c r="G480" s="135"/>
      <c r="H480" s="135"/>
      <c r="I480" s="135"/>
      <c r="J480" s="135"/>
      <c r="K480" s="135"/>
      <c r="L480" s="135"/>
      <c r="M480" s="135"/>
      <c r="N480" s="135"/>
      <c r="O480" s="135"/>
      <c r="P480" s="135"/>
      <c r="Q480" s="135"/>
      <c r="R480" s="135"/>
      <c r="S480" s="135"/>
      <c r="T480" s="135"/>
      <c r="U480" s="135"/>
      <c r="V480" s="135"/>
      <c r="W480" s="135"/>
      <c r="X480" s="135"/>
      <c r="Y480" s="135"/>
      <c r="Z480" s="135"/>
      <c r="AA480" s="135"/>
      <c r="AB480" s="135"/>
      <c r="AC480" s="135"/>
      <c r="AD480" s="135"/>
      <c r="AE480" s="135"/>
      <c r="AF480" s="135"/>
    </row>
    <row r="481">
      <c r="A481" s="135"/>
      <c r="B481" s="135"/>
      <c r="C481" s="135"/>
      <c r="D481" s="135"/>
      <c r="E481" s="135"/>
      <c r="F481" s="135"/>
      <c r="G481" s="135"/>
      <c r="H481" s="135"/>
      <c r="I481" s="135"/>
      <c r="J481" s="135"/>
      <c r="K481" s="135"/>
      <c r="L481" s="135"/>
      <c r="M481" s="135"/>
      <c r="N481" s="135"/>
      <c r="O481" s="135"/>
      <c r="P481" s="135"/>
      <c r="Q481" s="135"/>
      <c r="R481" s="135"/>
      <c r="S481" s="135"/>
      <c r="T481" s="135"/>
      <c r="U481" s="135"/>
      <c r="V481" s="135"/>
      <c r="W481" s="135"/>
      <c r="X481" s="135"/>
      <c r="Y481" s="135"/>
      <c r="Z481" s="135"/>
      <c r="AA481" s="135"/>
      <c r="AB481" s="135"/>
      <c r="AC481" s="135"/>
      <c r="AD481" s="135"/>
      <c r="AE481" s="135"/>
      <c r="AF481" s="135"/>
    </row>
    <row r="482">
      <c r="A482" s="135"/>
      <c r="B482" s="135"/>
      <c r="C482" s="135"/>
      <c r="D482" s="135"/>
      <c r="E482" s="135"/>
      <c r="F482" s="135"/>
      <c r="G482" s="135"/>
      <c r="H482" s="135"/>
      <c r="I482" s="135"/>
      <c r="J482" s="135"/>
      <c r="K482" s="135"/>
      <c r="L482" s="135"/>
      <c r="M482" s="135"/>
      <c r="N482" s="135"/>
      <c r="O482" s="135"/>
      <c r="P482" s="135"/>
      <c r="Q482" s="135"/>
      <c r="R482" s="135"/>
      <c r="S482" s="135"/>
      <c r="T482" s="135"/>
      <c r="U482" s="135"/>
      <c r="V482" s="135"/>
      <c r="W482" s="135"/>
      <c r="X482" s="135"/>
      <c r="Y482" s="135"/>
      <c r="Z482" s="135"/>
      <c r="AA482" s="135"/>
      <c r="AB482" s="135"/>
      <c r="AC482" s="135"/>
      <c r="AD482" s="135"/>
      <c r="AE482" s="135"/>
      <c r="AF482" s="135"/>
    </row>
    <row r="483">
      <c r="A483" s="135"/>
      <c r="B483" s="135"/>
      <c r="C483" s="135"/>
      <c r="D483" s="135"/>
      <c r="E483" s="135"/>
      <c r="F483" s="135"/>
      <c r="G483" s="135"/>
      <c r="H483" s="135"/>
      <c r="I483" s="135"/>
      <c r="J483" s="135"/>
      <c r="K483" s="135"/>
      <c r="L483" s="135"/>
      <c r="M483" s="135"/>
      <c r="N483" s="135"/>
      <c r="O483" s="135"/>
      <c r="P483" s="135"/>
      <c r="Q483" s="135"/>
      <c r="R483" s="135"/>
      <c r="S483" s="135"/>
      <c r="T483" s="135"/>
      <c r="U483" s="135"/>
      <c r="V483" s="135"/>
      <c r="W483" s="135"/>
      <c r="X483" s="135"/>
      <c r="Y483" s="135"/>
      <c r="Z483" s="135"/>
      <c r="AA483" s="135"/>
      <c r="AB483" s="135"/>
      <c r="AC483" s="135"/>
      <c r="AD483" s="135"/>
      <c r="AE483" s="135"/>
      <c r="AF483" s="135"/>
    </row>
    <row r="484">
      <c r="A484" s="135"/>
      <c r="B484" s="135"/>
      <c r="C484" s="135"/>
      <c r="D484" s="135"/>
      <c r="E484" s="135"/>
      <c r="F484" s="135"/>
      <c r="G484" s="135"/>
      <c r="H484" s="135"/>
      <c r="I484" s="135"/>
      <c r="J484" s="135"/>
      <c r="K484" s="135"/>
      <c r="L484" s="135"/>
      <c r="M484" s="135"/>
      <c r="N484" s="135"/>
      <c r="O484" s="135"/>
      <c r="P484" s="135"/>
      <c r="Q484" s="135"/>
      <c r="R484" s="135"/>
      <c r="S484" s="135"/>
      <c r="T484" s="135"/>
      <c r="U484" s="135"/>
      <c r="V484" s="135"/>
      <c r="W484" s="135"/>
      <c r="X484" s="135"/>
      <c r="Y484" s="135"/>
      <c r="Z484" s="135"/>
      <c r="AA484" s="135"/>
      <c r="AB484" s="135"/>
      <c r="AC484" s="135"/>
      <c r="AD484" s="135"/>
      <c r="AE484" s="135"/>
      <c r="AF484" s="135"/>
    </row>
    <row r="485">
      <c r="A485" s="135"/>
      <c r="B485" s="135"/>
      <c r="C485" s="135"/>
      <c r="D485" s="135"/>
      <c r="E485" s="135"/>
      <c r="F485" s="135"/>
      <c r="G485" s="135"/>
      <c r="H485" s="135"/>
      <c r="I485" s="135"/>
      <c r="J485" s="135"/>
      <c r="K485" s="135"/>
      <c r="L485" s="135"/>
      <c r="M485" s="135"/>
      <c r="N485" s="135"/>
      <c r="O485" s="135"/>
      <c r="P485" s="135"/>
      <c r="Q485" s="135"/>
      <c r="R485" s="135"/>
      <c r="S485" s="135"/>
      <c r="T485" s="135"/>
      <c r="U485" s="135"/>
      <c r="V485" s="135"/>
      <c r="W485" s="135"/>
      <c r="X485" s="135"/>
      <c r="Y485" s="135"/>
      <c r="Z485" s="135"/>
      <c r="AA485" s="135"/>
      <c r="AB485" s="135"/>
      <c r="AC485" s="135"/>
      <c r="AD485" s="135"/>
      <c r="AE485" s="135"/>
      <c r="AF485" s="135"/>
    </row>
    <row r="486">
      <c r="A486" s="135"/>
      <c r="B486" s="135"/>
      <c r="C486" s="135"/>
      <c r="D486" s="135"/>
      <c r="E486" s="135"/>
      <c r="F486" s="135"/>
      <c r="G486" s="135"/>
      <c r="H486" s="135"/>
      <c r="I486" s="135"/>
      <c r="J486" s="135"/>
      <c r="K486" s="135"/>
      <c r="L486" s="135"/>
      <c r="M486" s="135"/>
      <c r="N486" s="135"/>
      <c r="O486" s="135"/>
      <c r="P486" s="135"/>
      <c r="Q486" s="135"/>
      <c r="R486" s="135"/>
      <c r="S486" s="135"/>
      <c r="T486" s="135"/>
      <c r="U486" s="135"/>
      <c r="V486" s="135"/>
      <c r="W486" s="135"/>
      <c r="X486" s="135"/>
      <c r="Y486" s="135"/>
      <c r="Z486" s="135"/>
      <c r="AA486" s="135"/>
      <c r="AB486" s="135"/>
      <c r="AC486" s="135"/>
      <c r="AD486" s="135"/>
      <c r="AE486" s="135"/>
      <c r="AF486" s="135"/>
    </row>
    <row r="487">
      <c r="A487" s="135"/>
      <c r="B487" s="135"/>
      <c r="C487" s="135"/>
      <c r="D487" s="135"/>
      <c r="E487" s="135"/>
      <c r="F487" s="135"/>
      <c r="G487" s="135"/>
      <c r="H487" s="135"/>
      <c r="I487" s="135"/>
      <c r="J487" s="135"/>
      <c r="K487" s="135"/>
      <c r="L487" s="135"/>
      <c r="M487" s="135"/>
      <c r="N487" s="135"/>
      <c r="O487" s="135"/>
      <c r="P487" s="135"/>
      <c r="Q487" s="135"/>
      <c r="R487" s="135"/>
      <c r="S487" s="135"/>
      <c r="T487" s="135"/>
      <c r="U487" s="135"/>
      <c r="V487" s="135"/>
      <c r="W487" s="135"/>
      <c r="X487" s="135"/>
      <c r="Y487" s="135"/>
      <c r="Z487" s="135"/>
      <c r="AA487" s="135"/>
      <c r="AB487" s="135"/>
      <c r="AC487" s="135"/>
      <c r="AD487" s="135"/>
      <c r="AE487" s="135"/>
      <c r="AF487" s="135"/>
    </row>
    <row r="488">
      <c r="A488" s="135"/>
      <c r="B488" s="135"/>
      <c r="C488" s="135"/>
      <c r="D488" s="135"/>
      <c r="E488" s="135"/>
      <c r="F488" s="135"/>
      <c r="G488" s="135"/>
      <c r="H488" s="135"/>
      <c r="I488" s="135"/>
      <c r="J488" s="135"/>
      <c r="K488" s="135"/>
      <c r="L488" s="135"/>
      <c r="M488" s="135"/>
      <c r="N488" s="135"/>
      <c r="O488" s="135"/>
      <c r="P488" s="135"/>
      <c r="Q488" s="135"/>
      <c r="R488" s="135"/>
      <c r="S488" s="135"/>
      <c r="T488" s="135"/>
      <c r="U488" s="135"/>
      <c r="V488" s="135"/>
      <c r="W488" s="135"/>
      <c r="X488" s="135"/>
      <c r="Y488" s="135"/>
      <c r="Z488" s="135"/>
      <c r="AA488" s="135"/>
      <c r="AB488" s="135"/>
      <c r="AC488" s="135"/>
      <c r="AD488" s="135"/>
      <c r="AE488" s="135"/>
      <c r="AF488" s="135"/>
    </row>
    <row r="489">
      <c r="A489" s="135"/>
      <c r="B489" s="135"/>
      <c r="C489" s="135"/>
      <c r="D489" s="135"/>
      <c r="E489" s="135"/>
      <c r="F489" s="135"/>
      <c r="G489" s="135"/>
      <c r="H489" s="135"/>
      <c r="I489" s="135"/>
      <c r="J489" s="135"/>
      <c r="K489" s="135"/>
      <c r="L489" s="135"/>
      <c r="M489" s="135"/>
      <c r="N489" s="135"/>
      <c r="O489" s="135"/>
      <c r="P489" s="135"/>
      <c r="Q489" s="135"/>
      <c r="R489" s="135"/>
      <c r="S489" s="135"/>
      <c r="T489" s="135"/>
      <c r="U489" s="135"/>
      <c r="V489" s="135"/>
      <c r="W489" s="135"/>
      <c r="X489" s="135"/>
      <c r="Y489" s="135"/>
      <c r="Z489" s="135"/>
      <c r="AA489" s="135"/>
      <c r="AB489" s="135"/>
      <c r="AC489" s="135"/>
      <c r="AD489" s="135"/>
      <c r="AE489" s="135"/>
      <c r="AF489" s="135"/>
    </row>
    <row r="490">
      <c r="A490" s="135"/>
      <c r="B490" s="135"/>
      <c r="C490" s="135"/>
      <c r="D490" s="135"/>
      <c r="E490" s="135"/>
      <c r="F490" s="135"/>
      <c r="G490" s="135"/>
      <c r="H490" s="135"/>
      <c r="I490" s="135"/>
      <c r="J490" s="135"/>
      <c r="K490" s="135"/>
      <c r="L490" s="135"/>
      <c r="M490" s="135"/>
      <c r="N490" s="135"/>
      <c r="O490" s="135"/>
      <c r="P490" s="135"/>
      <c r="Q490" s="135"/>
      <c r="R490" s="135"/>
      <c r="S490" s="135"/>
      <c r="T490" s="135"/>
      <c r="U490" s="135"/>
      <c r="V490" s="135"/>
      <c r="W490" s="135"/>
      <c r="X490" s="135"/>
      <c r="Y490" s="135"/>
      <c r="Z490" s="135"/>
      <c r="AA490" s="135"/>
      <c r="AB490" s="135"/>
      <c r="AC490" s="135"/>
      <c r="AD490" s="135"/>
      <c r="AE490" s="135"/>
      <c r="AF490" s="135"/>
    </row>
    <row r="491">
      <c r="A491" s="135"/>
      <c r="B491" s="135"/>
      <c r="C491" s="135"/>
      <c r="D491" s="135"/>
      <c r="E491" s="135"/>
      <c r="F491" s="135"/>
      <c r="G491" s="135"/>
      <c r="H491" s="135"/>
      <c r="I491" s="135"/>
      <c r="J491" s="135"/>
      <c r="K491" s="135"/>
      <c r="L491" s="135"/>
      <c r="M491" s="135"/>
      <c r="N491" s="135"/>
      <c r="O491" s="135"/>
      <c r="P491" s="135"/>
      <c r="Q491" s="135"/>
      <c r="R491" s="135"/>
      <c r="S491" s="135"/>
      <c r="T491" s="135"/>
      <c r="U491" s="135"/>
      <c r="V491" s="135"/>
      <c r="W491" s="135"/>
      <c r="X491" s="135"/>
      <c r="Y491" s="135"/>
      <c r="Z491" s="135"/>
      <c r="AA491" s="135"/>
      <c r="AB491" s="135"/>
      <c r="AC491" s="135"/>
      <c r="AD491" s="135"/>
      <c r="AE491" s="135"/>
      <c r="AF491" s="135"/>
    </row>
    <row r="492">
      <c r="A492" s="135"/>
      <c r="B492" s="135"/>
      <c r="C492" s="135"/>
      <c r="D492" s="135"/>
      <c r="E492" s="135"/>
      <c r="F492" s="135"/>
      <c r="G492" s="135"/>
      <c r="H492" s="135"/>
      <c r="I492" s="135"/>
      <c r="J492" s="135"/>
      <c r="K492" s="135"/>
      <c r="L492" s="135"/>
      <c r="M492" s="135"/>
      <c r="N492" s="135"/>
      <c r="O492" s="135"/>
      <c r="P492" s="135"/>
      <c r="Q492" s="135"/>
      <c r="R492" s="135"/>
      <c r="S492" s="135"/>
      <c r="T492" s="135"/>
      <c r="U492" s="135"/>
      <c r="V492" s="135"/>
      <c r="W492" s="135"/>
      <c r="X492" s="135"/>
      <c r="Y492" s="135"/>
      <c r="Z492" s="135"/>
      <c r="AA492" s="135"/>
      <c r="AB492" s="135"/>
      <c r="AC492" s="135"/>
      <c r="AD492" s="135"/>
      <c r="AE492" s="135"/>
      <c r="AF492" s="135"/>
    </row>
    <row r="493">
      <c r="A493" s="135"/>
      <c r="B493" s="135"/>
      <c r="C493" s="135"/>
      <c r="D493" s="135"/>
      <c r="E493" s="135"/>
      <c r="F493" s="135"/>
      <c r="G493" s="135"/>
      <c r="H493" s="135"/>
      <c r="I493" s="135"/>
      <c r="J493" s="135"/>
      <c r="K493" s="135"/>
      <c r="L493" s="135"/>
      <c r="M493" s="135"/>
      <c r="N493" s="135"/>
      <c r="O493" s="135"/>
      <c r="P493" s="135"/>
      <c r="Q493" s="135"/>
      <c r="R493" s="135"/>
      <c r="S493" s="135"/>
      <c r="T493" s="135"/>
      <c r="U493" s="135"/>
      <c r="V493" s="135"/>
      <c r="W493" s="135"/>
      <c r="X493" s="135"/>
      <c r="Y493" s="135"/>
      <c r="Z493" s="135"/>
      <c r="AA493" s="135"/>
      <c r="AB493" s="135"/>
      <c r="AC493" s="135"/>
      <c r="AD493" s="135"/>
      <c r="AE493" s="135"/>
      <c r="AF493" s="135"/>
    </row>
    <row r="494">
      <c r="A494" s="135"/>
      <c r="B494" s="135"/>
      <c r="C494" s="135"/>
      <c r="D494" s="135"/>
      <c r="E494" s="135"/>
      <c r="F494" s="135"/>
      <c r="G494" s="135"/>
      <c r="H494" s="135"/>
      <c r="I494" s="135"/>
      <c r="J494" s="135"/>
      <c r="K494" s="135"/>
      <c r="L494" s="135"/>
      <c r="M494" s="135"/>
      <c r="N494" s="135"/>
      <c r="O494" s="135"/>
      <c r="P494" s="135"/>
      <c r="Q494" s="135"/>
      <c r="R494" s="135"/>
      <c r="S494" s="135"/>
      <c r="T494" s="135"/>
      <c r="U494" s="135"/>
      <c r="V494" s="135"/>
      <c r="W494" s="135"/>
      <c r="X494" s="135"/>
      <c r="Y494" s="135"/>
      <c r="Z494" s="135"/>
      <c r="AA494" s="135"/>
      <c r="AB494" s="135"/>
      <c r="AC494" s="135"/>
      <c r="AD494" s="135"/>
      <c r="AE494" s="135"/>
      <c r="AF494" s="135"/>
    </row>
    <row r="495">
      <c r="A495" s="135"/>
      <c r="B495" s="135"/>
      <c r="C495" s="135"/>
      <c r="D495" s="135"/>
      <c r="E495" s="135"/>
      <c r="F495" s="135"/>
      <c r="G495" s="135"/>
      <c r="H495" s="135"/>
      <c r="I495" s="135"/>
      <c r="J495" s="135"/>
      <c r="K495" s="135"/>
      <c r="L495" s="135"/>
      <c r="M495" s="135"/>
      <c r="N495" s="135"/>
      <c r="O495" s="135"/>
      <c r="P495" s="135"/>
      <c r="Q495" s="135"/>
      <c r="R495" s="135"/>
      <c r="S495" s="135"/>
      <c r="T495" s="135"/>
      <c r="U495" s="135"/>
      <c r="V495" s="135"/>
      <c r="W495" s="135"/>
      <c r="X495" s="135"/>
      <c r="Y495" s="135"/>
      <c r="Z495" s="135"/>
      <c r="AA495" s="135"/>
      <c r="AB495" s="135"/>
      <c r="AC495" s="135"/>
      <c r="AD495" s="135"/>
      <c r="AE495" s="135"/>
      <c r="AF495" s="135"/>
    </row>
    <row r="496">
      <c r="A496" s="135"/>
      <c r="B496" s="135"/>
      <c r="C496" s="135"/>
      <c r="D496" s="135"/>
      <c r="E496" s="135"/>
      <c r="F496" s="135"/>
      <c r="G496" s="135"/>
      <c r="H496" s="135"/>
      <c r="I496" s="135"/>
      <c r="J496" s="135"/>
      <c r="K496" s="135"/>
      <c r="L496" s="135"/>
      <c r="M496" s="135"/>
      <c r="N496" s="135"/>
      <c r="O496" s="135"/>
      <c r="P496" s="135"/>
      <c r="Q496" s="135"/>
      <c r="R496" s="135"/>
      <c r="S496" s="135"/>
      <c r="T496" s="135"/>
      <c r="U496" s="135"/>
      <c r="V496" s="135"/>
      <c r="W496" s="135"/>
      <c r="X496" s="135"/>
      <c r="Y496" s="135"/>
      <c r="Z496" s="135"/>
      <c r="AA496" s="135"/>
      <c r="AB496" s="135"/>
      <c r="AC496" s="135"/>
      <c r="AD496" s="135"/>
      <c r="AE496" s="135"/>
      <c r="AF496" s="135"/>
    </row>
    <row r="497">
      <c r="A497" s="135"/>
      <c r="B497" s="135"/>
      <c r="C497" s="135"/>
      <c r="D497" s="135"/>
      <c r="E497" s="135"/>
      <c r="F497" s="135"/>
      <c r="G497" s="135"/>
      <c r="H497" s="135"/>
      <c r="I497" s="135"/>
      <c r="J497" s="135"/>
      <c r="K497" s="135"/>
      <c r="L497" s="135"/>
      <c r="M497" s="135"/>
      <c r="N497" s="135"/>
      <c r="O497" s="135"/>
      <c r="P497" s="135"/>
      <c r="Q497" s="135"/>
      <c r="R497" s="135"/>
      <c r="S497" s="135"/>
      <c r="T497" s="135"/>
      <c r="U497" s="135"/>
      <c r="V497" s="135"/>
      <c r="W497" s="135"/>
      <c r="X497" s="135"/>
      <c r="Y497" s="135"/>
      <c r="Z497" s="135"/>
      <c r="AA497" s="135"/>
      <c r="AB497" s="135"/>
      <c r="AC497" s="135"/>
      <c r="AD497" s="135"/>
      <c r="AE497" s="135"/>
      <c r="AF497" s="135"/>
    </row>
    <row r="498">
      <c r="A498" s="135"/>
      <c r="B498" s="135"/>
      <c r="C498" s="135"/>
      <c r="D498" s="135"/>
      <c r="E498" s="135"/>
      <c r="F498" s="135"/>
      <c r="G498" s="135"/>
      <c r="H498" s="135"/>
      <c r="I498" s="135"/>
      <c r="J498" s="135"/>
      <c r="K498" s="135"/>
      <c r="L498" s="135"/>
      <c r="M498" s="135"/>
      <c r="N498" s="135"/>
      <c r="O498" s="135"/>
      <c r="P498" s="135"/>
      <c r="Q498" s="135"/>
      <c r="R498" s="135"/>
      <c r="S498" s="135"/>
      <c r="T498" s="135"/>
      <c r="U498" s="135"/>
      <c r="V498" s="135"/>
      <c r="W498" s="135"/>
      <c r="X498" s="135"/>
      <c r="Y498" s="135"/>
      <c r="Z498" s="135"/>
      <c r="AA498" s="135"/>
      <c r="AB498" s="135"/>
      <c r="AC498" s="135"/>
      <c r="AD498" s="135"/>
      <c r="AE498" s="135"/>
      <c r="AF498" s="135"/>
    </row>
    <row r="499">
      <c r="A499" s="135"/>
      <c r="B499" s="135"/>
      <c r="C499" s="135"/>
      <c r="D499" s="135"/>
      <c r="E499" s="135"/>
      <c r="F499" s="135"/>
      <c r="G499" s="135"/>
      <c r="H499" s="135"/>
      <c r="I499" s="135"/>
      <c r="J499" s="135"/>
      <c r="K499" s="135"/>
      <c r="L499" s="135"/>
      <c r="M499" s="135"/>
      <c r="N499" s="135"/>
      <c r="O499" s="135"/>
      <c r="P499" s="135"/>
      <c r="Q499" s="135"/>
      <c r="R499" s="135"/>
      <c r="S499" s="135"/>
      <c r="T499" s="135"/>
      <c r="U499" s="135"/>
      <c r="V499" s="135"/>
      <c r="W499" s="135"/>
      <c r="X499" s="135"/>
      <c r="Y499" s="135"/>
      <c r="Z499" s="135"/>
      <c r="AA499" s="135"/>
      <c r="AB499" s="135"/>
      <c r="AC499" s="135"/>
      <c r="AD499" s="135"/>
      <c r="AE499" s="135"/>
      <c r="AF499" s="135"/>
    </row>
    <row r="500">
      <c r="A500" s="135"/>
      <c r="B500" s="135"/>
      <c r="C500" s="135"/>
      <c r="D500" s="135"/>
      <c r="E500" s="135"/>
      <c r="F500" s="135"/>
      <c r="G500" s="135"/>
      <c r="H500" s="135"/>
      <c r="I500" s="135"/>
      <c r="J500" s="135"/>
      <c r="K500" s="135"/>
      <c r="L500" s="135"/>
      <c r="M500" s="135"/>
      <c r="N500" s="135"/>
      <c r="O500" s="135"/>
      <c r="P500" s="135"/>
      <c r="Q500" s="135"/>
      <c r="R500" s="135"/>
      <c r="S500" s="135"/>
      <c r="T500" s="135"/>
      <c r="U500" s="135"/>
      <c r="V500" s="135"/>
      <c r="W500" s="135"/>
      <c r="X500" s="135"/>
      <c r="Y500" s="135"/>
      <c r="Z500" s="135"/>
      <c r="AA500" s="135"/>
      <c r="AB500" s="135"/>
      <c r="AC500" s="135"/>
      <c r="AD500" s="135"/>
      <c r="AE500" s="135"/>
      <c r="AF500" s="135"/>
    </row>
    <row r="501">
      <c r="A501" s="135"/>
      <c r="B501" s="135"/>
      <c r="C501" s="135"/>
      <c r="D501" s="135"/>
      <c r="E501" s="135"/>
      <c r="F501" s="135"/>
      <c r="G501" s="135"/>
      <c r="H501" s="135"/>
      <c r="I501" s="135"/>
      <c r="J501" s="135"/>
      <c r="K501" s="135"/>
      <c r="L501" s="135"/>
      <c r="M501" s="135"/>
      <c r="N501" s="135"/>
      <c r="O501" s="135"/>
      <c r="P501" s="135"/>
      <c r="Q501" s="135"/>
      <c r="R501" s="135"/>
      <c r="S501" s="135"/>
      <c r="T501" s="135"/>
      <c r="U501" s="135"/>
      <c r="V501" s="135"/>
      <c r="W501" s="135"/>
      <c r="X501" s="135"/>
      <c r="Y501" s="135"/>
      <c r="Z501" s="135"/>
      <c r="AA501" s="135"/>
      <c r="AB501" s="135"/>
      <c r="AC501" s="135"/>
      <c r="AD501" s="135"/>
      <c r="AE501" s="135"/>
      <c r="AF501" s="135"/>
    </row>
    <row r="502">
      <c r="A502" s="135"/>
      <c r="B502" s="135"/>
      <c r="C502" s="135"/>
      <c r="D502" s="135"/>
      <c r="E502" s="135"/>
      <c r="F502" s="135"/>
      <c r="G502" s="135"/>
      <c r="H502" s="135"/>
      <c r="I502" s="135"/>
      <c r="J502" s="135"/>
      <c r="K502" s="135"/>
      <c r="L502" s="135"/>
      <c r="M502" s="135"/>
      <c r="N502" s="135"/>
      <c r="O502" s="135"/>
      <c r="P502" s="135"/>
      <c r="Q502" s="135"/>
      <c r="R502" s="135"/>
      <c r="S502" s="135"/>
      <c r="T502" s="135"/>
      <c r="U502" s="135"/>
      <c r="V502" s="135"/>
      <c r="W502" s="135"/>
      <c r="X502" s="135"/>
      <c r="Y502" s="135"/>
      <c r="Z502" s="135"/>
      <c r="AA502" s="135"/>
      <c r="AB502" s="135"/>
      <c r="AC502" s="135"/>
      <c r="AD502" s="135"/>
      <c r="AE502" s="135"/>
      <c r="AF502" s="135"/>
    </row>
    <row r="503">
      <c r="A503" s="135"/>
      <c r="B503" s="135"/>
      <c r="C503" s="135"/>
      <c r="D503" s="135"/>
      <c r="E503" s="135"/>
      <c r="F503" s="135"/>
      <c r="G503" s="135"/>
      <c r="H503" s="135"/>
      <c r="I503" s="135"/>
      <c r="J503" s="135"/>
      <c r="K503" s="135"/>
      <c r="L503" s="135"/>
      <c r="M503" s="135"/>
      <c r="N503" s="135"/>
      <c r="O503" s="135"/>
      <c r="P503" s="135"/>
      <c r="Q503" s="135"/>
      <c r="R503" s="135"/>
      <c r="S503" s="135"/>
      <c r="T503" s="135"/>
      <c r="U503" s="135"/>
      <c r="V503" s="135"/>
      <c r="W503" s="135"/>
      <c r="X503" s="135"/>
      <c r="Y503" s="135"/>
      <c r="Z503" s="135"/>
      <c r="AA503" s="135"/>
      <c r="AB503" s="135"/>
      <c r="AC503" s="135"/>
      <c r="AD503" s="135"/>
      <c r="AE503" s="135"/>
      <c r="AF503" s="135"/>
    </row>
    <row r="504">
      <c r="A504" s="135"/>
      <c r="B504" s="135"/>
      <c r="C504" s="135"/>
      <c r="D504" s="135"/>
      <c r="E504" s="135"/>
      <c r="F504" s="135"/>
      <c r="G504" s="135"/>
      <c r="H504" s="135"/>
      <c r="I504" s="135"/>
      <c r="J504" s="135"/>
      <c r="K504" s="135"/>
      <c r="L504" s="135"/>
      <c r="M504" s="135"/>
      <c r="N504" s="135"/>
      <c r="O504" s="135"/>
      <c r="P504" s="135"/>
      <c r="Q504" s="135"/>
      <c r="R504" s="135"/>
      <c r="S504" s="135"/>
      <c r="T504" s="135"/>
      <c r="U504" s="135"/>
      <c r="V504" s="135"/>
      <c r="W504" s="135"/>
      <c r="X504" s="135"/>
      <c r="Y504" s="135"/>
      <c r="Z504" s="135"/>
      <c r="AA504" s="135"/>
      <c r="AB504" s="135"/>
      <c r="AC504" s="135"/>
      <c r="AD504" s="135"/>
      <c r="AE504" s="135"/>
      <c r="AF504" s="135"/>
    </row>
    <row r="505">
      <c r="A505" s="135"/>
      <c r="B505" s="135"/>
      <c r="C505" s="135"/>
      <c r="D505" s="135"/>
      <c r="E505" s="135"/>
      <c r="F505" s="135"/>
      <c r="G505" s="135"/>
      <c r="H505" s="135"/>
      <c r="I505" s="135"/>
      <c r="J505" s="135"/>
      <c r="K505" s="135"/>
      <c r="L505" s="135"/>
      <c r="M505" s="135"/>
      <c r="N505" s="135"/>
      <c r="O505" s="135"/>
      <c r="P505" s="135"/>
      <c r="Q505" s="135"/>
      <c r="R505" s="135"/>
      <c r="S505" s="135"/>
      <c r="T505" s="135"/>
      <c r="U505" s="135"/>
      <c r="V505" s="135"/>
      <c r="W505" s="135"/>
      <c r="X505" s="135"/>
      <c r="Y505" s="135"/>
      <c r="Z505" s="135"/>
      <c r="AA505" s="135"/>
      <c r="AB505" s="135"/>
      <c r="AC505" s="135"/>
      <c r="AD505" s="135"/>
      <c r="AE505" s="135"/>
      <c r="AF505" s="135"/>
    </row>
    <row r="506">
      <c r="A506" s="135"/>
      <c r="B506" s="135"/>
      <c r="C506" s="135"/>
      <c r="D506" s="135"/>
      <c r="E506" s="135"/>
      <c r="F506" s="135"/>
      <c r="G506" s="135"/>
      <c r="H506" s="135"/>
      <c r="I506" s="135"/>
      <c r="J506" s="135"/>
      <c r="K506" s="135"/>
      <c r="L506" s="135"/>
      <c r="M506" s="135"/>
      <c r="N506" s="135"/>
      <c r="O506" s="135"/>
      <c r="P506" s="135"/>
      <c r="Q506" s="135"/>
      <c r="R506" s="135"/>
      <c r="S506" s="135"/>
      <c r="T506" s="135"/>
      <c r="U506" s="135"/>
      <c r="V506" s="135"/>
      <c r="W506" s="135"/>
      <c r="X506" s="135"/>
      <c r="Y506" s="135"/>
      <c r="Z506" s="135"/>
      <c r="AA506" s="135"/>
      <c r="AB506" s="135"/>
      <c r="AC506" s="135"/>
      <c r="AD506" s="135"/>
      <c r="AE506" s="135"/>
      <c r="AF506" s="135"/>
    </row>
    <row r="507">
      <c r="A507" s="135"/>
      <c r="B507" s="135"/>
      <c r="C507" s="135"/>
      <c r="D507" s="135"/>
      <c r="E507" s="135"/>
      <c r="F507" s="135"/>
      <c r="G507" s="135"/>
      <c r="H507" s="135"/>
      <c r="I507" s="135"/>
      <c r="J507" s="135"/>
      <c r="K507" s="135"/>
      <c r="L507" s="135"/>
      <c r="M507" s="135"/>
      <c r="N507" s="135"/>
      <c r="O507" s="135"/>
      <c r="P507" s="135"/>
      <c r="Q507" s="135"/>
      <c r="R507" s="135"/>
      <c r="S507" s="135"/>
      <c r="T507" s="135"/>
      <c r="U507" s="135"/>
      <c r="V507" s="135"/>
      <c r="W507" s="135"/>
      <c r="X507" s="135"/>
      <c r="Y507" s="135"/>
      <c r="Z507" s="135"/>
      <c r="AA507" s="135"/>
      <c r="AB507" s="135"/>
      <c r="AC507" s="135"/>
      <c r="AD507" s="135"/>
      <c r="AE507" s="135"/>
      <c r="AF507" s="135"/>
    </row>
    <row r="508">
      <c r="A508" s="135"/>
      <c r="B508" s="135"/>
      <c r="C508" s="135"/>
      <c r="D508" s="135"/>
      <c r="E508" s="135"/>
      <c r="F508" s="135"/>
      <c r="G508" s="135"/>
      <c r="H508" s="135"/>
      <c r="I508" s="135"/>
      <c r="J508" s="135"/>
      <c r="K508" s="135"/>
      <c r="L508" s="135"/>
      <c r="M508" s="135"/>
      <c r="N508" s="135"/>
      <c r="O508" s="135"/>
      <c r="P508" s="135"/>
      <c r="Q508" s="135"/>
      <c r="R508" s="135"/>
      <c r="S508" s="135"/>
      <c r="T508" s="135"/>
      <c r="U508" s="135"/>
      <c r="V508" s="135"/>
      <c r="W508" s="135"/>
      <c r="X508" s="135"/>
      <c r="Y508" s="135"/>
      <c r="Z508" s="135"/>
      <c r="AA508" s="135"/>
      <c r="AB508" s="135"/>
      <c r="AC508" s="135"/>
      <c r="AD508" s="135"/>
      <c r="AE508" s="135"/>
      <c r="AF508" s="135"/>
    </row>
    <row r="509">
      <c r="A509" s="135"/>
      <c r="B509" s="135"/>
      <c r="C509" s="135"/>
      <c r="D509" s="135"/>
      <c r="E509" s="135"/>
      <c r="F509" s="135"/>
      <c r="G509" s="135"/>
      <c r="H509" s="135"/>
      <c r="I509" s="135"/>
      <c r="J509" s="135"/>
      <c r="K509" s="135"/>
      <c r="L509" s="135"/>
      <c r="M509" s="135"/>
      <c r="N509" s="135"/>
      <c r="O509" s="135"/>
      <c r="P509" s="135"/>
      <c r="Q509" s="135"/>
      <c r="R509" s="135"/>
      <c r="S509" s="135"/>
      <c r="T509" s="135"/>
      <c r="U509" s="135"/>
      <c r="V509" s="135"/>
      <c r="W509" s="135"/>
      <c r="X509" s="135"/>
      <c r="Y509" s="135"/>
      <c r="Z509" s="135"/>
      <c r="AA509" s="135"/>
      <c r="AB509" s="135"/>
      <c r="AC509" s="135"/>
      <c r="AD509" s="135"/>
      <c r="AE509" s="135"/>
      <c r="AF509" s="135"/>
    </row>
    <row r="510">
      <c r="A510" s="135"/>
      <c r="B510" s="135"/>
      <c r="C510" s="135"/>
      <c r="D510" s="135"/>
      <c r="E510" s="135"/>
      <c r="F510" s="135"/>
      <c r="G510" s="135"/>
      <c r="H510" s="135"/>
      <c r="I510" s="135"/>
      <c r="J510" s="135"/>
      <c r="K510" s="135"/>
      <c r="L510" s="135"/>
      <c r="M510" s="135"/>
      <c r="N510" s="135"/>
      <c r="O510" s="135"/>
      <c r="P510" s="135"/>
      <c r="Q510" s="135"/>
      <c r="R510" s="135"/>
      <c r="S510" s="135"/>
      <c r="T510" s="135"/>
      <c r="U510" s="135"/>
      <c r="V510" s="135"/>
      <c r="W510" s="135"/>
      <c r="X510" s="135"/>
      <c r="Y510" s="135"/>
      <c r="Z510" s="135"/>
      <c r="AA510" s="135"/>
      <c r="AB510" s="135"/>
      <c r="AC510" s="135"/>
      <c r="AD510" s="135"/>
      <c r="AE510" s="135"/>
      <c r="AF510" s="135"/>
    </row>
    <row r="511">
      <c r="A511" s="135"/>
      <c r="B511" s="135"/>
      <c r="C511" s="135"/>
      <c r="D511" s="135"/>
      <c r="E511" s="135"/>
      <c r="F511" s="135"/>
      <c r="G511" s="135"/>
      <c r="H511" s="135"/>
      <c r="I511" s="135"/>
      <c r="J511" s="135"/>
      <c r="K511" s="135"/>
      <c r="L511" s="135"/>
      <c r="M511" s="135"/>
      <c r="N511" s="135"/>
      <c r="O511" s="135"/>
      <c r="P511" s="135"/>
      <c r="Q511" s="135"/>
      <c r="R511" s="135"/>
      <c r="S511" s="135"/>
      <c r="T511" s="135"/>
      <c r="U511" s="135"/>
      <c r="V511" s="135"/>
      <c r="W511" s="135"/>
      <c r="X511" s="135"/>
      <c r="Y511" s="135"/>
      <c r="Z511" s="135"/>
      <c r="AA511" s="135"/>
      <c r="AB511" s="135"/>
      <c r="AC511" s="135"/>
      <c r="AD511" s="135"/>
      <c r="AE511" s="135"/>
      <c r="AF511" s="135"/>
    </row>
    <row r="512">
      <c r="A512" s="135"/>
      <c r="B512" s="135"/>
      <c r="C512" s="135"/>
      <c r="D512" s="135"/>
      <c r="E512" s="135"/>
      <c r="F512" s="135"/>
      <c r="G512" s="135"/>
      <c r="H512" s="135"/>
      <c r="I512" s="135"/>
      <c r="J512" s="135"/>
      <c r="K512" s="135"/>
      <c r="L512" s="135"/>
      <c r="M512" s="135"/>
      <c r="N512" s="135"/>
      <c r="O512" s="135"/>
      <c r="P512" s="135"/>
      <c r="Q512" s="135"/>
      <c r="R512" s="135"/>
      <c r="S512" s="135"/>
      <c r="T512" s="135"/>
      <c r="U512" s="135"/>
      <c r="V512" s="135"/>
      <c r="W512" s="135"/>
      <c r="X512" s="135"/>
      <c r="Y512" s="135"/>
      <c r="Z512" s="135"/>
      <c r="AA512" s="135"/>
      <c r="AB512" s="135"/>
      <c r="AC512" s="135"/>
      <c r="AD512" s="135"/>
      <c r="AE512" s="135"/>
      <c r="AF512" s="135"/>
    </row>
    <row r="513">
      <c r="A513" s="135"/>
      <c r="B513" s="135"/>
      <c r="C513" s="135"/>
      <c r="D513" s="135"/>
      <c r="E513" s="135"/>
      <c r="F513" s="135"/>
      <c r="G513" s="135"/>
      <c r="H513" s="135"/>
      <c r="I513" s="135"/>
      <c r="J513" s="135"/>
      <c r="K513" s="135"/>
      <c r="L513" s="135"/>
      <c r="M513" s="135"/>
      <c r="N513" s="135"/>
      <c r="O513" s="135"/>
      <c r="P513" s="135"/>
      <c r="Q513" s="135"/>
      <c r="R513" s="135"/>
      <c r="S513" s="135"/>
      <c r="T513" s="135"/>
      <c r="U513" s="135"/>
      <c r="V513" s="135"/>
      <c r="W513" s="135"/>
      <c r="X513" s="135"/>
      <c r="Y513" s="135"/>
      <c r="Z513" s="135"/>
      <c r="AA513" s="135"/>
      <c r="AB513" s="135"/>
      <c r="AC513" s="135"/>
      <c r="AD513" s="135"/>
      <c r="AE513" s="135"/>
      <c r="AF513" s="135"/>
    </row>
    <row r="514">
      <c r="A514" s="135"/>
      <c r="B514" s="135"/>
      <c r="C514" s="135"/>
      <c r="D514" s="135"/>
      <c r="E514" s="135"/>
      <c r="F514" s="135"/>
      <c r="G514" s="135"/>
      <c r="H514" s="135"/>
      <c r="I514" s="135"/>
      <c r="J514" s="135"/>
      <c r="K514" s="135"/>
      <c r="L514" s="135"/>
      <c r="M514" s="135"/>
      <c r="N514" s="135"/>
      <c r="O514" s="135"/>
      <c r="P514" s="135"/>
      <c r="Q514" s="135"/>
      <c r="R514" s="135"/>
      <c r="S514" s="135"/>
      <c r="T514" s="135"/>
      <c r="U514" s="135"/>
      <c r="V514" s="135"/>
      <c r="W514" s="135"/>
      <c r="X514" s="135"/>
      <c r="Y514" s="135"/>
      <c r="Z514" s="135"/>
      <c r="AA514" s="135"/>
      <c r="AB514" s="135"/>
      <c r="AC514" s="135"/>
      <c r="AD514" s="135"/>
      <c r="AE514" s="135"/>
      <c r="AF514" s="135"/>
    </row>
    <row r="515">
      <c r="A515" s="135"/>
      <c r="B515" s="135"/>
      <c r="C515" s="135"/>
      <c r="D515" s="135"/>
      <c r="E515" s="135"/>
      <c r="F515" s="135"/>
      <c r="G515" s="135"/>
      <c r="H515" s="135"/>
      <c r="I515" s="135"/>
      <c r="J515" s="135"/>
      <c r="K515" s="135"/>
      <c r="L515" s="135"/>
      <c r="M515" s="135"/>
      <c r="N515" s="135"/>
      <c r="O515" s="135"/>
      <c r="P515" s="135"/>
      <c r="Q515" s="135"/>
      <c r="R515" s="135"/>
      <c r="S515" s="135"/>
      <c r="T515" s="135"/>
      <c r="U515" s="135"/>
      <c r="V515" s="135"/>
      <c r="W515" s="135"/>
      <c r="X515" s="135"/>
      <c r="Y515" s="135"/>
      <c r="Z515" s="135"/>
      <c r="AA515" s="135"/>
      <c r="AB515" s="135"/>
      <c r="AC515" s="135"/>
      <c r="AD515" s="135"/>
      <c r="AE515" s="135"/>
      <c r="AF515" s="135"/>
    </row>
    <row r="516">
      <c r="A516" s="135"/>
      <c r="B516" s="135"/>
      <c r="C516" s="135"/>
      <c r="D516" s="135"/>
      <c r="E516" s="135"/>
      <c r="F516" s="135"/>
      <c r="G516" s="135"/>
      <c r="H516" s="135"/>
      <c r="I516" s="135"/>
      <c r="J516" s="135"/>
      <c r="K516" s="135"/>
      <c r="L516" s="135"/>
      <c r="M516" s="135"/>
      <c r="N516" s="135"/>
      <c r="O516" s="135"/>
      <c r="P516" s="135"/>
      <c r="Q516" s="135"/>
      <c r="R516" s="135"/>
      <c r="S516" s="135"/>
      <c r="T516" s="135"/>
      <c r="U516" s="135"/>
      <c r="V516" s="135"/>
      <c r="W516" s="135"/>
      <c r="X516" s="135"/>
      <c r="Y516" s="135"/>
      <c r="Z516" s="135"/>
      <c r="AA516" s="135"/>
      <c r="AB516" s="135"/>
      <c r="AC516" s="135"/>
      <c r="AD516" s="135"/>
      <c r="AE516" s="135"/>
      <c r="AF516" s="135"/>
    </row>
    <row r="517">
      <c r="A517" s="135"/>
      <c r="B517" s="135"/>
      <c r="C517" s="135"/>
      <c r="D517" s="135"/>
      <c r="E517" s="135"/>
      <c r="F517" s="135"/>
      <c r="G517" s="135"/>
      <c r="H517" s="135"/>
      <c r="I517" s="135"/>
      <c r="J517" s="135"/>
      <c r="K517" s="135"/>
      <c r="L517" s="135"/>
      <c r="M517" s="135"/>
      <c r="N517" s="135"/>
      <c r="O517" s="135"/>
      <c r="P517" s="135"/>
      <c r="Q517" s="135"/>
      <c r="R517" s="135"/>
      <c r="S517" s="135"/>
      <c r="T517" s="135"/>
      <c r="U517" s="135"/>
      <c r="V517" s="135"/>
      <c r="W517" s="135"/>
      <c r="X517" s="135"/>
      <c r="Y517" s="135"/>
      <c r="Z517" s="135"/>
      <c r="AA517" s="135"/>
      <c r="AB517" s="135"/>
      <c r="AC517" s="135"/>
      <c r="AD517" s="135"/>
      <c r="AE517" s="135"/>
      <c r="AF517" s="135"/>
    </row>
    <row r="518">
      <c r="A518" s="135"/>
      <c r="B518" s="135"/>
      <c r="C518" s="135"/>
      <c r="D518" s="135"/>
      <c r="E518" s="135"/>
      <c r="F518" s="135"/>
      <c r="G518" s="135"/>
      <c r="H518" s="135"/>
      <c r="I518" s="135"/>
      <c r="J518" s="135"/>
      <c r="K518" s="135"/>
      <c r="L518" s="135"/>
      <c r="M518" s="135"/>
      <c r="N518" s="135"/>
      <c r="O518" s="135"/>
      <c r="P518" s="135"/>
      <c r="Q518" s="135"/>
      <c r="R518" s="135"/>
      <c r="S518" s="135"/>
      <c r="T518" s="135"/>
      <c r="U518" s="135"/>
      <c r="V518" s="135"/>
      <c r="W518" s="135"/>
      <c r="X518" s="135"/>
      <c r="Y518" s="135"/>
      <c r="Z518" s="135"/>
      <c r="AA518" s="135"/>
      <c r="AB518" s="135"/>
      <c r="AC518" s="135"/>
      <c r="AD518" s="135"/>
      <c r="AE518" s="135"/>
      <c r="AF518" s="135"/>
    </row>
    <row r="519">
      <c r="A519" s="135"/>
      <c r="B519" s="135"/>
      <c r="C519" s="135"/>
      <c r="D519" s="135"/>
      <c r="E519" s="135"/>
      <c r="F519" s="135"/>
      <c r="G519" s="135"/>
      <c r="H519" s="135"/>
      <c r="I519" s="135"/>
      <c r="J519" s="135"/>
      <c r="K519" s="135"/>
      <c r="L519" s="135"/>
      <c r="M519" s="135"/>
      <c r="N519" s="135"/>
      <c r="O519" s="135"/>
      <c r="P519" s="135"/>
      <c r="Q519" s="135"/>
      <c r="R519" s="135"/>
      <c r="S519" s="135"/>
      <c r="T519" s="135"/>
      <c r="U519" s="135"/>
      <c r="V519" s="135"/>
      <c r="W519" s="135"/>
      <c r="X519" s="135"/>
      <c r="Y519" s="135"/>
      <c r="Z519" s="135"/>
      <c r="AA519" s="135"/>
      <c r="AB519" s="135"/>
      <c r="AC519" s="135"/>
      <c r="AD519" s="135"/>
      <c r="AE519" s="135"/>
      <c r="AF519" s="135"/>
    </row>
    <row r="520">
      <c r="A520" s="135"/>
      <c r="B520" s="135"/>
      <c r="C520" s="135"/>
      <c r="D520" s="135"/>
      <c r="E520" s="135"/>
      <c r="F520" s="135"/>
      <c r="G520" s="135"/>
      <c r="H520" s="135"/>
      <c r="I520" s="135"/>
      <c r="J520" s="135"/>
      <c r="K520" s="135"/>
      <c r="L520" s="135"/>
      <c r="M520" s="135"/>
      <c r="N520" s="135"/>
      <c r="O520" s="135"/>
      <c r="P520" s="135"/>
      <c r="Q520" s="135"/>
      <c r="R520" s="135"/>
      <c r="S520" s="135"/>
      <c r="T520" s="135"/>
      <c r="U520" s="135"/>
      <c r="V520" s="135"/>
      <c r="W520" s="135"/>
      <c r="X520" s="135"/>
      <c r="Y520" s="135"/>
      <c r="Z520" s="135"/>
      <c r="AA520" s="135"/>
      <c r="AB520" s="135"/>
      <c r="AC520" s="135"/>
      <c r="AD520" s="135"/>
      <c r="AE520" s="135"/>
      <c r="AF520" s="135"/>
    </row>
    <row r="521">
      <c r="A521" s="135"/>
      <c r="B521" s="135"/>
      <c r="C521" s="135"/>
      <c r="D521" s="135"/>
      <c r="E521" s="135"/>
      <c r="F521" s="135"/>
      <c r="G521" s="135"/>
      <c r="H521" s="135"/>
      <c r="I521" s="135"/>
      <c r="J521" s="135"/>
      <c r="K521" s="135"/>
      <c r="L521" s="135"/>
      <c r="M521" s="135"/>
      <c r="N521" s="135"/>
      <c r="O521" s="135"/>
      <c r="P521" s="135"/>
      <c r="Q521" s="135"/>
      <c r="R521" s="135"/>
      <c r="S521" s="135"/>
      <c r="T521" s="135"/>
      <c r="U521" s="135"/>
      <c r="V521" s="135"/>
      <c r="W521" s="135"/>
      <c r="X521" s="135"/>
      <c r="Y521" s="135"/>
      <c r="Z521" s="135"/>
      <c r="AA521" s="135"/>
      <c r="AB521" s="135"/>
      <c r="AC521" s="135"/>
      <c r="AD521" s="135"/>
      <c r="AE521" s="135"/>
      <c r="AF521" s="135"/>
    </row>
    <row r="522">
      <c r="A522" s="135"/>
      <c r="B522" s="135"/>
      <c r="C522" s="135"/>
      <c r="D522" s="135"/>
      <c r="E522" s="135"/>
      <c r="F522" s="135"/>
      <c r="G522" s="135"/>
      <c r="H522" s="135"/>
      <c r="I522" s="135"/>
      <c r="J522" s="135"/>
      <c r="K522" s="135"/>
      <c r="L522" s="135"/>
      <c r="M522" s="135"/>
      <c r="N522" s="135"/>
      <c r="O522" s="135"/>
      <c r="P522" s="135"/>
      <c r="Q522" s="135"/>
      <c r="R522" s="135"/>
      <c r="S522" s="135"/>
      <c r="T522" s="135"/>
      <c r="U522" s="135"/>
      <c r="V522" s="135"/>
      <c r="W522" s="135"/>
      <c r="X522" s="135"/>
      <c r="Y522" s="135"/>
      <c r="Z522" s="135"/>
      <c r="AA522" s="135"/>
      <c r="AB522" s="135"/>
      <c r="AC522" s="135"/>
      <c r="AD522" s="135"/>
      <c r="AE522" s="135"/>
      <c r="AF522" s="135"/>
    </row>
    <row r="523">
      <c r="A523" s="135"/>
      <c r="B523" s="135"/>
      <c r="C523" s="135"/>
      <c r="D523" s="135"/>
      <c r="E523" s="135"/>
      <c r="F523" s="135"/>
      <c r="G523" s="135"/>
      <c r="H523" s="135"/>
      <c r="I523" s="135"/>
      <c r="J523" s="135"/>
      <c r="K523" s="135"/>
      <c r="L523" s="135"/>
      <c r="M523" s="135"/>
      <c r="N523" s="135"/>
      <c r="O523" s="135"/>
      <c r="P523" s="135"/>
      <c r="Q523" s="135"/>
      <c r="R523" s="135"/>
      <c r="S523" s="135"/>
      <c r="T523" s="135"/>
      <c r="U523" s="135"/>
      <c r="V523" s="135"/>
      <c r="W523" s="135"/>
      <c r="X523" s="135"/>
      <c r="Y523" s="135"/>
      <c r="Z523" s="135"/>
      <c r="AA523" s="135"/>
      <c r="AB523" s="135"/>
      <c r="AC523" s="135"/>
      <c r="AD523" s="135"/>
      <c r="AE523" s="135"/>
      <c r="AF523" s="135"/>
    </row>
    <row r="524">
      <c r="A524" s="135"/>
      <c r="B524" s="135"/>
      <c r="C524" s="135"/>
      <c r="D524" s="135"/>
      <c r="E524" s="135"/>
      <c r="F524" s="135"/>
      <c r="G524" s="135"/>
      <c r="H524" s="135"/>
      <c r="I524" s="135"/>
      <c r="J524" s="135"/>
      <c r="K524" s="135"/>
      <c r="L524" s="135"/>
      <c r="M524" s="135"/>
      <c r="N524" s="135"/>
      <c r="O524" s="135"/>
      <c r="P524" s="135"/>
      <c r="Q524" s="135"/>
      <c r="R524" s="135"/>
      <c r="S524" s="135"/>
      <c r="T524" s="135"/>
      <c r="U524" s="135"/>
      <c r="V524" s="135"/>
      <c r="W524" s="135"/>
      <c r="X524" s="135"/>
      <c r="Y524" s="135"/>
      <c r="Z524" s="135"/>
      <c r="AA524" s="135"/>
      <c r="AB524" s="135"/>
      <c r="AC524" s="135"/>
      <c r="AD524" s="135"/>
      <c r="AE524" s="135"/>
      <c r="AF524" s="135"/>
    </row>
    <row r="525">
      <c r="A525" s="135"/>
      <c r="B525" s="135"/>
      <c r="C525" s="135"/>
      <c r="D525" s="135"/>
      <c r="E525" s="135"/>
      <c r="F525" s="135"/>
      <c r="G525" s="135"/>
      <c r="H525" s="135"/>
      <c r="I525" s="135"/>
      <c r="J525" s="135"/>
      <c r="K525" s="135"/>
      <c r="L525" s="135"/>
      <c r="M525" s="135"/>
      <c r="N525" s="135"/>
      <c r="O525" s="135"/>
      <c r="P525" s="135"/>
      <c r="Q525" s="135"/>
      <c r="R525" s="135"/>
      <c r="S525" s="135"/>
      <c r="T525" s="135"/>
      <c r="U525" s="135"/>
      <c r="V525" s="135"/>
      <c r="W525" s="135"/>
      <c r="X525" s="135"/>
      <c r="Y525" s="135"/>
      <c r="Z525" s="135"/>
      <c r="AA525" s="135"/>
      <c r="AB525" s="135"/>
      <c r="AC525" s="135"/>
      <c r="AD525" s="135"/>
      <c r="AE525" s="135"/>
      <c r="AF525" s="135"/>
    </row>
    <row r="526">
      <c r="A526" s="135"/>
      <c r="B526" s="135"/>
      <c r="C526" s="135"/>
      <c r="D526" s="135"/>
      <c r="E526" s="135"/>
      <c r="F526" s="135"/>
      <c r="G526" s="135"/>
      <c r="H526" s="135"/>
      <c r="I526" s="135"/>
      <c r="J526" s="135"/>
      <c r="K526" s="135"/>
      <c r="L526" s="135"/>
      <c r="M526" s="135"/>
      <c r="N526" s="135"/>
      <c r="O526" s="135"/>
      <c r="P526" s="135"/>
      <c r="Q526" s="135"/>
      <c r="R526" s="135"/>
      <c r="S526" s="135"/>
      <c r="T526" s="135"/>
      <c r="U526" s="135"/>
      <c r="V526" s="135"/>
      <c r="W526" s="135"/>
      <c r="X526" s="135"/>
      <c r="Y526" s="135"/>
      <c r="Z526" s="135"/>
      <c r="AA526" s="135"/>
      <c r="AB526" s="135"/>
      <c r="AC526" s="135"/>
      <c r="AD526" s="135"/>
      <c r="AE526" s="135"/>
      <c r="AF526" s="135"/>
    </row>
    <row r="527">
      <c r="A527" s="135"/>
      <c r="B527" s="135"/>
      <c r="C527" s="135"/>
      <c r="D527" s="135"/>
      <c r="E527" s="135"/>
      <c r="F527" s="135"/>
      <c r="G527" s="135"/>
      <c r="H527" s="135"/>
      <c r="I527" s="135"/>
      <c r="J527" s="135"/>
      <c r="K527" s="135"/>
      <c r="L527" s="135"/>
      <c r="M527" s="135"/>
      <c r="N527" s="135"/>
      <c r="O527" s="135"/>
      <c r="P527" s="135"/>
      <c r="Q527" s="135"/>
      <c r="R527" s="135"/>
      <c r="S527" s="135"/>
      <c r="T527" s="135"/>
      <c r="U527" s="135"/>
      <c r="V527" s="135"/>
      <c r="W527" s="135"/>
      <c r="X527" s="135"/>
      <c r="Y527" s="135"/>
      <c r="Z527" s="135"/>
      <c r="AA527" s="135"/>
      <c r="AB527" s="135"/>
      <c r="AC527" s="135"/>
      <c r="AD527" s="135"/>
      <c r="AE527" s="135"/>
      <c r="AF527" s="135"/>
    </row>
    <row r="528">
      <c r="A528" s="135"/>
      <c r="B528" s="135"/>
      <c r="C528" s="135"/>
      <c r="D528" s="135"/>
      <c r="E528" s="135"/>
      <c r="F528" s="135"/>
      <c r="G528" s="135"/>
      <c r="H528" s="135"/>
      <c r="I528" s="135"/>
      <c r="J528" s="135"/>
      <c r="K528" s="135"/>
      <c r="L528" s="135"/>
      <c r="M528" s="135"/>
      <c r="N528" s="135"/>
      <c r="O528" s="135"/>
      <c r="P528" s="135"/>
      <c r="Q528" s="135"/>
      <c r="R528" s="135"/>
      <c r="S528" s="135"/>
      <c r="T528" s="135"/>
      <c r="U528" s="135"/>
      <c r="V528" s="135"/>
      <c r="W528" s="135"/>
      <c r="X528" s="135"/>
      <c r="Y528" s="135"/>
      <c r="Z528" s="135"/>
      <c r="AA528" s="135"/>
      <c r="AB528" s="135"/>
      <c r="AC528" s="135"/>
      <c r="AD528" s="135"/>
      <c r="AE528" s="135"/>
      <c r="AF528" s="135"/>
    </row>
    <row r="529">
      <c r="A529" s="135"/>
      <c r="B529" s="135"/>
      <c r="C529" s="135"/>
      <c r="D529" s="135"/>
      <c r="E529" s="135"/>
      <c r="F529" s="135"/>
      <c r="G529" s="135"/>
      <c r="H529" s="135"/>
      <c r="I529" s="135"/>
      <c r="J529" s="135"/>
      <c r="K529" s="135"/>
      <c r="L529" s="135"/>
      <c r="M529" s="135"/>
      <c r="N529" s="135"/>
      <c r="O529" s="135"/>
      <c r="P529" s="135"/>
      <c r="Q529" s="135"/>
      <c r="R529" s="135"/>
      <c r="S529" s="135"/>
      <c r="T529" s="135"/>
      <c r="U529" s="135"/>
      <c r="V529" s="135"/>
      <c r="W529" s="135"/>
      <c r="X529" s="135"/>
      <c r="Y529" s="135"/>
      <c r="Z529" s="135"/>
      <c r="AA529" s="135"/>
      <c r="AB529" s="135"/>
      <c r="AC529" s="135"/>
      <c r="AD529" s="135"/>
      <c r="AE529" s="135"/>
      <c r="AF529" s="135"/>
    </row>
    <row r="530">
      <c r="A530" s="135"/>
      <c r="B530" s="135"/>
      <c r="C530" s="135"/>
      <c r="D530" s="135"/>
      <c r="E530" s="135"/>
      <c r="F530" s="135"/>
      <c r="G530" s="135"/>
      <c r="H530" s="135"/>
      <c r="I530" s="135"/>
      <c r="J530" s="135"/>
      <c r="K530" s="135"/>
      <c r="L530" s="135"/>
      <c r="M530" s="135"/>
      <c r="N530" s="135"/>
      <c r="O530" s="135"/>
      <c r="P530" s="135"/>
      <c r="Q530" s="135"/>
      <c r="R530" s="135"/>
      <c r="S530" s="135"/>
      <c r="T530" s="135"/>
      <c r="U530" s="135"/>
      <c r="V530" s="135"/>
      <c r="W530" s="135"/>
      <c r="X530" s="135"/>
      <c r="Y530" s="135"/>
      <c r="Z530" s="135"/>
      <c r="AA530" s="135"/>
      <c r="AB530" s="135"/>
      <c r="AC530" s="135"/>
      <c r="AD530" s="135"/>
      <c r="AE530" s="135"/>
      <c r="AF530" s="135"/>
    </row>
    <row r="531">
      <c r="A531" s="135"/>
      <c r="B531" s="135"/>
      <c r="C531" s="135"/>
      <c r="D531" s="135"/>
      <c r="E531" s="135"/>
      <c r="F531" s="135"/>
      <c r="G531" s="135"/>
      <c r="H531" s="135"/>
      <c r="I531" s="135"/>
      <c r="J531" s="135"/>
      <c r="K531" s="135"/>
      <c r="L531" s="135"/>
      <c r="M531" s="135"/>
      <c r="N531" s="135"/>
      <c r="O531" s="135"/>
      <c r="P531" s="135"/>
      <c r="Q531" s="135"/>
      <c r="R531" s="135"/>
      <c r="S531" s="135"/>
      <c r="T531" s="135"/>
      <c r="U531" s="135"/>
      <c r="V531" s="135"/>
      <c r="W531" s="135"/>
      <c r="X531" s="135"/>
      <c r="Y531" s="135"/>
      <c r="Z531" s="135"/>
      <c r="AA531" s="135"/>
      <c r="AB531" s="135"/>
      <c r="AC531" s="135"/>
      <c r="AD531" s="135"/>
      <c r="AE531" s="135"/>
      <c r="AF531" s="135"/>
    </row>
    <row r="532">
      <c r="A532" s="135"/>
      <c r="B532" s="135"/>
      <c r="C532" s="135"/>
      <c r="D532" s="135"/>
      <c r="E532" s="135"/>
      <c r="F532" s="135"/>
      <c r="G532" s="135"/>
      <c r="H532" s="135"/>
      <c r="I532" s="135"/>
      <c r="J532" s="135"/>
      <c r="K532" s="135"/>
      <c r="L532" s="135"/>
      <c r="M532" s="135"/>
      <c r="N532" s="135"/>
      <c r="O532" s="135"/>
      <c r="P532" s="135"/>
      <c r="Q532" s="135"/>
      <c r="R532" s="135"/>
      <c r="S532" s="135"/>
      <c r="T532" s="135"/>
      <c r="U532" s="135"/>
      <c r="V532" s="135"/>
      <c r="W532" s="135"/>
      <c r="X532" s="135"/>
      <c r="Y532" s="135"/>
      <c r="Z532" s="135"/>
      <c r="AA532" s="135"/>
      <c r="AB532" s="135"/>
      <c r="AC532" s="135"/>
      <c r="AD532" s="135"/>
      <c r="AE532" s="135"/>
      <c r="AF532" s="135"/>
    </row>
    <row r="533">
      <c r="A533" s="135"/>
      <c r="B533" s="135"/>
      <c r="C533" s="135"/>
      <c r="D533" s="135"/>
      <c r="E533" s="135"/>
      <c r="F533" s="135"/>
      <c r="G533" s="135"/>
      <c r="H533" s="135"/>
      <c r="I533" s="135"/>
      <c r="J533" s="135"/>
      <c r="K533" s="135"/>
      <c r="L533" s="135"/>
      <c r="M533" s="135"/>
      <c r="N533" s="135"/>
      <c r="O533" s="135"/>
      <c r="P533" s="135"/>
      <c r="Q533" s="135"/>
      <c r="R533" s="135"/>
      <c r="S533" s="135"/>
      <c r="T533" s="135"/>
      <c r="U533" s="135"/>
      <c r="V533" s="135"/>
      <c r="W533" s="135"/>
      <c r="X533" s="135"/>
      <c r="Y533" s="135"/>
      <c r="Z533" s="135"/>
      <c r="AA533" s="135"/>
      <c r="AB533" s="135"/>
      <c r="AC533" s="135"/>
      <c r="AD533" s="135"/>
      <c r="AE533" s="135"/>
      <c r="AF533" s="135"/>
    </row>
    <row r="534">
      <c r="A534" s="135"/>
      <c r="B534" s="135"/>
      <c r="C534" s="135"/>
      <c r="D534" s="135"/>
      <c r="E534" s="135"/>
      <c r="F534" s="135"/>
      <c r="G534" s="135"/>
      <c r="H534" s="135"/>
      <c r="I534" s="135"/>
      <c r="J534" s="135"/>
      <c r="K534" s="135"/>
      <c r="L534" s="135"/>
      <c r="M534" s="135"/>
      <c r="N534" s="135"/>
      <c r="O534" s="135"/>
      <c r="P534" s="135"/>
      <c r="Q534" s="135"/>
      <c r="R534" s="135"/>
      <c r="S534" s="135"/>
      <c r="T534" s="135"/>
      <c r="U534" s="135"/>
      <c r="V534" s="135"/>
      <c r="W534" s="135"/>
      <c r="X534" s="135"/>
      <c r="Y534" s="135"/>
      <c r="Z534" s="135"/>
      <c r="AA534" s="135"/>
      <c r="AB534" s="135"/>
      <c r="AC534" s="135"/>
      <c r="AD534" s="135"/>
      <c r="AE534" s="135"/>
      <c r="AF534" s="135"/>
    </row>
    <row r="535">
      <c r="A535" s="135"/>
      <c r="B535" s="135"/>
      <c r="C535" s="135"/>
      <c r="D535" s="135"/>
      <c r="E535" s="135"/>
      <c r="F535" s="135"/>
      <c r="G535" s="135"/>
      <c r="H535" s="135"/>
      <c r="I535" s="135"/>
      <c r="J535" s="135"/>
      <c r="K535" s="135"/>
      <c r="L535" s="135"/>
      <c r="M535" s="135"/>
      <c r="N535" s="135"/>
      <c r="O535" s="135"/>
      <c r="P535" s="135"/>
      <c r="Q535" s="135"/>
      <c r="R535" s="135"/>
      <c r="S535" s="135"/>
      <c r="T535" s="135"/>
      <c r="U535" s="135"/>
      <c r="V535" s="135"/>
      <c r="W535" s="135"/>
      <c r="X535" s="135"/>
      <c r="Y535" s="135"/>
      <c r="Z535" s="135"/>
      <c r="AA535" s="135"/>
      <c r="AB535" s="135"/>
      <c r="AC535" s="135"/>
      <c r="AD535" s="135"/>
      <c r="AE535" s="135"/>
      <c r="AF535" s="135"/>
    </row>
    <row r="536">
      <c r="A536" s="135"/>
      <c r="B536" s="135"/>
      <c r="C536" s="135"/>
      <c r="D536" s="135"/>
      <c r="E536" s="135"/>
      <c r="F536" s="135"/>
      <c r="G536" s="135"/>
      <c r="H536" s="135"/>
      <c r="I536" s="135"/>
      <c r="J536" s="135"/>
      <c r="K536" s="135"/>
      <c r="L536" s="135"/>
      <c r="M536" s="135"/>
      <c r="N536" s="135"/>
      <c r="O536" s="135"/>
      <c r="P536" s="135"/>
      <c r="Q536" s="135"/>
      <c r="R536" s="135"/>
      <c r="S536" s="135"/>
      <c r="T536" s="135"/>
      <c r="U536" s="135"/>
      <c r="V536" s="135"/>
      <c r="W536" s="135"/>
      <c r="X536" s="135"/>
      <c r="Y536" s="135"/>
      <c r="Z536" s="135"/>
      <c r="AA536" s="135"/>
      <c r="AB536" s="135"/>
      <c r="AC536" s="135"/>
      <c r="AD536" s="135"/>
      <c r="AE536" s="135"/>
      <c r="AF536" s="135"/>
    </row>
    <row r="537">
      <c r="A537" s="135"/>
      <c r="B537" s="135"/>
      <c r="C537" s="135"/>
      <c r="D537" s="135"/>
      <c r="E537" s="135"/>
      <c r="F537" s="135"/>
      <c r="G537" s="135"/>
      <c r="H537" s="135"/>
      <c r="I537" s="135"/>
      <c r="J537" s="135"/>
      <c r="K537" s="135"/>
      <c r="L537" s="135"/>
      <c r="M537" s="135"/>
      <c r="N537" s="135"/>
      <c r="O537" s="135"/>
      <c r="P537" s="135"/>
      <c r="Q537" s="135"/>
      <c r="R537" s="135"/>
      <c r="S537" s="135"/>
      <c r="T537" s="135"/>
      <c r="U537" s="135"/>
      <c r="V537" s="135"/>
      <c r="W537" s="135"/>
      <c r="X537" s="135"/>
      <c r="Y537" s="135"/>
      <c r="Z537" s="135"/>
      <c r="AA537" s="135"/>
      <c r="AB537" s="135"/>
      <c r="AC537" s="135"/>
      <c r="AD537" s="135"/>
      <c r="AE537" s="135"/>
      <c r="AF537" s="135"/>
    </row>
    <row r="538">
      <c r="A538" s="135"/>
      <c r="B538" s="135"/>
      <c r="C538" s="135"/>
      <c r="D538" s="135"/>
      <c r="E538" s="135"/>
      <c r="F538" s="135"/>
      <c r="G538" s="135"/>
      <c r="H538" s="135"/>
      <c r="I538" s="135"/>
      <c r="J538" s="135"/>
      <c r="K538" s="135"/>
      <c r="L538" s="135"/>
      <c r="M538" s="135"/>
      <c r="N538" s="135"/>
      <c r="O538" s="135"/>
      <c r="P538" s="135"/>
      <c r="Q538" s="135"/>
      <c r="R538" s="135"/>
      <c r="S538" s="135"/>
      <c r="T538" s="135"/>
      <c r="U538" s="135"/>
      <c r="V538" s="135"/>
      <c r="W538" s="135"/>
      <c r="X538" s="135"/>
      <c r="Y538" s="135"/>
      <c r="Z538" s="135"/>
      <c r="AA538" s="135"/>
      <c r="AB538" s="135"/>
      <c r="AC538" s="135"/>
      <c r="AD538" s="135"/>
      <c r="AE538" s="135"/>
      <c r="AF538" s="135"/>
    </row>
    <row r="539">
      <c r="A539" s="135"/>
      <c r="B539" s="135"/>
      <c r="C539" s="135"/>
      <c r="D539" s="135"/>
      <c r="E539" s="135"/>
      <c r="F539" s="135"/>
      <c r="G539" s="135"/>
      <c r="H539" s="135"/>
      <c r="I539" s="135"/>
      <c r="J539" s="135"/>
      <c r="K539" s="135"/>
      <c r="L539" s="135"/>
      <c r="M539" s="135"/>
      <c r="N539" s="135"/>
      <c r="O539" s="135"/>
      <c r="P539" s="135"/>
      <c r="Q539" s="135"/>
      <c r="R539" s="135"/>
      <c r="S539" s="135"/>
      <c r="T539" s="135"/>
      <c r="U539" s="135"/>
      <c r="V539" s="135"/>
      <c r="W539" s="135"/>
      <c r="X539" s="135"/>
      <c r="Y539" s="135"/>
      <c r="Z539" s="135"/>
      <c r="AA539" s="135"/>
      <c r="AB539" s="135"/>
      <c r="AC539" s="135"/>
      <c r="AD539" s="135"/>
      <c r="AE539" s="135"/>
      <c r="AF539" s="135"/>
    </row>
    <row r="540">
      <c r="A540" s="135"/>
      <c r="B540" s="135"/>
      <c r="C540" s="135"/>
      <c r="D540" s="135"/>
      <c r="E540" s="135"/>
      <c r="F540" s="135"/>
      <c r="G540" s="135"/>
      <c r="H540" s="135"/>
      <c r="I540" s="135"/>
      <c r="J540" s="135"/>
      <c r="K540" s="135"/>
      <c r="L540" s="135"/>
      <c r="M540" s="135"/>
      <c r="N540" s="135"/>
      <c r="O540" s="135"/>
      <c r="P540" s="135"/>
      <c r="Q540" s="135"/>
      <c r="R540" s="135"/>
      <c r="S540" s="135"/>
      <c r="T540" s="135"/>
      <c r="U540" s="135"/>
      <c r="V540" s="135"/>
      <c r="W540" s="135"/>
      <c r="X540" s="135"/>
      <c r="Y540" s="135"/>
      <c r="Z540" s="135"/>
      <c r="AA540" s="135"/>
      <c r="AB540" s="135"/>
      <c r="AC540" s="135"/>
      <c r="AD540" s="135"/>
      <c r="AE540" s="135"/>
      <c r="AF540" s="135"/>
    </row>
    <row r="541">
      <c r="A541" s="135"/>
      <c r="B541" s="135"/>
      <c r="C541" s="135"/>
      <c r="D541" s="135"/>
      <c r="E541" s="135"/>
      <c r="F541" s="135"/>
      <c r="G541" s="135"/>
      <c r="H541" s="135"/>
      <c r="I541" s="135"/>
      <c r="J541" s="135"/>
      <c r="K541" s="135"/>
      <c r="L541" s="135"/>
      <c r="M541" s="135"/>
      <c r="N541" s="135"/>
      <c r="O541" s="135"/>
      <c r="P541" s="135"/>
      <c r="Q541" s="135"/>
      <c r="R541" s="135"/>
      <c r="S541" s="135"/>
      <c r="T541" s="135"/>
      <c r="U541" s="135"/>
      <c r="V541" s="135"/>
      <c r="W541" s="135"/>
      <c r="X541" s="135"/>
      <c r="Y541" s="135"/>
      <c r="Z541" s="135"/>
      <c r="AA541" s="135"/>
      <c r="AB541" s="135"/>
      <c r="AC541" s="135"/>
      <c r="AD541" s="135"/>
      <c r="AE541" s="135"/>
      <c r="AF541" s="135"/>
    </row>
    <row r="542">
      <c r="A542" s="135"/>
      <c r="B542" s="135"/>
      <c r="C542" s="135"/>
      <c r="D542" s="135"/>
      <c r="E542" s="135"/>
      <c r="F542" s="135"/>
      <c r="G542" s="135"/>
      <c r="H542" s="135"/>
      <c r="I542" s="135"/>
      <c r="J542" s="135"/>
      <c r="K542" s="135"/>
      <c r="L542" s="135"/>
      <c r="M542" s="135"/>
      <c r="N542" s="135"/>
      <c r="O542" s="135"/>
      <c r="P542" s="135"/>
      <c r="Q542" s="135"/>
      <c r="R542" s="135"/>
      <c r="S542" s="135"/>
      <c r="T542" s="135"/>
      <c r="U542" s="135"/>
      <c r="V542" s="135"/>
      <c r="W542" s="135"/>
      <c r="X542" s="135"/>
      <c r="Y542" s="135"/>
      <c r="Z542" s="135"/>
      <c r="AA542" s="135"/>
      <c r="AB542" s="135"/>
      <c r="AC542" s="135"/>
      <c r="AD542" s="135"/>
      <c r="AE542" s="135"/>
      <c r="AF542" s="135"/>
    </row>
    <row r="543">
      <c r="A543" s="135"/>
      <c r="B543" s="135"/>
      <c r="C543" s="135"/>
      <c r="D543" s="135"/>
      <c r="E543" s="135"/>
      <c r="F543" s="135"/>
      <c r="G543" s="135"/>
      <c r="H543" s="135"/>
      <c r="I543" s="135"/>
      <c r="J543" s="135"/>
      <c r="K543" s="135"/>
      <c r="L543" s="135"/>
      <c r="M543" s="135"/>
      <c r="N543" s="135"/>
      <c r="O543" s="135"/>
      <c r="P543" s="135"/>
      <c r="Q543" s="135"/>
      <c r="R543" s="135"/>
      <c r="S543" s="135"/>
      <c r="T543" s="135"/>
      <c r="U543" s="135"/>
      <c r="V543" s="135"/>
      <c r="W543" s="135"/>
      <c r="X543" s="135"/>
      <c r="Y543" s="135"/>
      <c r="Z543" s="135"/>
      <c r="AA543" s="135"/>
      <c r="AB543" s="135"/>
      <c r="AC543" s="135"/>
      <c r="AD543" s="135"/>
      <c r="AE543" s="135"/>
      <c r="AF543" s="135"/>
    </row>
    <row r="544">
      <c r="A544" s="135"/>
      <c r="B544" s="135"/>
      <c r="C544" s="135"/>
      <c r="D544" s="135"/>
      <c r="E544" s="135"/>
      <c r="F544" s="135"/>
      <c r="G544" s="135"/>
      <c r="H544" s="135"/>
      <c r="I544" s="135"/>
      <c r="J544" s="135"/>
      <c r="K544" s="135"/>
      <c r="L544" s="135"/>
      <c r="M544" s="135"/>
      <c r="N544" s="135"/>
      <c r="O544" s="135"/>
      <c r="P544" s="135"/>
      <c r="Q544" s="135"/>
      <c r="R544" s="135"/>
      <c r="S544" s="135"/>
      <c r="T544" s="135"/>
      <c r="U544" s="135"/>
      <c r="V544" s="135"/>
      <c r="W544" s="135"/>
      <c r="X544" s="135"/>
      <c r="Y544" s="135"/>
      <c r="Z544" s="135"/>
      <c r="AA544" s="135"/>
      <c r="AB544" s="135"/>
      <c r="AC544" s="135"/>
      <c r="AD544" s="135"/>
      <c r="AE544" s="135"/>
      <c r="AF544" s="135"/>
    </row>
    <row r="545">
      <c r="A545" s="135"/>
      <c r="B545" s="135"/>
      <c r="C545" s="135"/>
      <c r="D545" s="135"/>
      <c r="E545" s="135"/>
      <c r="F545" s="135"/>
      <c r="G545" s="135"/>
      <c r="H545" s="135"/>
      <c r="I545" s="135"/>
      <c r="J545" s="135"/>
      <c r="K545" s="135"/>
      <c r="L545" s="135"/>
      <c r="M545" s="135"/>
      <c r="N545" s="135"/>
      <c r="O545" s="135"/>
      <c r="P545" s="135"/>
      <c r="Q545" s="135"/>
      <c r="R545" s="135"/>
      <c r="S545" s="135"/>
      <c r="T545" s="135"/>
      <c r="U545" s="135"/>
      <c r="V545" s="135"/>
      <c r="W545" s="135"/>
      <c r="X545" s="135"/>
      <c r="Y545" s="135"/>
      <c r="Z545" s="135"/>
      <c r="AA545" s="135"/>
      <c r="AB545" s="135"/>
      <c r="AC545" s="135"/>
      <c r="AD545" s="135"/>
      <c r="AE545" s="135"/>
      <c r="AF545" s="135"/>
    </row>
    <row r="546">
      <c r="A546" s="135"/>
      <c r="B546" s="135"/>
      <c r="C546" s="135"/>
      <c r="D546" s="135"/>
      <c r="E546" s="135"/>
      <c r="F546" s="135"/>
      <c r="G546" s="135"/>
      <c r="H546" s="135"/>
      <c r="I546" s="135"/>
      <c r="J546" s="135"/>
      <c r="K546" s="135"/>
      <c r="L546" s="135"/>
      <c r="M546" s="135"/>
      <c r="N546" s="135"/>
      <c r="O546" s="135"/>
      <c r="P546" s="135"/>
      <c r="Q546" s="135"/>
      <c r="R546" s="135"/>
      <c r="S546" s="135"/>
      <c r="T546" s="135"/>
      <c r="U546" s="135"/>
      <c r="V546" s="135"/>
      <c r="W546" s="135"/>
      <c r="X546" s="135"/>
      <c r="Y546" s="135"/>
      <c r="Z546" s="135"/>
      <c r="AA546" s="135"/>
      <c r="AB546" s="135"/>
      <c r="AC546" s="135"/>
      <c r="AD546" s="135"/>
      <c r="AE546" s="135"/>
      <c r="AF546" s="135"/>
    </row>
    <row r="547">
      <c r="A547" s="135"/>
      <c r="B547" s="135"/>
      <c r="C547" s="135"/>
      <c r="D547" s="135"/>
      <c r="E547" s="135"/>
      <c r="F547" s="135"/>
      <c r="G547" s="135"/>
      <c r="H547" s="135"/>
      <c r="I547" s="135"/>
      <c r="J547" s="135"/>
      <c r="K547" s="135"/>
      <c r="L547" s="135"/>
      <c r="M547" s="135"/>
      <c r="N547" s="135"/>
      <c r="O547" s="135"/>
      <c r="P547" s="135"/>
      <c r="Q547" s="135"/>
      <c r="R547" s="135"/>
      <c r="S547" s="135"/>
      <c r="T547" s="135"/>
      <c r="U547" s="135"/>
      <c r="V547" s="135"/>
      <c r="W547" s="135"/>
      <c r="X547" s="135"/>
      <c r="Y547" s="135"/>
      <c r="Z547" s="135"/>
      <c r="AA547" s="135"/>
      <c r="AB547" s="135"/>
      <c r="AC547" s="135"/>
      <c r="AD547" s="135"/>
      <c r="AE547" s="135"/>
      <c r="AF547" s="135"/>
    </row>
    <row r="548">
      <c r="A548" s="135"/>
      <c r="B548" s="135"/>
      <c r="C548" s="135"/>
      <c r="D548" s="135"/>
      <c r="E548" s="135"/>
      <c r="F548" s="135"/>
      <c r="G548" s="135"/>
      <c r="H548" s="135"/>
      <c r="I548" s="135"/>
      <c r="J548" s="135"/>
      <c r="K548" s="135"/>
      <c r="L548" s="135"/>
      <c r="M548" s="135"/>
      <c r="N548" s="135"/>
      <c r="O548" s="135"/>
      <c r="P548" s="135"/>
      <c r="Q548" s="135"/>
      <c r="R548" s="135"/>
      <c r="S548" s="135"/>
      <c r="T548" s="135"/>
      <c r="U548" s="135"/>
      <c r="V548" s="135"/>
      <c r="W548" s="135"/>
      <c r="X548" s="135"/>
      <c r="Y548" s="135"/>
      <c r="Z548" s="135"/>
      <c r="AA548" s="135"/>
      <c r="AB548" s="135"/>
      <c r="AC548" s="135"/>
      <c r="AD548" s="135"/>
      <c r="AE548" s="135"/>
      <c r="AF548" s="135"/>
    </row>
    <row r="549">
      <c r="A549" s="135"/>
      <c r="B549" s="135"/>
      <c r="C549" s="135"/>
      <c r="D549" s="135"/>
      <c r="E549" s="135"/>
      <c r="F549" s="135"/>
      <c r="G549" s="135"/>
      <c r="H549" s="135"/>
      <c r="I549" s="135"/>
      <c r="J549" s="135"/>
      <c r="K549" s="135"/>
      <c r="L549" s="135"/>
      <c r="M549" s="135"/>
      <c r="N549" s="135"/>
      <c r="O549" s="135"/>
      <c r="P549" s="135"/>
      <c r="Q549" s="135"/>
      <c r="R549" s="135"/>
      <c r="S549" s="135"/>
      <c r="T549" s="135"/>
      <c r="U549" s="135"/>
      <c r="V549" s="135"/>
      <c r="W549" s="135"/>
      <c r="X549" s="135"/>
      <c r="Y549" s="135"/>
      <c r="Z549" s="135"/>
      <c r="AA549" s="135"/>
      <c r="AB549" s="135"/>
      <c r="AC549" s="135"/>
      <c r="AD549" s="135"/>
      <c r="AE549" s="135"/>
      <c r="AF549" s="135"/>
    </row>
    <row r="550">
      <c r="A550" s="135"/>
      <c r="B550" s="135"/>
      <c r="C550" s="135"/>
      <c r="D550" s="135"/>
      <c r="E550" s="135"/>
      <c r="F550" s="135"/>
      <c r="G550" s="135"/>
      <c r="H550" s="135"/>
      <c r="I550" s="135"/>
      <c r="J550" s="135"/>
      <c r="K550" s="135"/>
      <c r="L550" s="135"/>
      <c r="M550" s="135"/>
      <c r="N550" s="135"/>
      <c r="O550" s="135"/>
      <c r="P550" s="135"/>
      <c r="Q550" s="135"/>
      <c r="R550" s="135"/>
      <c r="S550" s="135"/>
      <c r="T550" s="135"/>
      <c r="U550" s="135"/>
      <c r="V550" s="135"/>
      <c r="W550" s="135"/>
      <c r="X550" s="135"/>
      <c r="Y550" s="135"/>
      <c r="Z550" s="135"/>
      <c r="AA550" s="135"/>
      <c r="AB550" s="135"/>
      <c r="AC550" s="135"/>
      <c r="AD550" s="135"/>
      <c r="AE550" s="135"/>
      <c r="AF550" s="135"/>
    </row>
    <row r="551">
      <c r="A551" s="135"/>
      <c r="B551" s="135"/>
      <c r="C551" s="135"/>
      <c r="D551" s="135"/>
      <c r="E551" s="135"/>
      <c r="F551" s="135"/>
      <c r="G551" s="135"/>
      <c r="H551" s="135"/>
      <c r="I551" s="135"/>
      <c r="J551" s="135"/>
      <c r="K551" s="135"/>
      <c r="L551" s="135"/>
      <c r="M551" s="135"/>
      <c r="N551" s="135"/>
      <c r="O551" s="135"/>
      <c r="P551" s="135"/>
      <c r="Q551" s="135"/>
      <c r="R551" s="135"/>
      <c r="S551" s="135"/>
      <c r="T551" s="135"/>
      <c r="U551" s="135"/>
      <c r="V551" s="135"/>
      <c r="W551" s="135"/>
      <c r="X551" s="135"/>
      <c r="Y551" s="135"/>
      <c r="Z551" s="135"/>
      <c r="AA551" s="135"/>
      <c r="AB551" s="135"/>
      <c r="AC551" s="135"/>
      <c r="AD551" s="135"/>
      <c r="AE551" s="135"/>
      <c r="AF551" s="135"/>
    </row>
    <row r="552">
      <c r="A552" s="135"/>
      <c r="B552" s="135"/>
      <c r="C552" s="135"/>
      <c r="D552" s="135"/>
      <c r="E552" s="135"/>
      <c r="F552" s="135"/>
      <c r="G552" s="135"/>
      <c r="H552" s="135"/>
      <c r="I552" s="135"/>
      <c r="J552" s="135"/>
      <c r="K552" s="135"/>
      <c r="L552" s="135"/>
      <c r="M552" s="135"/>
      <c r="N552" s="135"/>
      <c r="O552" s="135"/>
      <c r="P552" s="135"/>
      <c r="Q552" s="135"/>
      <c r="R552" s="135"/>
      <c r="S552" s="135"/>
      <c r="T552" s="135"/>
      <c r="U552" s="135"/>
      <c r="V552" s="135"/>
      <c r="W552" s="135"/>
      <c r="X552" s="135"/>
      <c r="Y552" s="135"/>
      <c r="Z552" s="135"/>
      <c r="AA552" s="135"/>
      <c r="AB552" s="135"/>
      <c r="AC552" s="135"/>
      <c r="AD552" s="135"/>
      <c r="AE552" s="135"/>
      <c r="AF552" s="135"/>
    </row>
    <row r="553">
      <c r="A553" s="135"/>
      <c r="B553" s="135"/>
      <c r="C553" s="135"/>
      <c r="D553" s="135"/>
      <c r="E553" s="135"/>
      <c r="F553" s="135"/>
      <c r="G553" s="135"/>
      <c r="H553" s="135"/>
      <c r="I553" s="135"/>
      <c r="J553" s="135"/>
      <c r="K553" s="135"/>
      <c r="L553" s="135"/>
      <c r="M553" s="135"/>
      <c r="N553" s="135"/>
      <c r="O553" s="135"/>
      <c r="P553" s="135"/>
      <c r="Q553" s="135"/>
      <c r="R553" s="135"/>
      <c r="S553" s="135"/>
      <c r="T553" s="135"/>
      <c r="U553" s="135"/>
      <c r="V553" s="135"/>
      <c r="W553" s="135"/>
      <c r="X553" s="135"/>
      <c r="Y553" s="135"/>
      <c r="Z553" s="135"/>
      <c r="AA553" s="135"/>
      <c r="AB553" s="135"/>
      <c r="AC553" s="135"/>
      <c r="AD553" s="135"/>
      <c r="AE553" s="135"/>
      <c r="AF553" s="135"/>
    </row>
    <row r="554">
      <c r="A554" s="135"/>
      <c r="B554" s="135"/>
      <c r="C554" s="135"/>
      <c r="D554" s="135"/>
      <c r="E554" s="135"/>
      <c r="F554" s="135"/>
      <c r="G554" s="135"/>
      <c r="H554" s="135"/>
      <c r="I554" s="135"/>
      <c r="J554" s="135"/>
      <c r="K554" s="135"/>
      <c r="L554" s="135"/>
      <c r="M554" s="135"/>
      <c r="N554" s="135"/>
      <c r="O554" s="135"/>
      <c r="P554" s="135"/>
      <c r="Q554" s="135"/>
      <c r="R554" s="135"/>
      <c r="S554" s="135"/>
      <c r="T554" s="135"/>
      <c r="U554" s="135"/>
      <c r="V554" s="135"/>
      <c r="W554" s="135"/>
      <c r="X554" s="135"/>
      <c r="Y554" s="135"/>
      <c r="Z554" s="135"/>
      <c r="AA554" s="135"/>
      <c r="AB554" s="135"/>
      <c r="AC554" s="135"/>
      <c r="AD554" s="135"/>
      <c r="AE554" s="135"/>
      <c r="AF554" s="135"/>
    </row>
    <row r="555">
      <c r="A555" s="135"/>
      <c r="B555" s="135"/>
      <c r="C555" s="135"/>
      <c r="D555" s="135"/>
      <c r="E555" s="135"/>
      <c r="F555" s="135"/>
      <c r="G555" s="135"/>
      <c r="H555" s="135"/>
      <c r="I555" s="135"/>
      <c r="J555" s="135"/>
      <c r="K555" s="135"/>
      <c r="L555" s="135"/>
      <c r="M555" s="135"/>
      <c r="N555" s="135"/>
      <c r="O555" s="135"/>
      <c r="P555" s="135"/>
      <c r="Q555" s="135"/>
      <c r="R555" s="135"/>
      <c r="S555" s="135"/>
      <c r="T555" s="135"/>
      <c r="U555" s="135"/>
      <c r="V555" s="135"/>
      <c r="W555" s="135"/>
      <c r="X555" s="135"/>
      <c r="Y555" s="135"/>
      <c r="Z555" s="135"/>
      <c r="AA555" s="135"/>
      <c r="AB555" s="135"/>
      <c r="AC555" s="135"/>
      <c r="AD555" s="135"/>
      <c r="AE555" s="135"/>
      <c r="AF555" s="135"/>
    </row>
    <row r="556">
      <c r="A556" s="135"/>
      <c r="B556" s="135"/>
      <c r="C556" s="135"/>
      <c r="D556" s="135"/>
      <c r="E556" s="135"/>
      <c r="F556" s="135"/>
      <c r="G556" s="135"/>
      <c r="H556" s="135"/>
      <c r="I556" s="135"/>
      <c r="J556" s="135"/>
      <c r="K556" s="135"/>
      <c r="L556" s="135"/>
      <c r="M556" s="135"/>
      <c r="N556" s="135"/>
      <c r="O556" s="135"/>
      <c r="P556" s="135"/>
      <c r="Q556" s="135"/>
      <c r="R556" s="135"/>
      <c r="S556" s="135"/>
      <c r="T556" s="135"/>
      <c r="U556" s="135"/>
      <c r="V556" s="135"/>
      <c r="W556" s="135"/>
      <c r="X556" s="135"/>
      <c r="Y556" s="135"/>
      <c r="Z556" s="135"/>
      <c r="AA556" s="135"/>
      <c r="AB556" s="135"/>
      <c r="AC556" s="135"/>
      <c r="AD556" s="135"/>
      <c r="AE556" s="135"/>
      <c r="AF556" s="135"/>
    </row>
    <row r="557">
      <c r="A557" s="135"/>
      <c r="B557" s="135"/>
      <c r="C557" s="135"/>
      <c r="D557" s="135"/>
      <c r="E557" s="135"/>
      <c r="F557" s="135"/>
      <c r="G557" s="135"/>
      <c r="H557" s="135"/>
      <c r="I557" s="135"/>
      <c r="J557" s="135"/>
      <c r="K557" s="135"/>
      <c r="L557" s="135"/>
      <c r="M557" s="135"/>
      <c r="N557" s="135"/>
      <c r="O557" s="135"/>
      <c r="P557" s="135"/>
      <c r="Q557" s="135"/>
      <c r="R557" s="135"/>
      <c r="S557" s="135"/>
      <c r="T557" s="135"/>
      <c r="U557" s="135"/>
      <c r="V557" s="135"/>
      <c r="W557" s="135"/>
      <c r="X557" s="135"/>
      <c r="Y557" s="135"/>
      <c r="Z557" s="135"/>
      <c r="AA557" s="135"/>
      <c r="AB557" s="135"/>
      <c r="AC557" s="135"/>
      <c r="AD557" s="135"/>
      <c r="AE557" s="135"/>
      <c r="AF557" s="135"/>
    </row>
    <row r="558">
      <c r="A558" s="135"/>
      <c r="B558" s="135"/>
      <c r="C558" s="135"/>
      <c r="D558" s="135"/>
      <c r="E558" s="135"/>
      <c r="F558" s="135"/>
      <c r="G558" s="135"/>
      <c r="H558" s="135"/>
      <c r="I558" s="135"/>
      <c r="J558" s="135"/>
      <c r="K558" s="135"/>
      <c r="L558" s="135"/>
      <c r="M558" s="135"/>
      <c r="N558" s="135"/>
      <c r="O558" s="135"/>
      <c r="P558" s="135"/>
      <c r="Q558" s="135"/>
      <c r="R558" s="135"/>
      <c r="S558" s="135"/>
      <c r="T558" s="135"/>
      <c r="U558" s="135"/>
      <c r="V558" s="135"/>
      <c r="W558" s="135"/>
      <c r="X558" s="135"/>
      <c r="Y558" s="135"/>
      <c r="Z558" s="135"/>
      <c r="AA558" s="135"/>
      <c r="AB558" s="135"/>
      <c r="AC558" s="135"/>
      <c r="AD558" s="135"/>
      <c r="AE558" s="135"/>
      <c r="AF558" s="135"/>
    </row>
    <row r="559">
      <c r="A559" s="135"/>
      <c r="B559" s="135"/>
      <c r="C559" s="135"/>
      <c r="D559" s="135"/>
      <c r="E559" s="135"/>
      <c r="F559" s="135"/>
      <c r="G559" s="135"/>
      <c r="H559" s="135"/>
      <c r="I559" s="135"/>
      <c r="J559" s="135"/>
      <c r="K559" s="135"/>
      <c r="L559" s="135"/>
      <c r="M559" s="135"/>
      <c r="N559" s="135"/>
      <c r="O559" s="135"/>
      <c r="P559" s="135"/>
      <c r="Q559" s="135"/>
      <c r="R559" s="135"/>
      <c r="S559" s="135"/>
      <c r="T559" s="135"/>
      <c r="U559" s="135"/>
      <c r="V559" s="135"/>
      <c r="W559" s="135"/>
      <c r="X559" s="135"/>
      <c r="Y559" s="135"/>
      <c r="Z559" s="135"/>
      <c r="AA559" s="135"/>
      <c r="AB559" s="135"/>
      <c r="AC559" s="135"/>
      <c r="AD559" s="135"/>
      <c r="AE559" s="135"/>
      <c r="AF559" s="135"/>
    </row>
    <row r="560">
      <c r="A560" s="135"/>
      <c r="B560" s="135"/>
      <c r="C560" s="135"/>
      <c r="D560" s="135"/>
      <c r="E560" s="135"/>
      <c r="F560" s="135"/>
      <c r="G560" s="135"/>
      <c r="H560" s="135"/>
      <c r="I560" s="135"/>
      <c r="J560" s="135"/>
      <c r="K560" s="135"/>
      <c r="L560" s="135"/>
      <c r="M560" s="135"/>
      <c r="N560" s="135"/>
      <c r="O560" s="135"/>
      <c r="P560" s="135"/>
      <c r="Q560" s="135"/>
      <c r="R560" s="135"/>
      <c r="S560" s="135"/>
      <c r="T560" s="135"/>
      <c r="U560" s="135"/>
      <c r="V560" s="135"/>
      <c r="W560" s="135"/>
      <c r="X560" s="135"/>
      <c r="Y560" s="135"/>
      <c r="Z560" s="135"/>
      <c r="AA560" s="135"/>
      <c r="AB560" s="135"/>
      <c r="AC560" s="135"/>
      <c r="AD560" s="135"/>
      <c r="AE560" s="135"/>
      <c r="AF560" s="135"/>
    </row>
    <row r="561">
      <c r="A561" s="135"/>
      <c r="B561" s="135"/>
      <c r="C561" s="135"/>
      <c r="D561" s="135"/>
      <c r="E561" s="135"/>
      <c r="F561" s="135"/>
      <c r="G561" s="135"/>
      <c r="H561" s="135"/>
      <c r="I561" s="135"/>
      <c r="J561" s="135"/>
      <c r="K561" s="135"/>
      <c r="L561" s="135"/>
      <c r="M561" s="135"/>
      <c r="N561" s="135"/>
      <c r="O561" s="135"/>
      <c r="P561" s="135"/>
      <c r="Q561" s="135"/>
      <c r="R561" s="135"/>
      <c r="S561" s="135"/>
      <c r="T561" s="135"/>
      <c r="U561" s="135"/>
      <c r="V561" s="135"/>
      <c r="W561" s="135"/>
      <c r="X561" s="135"/>
      <c r="Y561" s="135"/>
      <c r="Z561" s="135"/>
      <c r="AA561" s="135"/>
      <c r="AB561" s="135"/>
      <c r="AC561" s="135"/>
      <c r="AD561" s="135"/>
      <c r="AE561" s="135"/>
      <c r="AF561" s="135"/>
    </row>
    <row r="562">
      <c r="A562" s="135"/>
      <c r="B562" s="135"/>
      <c r="C562" s="135"/>
      <c r="D562" s="135"/>
      <c r="E562" s="135"/>
      <c r="F562" s="135"/>
      <c r="G562" s="135"/>
      <c r="H562" s="135"/>
      <c r="I562" s="135"/>
      <c r="J562" s="135"/>
      <c r="K562" s="135"/>
      <c r="L562" s="135"/>
      <c r="M562" s="135"/>
      <c r="N562" s="135"/>
      <c r="O562" s="135"/>
      <c r="P562" s="135"/>
      <c r="Q562" s="135"/>
      <c r="R562" s="135"/>
      <c r="S562" s="135"/>
      <c r="T562" s="135"/>
      <c r="U562" s="135"/>
      <c r="V562" s="135"/>
      <c r="W562" s="135"/>
      <c r="X562" s="135"/>
      <c r="Y562" s="135"/>
      <c r="Z562" s="135"/>
      <c r="AA562" s="135"/>
      <c r="AB562" s="135"/>
      <c r="AC562" s="135"/>
      <c r="AD562" s="135"/>
      <c r="AE562" s="135"/>
      <c r="AF562" s="135"/>
    </row>
    <row r="563">
      <c r="A563" s="135"/>
      <c r="B563" s="135"/>
      <c r="C563" s="135"/>
      <c r="D563" s="135"/>
      <c r="E563" s="135"/>
      <c r="F563" s="135"/>
      <c r="G563" s="135"/>
      <c r="H563" s="135"/>
      <c r="I563" s="135"/>
      <c r="J563" s="135"/>
      <c r="K563" s="135"/>
      <c r="L563" s="135"/>
      <c r="M563" s="135"/>
      <c r="N563" s="135"/>
      <c r="O563" s="135"/>
      <c r="P563" s="135"/>
      <c r="Q563" s="135"/>
      <c r="R563" s="135"/>
      <c r="S563" s="135"/>
      <c r="T563" s="135"/>
      <c r="U563" s="135"/>
      <c r="V563" s="135"/>
      <c r="W563" s="135"/>
      <c r="X563" s="135"/>
      <c r="Y563" s="135"/>
      <c r="Z563" s="135"/>
      <c r="AA563" s="135"/>
      <c r="AB563" s="135"/>
      <c r="AC563" s="135"/>
      <c r="AD563" s="135"/>
      <c r="AE563" s="135"/>
      <c r="AF563" s="135"/>
    </row>
    <row r="564">
      <c r="A564" s="135"/>
      <c r="B564" s="135"/>
      <c r="C564" s="135"/>
      <c r="D564" s="135"/>
      <c r="E564" s="135"/>
      <c r="F564" s="135"/>
      <c r="G564" s="135"/>
      <c r="H564" s="135"/>
      <c r="I564" s="135"/>
      <c r="J564" s="135"/>
      <c r="K564" s="135"/>
      <c r="L564" s="135"/>
      <c r="M564" s="135"/>
      <c r="N564" s="135"/>
      <c r="O564" s="135"/>
      <c r="P564" s="135"/>
      <c r="Q564" s="135"/>
      <c r="R564" s="135"/>
      <c r="S564" s="135"/>
      <c r="T564" s="135"/>
      <c r="U564" s="135"/>
      <c r="V564" s="135"/>
      <c r="W564" s="135"/>
      <c r="X564" s="135"/>
      <c r="Y564" s="135"/>
      <c r="Z564" s="135"/>
      <c r="AA564" s="135"/>
      <c r="AB564" s="135"/>
      <c r="AC564" s="135"/>
      <c r="AD564" s="135"/>
      <c r="AE564" s="135"/>
      <c r="AF564" s="135"/>
    </row>
    <row r="565">
      <c r="A565" s="135"/>
      <c r="B565" s="135"/>
      <c r="C565" s="135"/>
      <c r="D565" s="135"/>
      <c r="E565" s="135"/>
      <c r="F565" s="135"/>
      <c r="G565" s="135"/>
      <c r="H565" s="135"/>
      <c r="I565" s="135"/>
      <c r="J565" s="135"/>
      <c r="K565" s="135"/>
      <c r="L565" s="135"/>
      <c r="M565" s="135"/>
      <c r="N565" s="135"/>
      <c r="O565" s="135"/>
      <c r="P565" s="135"/>
      <c r="Q565" s="135"/>
      <c r="R565" s="135"/>
      <c r="S565" s="135"/>
      <c r="T565" s="135"/>
      <c r="U565" s="135"/>
      <c r="V565" s="135"/>
      <c r="W565" s="135"/>
      <c r="X565" s="135"/>
      <c r="Y565" s="135"/>
      <c r="Z565" s="135"/>
      <c r="AA565" s="135"/>
      <c r="AB565" s="135"/>
      <c r="AC565" s="135"/>
      <c r="AD565" s="135"/>
      <c r="AE565" s="135"/>
      <c r="AF565" s="135"/>
    </row>
    <row r="566">
      <c r="A566" s="135"/>
      <c r="B566" s="135"/>
      <c r="C566" s="135"/>
      <c r="D566" s="135"/>
      <c r="E566" s="135"/>
      <c r="F566" s="135"/>
      <c r="G566" s="135"/>
      <c r="H566" s="135"/>
      <c r="I566" s="135"/>
      <c r="J566" s="135"/>
      <c r="K566" s="135"/>
      <c r="L566" s="135"/>
      <c r="M566" s="135"/>
      <c r="N566" s="135"/>
      <c r="O566" s="135"/>
      <c r="P566" s="135"/>
      <c r="Q566" s="135"/>
      <c r="R566" s="135"/>
      <c r="S566" s="135"/>
      <c r="T566" s="135"/>
      <c r="U566" s="135"/>
      <c r="V566" s="135"/>
      <c r="W566" s="135"/>
      <c r="X566" s="135"/>
      <c r="Y566" s="135"/>
      <c r="Z566" s="135"/>
      <c r="AA566" s="135"/>
      <c r="AB566" s="135"/>
      <c r="AC566" s="135"/>
      <c r="AD566" s="135"/>
      <c r="AE566" s="135"/>
      <c r="AF566" s="135"/>
    </row>
    <row r="567">
      <c r="A567" s="135"/>
      <c r="B567" s="135"/>
      <c r="C567" s="135"/>
      <c r="D567" s="135"/>
      <c r="E567" s="135"/>
      <c r="F567" s="135"/>
      <c r="G567" s="135"/>
      <c r="H567" s="135"/>
      <c r="I567" s="135"/>
      <c r="J567" s="135"/>
      <c r="K567" s="135"/>
      <c r="L567" s="135"/>
      <c r="M567" s="135"/>
      <c r="N567" s="135"/>
      <c r="O567" s="135"/>
      <c r="P567" s="135"/>
      <c r="Q567" s="135"/>
      <c r="R567" s="135"/>
      <c r="S567" s="135"/>
      <c r="T567" s="135"/>
      <c r="U567" s="135"/>
      <c r="V567" s="135"/>
      <c r="W567" s="135"/>
      <c r="X567" s="135"/>
      <c r="Y567" s="135"/>
      <c r="Z567" s="135"/>
      <c r="AA567" s="135"/>
      <c r="AB567" s="135"/>
      <c r="AC567" s="135"/>
      <c r="AD567" s="135"/>
      <c r="AE567" s="135"/>
      <c r="AF567" s="135"/>
    </row>
    <row r="568">
      <c r="A568" s="135"/>
      <c r="B568" s="135"/>
      <c r="C568" s="135"/>
      <c r="D568" s="135"/>
      <c r="E568" s="135"/>
      <c r="F568" s="135"/>
      <c r="G568" s="135"/>
      <c r="H568" s="135"/>
      <c r="I568" s="135"/>
      <c r="J568" s="135"/>
      <c r="K568" s="135"/>
      <c r="L568" s="135"/>
      <c r="M568" s="135"/>
      <c r="N568" s="135"/>
      <c r="O568" s="135"/>
      <c r="P568" s="135"/>
      <c r="Q568" s="135"/>
      <c r="R568" s="135"/>
      <c r="S568" s="135"/>
      <c r="T568" s="135"/>
      <c r="U568" s="135"/>
      <c r="V568" s="135"/>
      <c r="W568" s="135"/>
      <c r="X568" s="135"/>
      <c r="Y568" s="135"/>
      <c r="Z568" s="135"/>
      <c r="AA568" s="135"/>
      <c r="AB568" s="135"/>
      <c r="AC568" s="135"/>
      <c r="AD568" s="135"/>
      <c r="AE568" s="135"/>
      <c r="AF568" s="135"/>
    </row>
    <row r="569">
      <c r="A569" s="135"/>
      <c r="B569" s="135"/>
      <c r="C569" s="135"/>
      <c r="D569" s="135"/>
      <c r="E569" s="135"/>
      <c r="F569" s="135"/>
      <c r="G569" s="135"/>
      <c r="H569" s="135"/>
      <c r="I569" s="135"/>
      <c r="J569" s="135"/>
      <c r="K569" s="135"/>
      <c r="L569" s="135"/>
      <c r="M569" s="135"/>
      <c r="N569" s="135"/>
      <c r="O569" s="135"/>
      <c r="P569" s="135"/>
      <c r="Q569" s="135"/>
      <c r="R569" s="135"/>
      <c r="S569" s="135"/>
      <c r="T569" s="135"/>
      <c r="U569" s="135"/>
      <c r="V569" s="135"/>
      <c r="W569" s="135"/>
      <c r="X569" s="135"/>
      <c r="Y569" s="135"/>
      <c r="Z569" s="135"/>
      <c r="AA569" s="135"/>
      <c r="AB569" s="135"/>
      <c r="AC569" s="135"/>
      <c r="AD569" s="135"/>
      <c r="AE569" s="135"/>
      <c r="AF569" s="135"/>
    </row>
    <row r="570">
      <c r="A570" s="135"/>
      <c r="B570" s="135"/>
      <c r="C570" s="135"/>
      <c r="D570" s="135"/>
      <c r="E570" s="135"/>
      <c r="F570" s="135"/>
      <c r="G570" s="135"/>
      <c r="H570" s="135"/>
      <c r="I570" s="135"/>
      <c r="J570" s="135"/>
      <c r="K570" s="135"/>
      <c r="L570" s="135"/>
      <c r="M570" s="135"/>
      <c r="N570" s="135"/>
      <c r="O570" s="135"/>
      <c r="P570" s="135"/>
      <c r="Q570" s="135"/>
      <c r="R570" s="135"/>
      <c r="S570" s="135"/>
      <c r="T570" s="135"/>
      <c r="U570" s="135"/>
      <c r="V570" s="135"/>
      <c r="W570" s="135"/>
      <c r="X570" s="135"/>
      <c r="Y570" s="135"/>
      <c r="Z570" s="135"/>
      <c r="AA570" s="135"/>
      <c r="AB570" s="135"/>
      <c r="AC570" s="135"/>
      <c r="AD570" s="135"/>
      <c r="AE570" s="135"/>
      <c r="AF570" s="135"/>
    </row>
    <row r="571">
      <c r="A571" s="135"/>
      <c r="B571" s="135"/>
      <c r="C571" s="135"/>
      <c r="D571" s="135"/>
      <c r="E571" s="135"/>
      <c r="F571" s="135"/>
      <c r="G571" s="135"/>
      <c r="H571" s="135"/>
      <c r="I571" s="135"/>
      <c r="J571" s="135"/>
      <c r="K571" s="135"/>
      <c r="L571" s="135"/>
      <c r="M571" s="135"/>
      <c r="N571" s="135"/>
      <c r="O571" s="135"/>
      <c r="P571" s="135"/>
      <c r="Q571" s="135"/>
      <c r="R571" s="135"/>
      <c r="S571" s="135"/>
      <c r="T571" s="135"/>
      <c r="U571" s="135"/>
      <c r="V571" s="135"/>
      <c r="W571" s="135"/>
      <c r="X571" s="135"/>
      <c r="Y571" s="135"/>
      <c r="Z571" s="135"/>
      <c r="AA571" s="135"/>
      <c r="AB571" s="135"/>
      <c r="AC571" s="135"/>
      <c r="AD571" s="135"/>
      <c r="AE571" s="135"/>
      <c r="AF571" s="135"/>
    </row>
    <row r="572">
      <c r="A572" s="135"/>
      <c r="B572" s="135"/>
      <c r="C572" s="135"/>
      <c r="D572" s="135"/>
      <c r="E572" s="135"/>
      <c r="F572" s="135"/>
      <c r="G572" s="135"/>
      <c r="H572" s="135"/>
      <c r="I572" s="135"/>
      <c r="J572" s="135"/>
      <c r="K572" s="135"/>
      <c r="L572" s="135"/>
      <c r="M572" s="135"/>
      <c r="N572" s="135"/>
      <c r="O572" s="135"/>
      <c r="P572" s="135"/>
      <c r="Q572" s="135"/>
      <c r="R572" s="135"/>
      <c r="S572" s="135"/>
      <c r="T572" s="135"/>
      <c r="U572" s="135"/>
      <c r="V572" s="135"/>
      <c r="W572" s="135"/>
      <c r="X572" s="135"/>
      <c r="Y572" s="135"/>
      <c r="Z572" s="135"/>
      <c r="AA572" s="135"/>
      <c r="AB572" s="135"/>
      <c r="AC572" s="135"/>
      <c r="AD572" s="135"/>
      <c r="AE572" s="135"/>
      <c r="AF572" s="135"/>
    </row>
    <row r="573">
      <c r="A573" s="135"/>
      <c r="B573" s="135"/>
      <c r="C573" s="135"/>
      <c r="D573" s="135"/>
      <c r="E573" s="135"/>
      <c r="F573" s="135"/>
      <c r="G573" s="135"/>
      <c r="H573" s="135"/>
      <c r="I573" s="135"/>
      <c r="J573" s="135"/>
      <c r="K573" s="135"/>
      <c r="L573" s="135"/>
      <c r="M573" s="135"/>
      <c r="N573" s="135"/>
      <c r="O573" s="135"/>
      <c r="P573" s="135"/>
      <c r="Q573" s="135"/>
      <c r="R573" s="135"/>
      <c r="S573" s="135"/>
      <c r="T573" s="135"/>
      <c r="U573" s="135"/>
      <c r="V573" s="135"/>
      <c r="W573" s="135"/>
      <c r="X573" s="135"/>
      <c r="Y573" s="135"/>
      <c r="Z573" s="135"/>
      <c r="AA573" s="135"/>
      <c r="AB573" s="135"/>
      <c r="AC573" s="135"/>
      <c r="AD573" s="135"/>
      <c r="AE573" s="135"/>
      <c r="AF573" s="135"/>
    </row>
    <row r="574">
      <c r="A574" s="135"/>
      <c r="B574" s="135"/>
      <c r="C574" s="135"/>
      <c r="D574" s="135"/>
      <c r="E574" s="135"/>
      <c r="F574" s="135"/>
      <c r="G574" s="135"/>
      <c r="H574" s="135"/>
      <c r="I574" s="135"/>
      <c r="J574" s="135"/>
      <c r="K574" s="135"/>
      <c r="L574" s="135"/>
      <c r="M574" s="135"/>
      <c r="N574" s="135"/>
      <c r="O574" s="135"/>
      <c r="P574" s="135"/>
      <c r="Q574" s="135"/>
      <c r="R574" s="135"/>
      <c r="S574" s="135"/>
      <c r="T574" s="135"/>
      <c r="U574" s="135"/>
      <c r="V574" s="135"/>
      <c r="W574" s="135"/>
      <c r="X574" s="135"/>
      <c r="Y574" s="135"/>
      <c r="Z574" s="135"/>
      <c r="AA574" s="135"/>
      <c r="AB574" s="135"/>
      <c r="AC574" s="135"/>
      <c r="AD574" s="135"/>
      <c r="AE574" s="135"/>
      <c r="AF574" s="135"/>
    </row>
    <row r="575">
      <c r="A575" s="135"/>
      <c r="B575" s="135"/>
      <c r="C575" s="135"/>
      <c r="D575" s="135"/>
      <c r="E575" s="135"/>
      <c r="F575" s="135"/>
      <c r="G575" s="135"/>
      <c r="H575" s="135"/>
      <c r="I575" s="135"/>
      <c r="J575" s="135"/>
      <c r="K575" s="135"/>
      <c r="L575" s="135"/>
      <c r="M575" s="135"/>
      <c r="N575" s="135"/>
      <c r="O575" s="135"/>
      <c r="P575" s="135"/>
      <c r="Q575" s="135"/>
      <c r="R575" s="135"/>
      <c r="S575" s="135"/>
      <c r="T575" s="135"/>
      <c r="U575" s="135"/>
      <c r="V575" s="135"/>
      <c r="W575" s="135"/>
      <c r="X575" s="135"/>
      <c r="Y575" s="135"/>
      <c r="Z575" s="135"/>
      <c r="AA575" s="135"/>
      <c r="AB575" s="135"/>
      <c r="AC575" s="135"/>
      <c r="AD575" s="135"/>
      <c r="AE575" s="135"/>
      <c r="AF575" s="135"/>
    </row>
    <row r="576">
      <c r="A576" s="135"/>
      <c r="B576" s="135"/>
      <c r="C576" s="135"/>
      <c r="D576" s="135"/>
      <c r="E576" s="135"/>
      <c r="F576" s="135"/>
      <c r="G576" s="135"/>
      <c r="H576" s="135"/>
      <c r="I576" s="135"/>
      <c r="J576" s="135"/>
      <c r="K576" s="135"/>
      <c r="L576" s="135"/>
      <c r="M576" s="135"/>
      <c r="N576" s="135"/>
      <c r="O576" s="135"/>
      <c r="P576" s="135"/>
      <c r="Q576" s="135"/>
      <c r="R576" s="135"/>
      <c r="S576" s="135"/>
      <c r="T576" s="135"/>
      <c r="U576" s="135"/>
      <c r="V576" s="135"/>
      <c r="W576" s="135"/>
      <c r="X576" s="135"/>
      <c r="Y576" s="135"/>
      <c r="Z576" s="135"/>
      <c r="AA576" s="135"/>
      <c r="AB576" s="135"/>
      <c r="AC576" s="135"/>
      <c r="AD576" s="135"/>
      <c r="AE576" s="135"/>
      <c r="AF576" s="135"/>
    </row>
    <row r="577">
      <c r="A577" s="135"/>
      <c r="B577" s="135"/>
      <c r="C577" s="135"/>
      <c r="D577" s="135"/>
      <c r="E577" s="135"/>
      <c r="F577" s="135"/>
      <c r="G577" s="135"/>
      <c r="H577" s="135"/>
      <c r="I577" s="135"/>
      <c r="J577" s="135"/>
      <c r="K577" s="135"/>
      <c r="L577" s="135"/>
      <c r="M577" s="135"/>
      <c r="N577" s="135"/>
      <c r="O577" s="135"/>
      <c r="P577" s="135"/>
      <c r="Q577" s="135"/>
      <c r="R577" s="135"/>
      <c r="S577" s="135"/>
      <c r="T577" s="135"/>
      <c r="U577" s="135"/>
      <c r="V577" s="135"/>
      <c r="W577" s="135"/>
      <c r="X577" s="135"/>
      <c r="Y577" s="135"/>
      <c r="Z577" s="135"/>
      <c r="AA577" s="135"/>
      <c r="AB577" s="135"/>
      <c r="AC577" s="135"/>
      <c r="AD577" s="135"/>
      <c r="AE577" s="135"/>
      <c r="AF577" s="135"/>
    </row>
    <row r="578">
      <c r="A578" s="135"/>
      <c r="B578" s="135"/>
      <c r="C578" s="135"/>
      <c r="D578" s="135"/>
      <c r="E578" s="135"/>
      <c r="F578" s="135"/>
      <c r="G578" s="135"/>
      <c r="H578" s="135"/>
      <c r="I578" s="135"/>
      <c r="J578" s="135"/>
      <c r="K578" s="135"/>
      <c r="L578" s="135"/>
      <c r="M578" s="135"/>
      <c r="N578" s="135"/>
      <c r="O578" s="135"/>
      <c r="P578" s="135"/>
      <c r="Q578" s="135"/>
      <c r="R578" s="135"/>
      <c r="S578" s="135"/>
      <c r="T578" s="135"/>
      <c r="U578" s="135"/>
      <c r="V578" s="135"/>
      <c r="W578" s="135"/>
      <c r="X578" s="135"/>
      <c r="Y578" s="135"/>
      <c r="Z578" s="135"/>
      <c r="AA578" s="135"/>
      <c r="AB578" s="135"/>
      <c r="AC578" s="135"/>
      <c r="AD578" s="135"/>
      <c r="AE578" s="135"/>
      <c r="AF578" s="135"/>
    </row>
    <row r="579">
      <c r="A579" s="135"/>
      <c r="B579" s="135"/>
      <c r="C579" s="135"/>
      <c r="D579" s="135"/>
      <c r="E579" s="135"/>
      <c r="F579" s="135"/>
      <c r="G579" s="135"/>
      <c r="H579" s="135"/>
      <c r="I579" s="135"/>
      <c r="J579" s="135"/>
      <c r="K579" s="135"/>
      <c r="L579" s="135"/>
      <c r="M579" s="135"/>
      <c r="N579" s="135"/>
      <c r="O579" s="135"/>
      <c r="P579" s="135"/>
      <c r="Q579" s="135"/>
      <c r="R579" s="135"/>
      <c r="S579" s="135"/>
      <c r="T579" s="135"/>
      <c r="U579" s="135"/>
      <c r="V579" s="135"/>
      <c r="W579" s="135"/>
      <c r="X579" s="135"/>
      <c r="Y579" s="135"/>
      <c r="Z579" s="135"/>
      <c r="AA579" s="135"/>
      <c r="AB579" s="135"/>
      <c r="AC579" s="135"/>
      <c r="AD579" s="135"/>
      <c r="AE579" s="135"/>
      <c r="AF579" s="135"/>
    </row>
    <row r="580">
      <c r="A580" s="135"/>
      <c r="B580" s="135"/>
      <c r="C580" s="135"/>
      <c r="D580" s="135"/>
      <c r="E580" s="135"/>
      <c r="F580" s="135"/>
      <c r="G580" s="135"/>
      <c r="H580" s="135"/>
      <c r="I580" s="135"/>
      <c r="J580" s="135"/>
      <c r="K580" s="135"/>
      <c r="L580" s="135"/>
      <c r="M580" s="135"/>
      <c r="N580" s="135"/>
      <c r="O580" s="135"/>
      <c r="P580" s="135"/>
      <c r="Q580" s="135"/>
      <c r="R580" s="135"/>
      <c r="S580" s="135"/>
      <c r="T580" s="135"/>
      <c r="U580" s="135"/>
      <c r="V580" s="135"/>
      <c r="W580" s="135"/>
      <c r="X580" s="135"/>
      <c r="Y580" s="135"/>
      <c r="Z580" s="135"/>
      <c r="AA580" s="135"/>
      <c r="AB580" s="135"/>
      <c r="AC580" s="135"/>
      <c r="AD580" s="135"/>
      <c r="AE580" s="135"/>
      <c r="AF580" s="135"/>
    </row>
    <row r="581">
      <c r="A581" s="135"/>
      <c r="B581" s="135"/>
      <c r="C581" s="135"/>
      <c r="D581" s="135"/>
      <c r="E581" s="135"/>
      <c r="F581" s="135"/>
      <c r="G581" s="135"/>
      <c r="H581" s="135"/>
      <c r="I581" s="135"/>
      <c r="J581" s="135"/>
      <c r="K581" s="135"/>
      <c r="L581" s="135"/>
      <c r="M581" s="135"/>
      <c r="N581" s="135"/>
      <c r="O581" s="135"/>
      <c r="P581" s="135"/>
      <c r="Q581" s="135"/>
      <c r="R581" s="135"/>
      <c r="S581" s="135"/>
      <c r="T581" s="135"/>
      <c r="U581" s="135"/>
      <c r="V581" s="135"/>
      <c r="W581" s="135"/>
      <c r="X581" s="135"/>
      <c r="Y581" s="135"/>
      <c r="Z581" s="135"/>
      <c r="AA581" s="135"/>
      <c r="AB581" s="135"/>
      <c r="AC581" s="135"/>
      <c r="AD581" s="135"/>
      <c r="AE581" s="135"/>
      <c r="AF581" s="135"/>
    </row>
    <row r="582">
      <c r="A582" s="135"/>
      <c r="B582" s="135"/>
      <c r="C582" s="135"/>
      <c r="D582" s="135"/>
      <c r="E582" s="135"/>
      <c r="F582" s="135"/>
      <c r="G582" s="135"/>
      <c r="H582" s="135"/>
      <c r="I582" s="135"/>
      <c r="J582" s="135"/>
      <c r="K582" s="135"/>
      <c r="L582" s="135"/>
      <c r="M582" s="135"/>
      <c r="N582" s="135"/>
      <c r="O582" s="135"/>
      <c r="P582" s="135"/>
      <c r="Q582" s="135"/>
      <c r="R582" s="135"/>
      <c r="S582" s="135"/>
      <c r="T582" s="135"/>
      <c r="U582" s="135"/>
      <c r="V582" s="135"/>
      <c r="W582" s="135"/>
      <c r="X582" s="135"/>
      <c r="Y582" s="135"/>
      <c r="Z582" s="135"/>
      <c r="AA582" s="135"/>
      <c r="AB582" s="135"/>
      <c r="AC582" s="135"/>
      <c r="AD582" s="135"/>
      <c r="AE582" s="135"/>
      <c r="AF582" s="135"/>
    </row>
    <row r="583">
      <c r="A583" s="135"/>
      <c r="B583" s="135"/>
      <c r="C583" s="135"/>
      <c r="D583" s="135"/>
      <c r="E583" s="135"/>
      <c r="F583" s="135"/>
      <c r="G583" s="135"/>
      <c r="H583" s="135"/>
      <c r="I583" s="135"/>
      <c r="J583" s="135"/>
      <c r="K583" s="135"/>
      <c r="L583" s="135"/>
      <c r="M583" s="135"/>
      <c r="N583" s="135"/>
      <c r="O583" s="135"/>
      <c r="P583" s="135"/>
      <c r="Q583" s="135"/>
      <c r="R583" s="135"/>
      <c r="S583" s="135"/>
      <c r="T583" s="135"/>
      <c r="U583" s="135"/>
      <c r="V583" s="135"/>
      <c r="W583" s="135"/>
      <c r="X583" s="135"/>
      <c r="Y583" s="135"/>
      <c r="Z583" s="135"/>
      <c r="AA583" s="135"/>
      <c r="AB583" s="135"/>
      <c r="AC583" s="135"/>
      <c r="AD583" s="135"/>
      <c r="AE583" s="135"/>
      <c r="AF583" s="135"/>
    </row>
    <row r="584">
      <c r="A584" s="135"/>
      <c r="B584" s="135"/>
      <c r="C584" s="135"/>
      <c r="D584" s="135"/>
      <c r="E584" s="135"/>
      <c r="F584" s="135"/>
      <c r="G584" s="135"/>
      <c r="H584" s="135"/>
      <c r="I584" s="135"/>
      <c r="J584" s="135"/>
      <c r="K584" s="135"/>
      <c r="L584" s="135"/>
      <c r="M584" s="135"/>
      <c r="N584" s="135"/>
      <c r="O584" s="135"/>
      <c r="P584" s="135"/>
      <c r="Q584" s="135"/>
      <c r="R584" s="135"/>
      <c r="S584" s="135"/>
      <c r="T584" s="135"/>
      <c r="U584" s="135"/>
      <c r="V584" s="135"/>
      <c r="W584" s="135"/>
      <c r="X584" s="135"/>
      <c r="Y584" s="135"/>
      <c r="Z584" s="135"/>
      <c r="AA584" s="135"/>
      <c r="AB584" s="135"/>
      <c r="AC584" s="135"/>
      <c r="AD584" s="135"/>
      <c r="AE584" s="135"/>
      <c r="AF584" s="135"/>
    </row>
    <row r="585">
      <c r="A585" s="135"/>
      <c r="B585" s="135"/>
      <c r="C585" s="135"/>
      <c r="D585" s="135"/>
      <c r="E585" s="135"/>
      <c r="F585" s="135"/>
      <c r="G585" s="135"/>
      <c r="H585" s="135"/>
      <c r="I585" s="135"/>
      <c r="J585" s="135"/>
      <c r="K585" s="135"/>
      <c r="L585" s="135"/>
      <c r="M585" s="135"/>
      <c r="N585" s="135"/>
      <c r="O585" s="135"/>
      <c r="P585" s="135"/>
      <c r="Q585" s="135"/>
      <c r="R585" s="135"/>
      <c r="S585" s="135"/>
      <c r="T585" s="135"/>
      <c r="U585" s="135"/>
      <c r="V585" s="135"/>
      <c r="W585" s="135"/>
      <c r="X585" s="135"/>
      <c r="Y585" s="135"/>
      <c r="Z585" s="135"/>
      <c r="AA585" s="135"/>
      <c r="AB585" s="135"/>
      <c r="AC585" s="135"/>
      <c r="AD585" s="135"/>
      <c r="AE585" s="135"/>
      <c r="AF585" s="135"/>
    </row>
    <row r="586">
      <c r="A586" s="135"/>
      <c r="B586" s="135"/>
      <c r="C586" s="135"/>
      <c r="D586" s="135"/>
      <c r="E586" s="135"/>
      <c r="F586" s="135"/>
      <c r="G586" s="135"/>
      <c r="H586" s="135"/>
      <c r="I586" s="135"/>
      <c r="J586" s="135"/>
      <c r="K586" s="135"/>
      <c r="L586" s="135"/>
      <c r="M586" s="135"/>
      <c r="N586" s="135"/>
      <c r="O586" s="135"/>
      <c r="P586" s="135"/>
      <c r="Q586" s="135"/>
      <c r="R586" s="135"/>
      <c r="S586" s="135"/>
      <c r="T586" s="135"/>
      <c r="U586" s="135"/>
      <c r="V586" s="135"/>
      <c r="W586" s="135"/>
      <c r="X586" s="135"/>
      <c r="Y586" s="135"/>
      <c r="Z586" s="135"/>
      <c r="AA586" s="135"/>
      <c r="AB586" s="135"/>
      <c r="AC586" s="135"/>
      <c r="AD586" s="135"/>
      <c r="AE586" s="135"/>
      <c r="AF586" s="135"/>
    </row>
    <row r="587">
      <c r="A587" s="135"/>
      <c r="B587" s="135"/>
      <c r="C587" s="135"/>
      <c r="D587" s="135"/>
      <c r="E587" s="135"/>
      <c r="F587" s="135"/>
      <c r="G587" s="135"/>
      <c r="H587" s="135"/>
      <c r="I587" s="135"/>
      <c r="J587" s="135"/>
      <c r="K587" s="135"/>
      <c r="L587" s="135"/>
      <c r="M587" s="135"/>
      <c r="N587" s="135"/>
      <c r="O587" s="135"/>
      <c r="P587" s="135"/>
      <c r="Q587" s="135"/>
      <c r="R587" s="135"/>
      <c r="S587" s="135"/>
      <c r="T587" s="135"/>
      <c r="U587" s="135"/>
      <c r="V587" s="135"/>
      <c r="W587" s="135"/>
      <c r="X587" s="135"/>
      <c r="Y587" s="135"/>
      <c r="Z587" s="135"/>
      <c r="AA587" s="135"/>
      <c r="AB587" s="135"/>
      <c r="AC587" s="135"/>
      <c r="AD587" s="135"/>
      <c r="AE587" s="135"/>
      <c r="AF587" s="135"/>
    </row>
    <row r="588">
      <c r="A588" s="135"/>
      <c r="B588" s="135"/>
      <c r="C588" s="135"/>
      <c r="D588" s="135"/>
      <c r="E588" s="135"/>
      <c r="F588" s="135"/>
      <c r="G588" s="135"/>
      <c r="H588" s="135"/>
      <c r="I588" s="135"/>
      <c r="J588" s="135"/>
      <c r="K588" s="135"/>
      <c r="L588" s="135"/>
      <c r="M588" s="135"/>
      <c r="N588" s="135"/>
      <c r="O588" s="135"/>
      <c r="P588" s="135"/>
      <c r="Q588" s="135"/>
      <c r="R588" s="135"/>
      <c r="S588" s="135"/>
      <c r="T588" s="135"/>
      <c r="U588" s="135"/>
      <c r="V588" s="135"/>
      <c r="W588" s="135"/>
      <c r="X588" s="135"/>
      <c r="Y588" s="135"/>
      <c r="Z588" s="135"/>
      <c r="AA588" s="135"/>
      <c r="AB588" s="135"/>
      <c r="AC588" s="135"/>
      <c r="AD588" s="135"/>
      <c r="AE588" s="135"/>
      <c r="AF588" s="135"/>
    </row>
    <row r="589">
      <c r="A589" s="135"/>
      <c r="B589" s="135"/>
      <c r="C589" s="135"/>
      <c r="D589" s="135"/>
      <c r="E589" s="135"/>
      <c r="F589" s="135"/>
      <c r="G589" s="135"/>
      <c r="H589" s="135"/>
      <c r="I589" s="135"/>
      <c r="J589" s="135"/>
      <c r="K589" s="135"/>
      <c r="L589" s="135"/>
      <c r="M589" s="135"/>
      <c r="N589" s="135"/>
      <c r="O589" s="135"/>
      <c r="P589" s="135"/>
      <c r="Q589" s="135"/>
      <c r="R589" s="135"/>
      <c r="S589" s="135"/>
      <c r="T589" s="135"/>
      <c r="U589" s="135"/>
      <c r="V589" s="135"/>
      <c r="W589" s="135"/>
      <c r="X589" s="135"/>
      <c r="Y589" s="135"/>
      <c r="Z589" s="135"/>
      <c r="AA589" s="135"/>
      <c r="AB589" s="135"/>
      <c r="AC589" s="135"/>
      <c r="AD589" s="135"/>
      <c r="AE589" s="135"/>
      <c r="AF589" s="135"/>
    </row>
    <row r="590">
      <c r="A590" s="135"/>
      <c r="B590" s="135"/>
      <c r="C590" s="135"/>
      <c r="D590" s="135"/>
      <c r="E590" s="135"/>
      <c r="F590" s="135"/>
      <c r="G590" s="135"/>
      <c r="H590" s="135"/>
      <c r="I590" s="135"/>
      <c r="J590" s="135"/>
      <c r="K590" s="135"/>
      <c r="L590" s="135"/>
      <c r="M590" s="135"/>
      <c r="N590" s="135"/>
      <c r="O590" s="135"/>
      <c r="P590" s="135"/>
      <c r="Q590" s="135"/>
      <c r="R590" s="135"/>
      <c r="S590" s="135"/>
      <c r="T590" s="135"/>
      <c r="U590" s="135"/>
      <c r="V590" s="135"/>
      <c r="W590" s="135"/>
      <c r="X590" s="135"/>
      <c r="Y590" s="135"/>
      <c r="Z590" s="135"/>
      <c r="AA590" s="135"/>
      <c r="AB590" s="135"/>
      <c r="AC590" s="135"/>
      <c r="AD590" s="135"/>
      <c r="AE590" s="135"/>
      <c r="AF590" s="135"/>
    </row>
    <row r="591">
      <c r="A591" s="135"/>
      <c r="B591" s="135"/>
      <c r="C591" s="135"/>
      <c r="D591" s="135"/>
      <c r="E591" s="135"/>
      <c r="F591" s="135"/>
      <c r="G591" s="135"/>
      <c r="H591" s="135"/>
      <c r="I591" s="135"/>
      <c r="J591" s="135"/>
      <c r="K591" s="135"/>
      <c r="L591" s="135"/>
      <c r="M591" s="135"/>
      <c r="N591" s="135"/>
      <c r="O591" s="135"/>
      <c r="P591" s="135"/>
      <c r="Q591" s="135"/>
      <c r="R591" s="135"/>
      <c r="S591" s="135"/>
      <c r="T591" s="135"/>
      <c r="U591" s="135"/>
      <c r="V591" s="135"/>
      <c r="W591" s="135"/>
      <c r="X591" s="135"/>
      <c r="Y591" s="135"/>
      <c r="Z591" s="135"/>
      <c r="AA591" s="135"/>
      <c r="AB591" s="135"/>
      <c r="AC591" s="135"/>
      <c r="AD591" s="135"/>
      <c r="AE591" s="135"/>
      <c r="AF591" s="135"/>
    </row>
    <row r="592">
      <c r="A592" s="135"/>
      <c r="B592" s="135"/>
      <c r="C592" s="135"/>
      <c r="D592" s="135"/>
      <c r="E592" s="135"/>
      <c r="F592" s="135"/>
      <c r="G592" s="135"/>
      <c r="H592" s="135"/>
      <c r="I592" s="135"/>
      <c r="J592" s="135"/>
      <c r="K592" s="135"/>
      <c r="L592" s="135"/>
      <c r="M592" s="135"/>
      <c r="N592" s="135"/>
      <c r="O592" s="135"/>
      <c r="P592" s="135"/>
      <c r="Q592" s="135"/>
      <c r="R592" s="135"/>
      <c r="S592" s="135"/>
      <c r="T592" s="135"/>
      <c r="U592" s="135"/>
      <c r="V592" s="135"/>
      <c r="W592" s="135"/>
      <c r="X592" s="135"/>
      <c r="Y592" s="135"/>
      <c r="Z592" s="135"/>
      <c r="AA592" s="135"/>
      <c r="AB592" s="135"/>
      <c r="AC592" s="135"/>
      <c r="AD592" s="135"/>
      <c r="AE592" s="135"/>
      <c r="AF592" s="135"/>
    </row>
    <row r="593">
      <c r="A593" s="135"/>
      <c r="B593" s="135"/>
      <c r="C593" s="135"/>
      <c r="D593" s="135"/>
      <c r="E593" s="135"/>
      <c r="F593" s="135"/>
      <c r="G593" s="135"/>
      <c r="H593" s="135"/>
      <c r="I593" s="135"/>
      <c r="J593" s="135"/>
      <c r="K593" s="135"/>
      <c r="L593" s="135"/>
      <c r="M593" s="135"/>
      <c r="N593" s="135"/>
      <c r="O593" s="135"/>
      <c r="P593" s="135"/>
      <c r="Q593" s="135"/>
      <c r="R593" s="135"/>
      <c r="S593" s="135"/>
      <c r="T593" s="135"/>
      <c r="U593" s="135"/>
      <c r="V593" s="135"/>
      <c r="W593" s="135"/>
      <c r="X593" s="135"/>
      <c r="Y593" s="135"/>
      <c r="Z593" s="135"/>
      <c r="AA593" s="135"/>
      <c r="AB593" s="135"/>
      <c r="AC593" s="135"/>
      <c r="AD593" s="135"/>
      <c r="AE593" s="135"/>
      <c r="AF593" s="135"/>
    </row>
    <row r="594">
      <c r="A594" s="135"/>
      <c r="B594" s="135"/>
      <c r="C594" s="135"/>
      <c r="D594" s="135"/>
      <c r="E594" s="135"/>
      <c r="F594" s="135"/>
      <c r="G594" s="135"/>
      <c r="H594" s="135"/>
      <c r="I594" s="135"/>
      <c r="J594" s="135"/>
      <c r="K594" s="135"/>
      <c r="L594" s="135"/>
      <c r="M594" s="135"/>
      <c r="N594" s="135"/>
      <c r="O594" s="135"/>
      <c r="P594" s="135"/>
      <c r="Q594" s="135"/>
      <c r="R594" s="135"/>
      <c r="S594" s="135"/>
      <c r="T594" s="135"/>
      <c r="U594" s="135"/>
      <c r="V594" s="135"/>
      <c r="W594" s="135"/>
      <c r="X594" s="135"/>
      <c r="Y594" s="135"/>
      <c r="Z594" s="135"/>
      <c r="AA594" s="135"/>
      <c r="AB594" s="135"/>
      <c r="AC594" s="135"/>
      <c r="AD594" s="135"/>
      <c r="AE594" s="135"/>
      <c r="AF594" s="135"/>
    </row>
    <row r="595">
      <c r="A595" s="135"/>
      <c r="B595" s="135"/>
      <c r="C595" s="135"/>
      <c r="D595" s="135"/>
      <c r="E595" s="135"/>
      <c r="F595" s="135"/>
      <c r="G595" s="135"/>
      <c r="H595" s="135"/>
      <c r="I595" s="135"/>
      <c r="J595" s="135"/>
      <c r="K595" s="135"/>
      <c r="L595" s="135"/>
      <c r="M595" s="135"/>
      <c r="N595" s="135"/>
      <c r="O595" s="135"/>
      <c r="P595" s="135"/>
      <c r="Q595" s="135"/>
      <c r="R595" s="135"/>
      <c r="S595" s="135"/>
      <c r="T595" s="135"/>
      <c r="U595" s="135"/>
      <c r="V595" s="135"/>
      <c r="W595" s="135"/>
      <c r="X595" s="135"/>
      <c r="Y595" s="135"/>
      <c r="Z595" s="135"/>
      <c r="AA595" s="135"/>
      <c r="AB595" s="135"/>
      <c r="AC595" s="135"/>
      <c r="AD595" s="135"/>
      <c r="AE595" s="135"/>
      <c r="AF595" s="135"/>
    </row>
    <row r="596">
      <c r="A596" s="135"/>
      <c r="B596" s="135"/>
      <c r="C596" s="135"/>
      <c r="D596" s="135"/>
      <c r="E596" s="135"/>
      <c r="F596" s="135"/>
      <c r="G596" s="135"/>
      <c r="H596" s="135"/>
      <c r="I596" s="135"/>
      <c r="J596" s="135"/>
      <c r="K596" s="135"/>
      <c r="L596" s="135"/>
      <c r="M596" s="135"/>
      <c r="N596" s="135"/>
      <c r="O596" s="135"/>
      <c r="P596" s="135"/>
      <c r="Q596" s="135"/>
      <c r="R596" s="135"/>
      <c r="S596" s="135"/>
      <c r="T596" s="135"/>
      <c r="U596" s="135"/>
      <c r="V596" s="135"/>
      <c r="W596" s="135"/>
      <c r="X596" s="135"/>
      <c r="Y596" s="135"/>
      <c r="Z596" s="135"/>
      <c r="AA596" s="135"/>
      <c r="AB596" s="135"/>
      <c r="AC596" s="135"/>
      <c r="AD596" s="135"/>
      <c r="AE596" s="135"/>
      <c r="AF596" s="135"/>
    </row>
    <row r="597">
      <c r="A597" s="135"/>
      <c r="B597" s="135"/>
      <c r="C597" s="135"/>
      <c r="D597" s="135"/>
      <c r="E597" s="135"/>
      <c r="F597" s="135"/>
      <c r="G597" s="135"/>
      <c r="H597" s="135"/>
      <c r="I597" s="135"/>
      <c r="J597" s="135"/>
      <c r="K597" s="135"/>
      <c r="L597" s="135"/>
      <c r="M597" s="135"/>
      <c r="N597" s="135"/>
      <c r="O597" s="135"/>
      <c r="P597" s="135"/>
      <c r="Q597" s="135"/>
      <c r="R597" s="135"/>
      <c r="S597" s="135"/>
      <c r="T597" s="135"/>
      <c r="U597" s="135"/>
      <c r="V597" s="135"/>
      <c r="W597" s="135"/>
      <c r="X597" s="135"/>
      <c r="Y597" s="135"/>
      <c r="Z597" s="135"/>
      <c r="AA597" s="135"/>
      <c r="AB597" s="135"/>
      <c r="AC597" s="135"/>
      <c r="AD597" s="135"/>
      <c r="AE597" s="135"/>
      <c r="AF597" s="135"/>
    </row>
    <row r="598">
      <c r="A598" s="135"/>
      <c r="B598" s="135"/>
      <c r="C598" s="135"/>
      <c r="D598" s="135"/>
      <c r="E598" s="135"/>
      <c r="F598" s="135"/>
      <c r="G598" s="135"/>
      <c r="H598" s="135"/>
      <c r="I598" s="135"/>
      <c r="J598" s="135"/>
      <c r="K598" s="135"/>
      <c r="L598" s="135"/>
      <c r="M598" s="135"/>
      <c r="N598" s="135"/>
      <c r="O598" s="135"/>
      <c r="P598" s="135"/>
      <c r="Q598" s="135"/>
      <c r="R598" s="135"/>
      <c r="S598" s="135"/>
      <c r="T598" s="135"/>
      <c r="U598" s="135"/>
      <c r="V598" s="135"/>
      <c r="W598" s="135"/>
      <c r="X598" s="135"/>
      <c r="Y598" s="135"/>
      <c r="Z598" s="135"/>
      <c r="AA598" s="135"/>
      <c r="AB598" s="135"/>
      <c r="AC598" s="135"/>
      <c r="AD598" s="135"/>
      <c r="AE598" s="135"/>
      <c r="AF598" s="135"/>
    </row>
    <row r="599">
      <c r="A599" s="135"/>
      <c r="B599" s="135"/>
      <c r="C599" s="135"/>
      <c r="D599" s="135"/>
      <c r="E599" s="135"/>
      <c r="F599" s="135"/>
      <c r="G599" s="135"/>
      <c r="H599" s="135"/>
      <c r="I599" s="135"/>
      <c r="J599" s="135"/>
      <c r="K599" s="135"/>
      <c r="L599" s="135"/>
      <c r="M599" s="135"/>
      <c r="N599" s="135"/>
      <c r="O599" s="135"/>
      <c r="P599" s="135"/>
      <c r="Q599" s="135"/>
      <c r="R599" s="135"/>
      <c r="S599" s="135"/>
      <c r="T599" s="135"/>
      <c r="U599" s="135"/>
      <c r="V599" s="135"/>
      <c r="W599" s="135"/>
      <c r="X599" s="135"/>
      <c r="Y599" s="135"/>
      <c r="Z599" s="135"/>
      <c r="AA599" s="135"/>
      <c r="AB599" s="135"/>
      <c r="AC599" s="135"/>
      <c r="AD599" s="135"/>
      <c r="AE599" s="135"/>
      <c r="AF599" s="135"/>
    </row>
    <row r="600">
      <c r="A600" s="135"/>
      <c r="B600" s="135"/>
      <c r="C600" s="135"/>
      <c r="D600" s="135"/>
      <c r="E600" s="135"/>
      <c r="F600" s="135"/>
      <c r="G600" s="135"/>
      <c r="H600" s="135"/>
      <c r="I600" s="135"/>
      <c r="J600" s="135"/>
      <c r="K600" s="135"/>
      <c r="L600" s="135"/>
      <c r="M600" s="135"/>
      <c r="N600" s="135"/>
      <c r="O600" s="135"/>
      <c r="P600" s="135"/>
      <c r="Q600" s="135"/>
      <c r="R600" s="135"/>
      <c r="S600" s="135"/>
      <c r="T600" s="135"/>
      <c r="U600" s="135"/>
      <c r="V600" s="135"/>
      <c r="W600" s="135"/>
      <c r="X600" s="135"/>
      <c r="Y600" s="135"/>
      <c r="Z600" s="135"/>
      <c r="AA600" s="135"/>
      <c r="AB600" s="135"/>
      <c r="AC600" s="135"/>
      <c r="AD600" s="135"/>
      <c r="AE600" s="135"/>
      <c r="AF600" s="135"/>
    </row>
    <row r="601">
      <c r="A601" s="135"/>
      <c r="B601" s="135"/>
      <c r="C601" s="135"/>
      <c r="D601" s="135"/>
      <c r="E601" s="135"/>
      <c r="F601" s="135"/>
      <c r="G601" s="135"/>
      <c r="H601" s="135"/>
      <c r="I601" s="135"/>
      <c r="J601" s="135"/>
      <c r="K601" s="135"/>
      <c r="L601" s="135"/>
      <c r="M601" s="135"/>
      <c r="N601" s="135"/>
      <c r="O601" s="135"/>
      <c r="P601" s="135"/>
      <c r="Q601" s="135"/>
      <c r="R601" s="135"/>
      <c r="S601" s="135"/>
      <c r="T601" s="135"/>
      <c r="U601" s="135"/>
      <c r="V601" s="135"/>
      <c r="W601" s="135"/>
      <c r="X601" s="135"/>
      <c r="Y601" s="135"/>
      <c r="Z601" s="135"/>
      <c r="AA601" s="135"/>
      <c r="AB601" s="135"/>
      <c r="AC601" s="135"/>
      <c r="AD601" s="135"/>
      <c r="AE601" s="135"/>
      <c r="AF601" s="135"/>
    </row>
    <row r="602">
      <c r="A602" s="135"/>
      <c r="B602" s="135"/>
      <c r="C602" s="135"/>
      <c r="D602" s="135"/>
      <c r="E602" s="135"/>
      <c r="F602" s="135"/>
      <c r="G602" s="135"/>
      <c r="H602" s="135"/>
      <c r="I602" s="135"/>
      <c r="J602" s="135"/>
      <c r="K602" s="135"/>
      <c r="L602" s="135"/>
      <c r="M602" s="135"/>
      <c r="N602" s="135"/>
      <c r="O602" s="135"/>
      <c r="P602" s="135"/>
      <c r="Q602" s="135"/>
      <c r="R602" s="135"/>
      <c r="S602" s="135"/>
      <c r="T602" s="135"/>
      <c r="U602" s="135"/>
      <c r="V602" s="135"/>
      <c r="W602" s="135"/>
      <c r="X602" s="135"/>
      <c r="Y602" s="135"/>
      <c r="Z602" s="135"/>
      <c r="AA602" s="135"/>
      <c r="AB602" s="135"/>
      <c r="AC602" s="135"/>
      <c r="AD602" s="135"/>
      <c r="AE602" s="135"/>
      <c r="AF602" s="135"/>
    </row>
    <row r="603">
      <c r="A603" s="135"/>
      <c r="B603" s="135"/>
      <c r="C603" s="135"/>
      <c r="D603" s="135"/>
      <c r="E603" s="135"/>
      <c r="F603" s="135"/>
      <c r="G603" s="135"/>
      <c r="H603" s="135"/>
      <c r="I603" s="135"/>
      <c r="J603" s="135"/>
      <c r="K603" s="135"/>
      <c r="L603" s="135"/>
      <c r="M603" s="135"/>
      <c r="N603" s="135"/>
      <c r="O603" s="135"/>
      <c r="P603" s="135"/>
      <c r="Q603" s="135"/>
      <c r="R603" s="135"/>
      <c r="S603" s="135"/>
      <c r="T603" s="135"/>
      <c r="U603" s="135"/>
      <c r="V603" s="135"/>
      <c r="W603" s="135"/>
      <c r="X603" s="135"/>
      <c r="Y603" s="135"/>
      <c r="Z603" s="135"/>
      <c r="AA603" s="135"/>
      <c r="AB603" s="135"/>
      <c r="AC603" s="135"/>
      <c r="AD603" s="135"/>
      <c r="AE603" s="135"/>
      <c r="AF603" s="135"/>
    </row>
    <row r="604">
      <c r="A604" s="135"/>
      <c r="B604" s="135"/>
      <c r="C604" s="135"/>
      <c r="D604" s="135"/>
      <c r="E604" s="135"/>
      <c r="F604" s="135"/>
      <c r="G604" s="135"/>
      <c r="H604" s="135"/>
      <c r="I604" s="135"/>
      <c r="J604" s="135"/>
      <c r="K604" s="135"/>
      <c r="L604" s="135"/>
      <c r="M604" s="135"/>
      <c r="N604" s="135"/>
      <c r="O604" s="135"/>
      <c r="P604" s="135"/>
      <c r="Q604" s="135"/>
      <c r="R604" s="135"/>
      <c r="S604" s="135"/>
      <c r="T604" s="135"/>
      <c r="U604" s="135"/>
      <c r="V604" s="135"/>
      <c r="W604" s="135"/>
      <c r="X604" s="135"/>
      <c r="Y604" s="135"/>
      <c r="Z604" s="135"/>
      <c r="AA604" s="135"/>
      <c r="AB604" s="135"/>
      <c r="AC604" s="135"/>
      <c r="AD604" s="135"/>
      <c r="AE604" s="135"/>
      <c r="AF604" s="135"/>
    </row>
    <row r="605">
      <c r="A605" s="135"/>
      <c r="B605" s="135"/>
      <c r="C605" s="135"/>
      <c r="D605" s="135"/>
      <c r="E605" s="135"/>
      <c r="F605" s="135"/>
      <c r="G605" s="135"/>
      <c r="H605" s="135"/>
      <c r="I605" s="135"/>
      <c r="J605" s="135"/>
      <c r="K605" s="135"/>
      <c r="L605" s="135"/>
      <c r="M605" s="135"/>
      <c r="N605" s="135"/>
      <c r="O605" s="135"/>
      <c r="P605" s="135"/>
      <c r="Q605" s="135"/>
      <c r="R605" s="135"/>
      <c r="S605" s="135"/>
      <c r="T605" s="135"/>
      <c r="U605" s="135"/>
      <c r="V605" s="135"/>
      <c r="W605" s="135"/>
      <c r="X605" s="135"/>
      <c r="Y605" s="135"/>
      <c r="Z605" s="135"/>
      <c r="AA605" s="135"/>
      <c r="AB605" s="135"/>
      <c r="AC605" s="135"/>
      <c r="AD605" s="135"/>
      <c r="AE605" s="135"/>
      <c r="AF605" s="135"/>
    </row>
    <row r="606">
      <c r="A606" s="135"/>
      <c r="B606" s="135"/>
      <c r="C606" s="135"/>
      <c r="D606" s="135"/>
      <c r="E606" s="135"/>
      <c r="F606" s="135"/>
      <c r="G606" s="135"/>
      <c r="H606" s="135"/>
      <c r="I606" s="135"/>
      <c r="J606" s="135"/>
      <c r="K606" s="135"/>
      <c r="L606" s="135"/>
      <c r="M606" s="135"/>
      <c r="N606" s="135"/>
      <c r="O606" s="135"/>
      <c r="P606" s="135"/>
      <c r="Q606" s="135"/>
      <c r="R606" s="135"/>
      <c r="S606" s="135"/>
      <c r="T606" s="135"/>
      <c r="U606" s="135"/>
      <c r="V606" s="135"/>
      <c r="W606" s="135"/>
      <c r="X606" s="135"/>
      <c r="Y606" s="135"/>
      <c r="Z606" s="135"/>
      <c r="AA606" s="135"/>
      <c r="AB606" s="135"/>
      <c r="AC606" s="135"/>
      <c r="AD606" s="135"/>
      <c r="AE606" s="135"/>
      <c r="AF606" s="135"/>
    </row>
    <row r="607">
      <c r="A607" s="135"/>
      <c r="B607" s="135"/>
      <c r="C607" s="135"/>
      <c r="D607" s="135"/>
      <c r="E607" s="135"/>
      <c r="F607" s="135"/>
      <c r="G607" s="135"/>
      <c r="H607" s="135"/>
      <c r="I607" s="135"/>
      <c r="J607" s="135"/>
      <c r="K607" s="135"/>
      <c r="L607" s="135"/>
      <c r="M607" s="135"/>
      <c r="N607" s="135"/>
      <c r="O607" s="135"/>
      <c r="P607" s="135"/>
      <c r="Q607" s="135"/>
      <c r="R607" s="135"/>
      <c r="S607" s="135"/>
      <c r="T607" s="135"/>
      <c r="U607" s="135"/>
      <c r="V607" s="135"/>
      <c r="W607" s="135"/>
      <c r="X607" s="135"/>
      <c r="Y607" s="135"/>
      <c r="Z607" s="135"/>
      <c r="AA607" s="135"/>
      <c r="AB607" s="135"/>
      <c r="AC607" s="135"/>
      <c r="AD607" s="135"/>
      <c r="AE607" s="135"/>
      <c r="AF607" s="135"/>
    </row>
    <row r="608">
      <c r="A608" s="135"/>
      <c r="B608" s="135"/>
      <c r="C608" s="135"/>
      <c r="D608" s="135"/>
      <c r="E608" s="135"/>
      <c r="F608" s="135"/>
      <c r="G608" s="135"/>
      <c r="H608" s="135"/>
      <c r="I608" s="135"/>
      <c r="J608" s="135"/>
      <c r="K608" s="135"/>
      <c r="L608" s="135"/>
      <c r="M608" s="135"/>
      <c r="N608" s="135"/>
      <c r="O608" s="135"/>
      <c r="P608" s="135"/>
      <c r="Q608" s="135"/>
      <c r="R608" s="135"/>
      <c r="S608" s="135"/>
      <c r="T608" s="135"/>
      <c r="U608" s="135"/>
      <c r="V608" s="135"/>
      <c r="W608" s="135"/>
      <c r="X608" s="135"/>
      <c r="Y608" s="135"/>
      <c r="Z608" s="135"/>
      <c r="AA608" s="135"/>
      <c r="AB608" s="135"/>
      <c r="AC608" s="135"/>
      <c r="AD608" s="135"/>
      <c r="AE608" s="135"/>
      <c r="AF608" s="135"/>
    </row>
    <row r="609">
      <c r="A609" s="135"/>
      <c r="B609" s="135"/>
      <c r="C609" s="135"/>
      <c r="D609" s="135"/>
      <c r="E609" s="135"/>
      <c r="F609" s="135"/>
      <c r="G609" s="135"/>
      <c r="H609" s="135"/>
      <c r="I609" s="135"/>
      <c r="J609" s="135"/>
      <c r="K609" s="135"/>
      <c r="L609" s="135"/>
      <c r="M609" s="135"/>
      <c r="N609" s="135"/>
      <c r="O609" s="135"/>
      <c r="P609" s="135"/>
      <c r="Q609" s="135"/>
      <c r="R609" s="135"/>
      <c r="S609" s="135"/>
      <c r="T609" s="135"/>
      <c r="U609" s="135"/>
      <c r="V609" s="135"/>
      <c r="W609" s="135"/>
      <c r="X609" s="135"/>
      <c r="Y609" s="135"/>
      <c r="Z609" s="135"/>
      <c r="AA609" s="135"/>
      <c r="AB609" s="135"/>
      <c r="AC609" s="135"/>
      <c r="AD609" s="135"/>
      <c r="AE609" s="135"/>
      <c r="AF609" s="135"/>
    </row>
    <row r="610">
      <c r="A610" s="135"/>
      <c r="B610" s="135"/>
      <c r="C610" s="135"/>
      <c r="D610" s="135"/>
      <c r="E610" s="135"/>
      <c r="F610" s="135"/>
      <c r="G610" s="135"/>
      <c r="H610" s="135"/>
      <c r="I610" s="135"/>
      <c r="J610" s="135"/>
      <c r="K610" s="135"/>
      <c r="L610" s="135"/>
      <c r="M610" s="135"/>
      <c r="N610" s="135"/>
      <c r="O610" s="135"/>
      <c r="P610" s="135"/>
      <c r="Q610" s="135"/>
      <c r="R610" s="135"/>
      <c r="S610" s="135"/>
      <c r="T610" s="135"/>
      <c r="U610" s="135"/>
      <c r="V610" s="135"/>
      <c r="W610" s="135"/>
      <c r="X610" s="135"/>
      <c r="Y610" s="135"/>
      <c r="Z610" s="135"/>
      <c r="AA610" s="135"/>
      <c r="AB610" s="135"/>
      <c r="AC610" s="135"/>
      <c r="AD610" s="135"/>
      <c r="AE610" s="135"/>
      <c r="AF610" s="135"/>
    </row>
    <row r="611">
      <c r="A611" s="135"/>
      <c r="B611" s="135"/>
      <c r="C611" s="135"/>
      <c r="D611" s="135"/>
      <c r="E611" s="135"/>
      <c r="F611" s="135"/>
      <c r="G611" s="135"/>
      <c r="H611" s="135"/>
      <c r="I611" s="135"/>
      <c r="J611" s="135"/>
      <c r="K611" s="135"/>
      <c r="L611" s="135"/>
      <c r="M611" s="135"/>
      <c r="N611" s="135"/>
      <c r="O611" s="135"/>
      <c r="P611" s="135"/>
      <c r="Q611" s="135"/>
      <c r="R611" s="135"/>
      <c r="S611" s="135"/>
      <c r="T611" s="135"/>
      <c r="U611" s="135"/>
      <c r="V611" s="135"/>
      <c r="W611" s="135"/>
      <c r="X611" s="135"/>
      <c r="Y611" s="135"/>
      <c r="Z611" s="135"/>
      <c r="AA611" s="135"/>
      <c r="AB611" s="135"/>
      <c r="AC611" s="135"/>
      <c r="AD611" s="135"/>
      <c r="AE611" s="135"/>
      <c r="AF611" s="135"/>
    </row>
    <row r="612">
      <c r="A612" s="135"/>
      <c r="B612" s="135"/>
      <c r="C612" s="135"/>
      <c r="D612" s="135"/>
      <c r="E612" s="135"/>
      <c r="F612" s="135"/>
      <c r="G612" s="135"/>
      <c r="H612" s="135"/>
      <c r="I612" s="135"/>
      <c r="J612" s="135"/>
      <c r="K612" s="135"/>
      <c r="L612" s="135"/>
      <c r="M612" s="135"/>
      <c r="N612" s="135"/>
      <c r="O612" s="135"/>
      <c r="P612" s="135"/>
      <c r="Q612" s="135"/>
      <c r="R612" s="135"/>
      <c r="S612" s="135"/>
      <c r="T612" s="135"/>
      <c r="U612" s="135"/>
      <c r="V612" s="135"/>
      <c r="W612" s="135"/>
      <c r="X612" s="135"/>
      <c r="Y612" s="135"/>
      <c r="Z612" s="135"/>
      <c r="AA612" s="135"/>
      <c r="AB612" s="135"/>
      <c r="AC612" s="135"/>
      <c r="AD612" s="135"/>
      <c r="AE612" s="135"/>
      <c r="AF612" s="135"/>
    </row>
    <row r="613">
      <c r="A613" s="135"/>
      <c r="B613" s="135"/>
      <c r="C613" s="135"/>
      <c r="D613" s="135"/>
      <c r="E613" s="135"/>
      <c r="F613" s="135"/>
      <c r="G613" s="135"/>
      <c r="H613" s="135"/>
      <c r="I613" s="135"/>
      <c r="J613" s="135"/>
      <c r="K613" s="135"/>
      <c r="L613" s="135"/>
      <c r="M613" s="135"/>
      <c r="N613" s="135"/>
      <c r="O613" s="135"/>
      <c r="P613" s="135"/>
      <c r="Q613" s="135"/>
      <c r="R613" s="135"/>
      <c r="S613" s="135"/>
      <c r="T613" s="135"/>
      <c r="U613" s="135"/>
      <c r="V613" s="135"/>
      <c r="W613" s="135"/>
      <c r="X613" s="135"/>
      <c r="Y613" s="135"/>
      <c r="Z613" s="135"/>
      <c r="AA613" s="135"/>
      <c r="AB613" s="135"/>
      <c r="AC613" s="135"/>
      <c r="AD613" s="135"/>
      <c r="AE613" s="135"/>
      <c r="AF613" s="135"/>
    </row>
    <row r="614">
      <c r="A614" s="135"/>
      <c r="B614" s="135"/>
      <c r="C614" s="135"/>
      <c r="D614" s="135"/>
      <c r="E614" s="135"/>
      <c r="F614" s="135"/>
      <c r="G614" s="135"/>
      <c r="H614" s="135"/>
      <c r="I614" s="135"/>
      <c r="J614" s="135"/>
      <c r="K614" s="135"/>
      <c r="L614" s="135"/>
      <c r="M614" s="135"/>
      <c r="N614" s="135"/>
      <c r="O614" s="135"/>
      <c r="P614" s="135"/>
      <c r="Q614" s="135"/>
      <c r="R614" s="135"/>
      <c r="S614" s="135"/>
      <c r="T614" s="135"/>
      <c r="U614" s="135"/>
      <c r="V614" s="135"/>
      <c r="W614" s="135"/>
      <c r="X614" s="135"/>
      <c r="Y614" s="135"/>
      <c r="Z614" s="135"/>
      <c r="AA614" s="135"/>
      <c r="AB614" s="135"/>
      <c r="AC614" s="135"/>
      <c r="AD614" s="135"/>
      <c r="AE614" s="135"/>
      <c r="AF614" s="135"/>
    </row>
    <row r="615">
      <c r="A615" s="135"/>
      <c r="B615" s="135"/>
      <c r="C615" s="135"/>
      <c r="D615" s="135"/>
      <c r="E615" s="135"/>
      <c r="F615" s="135"/>
      <c r="G615" s="135"/>
      <c r="H615" s="135"/>
      <c r="I615" s="135"/>
      <c r="J615" s="135"/>
      <c r="K615" s="135"/>
      <c r="L615" s="135"/>
      <c r="M615" s="135"/>
      <c r="N615" s="135"/>
      <c r="O615" s="135"/>
      <c r="P615" s="135"/>
      <c r="Q615" s="135"/>
      <c r="R615" s="135"/>
      <c r="S615" s="135"/>
      <c r="T615" s="135"/>
      <c r="U615" s="135"/>
      <c r="V615" s="135"/>
      <c r="W615" s="135"/>
      <c r="X615" s="135"/>
      <c r="Y615" s="135"/>
      <c r="Z615" s="135"/>
      <c r="AA615" s="135"/>
      <c r="AB615" s="135"/>
      <c r="AC615" s="135"/>
      <c r="AD615" s="135"/>
      <c r="AE615" s="135"/>
      <c r="AF615" s="135"/>
    </row>
    <row r="616">
      <c r="A616" s="135"/>
      <c r="B616" s="135"/>
      <c r="C616" s="135"/>
      <c r="D616" s="135"/>
      <c r="E616" s="135"/>
      <c r="F616" s="135"/>
      <c r="G616" s="135"/>
      <c r="H616" s="135"/>
      <c r="I616" s="135"/>
      <c r="J616" s="135"/>
      <c r="K616" s="135"/>
      <c r="L616" s="135"/>
      <c r="M616" s="135"/>
      <c r="N616" s="135"/>
      <c r="O616" s="135"/>
      <c r="P616" s="135"/>
      <c r="Q616" s="135"/>
      <c r="R616" s="135"/>
      <c r="S616" s="135"/>
      <c r="T616" s="135"/>
      <c r="U616" s="135"/>
      <c r="V616" s="135"/>
      <c r="W616" s="135"/>
      <c r="X616" s="135"/>
      <c r="Y616" s="135"/>
      <c r="Z616" s="135"/>
      <c r="AA616" s="135"/>
      <c r="AB616" s="135"/>
      <c r="AC616" s="135"/>
      <c r="AD616" s="135"/>
      <c r="AE616" s="135"/>
      <c r="AF616" s="135"/>
    </row>
    <row r="617">
      <c r="A617" s="135"/>
      <c r="B617" s="135"/>
      <c r="C617" s="135"/>
      <c r="D617" s="135"/>
      <c r="E617" s="135"/>
      <c r="F617" s="135"/>
      <c r="G617" s="135"/>
      <c r="H617" s="135"/>
      <c r="I617" s="135"/>
      <c r="J617" s="135"/>
      <c r="K617" s="135"/>
      <c r="L617" s="135"/>
      <c r="M617" s="135"/>
      <c r="N617" s="135"/>
      <c r="O617" s="135"/>
      <c r="P617" s="135"/>
      <c r="Q617" s="135"/>
      <c r="R617" s="135"/>
      <c r="S617" s="135"/>
      <c r="T617" s="135"/>
      <c r="U617" s="135"/>
      <c r="V617" s="135"/>
      <c r="W617" s="135"/>
      <c r="X617" s="135"/>
      <c r="Y617" s="135"/>
      <c r="Z617" s="135"/>
      <c r="AA617" s="135"/>
      <c r="AB617" s="135"/>
      <c r="AC617" s="135"/>
      <c r="AD617" s="135"/>
      <c r="AE617" s="135"/>
      <c r="AF617" s="135"/>
    </row>
    <row r="618">
      <c r="A618" s="135"/>
      <c r="B618" s="135"/>
      <c r="C618" s="135"/>
      <c r="D618" s="135"/>
      <c r="E618" s="135"/>
      <c r="F618" s="135"/>
      <c r="G618" s="135"/>
      <c r="H618" s="135"/>
      <c r="I618" s="135"/>
      <c r="J618" s="135"/>
      <c r="K618" s="135"/>
      <c r="L618" s="135"/>
      <c r="M618" s="135"/>
      <c r="N618" s="135"/>
      <c r="O618" s="135"/>
      <c r="P618" s="135"/>
      <c r="Q618" s="135"/>
      <c r="R618" s="135"/>
      <c r="S618" s="135"/>
      <c r="T618" s="135"/>
      <c r="U618" s="135"/>
      <c r="V618" s="135"/>
      <c r="W618" s="135"/>
      <c r="X618" s="135"/>
      <c r="Y618" s="135"/>
      <c r="Z618" s="135"/>
      <c r="AA618" s="135"/>
      <c r="AB618" s="135"/>
      <c r="AC618" s="135"/>
      <c r="AD618" s="135"/>
      <c r="AE618" s="135"/>
      <c r="AF618" s="135"/>
    </row>
    <row r="619">
      <c r="A619" s="135"/>
      <c r="B619" s="135"/>
      <c r="C619" s="135"/>
      <c r="D619" s="135"/>
      <c r="E619" s="135"/>
      <c r="F619" s="135"/>
      <c r="G619" s="135"/>
      <c r="H619" s="135"/>
      <c r="I619" s="135"/>
      <c r="J619" s="135"/>
      <c r="K619" s="135"/>
      <c r="L619" s="135"/>
      <c r="M619" s="135"/>
      <c r="N619" s="135"/>
      <c r="O619" s="135"/>
      <c r="P619" s="135"/>
      <c r="Q619" s="135"/>
      <c r="R619" s="135"/>
      <c r="S619" s="135"/>
      <c r="T619" s="135"/>
      <c r="U619" s="135"/>
      <c r="V619" s="135"/>
      <c r="W619" s="135"/>
      <c r="X619" s="135"/>
      <c r="Y619" s="135"/>
      <c r="Z619" s="135"/>
      <c r="AA619" s="135"/>
      <c r="AB619" s="135"/>
      <c r="AC619" s="135"/>
      <c r="AD619" s="135"/>
      <c r="AE619" s="135"/>
      <c r="AF619" s="135"/>
    </row>
    <row r="620">
      <c r="A620" s="135"/>
      <c r="B620" s="135"/>
      <c r="C620" s="135"/>
      <c r="D620" s="135"/>
      <c r="E620" s="135"/>
      <c r="F620" s="135"/>
      <c r="G620" s="135"/>
      <c r="H620" s="135"/>
      <c r="I620" s="135"/>
      <c r="J620" s="135"/>
      <c r="K620" s="135"/>
      <c r="L620" s="135"/>
      <c r="M620" s="135"/>
      <c r="N620" s="135"/>
      <c r="O620" s="135"/>
      <c r="P620" s="135"/>
      <c r="Q620" s="135"/>
      <c r="R620" s="135"/>
      <c r="S620" s="135"/>
      <c r="T620" s="135"/>
      <c r="U620" s="135"/>
      <c r="V620" s="135"/>
      <c r="W620" s="135"/>
      <c r="X620" s="135"/>
      <c r="Y620" s="135"/>
      <c r="Z620" s="135"/>
      <c r="AA620" s="135"/>
      <c r="AB620" s="135"/>
      <c r="AC620" s="135"/>
      <c r="AD620" s="135"/>
      <c r="AE620" s="135"/>
      <c r="AF620" s="135"/>
    </row>
    <row r="621">
      <c r="A621" s="135"/>
      <c r="B621" s="135"/>
      <c r="C621" s="135"/>
      <c r="D621" s="135"/>
      <c r="E621" s="135"/>
      <c r="F621" s="135"/>
      <c r="G621" s="135"/>
      <c r="H621" s="135"/>
      <c r="I621" s="135"/>
      <c r="J621" s="135"/>
      <c r="K621" s="135"/>
      <c r="L621" s="135"/>
      <c r="M621" s="135"/>
      <c r="N621" s="135"/>
      <c r="O621" s="135"/>
      <c r="P621" s="135"/>
      <c r="Q621" s="135"/>
      <c r="R621" s="135"/>
      <c r="S621" s="135"/>
      <c r="T621" s="135"/>
      <c r="U621" s="135"/>
      <c r="V621" s="135"/>
      <c r="W621" s="135"/>
      <c r="X621" s="135"/>
      <c r="Y621" s="135"/>
      <c r="Z621" s="135"/>
      <c r="AA621" s="135"/>
      <c r="AB621" s="135"/>
      <c r="AC621" s="135"/>
      <c r="AD621" s="135"/>
      <c r="AE621" s="135"/>
      <c r="AF621" s="135"/>
    </row>
    <row r="622">
      <c r="A622" s="135"/>
      <c r="B622" s="135"/>
      <c r="C622" s="135"/>
      <c r="D622" s="135"/>
      <c r="E622" s="135"/>
      <c r="F622" s="135"/>
      <c r="G622" s="135"/>
      <c r="H622" s="135"/>
      <c r="I622" s="135"/>
      <c r="J622" s="135"/>
      <c r="K622" s="135"/>
      <c r="L622" s="135"/>
      <c r="M622" s="135"/>
      <c r="N622" s="135"/>
      <c r="O622" s="135"/>
      <c r="P622" s="135"/>
      <c r="Q622" s="135"/>
      <c r="R622" s="135"/>
      <c r="S622" s="135"/>
      <c r="T622" s="135"/>
      <c r="U622" s="135"/>
      <c r="V622" s="135"/>
      <c r="W622" s="135"/>
      <c r="X622" s="135"/>
      <c r="Y622" s="135"/>
      <c r="Z622" s="135"/>
      <c r="AA622" s="135"/>
      <c r="AB622" s="135"/>
      <c r="AC622" s="135"/>
      <c r="AD622" s="135"/>
      <c r="AE622" s="135"/>
      <c r="AF622" s="135"/>
    </row>
    <row r="623">
      <c r="A623" s="135"/>
      <c r="B623" s="135"/>
      <c r="C623" s="135"/>
      <c r="D623" s="135"/>
      <c r="E623" s="135"/>
      <c r="F623" s="135"/>
      <c r="G623" s="135"/>
      <c r="H623" s="135"/>
      <c r="I623" s="135"/>
      <c r="J623" s="135"/>
      <c r="K623" s="135"/>
      <c r="L623" s="135"/>
      <c r="M623" s="135"/>
      <c r="N623" s="135"/>
      <c r="O623" s="135"/>
      <c r="P623" s="135"/>
      <c r="Q623" s="135"/>
      <c r="R623" s="135"/>
      <c r="S623" s="135"/>
      <c r="T623" s="135"/>
      <c r="U623" s="135"/>
      <c r="V623" s="135"/>
      <c r="W623" s="135"/>
      <c r="X623" s="135"/>
      <c r="Y623" s="135"/>
      <c r="Z623" s="135"/>
      <c r="AA623" s="135"/>
      <c r="AB623" s="135"/>
      <c r="AC623" s="135"/>
      <c r="AD623" s="135"/>
      <c r="AE623" s="135"/>
      <c r="AF623" s="135"/>
    </row>
    <row r="624">
      <c r="A624" s="135"/>
      <c r="B624" s="135"/>
      <c r="C624" s="135"/>
      <c r="D624" s="135"/>
      <c r="E624" s="135"/>
      <c r="F624" s="135"/>
      <c r="G624" s="135"/>
      <c r="H624" s="135"/>
      <c r="I624" s="135"/>
      <c r="J624" s="135"/>
      <c r="K624" s="135"/>
      <c r="L624" s="135"/>
      <c r="M624" s="135"/>
      <c r="N624" s="135"/>
      <c r="O624" s="135"/>
      <c r="P624" s="135"/>
      <c r="Q624" s="135"/>
      <c r="R624" s="135"/>
      <c r="S624" s="135"/>
      <c r="T624" s="135"/>
      <c r="U624" s="135"/>
      <c r="V624" s="135"/>
      <c r="W624" s="135"/>
      <c r="X624" s="135"/>
      <c r="Y624" s="135"/>
      <c r="Z624" s="135"/>
      <c r="AA624" s="135"/>
      <c r="AB624" s="135"/>
      <c r="AC624" s="135"/>
      <c r="AD624" s="135"/>
      <c r="AE624" s="135"/>
      <c r="AF624" s="135"/>
    </row>
    <row r="625">
      <c r="A625" s="135"/>
      <c r="B625" s="135"/>
      <c r="C625" s="135"/>
      <c r="D625" s="135"/>
      <c r="E625" s="135"/>
      <c r="F625" s="135"/>
      <c r="G625" s="135"/>
      <c r="H625" s="135"/>
      <c r="I625" s="135"/>
      <c r="J625" s="135"/>
      <c r="K625" s="135"/>
      <c r="L625" s="135"/>
      <c r="M625" s="135"/>
      <c r="N625" s="135"/>
      <c r="O625" s="135"/>
      <c r="P625" s="135"/>
      <c r="Q625" s="135"/>
      <c r="R625" s="135"/>
      <c r="S625" s="135"/>
      <c r="T625" s="135"/>
      <c r="U625" s="135"/>
      <c r="V625" s="135"/>
      <c r="W625" s="135"/>
      <c r="X625" s="135"/>
      <c r="Y625" s="135"/>
      <c r="Z625" s="135"/>
      <c r="AA625" s="135"/>
      <c r="AB625" s="135"/>
      <c r="AC625" s="135"/>
      <c r="AD625" s="135"/>
      <c r="AE625" s="135"/>
      <c r="AF625" s="135"/>
    </row>
    <row r="626">
      <c r="A626" s="135"/>
      <c r="B626" s="135"/>
      <c r="C626" s="135"/>
      <c r="D626" s="135"/>
      <c r="E626" s="135"/>
      <c r="F626" s="135"/>
      <c r="G626" s="135"/>
      <c r="H626" s="135"/>
      <c r="I626" s="135"/>
      <c r="J626" s="135"/>
      <c r="K626" s="135"/>
      <c r="L626" s="135"/>
      <c r="M626" s="135"/>
      <c r="N626" s="135"/>
      <c r="O626" s="135"/>
      <c r="P626" s="135"/>
      <c r="Q626" s="135"/>
      <c r="R626" s="135"/>
      <c r="S626" s="135"/>
      <c r="T626" s="135"/>
      <c r="U626" s="135"/>
      <c r="V626" s="135"/>
      <c r="W626" s="135"/>
      <c r="X626" s="135"/>
      <c r="Y626" s="135"/>
      <c r="Z626" s="135"/>
      <c r="AA626" s="135"/>
      <c r="AB626" s="135"/>
      <c r="AC626" s="135"/>
      <c r="AD626" s="135"/>
      <c r="AE626" s="135"/>
      <c r="AF626" s="135"/>
    </row>
    <row r="627">
      <c r="A627" s="135"/>
      <c r="B627" s="135"/>
      <c r="C627" s="135"/>
      <c r="D627" s="135"/>
      <c r="E627" s="135"/>
      <c r="F627" s="135"/>
      <c r="G627" s="135"/>
      <c r="H627" s="135"/>
      <c r="I627" s="135"/>
      <c r="J627" s="135"/>
      <c r="K627" s="135"/>
      <c r="L627" s="135"/>
      <c r="M627" s="135"/>
      <c r="N627" s="135"/>
      <c r="O627" s="135"/>
      <c r="P627" s="135"/>
      <c r="Q627" s="135"/>
      <c r="R627" s="135"/>
      <c r="S627" s="135"/>
      <c r="T627" s="135"/>
      <c r="U627" s="135"/>
      <c r="V627" s="135"/>
      <c r="W627" s="135"/>
      <c r="X627" s="135"/>
      <c r="Y627" s="135"/>
      <c r="Z627" s="135"/>
      <c r="AA627" s="135"/>
      <c r="AB627" s="135"/>
      <c r="AC627" s="135"/>
      <c r="AD627" s="135"/>
      <c r="AE627" s="135"/>
      <c r="AF627" s="135"/>
    </row>
    <row r="628">
      <c r="A628" s="135"/>
      <c r="B628" s="135"/>
      <c r="C628" s="135"/>
      <c r="D628" s="135"/>
      <c r="E628" s="135"/>
      <c r="F628" s="135"/>
      <c r="G628" s="135"/>
      <c r="H628" s="135"/>
      <c r="I628" s="135"/>
      <c r="J628" s="135"/>
      <c r="K628" s="135"/>
      <c r="L628" s="135"/>
      <c r="M628" s="135"/>
      <c r="N628" s="135"/>
      <c r="O628" s="135"/>
      <c r="P628" s="135"/>
      <c r="Q628" s="135"/>
      <c r="R628" s="135"/>
      <c r="S628" s="135"/>
      <c r="T628" s="135"/>
      <c r="U628" s="135"/>
      <c r="V628" s="135"/>
      <c r="W628" s="135"/>
      <c r="X628" s="135"/>
      <c r="Y628" s="135"/>
      <c r="Z628" s="135"/>
      <c r="AA628" s="135"/>
      <c r="AB628" s="135"/>
      <c r="AC628" s="135"/>
      <c r="AD628" s="135"/>
      <c r="AE628" s="135"/>
      <c r="AF628" s="135"/>
    </row>
    <row r="629">
      <c r="A629" s="135"/>
      <c r="B629" s="135"/>
      <c r="C629" s="135"/>
      <c r="D629" s="135"/>
      <c r="E629" s="135"/>
      <c r="F629" s="135"/>
      <c r="G629" s="135"/>
      <c r="H629" s="135"/>
      <c r="I629" s="135"/>
      <c r="J629" s="135"/>
      <c r="K629" s="135"/>
      <c r="L629" s="135"/>
      <c r="M629" s="135"/>
      <c r="N629" s="135"/>
      <c r="O629" s="135"/>
      <c r="P629" s="135"/>
      <c r="Q629" s="135"/>
      <c r="R629" s="135"/>
      <c r="S629" s="135"/>
      <c r="T629" s="135"/>
      <c r="U629" s="135"/>
      <c r="V629" s="135"/>
      <c r="W629" s="135"/>
      <c r="X629" s="135"/>
      <c r="Y629" s="135"/>
      <c r="Z629" s="135"/>
      <c r="AA629" s="135"/>
      <c r="AB629" s="135"/>
      <c r="AC629" s="135"/>
      <c r="AD629" s="135"/>
      <c r="AE629" s="135"/>
      <c r="AF629" s="135"/>
    </row>
    <row r="630">
      <c r="A630" s="135"/>
      <c r="B630" s="135"/>
      <c r="C630" s="135"/>
      <c r="D630" s="135"/>
      <c r="E630" s="135"/>
      <c r="F630" s="135"/>
      <c r="G630" s="135"/>
      <c r="H630" s="135"/>
      <c r="I630" s="135"/>
      <c r="J630" s="135"/>
      <c r="K630" s="135"/>
      <c r="L630" s="135"/>
      <c r="M630" s="135"/>
      <c r="N630" s="135"/>
      <c r="O630" s="135"/>
      <c r="P630" s="135"/>
      <c r="Q630" s="135"/>
      <c r="R630" s="135"/>
      <c r="S630" s="135"/>
      <c r="T630" s="135"/>
      <c r="U630" s="135"/>
      <c r="V630" s="135"/>
      <c r="W630" s="135"/>
      <c r="X630" s="135"/>
      <c r="Y630" s="135"/>
      <c r="Z630" s="135"/>
      <c r="AA630" s="135"/>
      <c r="AB630" s="135"/>
      <c r="AC630" s="135"/>
      <c r="AD630" s="135"/>
      <c r="AE630" s="135"/>
      <c r="AF630" s="135"/>
    </row>
    <row r="631">
      <c r="A631" s="135"/>
      <c r="B631" s="135"/>
      <c r="C631" s="135"/>
      <c r="D631" s="135"/>
      <c r="E631" s="135"/>
      <c r="F631" s="135"/>
      <c r="G631" s="135"/>
      <c r="H631" s="135"/>
      <c r="I631" s="135"/>
      <c r="J631" s="135"/>
      <c r="K631" s="135"/>
      <c r="L631" s="135"/>
      <c r="M631" s="135"/>
      <c r="N631" s="135"/>
      <c r="O631" s="135"/>
      <c r="P631" s="135"/>
      <c r="Q631" s="135"/>
      <c r="R631" s="135"/>
      <c r="S631" s="135"/>
      <c r="T631" s="135"/>
      <c r="U631" s="135"/>
      <c r="V631" s="135"/>
      <c r="W631" s="135"/>
      <c r="X631" s="135"/>
      <c r="Y631" s="135"/>
      <c r="Z631" s="135"/>
      <c r="AA631" s="135"/>
      <c r="AB631" s="135"/>
      <c r="AC631" s="135"/>
      <c r="AD631" s="135"/>
      <c r="AE631" s="135"/>
      <c r="AF631" s="135"/>
    </row>
    <row r="632">
      <c r="A632" s="135"/>
      <c r="B632" s="135"/>
      <c r="C632" s="135"/>
      <c r="D632" s="135"/>
      <c r="E632" s="135"/>
      <c r="F632" s="135"/>
      <c r="G632" s="135"/>
      <c r="H632" s="135"/>
      <c r="I632" s="135"/>
      <c r="J632" s="135"/>
      <c r="K632" s="135"/>
      <c r="L632" s="135"/>
      <c r="M632" s="135"/>
      <c r="N632" s="135"/>
      <c r="O632" s="135"/>
      <c r="P632" s="135"/>
      <c r="Q632" s="135"/>
      <c r="R632" s="135"/>
      <c r="S632" s="135"/>
      <c r="T632" s="135"/>
      <c r="U632" s="135"/>
      <c r="V632" s="135"/>
      <c r="W632" s="135"/>
      <c r="X632" s="135"/>
      <c r="Y632" s="135"/>
      <c r="Z632" s="135"/>
      <c r="AA632" s="135"/>
      <c r="AB632" s="135"/>
      <c r="AC632" s="135"/>
      <c r="AD632" s="135"/>
      <c r="AE632" s="135"/>
      <c r="AF632" s="135"/>
    </row>
    <row r="633">
      <c r="A633" s="135"/>
      <c r="B633" s="135"/>
      <c r="C633" s="135"/>
      <c r="D633" s="135"/>
      <c r="E633" s="135"/>
      <c r="F633" s="135"/>
      <c r="G633" s="135"/>
      <c r="H633" s="135"/>
      <c r="I633" s="135"/>
      <c r="J633" s="135"/>
      <c r="K633" s="135"/>
      <c r="L633" s="135"/>
      <c r="M633" s="135"/>
      <c r="N633" s="135"/>
      <c r="O633" s="135"/>
      <c r="P633" s="135"/>
      <c r="Q633" s="135"/>
      <c r="R633" s="135"/>
      <c r="S633" s="135"/>
      <c r="T633" s="135"/>
      <c r="U633" s="135"/>
      <c r="V633" s="135"/>
      <c r="W633" s="135"/>
      <c r="X633" s="135"/>
      <c r="Y633" s="135"/>
      <c r="Z633" s="135"/>
      <c r="AA633" s="135"/>
      <c r="AB633" s="135"/>
      <c r="AC633" s="135"/>
      <c r="AD633" s="135"/>
      <c r="AE633" s="135"/>
      <c r="AF633" s="135"/>
    </row>
    <row r="634">
      <c r="A634" s="135"/>
      <c r="B634" s="135"/>
      <c r="C634" s="135"/>
      <c r="D634" s="135"/>
      <c r="E634" s="135"/>
      <c r="F634" s="135"/>
      <c r="G634" s="135"/>
      <c r="H634" s="135"/>
      <c r="I634" s="135"/>
      <c r="J634" s="135"/>
      <c r="K634" s="135"/>
      <c r="L634" s="135"/>
      <c r="M634" s="135"/>
      <c r="N634" s="135"/>
      <c r="O634" s="135"/>
      <c r="P634" s="135"/>
      <c r="Q634" s="135"/>
      <c r="R634" s="135"/>
      <c r="S634" s="135"/>
      <c r="T634" s="135"/>
      <c r="U634" s="135"/>
      <c r="V634" s="135"/>
      <c r="W634" s="135"/>
      <c r="X634" s="135"/>
      <c r="Y634" s="135"/>
      <c r="Z634" s="135"/>
      <c r="AA634" s="135"/>
      <c r="AB634" s="135"/>
      <c r="AC634" s="135"/>
      <c r="AD634" s="135"/>
      <c r="AE634" s="135"/>
      <c r="AF634" s="135"/>
    </row>
    <row r="635">
      <c r="A635" s="135"/>
      <c r="B635" s="135"/>
      <c r="C635" s="135"/>
      <c r="D635" s="135"/>
      <c r="E635" s="135"/>
      <c r="F635" s="135"/>
      <c r="G635" s="135"/>
      <c r="H635" s="135"/>
      <c r="I635" s="135"/>
      <c r="J635" s="135"/>
      <c r="K635" s="135"/>
      <c r="L635" s="135"/>
      <c r="M635" s="135"/>
      <c r="N635" s="135"/>
      <c r="O635" s="135"/>
      <c r="P635" s="135"/>
      <c r="Q635" s="135"/>
      <c r="R635" s="135"/>
      <c r="S635" s="135"/>
      <c r="T635" s="135"/>
      <c r="U635" s="135"/>
      <c r="V635" s="135"/>
      <c r="W635" s="135"/>
      <c r="X635" s="135"/>
      <c r="Y635" s="135"/>
      <c r="Z635" s="135"/>
      <c r="AA635" s="135"/>
      <c r="AB635" s="135"/>
      <c r="AC635" s="135"/>
      <c r="AD635" s="135"/>
      <c r="AE635" s="135"/>
      <c r="AF635" s="135"/>
    </row>
    <row r="636">
      <c r="A636" s="135"/>
      <c r="B636" s="135"/>
      <c r="C636" s="135"/>
      <c r="D636" s="135"/>
      <c r="E636" s="135"/>
      <c r="F636" s="135"/>
      <c r="G636" s="135"/>
      <c r="H636" s="135"/>
      <c r="I636" s="135"/>
      <c r="J636" s="135"/>
      <c r="K636" s="135"/>
      <c r="L636" s="135"/>
      <c r="M636" s="135"/>
      <c r="N636" s="135"/>
      <c r="O636" s="135"/>
      <c r="P636" s="135"/>
      <c r="Q636" s="135"/>
      <c r="R636" s="135"/>
      <c r="S636" s="135"/>
      <c r="T636" s="135"/>
      <c r="U636" s="135"/>
      <c r="V636" s="135"/>
      <c r="W636" s="135"/>
      <c r="X636" s="135"/>
      <c r="Y636" s="135"/>
      <c r="Z636" s="135"/>
      <c r="AA636" s="135"/>
      <c r="AB636" s="135"/>
      <c r="AC636" s="135"/>
      <c r="AD636" s="135"/>
      <c r="AE636" s="135"/>
      <c r="AF636" s="135"/>
    </row>
    <row r="637">
      <c r="A637" s="135"/>
      <c r="B637" s="135"/>
      <c r="C637" s="135"/>
      <c r="D637" s="135"/>
      <c r="E637" s="135"/>
      <c r="F637" s="135"/>
      <c r="G637" s="135"/>
      <c r="H637" s="135"/>
      <c r="I637" s="135"/>
      <c r="J637" s="135"/>
      <c r="K637" s="135"/>
      <c r="L637" s="135"/>
      <c r="M637" s="135"/>
      <c r="N637" s="135"/>
      <c r="O637" s="135"/>
      <c r="P637" s="135"/>
      <c r="Q637" s="135"/>
      <c r="R637" s="135"/>
      <c r="S637" s="135"/>
      <c r="T637" s="135"/>
      <c r="U637" s="135"/>
      <c r="V637" s="135"/>
      <c r="W637" s="135"/>
      <c r="X637" s="135"/>
      <c r="Y637" s="135"/>
      <c r="Z637" s="135"/>
      <c r="AA637" s="135"/>
      <c r="AB637" s="135"/>
      <c r="AC637" s="135"/>
      <c r="AD637" s="135"/>
      <c r="AE637" s="135"/>
      <c r="AF637" s="135"/>
    </row>
    <row r="638">
      <c r="A638" s="135"/>
      <c r="B638" s="135"/>
      <c r="C638" s="135"/>
      <c r="D638" s="135"/>
      <c r="E638" s="135"/>
      <c r="F638" s="135"/>
      <c r="G638" s="135"/>
      <c r="H638" s="135"/>
      <c r="I638" s="135"/>
      <c r="J638" s="135"/>
      <c r="K638" s="135"/>
      <c r="L638" s="135"/>
      <c r="M638" s="135"/>
      <c r="N638" s="135"/>
      <c r="O638" s="135"/>
      <c r="P638" s="135"/>
      <c r="Q638" s="135"/>
      <c r="R638" s="135"/>
      <c r="S638" s="135"/>
      <c r="T638" s="135"/>
      <c r="U638" s="135"/>
      <c r="V638" s="135"/>
      <c r="W638" s="135"/>
      <c r="X638" s="135"/>
      <c r="Y638" s="135"/>
      <c r="Z638" s="135"/>
      <c r="AA638" s="135"/>
      <c r="AB638" s="135"/>
      <c r="AC638" s="135"/>
      <c r="AD638" s="135"/>
      <c r="AE638" s="135"/>
      <c r="AF638" s="135"/>
    </row>
    <row r="639">
      <c r="A639" s="135"/>
      <c r="B639" s="135"/>
      <c r="C639" s="135"/>
      <c r="D639" s="135"/>
      <c r="E639" s="135"/>
      <c r="F639" s="135"/>
      <c r="G639" s="135"/>
      <c r="H639" s="135"/>
      <c r="I639" s="135"/>
      <c r="J639" s="135"/>
      <c r="K639" s="135"/>
      <c r="L639" s="135"/>
      <c r="M639" s="135"/>
      <c r="N639" s="135"/>
      <c r="O639" s="135"/>
      <c r="P639" s="135"/>
      <c r="Q639" s="135"/>
      <c r="R639" s="135"/>
      <c r="S639" s="135"/>
      <c r="T639" s="135"/>
      <c r="U639" s="135"/>
      <c r="V639" s="135"/>
      <c r="W639" s="135"/>
      <c r="X639" s="135"/>
      <c r="Y639" s="135"/>
      <c r="Z639" s="135"/>
      <c r="AA639" s="135"/>
      <c r="AB639" s="135"/>
      <c r="AC639" s="135"/>
      <c r="AD639" s="135"/>
      <c r="AE639" s="135"/>
      <c r="AF639" s="135"/>
    </row>
    <row r="640">
      <c r="A640" s="135"/>
      <c r="B640" s="135"/>
      <c r="C640" s="135"/>
      <c r="D640" s="135"/>
      <c r="E640" s="135"/>
      <c r="F640" s="135"/>
      <c r="G640" s="135"/>
      <c r="H640" s="135"/>
      <c r="I640" s="135"/>
      <c r="J640" s="135"/>
      <c r="K640" s="135"/>
      <c r="L640" s="135"/>
      <c r="M640" s="135"/>
      <c r="N640" s="135"/>
      <c r="O640" s="135"/>
      <c r="P640" s="135"/>
      <c r="Q640" s="135"/>
      <c r="R640" s="135"/>
      <c r="S640" s="135"/>
      <c r="T640" s="135"/>
      <c r="U640" s="135"/>
      <c r="V640" s="135"/>
      <c r="W640" s="135"/>
      <c r="X640" s="135"/>
      <c r="Y640" s="135"/>
      <c r="Z640" s="135"/>
      <c r="AA640" s="135"/>
      <c r="AB640" s="135"/>
      <c r="AC640" s="135"/>
      <c r="AD640" s="135"/>
      <c r="AE640" s="135"/>
      <c r="AF640" s="135"/>
    </row>
    <row r="641">
      <c r="A641" s="135"/>
      <c r="B641" s="135"/>
      <c r="C641" s="135"/>
      <c r="D641" s="135"/>
      <c r="E641" s="135"/>
      <c r="F641" s="135"/>
      <c r="G641" s="135"/>
      <c r="H641" s="135"/>
      <c r="I641" s="135"/>
      <c r="J641" s="135"/>
      <c r="K641" s="135"/>
      <c r="L641" s="135"/>
      <c r="M641" s="135"/>
      <c r="N641" s="135"/>
      <c r="O641" s="135"/>
      <c r="P641" s="135"/>
      <c r="Q641" s="135"/>
      <c r="R641" s="135"/>
      <c r="S641" s="135"/>
      <c r="T641" s="135"/>
      <c r="U641" s="135"/>
      <c r="V641" s="135"/>
      <c r="W641" s="135"/>
      <c r="X641" s="135"/>
      <c r="Y641" s="135"/>
      <c r="Z641" s="135"/>
      <c r="AA641" s="135"/>
      <c r="AB641" s="135"/>
      <c r="AC641" s="135"/>
      <c r="AD641" s="135"/>
      <c r="AE641" s="135"/>
      <c r="AF641" s="135"/>
    </row>
    <row r="642">
      <c r="A642" s="135"/>
      <c r="B642" s="135"/>
      <c r="C642" s="135"/>
      <c r="D642" s="135"/>
      <c r="E642" s="135"/>
      <c r="F642" s="135"/>
      <c r="G642" s="135"/>
      <c r="H642" s="135"/>
      <c r="I642" s="135"/>
      <c r="J642" s="135"/>
      <c r="K642" s="135"/>
      <c r="L642" s="135"/>
      <c r="M642" s="135"/>
      <c r="N642" s="135"/>
      <c r="O642" s="135"/>
      <c r="P642" s="135"/>
      <c r="Q642" s="135"/>
      <c r="R642" s="135"/>
      <c r="S642" s="135"/>
      <c r="T642" s="135"/>
      <c r="U642" s="135"/>
      <c r="V642" s="135"/>
      <c r="W642" s="135"/>
      <c r="X642" s="135"/>
      <c r="Y642" s="135"/>
      <c r="Z642" s="135"/>
      <c r="AA642" s="135"/>
      <c r="AB642" s="135"/>
      <c r="AC642" s="135"/>
      <c r="AD642" s="135"/>
      <c r="AE642" s="135"/>
      <c r="AF642" s="135"/>
    </row>
    <row r="643">
      <c r="A643" s="135"/>
      <c r="B643" s="135"/>
      <c r="C643" s="135"/>
      <c r="D643" s="135"/>
      <c r="E643" s="135"/>
      <c r="F643" s="135"/>
      <c r="G643" s="135"/>
      <c r="H643" s="135"/>
      <c r="I643" s="135"/>
      <c r="J643" s="135"/>
      <c r="K643" s="135"/>
      <c r="L643" s="135"/>
      <c r="M643" s="135"/>
      <c r="N643" s="135"/>
      <c r="O643" s="135"/>
      <c r="P643" s="135"/>
      <c r="Q643" s="135"/>
      <c r="R643" s="135"/>
      <c r="S643" s="135"/>
      <c r="T643" s="135"/>
      <c r="U643" s="135"/>
      <c r="V643" s="135"/>
      <c r="W643" s="135"/>
      <c r="X643" s="135"/>
      <c r="Y643" s="135"/>
      <c r="Z643" s="135"/>
      <c r="AA643" s="135"/>
      <c r="AB643" s="135"/>
      <c r="AC643" s="135"/>
      <c r="AD643" s="135"/>
      <c r="AE643" s="135"/>
      <c r="AF643" s="135"/>
    </row>
    <row r="644">
      <c r="A644" s="135"/>
      <c r="B644" s="135"/>
      <c r="C644" s="135"/>
      <c r="D644" s="135"/>
      <c r="E644" s="135"/>
      <c r="F644" s="135"/>
      <c r="G644" s="135"/>
      <c r="H644" s="135"/>
      <c r="I644" s="135"/>
      <c r="J644" s="135"/>
      <c r="K644" s="135"/>
      <c r="L644" s="135"/>
      <c r="M644" s="135"/>
      <c r="N644" s="135"/>
      <c r="O644" s="135"/>
      <c r="P644" s="135"/>
      <c r="Q644" s="135"/>
      <c r="R644" s="135"/>
      <c r="S644" s="135"/>
      <c r="T644" s="135"/>
      <c r="U644" s="135"/>
      <c r="V644" s="135"/>
      <c r="W644" s="135"/>
      <c r="X644" s="135"/>
      <c r="Y644" s="135"/>
      <c r="Z644" s="135"/>
      <c r="AA644" s="135"/>
      <c r="AB644" s="135"/>
      <c r="AC644" s="135"/>
      <c r="AD644" s="135"/>
      <c r="AE644" s="135"/>
      <c r="AF644" s="135"/>
    </row>
    <row r="645">
      <c r="A645" s="135"/>
      <c r="B645" s="135"/>
      <c r="C645" s="135"/>
      <c r="D645" s="135"/>
      <c r="E645" s="135"/>
      <c r="F645" s="135"/>
      <c r="G645" s="135"/>
      <c r="H645" s="135"/>
      <c r="I645" s="135"/>
      <c r="J645" s="135"/>
      <c r="K645" s="135"/>
      <c r="L645" s="135"/>
      <c r="M645" s="135"/>
      <c r="N645" s="135"/>
      <c r="O645" s="135"/>
      <c r="P645" s="135"/>
      <c r="Q645" s="135"/>
      <c r="R645" s="135"/>
      <c r="S645" s="135"/>
      <c r="T645" s="135"/>
      <c r="U645" s="135"/>
      <c r="V645" s="135"/>
      <c r="W645" s="135"/>
      <c r="X645" s="135"/>
      <c r="Y645" s="135"/>
      <c r="Z645" s="135"/>
      <c r="AA645" s="135"/>
      <c r="AB645" s="135"/>
      <c r="AC645" s="135"/>
      <c r="AD645" s="135"/>
      <c r="AE645" s="135"/>
      <c r="AF645" s="135"/>
    </row>
    <row r="646">
      <c r="A646" s="135"/>
      <c r="B646" s="135"/>
      <c r="C646" s="135"/>
      <c r="D646" s="135"/>
      <c r="E646" s="135"/>
      <c r="F646" s="135"/>
      <c r="G646" s="135"/>
      <c r="H646" s="135"/>
      <c r="I646" s="135"/>
      <c r="J646" s="135"/>
      <c r="K646" s="135"/>
      <c r="L646" s="135"/>
      <c r="M646" s="135"/>
      <c r="N646" s="135"/>
      <c r="O646" s="135"/>
      <c r="P646" s="135"/>
      <c r="Q646" s="135"/>
      <c r="R646" s="135"/>
      <c r="S646" s="135"/>
      <c r="T646" s="135"/>
      <c r="U646" s="135"/>
      <c r="V646" s="135"/>
      <c r="W646" s="135"/>
      <c r="X646" s="135"/>
      <c r="Y646" s="135"/>
      <c r="Z646" s="135"/>
      <c r="AA646" s="135"/>
      <c r="AB646" s="135"/>
      <c r="AC646" s="135"/>
      <c r="AD646" s="135"/>
      <c r="AE646" s="135"/>
      <c r="AF646" s="135"/>
    </row>
    <row r="647">
      <c r="A647" s="135"/>
      <c r="B647" s="135"/>
      <c r="C647" s="135"/>
      <c r="D647" s="135"/>
      <c r="E647" s="135"/>
      <c r="F647" s="135"/>
      <c r="G647" s="135"/>
      <c r="H647" s="135"/>
      <c r="I647" s="135"/>
      <c r="J647" s="135"/>
      <c r="K647" s="135"/>
      <c r="L647" s="135"/>
      <c r="M647" s="135"/>
      <c r="N647" s="135"/>
      <c r="O647" s="135"/>
      <c r="P647" s="135"/>
      <c r="Q647" s="135"/>
      <c r="R647" s="135"/>
      <c r="S647" s="135"/>
      <c r="T647" s="135"/>
      <c r="U647" s="135"/>
      <c r="V647" s="135"/>
      <c r="W647" s="135"/>
      <c r="X647" s="135"/>
      <c r="Y647" s="135"/>
      <c r="Z647" s="135"/>
      <c r="AA647" s="135"/>
      <c r="AB647" s="135"/>
      <c r="AC647" s="135"/>
      <c r="AD647" s="135"/>
      <c r="AE647" s="135"/>
      <c r="AF647" s="135"/>
    </row>
    <row r="648">
      <c r="A648" s="135"/>
      <c r="B648" s="135"/>
      <c r="C648" s="135"/>
      <c r="D648" s="135"/>
      <c r="E648" s="135"/>
      <c r="F648" s="135"/>
      <c r="G648" s="135"/>
      <c r="H648" s="135"/>
      <c r="I648" s="135"/>
      <c r="J648" s="135"/>
      <c r="K648" s="135"/>
      <c r="L648" s="135"/>
      <c r="M648" s="135"/>
      <c r="N648" s="135"/>
      <c r="O648" s="135"/>
      <c r="P648" s="135"/>
      <c r="Q648" s="135"/>
      <c r="R648" s="135"/>
      <c r="S648" s="135"/>
      <c r="T648" s="135"/>
      <c r="U648" s="135"/>
      <c r="V648" s="135"/>
      <c r="W648" s="135"/>
      <c r="X648" s="135"/>
      <c r="Y648" s="135"/>
      <c r="Z648" s="135"/>
      <c r="AA648" s="135"/>
      <c r="AB648" s="135"/>
      <c r="AC648" s="135"/>
      <c r="AD648" s="135"/>
      <c r="AE648" s="135"/>
      <c r="AF648" s="135"/>
    </row>
    <row r="649">
      <c r="A649" s="135"/>
      <c r="B649" s="135"/>
      <c r="C649" s="135"/>
      <c r="D649" s="135"/>
      <c r="E649" s="135"/>
      <c r="F649" s="135"/>
      <c r="G649" s="135"/>
      <c r="H649" s="135"/>
      <c r="I649" s="135"/>
      <c r="J649" s="135"/>
      <c r="K649" s="135"/>
      <c r="L649" s="135"/>
      <c r="M649" s="135"/>
      <c r="N649" s="135"/>
      <c r="O649" s="135"/>
      <c r="P649" s="135"/>
      <c r="Q649" s="135"/>
      <c r="R649" s="135"/>
      <c r="S649" s="135"/>
      <c r="T649" s="135"/>
      <c r="U649" s="135"/>
      <c r="V649" s="135"/>
      <c r="W649" s="135"/>
      <c r="X649" s="135"/>
      <c r="Y649" s="135"/>
      <c r="Z649" s="135"/>
      <c r="AA649" s="135"/>
      <c r="AB649" s="135"/>
      <c r="AC649" s="135"/>
      <c r="AD649" s="135"/>
      <c r="AE649" s="135"/>
      <c r="AF649" s="135"/>
    </row>
    <row r="650">
      <c r="A650" s="135"/>
      <c r="B650" s="135"/>
      <c r="C650" s="135"/>
      <c r="D650" s="135"/>
      <c r="E650" s="135"/>
      <c r="F650" s="135"/>
      <c r="G650" s="135"/>
      <c r="H650" s="135"/>
      <c r="I650" s="135"/>
      <c r="J650" s="135"/>
      <c r="K650" s="135"/>
      <c r="L650" s="135"/>
      <c r="M650" s="135"/>
      <c r="N650" s="135"/>
      <c r="O650" s="135"/>
      <c r="P650" s="135"/>
      <c r="Q650" s="135"/>
      <c r="R650" s="135"/>
      <c r="S650" s="135"/>
      <c r="T650" s="135"/>
      <c r="U650" s="135"/>
      <c r="V650" s="135"/>
      <c r="W650" s="135"/>
      <c r="X650" s="135"/>
      <c r="Y650" s="135"/>
      <c r="Z650" s="135"/>
      <c r="AA650" s="135"/>
      <c r="AB650" s="135"/>
      <c r="AC650" s="135"/>
      <c r="AD650" s="135"/>
      <c r="AE650" s="135"/>
      <c r="AF650" s="135"/>
    </row>
    <row r="651">
      <c r="A651" s="135"/>
      <c r="B651" s="135"/>
      <c r="C651" s="135"/>
      <c r="D651" s="135"/>
      <c r="E651" s="135"/>
      <c r="F651" s="135"/>
      <c r="G651" s="135"/>
      <c r="H651" s="135"/>
      <c r="I651" s="135"/>
      <c r="J651" s="135"/>
      <c r="K651" s="135"/>
      <c r="L651" s="135"/>
      <c r="M651" s="135"/>
      <c r="N651" s="135"/>
      <c r="O651" s="135"/>
      <c r="P651" s="135"/>
      <c r="Q651" s="135"/>
      <c r="R651" s="135"/>
      <c r="S651" s="135"/>
      <c r="T651" s="135"/>
      <c r="U651" s="135"/>
      <c r="V651" s="135"/>
      <c r="W651" s="135"/>
      <c r="X651" s="135"/>
      <c r="Y651" s="135"/>
      <c r="Z651" s="135"/>
      <c r="AA651" s="135"/>
      <c r="AB651" s="135"/>
      <c r="AC651" s="135"/>
      <c r="AD651" s="135"/>
      <c r="AE651" s="135"/>
      <c r="AF651" s="135"/>
    </row>
    <row r="652">
      <c r="A652" s="135"/>
      <c r="B652" s="135"/>
      <c r="C652" s="135"/>
      <c r="D652" s="135"/>
      <c r="E652" s="135"/>
      <c r="F652" s="135"/>
      <c r="G652" s="135"/>
      <c r="H652" s="135"/>
      <c r="I652" s="135"/>
      <c r="J652" s="135"/>
      <c r="K652" s="135"/>
      <c r="L652" s="135"/>
      <c r="M652" s="135"/>
      <c r="N652" s="135"/>
      <c r="O652" s="135"/>
      <c r="P652" s="135"/>
      <c r="Q652" s="135"/>
      <c r="R652" s="135"/>
      <c r="S652" s="135"/>
      <c r="T652" s="135"/>
      <c r="U652" s="135"/>
      <c r="V652" s="135"/>
      <c r="W652" s="135"/>
      <c r="X652" s="135"/>
      <c r="Y652" s="135"/>
      <c r="Z652" s="135"/>
      <c r="AA652" s="135"/>
      <c r="AB652" s="135"/>
      <c r="AC652" s="135"/>
      <c r="AD652" s="135"/>
      <c r="AE652" s="135"/>
      <c r="AF652" s="135"/>
    </row>
    <row r="653">
      <c r="A653" s="135"/>
      <c r="B653" s="135"/>
      <c r="C653" s="135"/>
      <c r="D653" s="135"/>
      <c r="E653" s="135"/>
      <c r="F653" s="135"/>
      <c r="G653" s="135"/>
      <c r="H653" s="135"/>
      <c r="I653" s="135"/>
      <c r="J653" s="135"/>
      <c r="K653" s="135"/>
      <c r="L653" s="135"/>
      <c r="M653" s="135"/>
      <c r="N653" s="135"/>
      <c r="O653" s="135"/>
      <c r="P653" s="135"/>
      <c r="Q653" s="135"/>
      <c r="R653" s="135"/>
      <c r="S653" s="135"/>
      <c r="T653" s="135"/>
      <c r="U653" s="135"/>
      <c r="V653" s="135"/>
      <c r="W653" s="135"/>
      <c r="X653" s="135"/>
      <c r="Y653" s="135"/>
      <c r="Z653" s="135"/>
      <c r="AA653" s="135"/>
      <c r="AB653" s="135"/>
      <c r="AC653" s="135"/>
      <c r="AD653" s="135"/>
      <c r="AE653" s="135"/>
      <c r="AF653" s="135"/>
    </row>
    <row r="654">
      <c r="A654" s="135"/>
      <c r="B654" s="135"/>
      <c r="C654" s="135"/>
      <c r="D654" s="135"/>
      <c r="E654" s="135"/>
      <c r="F654" s="135"/>
      <c r="G654" s="135"/>
      <c r="H654" s="135"/>
      <c r="I654" s="135"/>
      <c r="J654" s="135"/>
      <c r="K654" s="135"/>
      <c r="L654" s="135"/>
      <c r="M654" s="135"/>
      <c r="N654" s="135"/>
      <c r="O654" s="135"/>
      <c r="P654" s="135"/>
      <c r="Q654" s="135"/>
      <c r="R654" s="135"/>
      <c r="S654" s="135"/>
      <c r="T654" s="135"/>
      <c r="U654" s="135"/>
      <c r="V654" s="135"/>
      <c r="W654" s="135"/>
      <c r="X654" s="135"/>
      <c r="Y654" s="135"/>
      <c r="Z654" s="135"/>
      <c r="AA654" s="135"/>
      <c r="AB654" s="135"/>
      <c r="AC654" s="135"/>
      <c r="AD654" s="135"/>
      <c r="AE654" s="135"/>
      <c r="AF654" s="135"/>
    </row>
    <row r="655">
      <c r="A655" s="135"/>
      <c r="B655" s="135"/>
      <c r="C655" s="135"/>
      <c r="D655" s="135"/>
      <c r="E655" s="135"/>
      <c r="F655" s="135"/>
      <c r="G655" s="135"/>
      <c r="H655" s="135"/>
      <c r="I655" s="135"/>
      <c r="J655" s="135"/>
      <c r="K655" s="135"/>
      <c r="L655" s="135"/>
      <c r="M655" s="135"/>
      <c r="N655" s="135"/>
      <c r="O655" s="135"/>
      <c r="P655" s="135"/>
      <c r="Q655" s="135"/>
      <c r="R655" s="135"/>
      <c r="S655" s="135"/>
      <c r="T655" s="135"/>
      <c r="U655" s="135"/>
      <c r="V655" s="135"/>
      <c r="W655" s="135"/>
      <c r="X655" s="135"/>
      <c r="Y655" s="135"/>
      <c r="Z655" s="135"/>
      <c r="AA655" s="135"/>
      <c r="AB655" s="135"/>
      <c r="AC655" s="135"/>
      <c r="AD655" s="135"/>
      <c r="AE655" s="135"/>
      <c r="AF655" s="135"/>
    </row>
    <row r="656">
      <c r="A656" s="135"/>
      <c r="B656" s="135"/>
      <c r="C656" s="135"/>
      <c r="D656" s="135"/>
      <c r="E656" s="135"/>
      <c r="F656" s="135"/>
      <c r="G656" s="135"/>
      <c r="H656" s="135"/>
      <c r="I656" s="135"/>
      <c r="J656" s="135"/>
      <c r="K656" s="135"/>
      <c r="L656" s="135"/>
      <c r="M656" s="135"/>
      <c r="N656" s="135"/>
      <c r="O656" s="135"/>
      <c r="P656" s="135"/>
      <c r="Q656" s="135"/>
      <c r="R656" s="135"/>
      <c r="S656" s="135"/>
      <c r="T656" s="135"/>
      <c r="U656" s="135"/>
      <c r="V656" s="135"/>
      <c r="W656" s="135"/>
      <c r="X656" s="135"/>
      <c r="Y656" s="135"/>
      <c r="Z656" s="135"/>
      <c r="AA656" s="135"/>
      <c r="AB656" s="135"/>
      <c r="AC656" s="135"/>
      <c r="AD656" s="135"/>
      <c r="AE656" s="135"/>
      <c r="AF656" s="135"/>
    </row>
    <row r="657">
      <c r="A657" s="135"/>
      <c r="B657" s="135"/>
      <c r="C657" s="135"/>
      <c r="D657" s="135"/>
      <c r="E657" s="135"/>
      <c r="F657" s="135"/>
      <c r="G657" s="135"/>
      <c r="H657" s="135"/>
      <c r="I657" s="135"/>
      <c r="J657" s="135"/>
      <c r="K657" s="135"/>
      <c r="L657" s="135"/>
      <c r="M657" s="135"/>
      <c r="N657" s="135"/>
      <c r="O657" s="135"/>
      <c r="P657" s="135"/>
      <c r="Q657" s="135"/>
      <c r="R657" s="135"/>
      <c r="S657" s="135"/>
      <c r="T657" s="135"/>
      <c r="U657" s="135"/>
      <c r="V657" s="135"/>
      <c r="W657" s="135"/>
      <c r="X657" s="135"/>
      <c r="Y657" s="135"/>
      <c r="Z657" s="135"/>
      <c r="AA657" s="135"/>
      <c r="AB657" s="135"/>
      <c r="AC657" s="135"/>
      <c r="AD657" s="135"/>
      <c r="AE657" s="135"/>
      <c r="AF657" s="135"/>
    </row>
    <row r="658">
      <c r="A658" s="135"/>
      <c r="B658" s="135"/>
      <c r="C658" s="135"/>
      <c r="D658" s="135"/>
      <c r="E658" s="135"/>
      <c r="F658" s="135"/>
      <c r="G658" s="135"/>
      <c r="H658" s="135"/>
      <c r="I658" s="135"/>
      <c r="J658" s="135"/>
      <c r="K658" s="135"/>
      <c r="L658" s="135"/>
      <c r="M658" s="135"/>
      <c r="N658" s="135"/>
      <c r="O658" s="135"/>
      <c r="P658" s="135"/>
      <c r="Q658" s="135"/>
      <c r="R658" s="135"/>
      <c r="S658" s="135"/>
      <c r="T658" s="135"/>
      <c r="U658" s="135"/>
      <c r="V658" s="135"/>
      <c r="W658" s="135"/>
      <c r="X658" s="135"/>
      <c r="Y658" s="135"/>
      <c r="Z658" s="135"/>
      <c r="AA658" s="135"/>
      <c r="AB658" s="135"/>
      <c r="AC658" s="135"/>
      <c r="AD658" s="135"/>
      <c r="AE658" s="135"/>
      <c r="AF658" s="135"/>
    </row>
    <row r="659">
      <c r="A659" s="135"/>
      <c r="B659" s="135"/>
      <c r="C659" s="135"/>
      <c r="D659" s="135"/>
      <c r="E659" s="135"/>
      <c r="F659" s="135"/>
      <c r="G659" s="135"/>
      <c r="H659" s="135"/>
      <c r="I659" s="135"/>
      <c r="J659" s="135"/>
      <c r="K659" s="135"/>
      <c r="L659" s="135"/>
      <c r="M659" s="135"/>
      <c r="N659" s="135"/>
      <c r="O659" s="135"/>
      <c r="P659" s="135"/>
      <c r="Q659" s="135"/>
      <c r="R659" s="135"/>
      <c r="S659" s="135"/>
      <c r="T659" s="135"/>
      <c r="U659" s="135"/>
      <c r="V659" s="135"/>
      <c r="W659" s="135"/>
      <c r="X659" s="135"/>
      <c r="Y659" s="135"/>
      <c r="Z659" s="135"/>
      <c r="AA659" s="135"/>
      <c r="AB659" s="135"/>
      <c r="AC659" s="135"/>
      <c r="AD659" s="135"/>
      <c r="AE659" s="135"/>
      <c r="AF659" s="135"/>
    </row>
    <row r="660">
      <c r="A660" s="135"/>
      <c r="B660" s="135"/>
      <c r="C660" s="135"/>
      <c r="D660" s="135"/>
      <c r="E660" s="135"/>
      <c r="F660" s="135"/>
      <c r="G660" s="135"/>
      <c r="H660" s="135"/>
      <c r="I660" s="135"/>
      <c r="J660" s="135"/>
      <c r="K660" s="135"/>
      <c r="L660" s="135"/>
      <c r="M660" s="135"/>
      <c r="N660" s="135"/>
      <c r="O660" s="135"/>
      <c r="P660" s="135"/>
      <c r="Q660" s="135"/>
      <c r="R660" s="135"/>
      <c r="S660" s="135"/>
      <c r="T660" s="135"/>
      <c r="U660" s="135"/>
      <c r="V660" s="135"/>
      <c r="W660" s="135"/>
      <c r="X660" s="135"/>
      <c r="Y660" s="135"/>
      <c r="Z660" s="135"/>
      <c r="AA660" s="135"/>
      <c r="AB660" s="135"/>
      <c r="AC660" s="135"/>
      <c r="AD660" s="135"/>
      <c r="AE660" s="135"/>
      <c r="AF660" s="135"/>
    </row>
    <row r="661">
      <c r="A661" s="135"/>
      <c r="B661" s="135"/>
      <c r="C661" s="135"/>
      <c r="D661" s="135"/>
      <c r="E661" s="135"/>
      <c r="F661" s="135"/>
      <c r="G661" s="135"/>
      <c r="H661" s="135"/>
      <c r="I661" s="135"/>
      <c r="J661" s="135"/>
      <c r="K661" s="135"/>
      <c r="L661" s="135"/>
      <c r="M661" s="135"/>
      <c r="N661" s="135"/>
      <c r="O661" s="135"/>
      <c r="P661" s="135"/>
      <c r="Q661" s="135"/>
      <c r="R661" s="135"/>
      <c r="S661" s="135"/>
      <c r="T661" s="135"/>
      <c r="U661" s="135"/>
      <c r="V661" s="135"/>
      <c r="W661" s="135"/>
      <c r="X661" s="135"/>
      <c r="Y661" s="135"/>
      <c r="Z661" s="135"/>
      <c r="AA661" s="135"/>
      <c r="AB661" s="135"/>
      <c r="AC661" s="135"/>
      <c r="AD661" s="135"/>
      <c r="AE661" s="135"/>
      <c r="AF661" s="135"/>
    </row>
    <row r="662">
      <c r="A662" s="135"/>
      <c r="B662" s="135"/>
      <c r="C662" s="135"/>
      <c r="D662" s="135"/>
      <c r="E662" s="135"/>
      <c r="F662" s="135"/>
      <c r="G662" s="135"/>
      <c r="H662" s="135"/>
      <c r="I662" s="135"/>
      <c r="J662" s="135"/>
      <c r="K662" s="135"/>
      <c r="L662" s="135"/>
      <c r="M662" s="135"/>
      <c r="N662" s="135"/>
      <c r="O662" s="135"/>
      <c r="P662" s="135"/>
      <c r="Q662" s="135"/>
      <c r="R662" s="135"/>
      <c r="S662" s="135"/>
      <c r="T662" s="135"/>
      <c r="U662" s="135"/>
      <c r="V662" s="135"/>
      <c r="W662" s="135"/>
      <c r="X662" s="135"/>
      <c r="Y662" s="135"/>
      <c r="Z662" s="135"/>
      <c r="AA662" s="135"/>
      <c r="AB662" s="135"/>
      <c r="AC662" s="135"/>
      <c r="AD662" s="135"/>
      <c r="AE662" s="135"/>
      <c r="AF662" s="135"/>
    </row>
    <row r="663">
      <c r="A663" s="135"/>
      <c r="B663" s="135"/>
      <c r="C663" s="135"/>
      <c r="D663" s="135"/>
      <c r="E663" s="135"/>
      <c r="F663" s="135"/>
      <c r="G663" s="135"/>
      <c r="H663" s="135"/>
      <c r="I663" s="135"/>
      <c r="J663" s="135"/>
      <c r="K663" s="135"/>
      <c r="L663" s="135"/>
      <c r="M663" s="135"/>
      <c r="N663" s="135"/>
      <c r="O663" s="135"/>
      <c r="P663" s="135"/>
      <c r="Q663" s="135"/>
      <c r="R663" s="135"/>
      <c r="S663" s="135"/>
      <c r="T663" s="135"/>
      <c r="U663" s="135"/>
      <c r="V663" s="135"/>
      <c r="W663" s="135"/>
      <c r="X663" s="135"/>
      <c r="Y663" s="135"/>
      <c r="Z663" s="135"/>
      <c r="AA663" s="135"/>
      <c r="AB663" s="135"/>
      <c r="AC663" s="135"/>
      <c r="AD663" s="135"/>
      <c r="AE663" s="135"/>
      <c r="AF663" s="135"/>
    </row>
    <row r="664">
      <c r="A664" s="135"/>
      <c r="B664" s="135"/>
      <c r="C664" s="135"/>
      <c r="D664" s="135"/>
      <c r="E664" s="135"/>
      <c r="F664" s="135"/>
      <c r="G664" s="135"/>
      <c r="H664" s="135"/>
      <c r="I664" s="135"/>
      <c r="J664" s="135"/>
      <c r="K664" s="135"/>
      <c r="L664" s="135"/>
      <c r="M664" s="135"/>
      <c r="N664" s="135"/>
      <c r="O664" s="135"/>
      <c r="P664" s="135"/>
      <c r="Q664" s="135"/>
      <c r="R664" s="135"/>
      <c r="S664" s="135"/>
      <c r="T664" s="135"/>
      <c r="U664" s="135"/>
      <c r="V664" s="135"/>
      <c r="W664" s="135"/>
      <c r="X664" s="135"/>
      <c r="Y664" s="135"/>
      <c r="Z664" s="135"/>
      <c r="AA664" s="135"/>
      <c r="AB664" s="135"/>
      <c r="AC664" s="135"/>
      <c r="AD664" s="135"/>
      <c r="AE664" s="135"/>
      <c r="AF664" s="135"/>
    </row>
    <row r="665">
      <c r="A665" s="135"/>
      <c r="B665" s="135"/>
      <c r="C665" s="135"/>
      <c r="D665" s="135"/>
      <c r="E665" s="135"/>
      <c r="F665" s="135"/>
      <c r="G665" s="135"/>
      <c r="H665" s="135"/>
      <c r="I665" s="135"/>
      <c r="J665" s="135"/>
      <c r="K665" s="135"/>
      <c r="L665" s="135"/>
      <c r="M665" s="135"/>
      <c r="N665" s="135"/>
      <c r="O665" s="135"/>
      <c r="P665" s="135"/>
      <c r="Q665" s="135"/>
      <c r="R665" s="135"/>
      <c r="S665" s="135"/>
      <c r="T665" s="135"/>
      <c r="U665" s="135"/>
      <c r="V665" s="135"/>
      <c r="W665" s="135"/>
      <c r="X665" s="135"/>
      <c r="Y665" s="135"/>
      <c r="Z665" s="135"/>
      <c r="AA665" s="135"/>
      <c r="AB665" s="135"/>
      <c r="AC665" s="135"/>
      <c r="AD665" s="135"/>
      <c r="AE665" s="135"/>
      <c r="AF665" s="135"/>
    </row>
    <row r="666">
      <c r="A666" s="135"/>
      <c r="B666" s="135"/>
      <c r="C666" s="135"/>
      <c r="D666" s="135"/>
      <c r="E666" s="135"/>
      <c r="F666" s="135"/>
      <c r="G666" s="135"/>
      <c r="H666" s="135"/>
      <c r="I666" s="135"/>
      <c r="J666" s="135"/>
      <c r="K666" s="135"/>
      <c r="L666" s="135"/>
      <c r="M666" s="135"/>
      <c r="N666" s="135"/>
      <c r="O666" s="135"/>
      <c r="P666" s="135"/>
      <c r="Q666" s="135"/>
      <c r="R666" s="135"/>
      <c r="S666" s="135"/>
      <c r="T666" s="135"/>
      <c r="U666" s="135"/>
      <c r="V666" s="135"/>
      <c r="W666" s="135"/>
      <c r="X666" s="135"/>
      <c r="Y666" s="135"/>
      <c r="Z666" s="135"/>
      <c r="AA666" s="135"/>
      <c r="AB666" s="135"/>
      <c r="AC666" s="135"/>
      <c r="AD666" s="135"/>
      <c r="AE666" s="135"/>
      <c r="AF666" s="135"/>
    </row>
    <row r="667">
      <c r="A667" s="135"/>
      <c r="B667" s="135"/>
      <c r="C667" s="135"/>
      <c r="D667" s="135"/>
      <c r="E667" s="135"/>
      <c r="F667" s="135"/>
      <c r="G667" s="135"/>
      <c r="H667" s="135"/>
      <c r="I667" s="135"/>
      <c r="J667" s="135"/>
      <c r="K667" s="135"/>
      <c r="L667" s="135"/>
      <c r="M667" s="135"/>
      <c r="N667" s="135"/>
      <c r="O667" s="135"/>
      <c r="P667" s="135"/>
      <c r="Q667" s="135"/>
      <c r="R667" s="135"/>
      <c r="S667" s="135"/>
      <c r="T667" s="135"/>
      <c r="U667" s="135"/>
      <c r="V667" s="135"/>
      <c r="W667" s="135"/>
      <c r="X667" s="135"/>
      <c r="Y667" s="135"/>
      <c r="Z667" s="135"/>
      <c r="AA667" s="135"/>
      <c r="AB667" s="135"/>
      <c r="AC667" s="135"/>
      <c r="AD667" s="135"/>
      <c r="AE667" s="135"/>
      <c r="AF667" s="135"/>
    </row>
    <row r="668">
      <c r="A668" s="135"/>
      <c r="B668" s="135"/>
      <c r="C668" s="135"/>
      <c r="D668" s="135"/>
      <c r="E668" s="135"/>
      <c r="F668" s="135"/>
      <c r="G668" s="135"/>
      <c r="H668" s="135"/>
      <c r="I668" s="135"/>
      <c r="J668" s="135"/>
      <c r="K668" s="135"/>
      <c r="L668" s="135"/>
      <c r="M668" s="135"/>
      <c r="N668" s="135"/>
      <c r="O668" s="135"/>
      <c r="P668" s="135"/>
      <c r="Q668" s="135"/>
      <c r="R668" s="135"/>
      <c r="S668" s="135"/>
      <c r="T668" s="135"/>
      <c r="U668" s="135"/>
      <c r="V668" s="135"/>
      <c r="W668" s="135"/>
      <c r="X668" s="135"/>
      <c r="Y668" s="135"/>
      <c r="Z668" s="135"/>
      <c r="AA668" s="135"/>
      <c r="AB668" s="135"/>
      <c r="AC668" s="135"/>
      <c r="AD668" s="135"/>
      <c r="AE668" s="135"/>
      <c r="AF668" s="135"/>
    </row>
    <row r="669">
      <c r="A669" s="135"/>
      <c r="B669" s="135"/>
      <c r="C669" s="135"/>
      <c r="D669" s="135"/>
      <c r="E669" s="135"/>
      <c r="F669" s="135"/>
      <c r="G669" s="135"/>
      <c r="H669" s="135"/>
      <c r="I669" s="135"/>
      <c r="J669" s="135"/>
      <c r="K669" s="135"/>
      <c r="L669" s="135"/>
      <c r="M669" s="135"/>
      <c r="N669" s="135"/>
      <c r="O669" s="135"/>
      <c r="P669" s="135"/>
      <c r="Q669" s="135"/>
      <c r="R669" s="135"/>
      <c r="S669" s="135"/>
      <c r="T669" s="135"/>
      <c r="U669" s="135"/>
      <c r="V669" s="135"/>
      <c r="W669" s="135"/>
      <c r="X669" s="135"/>
      <c r="Y669" s="135"/>
      <c r="Z669" s="135"/>
      <c r="AA669" s="135"/>
      <c r="AB669" s="135"/>
      <c r="AC669" s="135"/>
      <c r="AD669" s="135"/>
      <c r="AE669" s="135"/>
      <c r="AF669" s="135"/>
    </row>
    <row r="670">
      <c r="A670" s="135"/>
      <c r="B670" s="135"/>
      <c r="C670" s="135"/>
      <c r="D670" s="135"/>
      <c r="E670" s="135"/>
      <c r="F670" s="135"/>
      <c r="G670" s="135"/>
      <c r="H670" s="135"/>
      <c r="I670" s="135"/>
      <c r="J670" s="135"/>
      <c r="K670" s="135"/>
      <c r="L670" s="135"/>
      <c r="M670" s="135"/>
      <c r="N670" s="135"/>
      <c r="O670" s="135"/>
      <c r="P670" s="135"/>
      <c r="Q670" s="135"/>
      <c r="R670" s="135"/>
      <c r="S670" s="135"/>
      <c r="T670" s="135"/>
      <c r="U670" s="135"/>
      <c r="V670" s="135"/>
      <c r="W670" s="135"/>
      <c r="X670" s="135"/>
      <c r="Y670" s="135"/>
      <c r="Z670" s="135"/>
      <c r="AA670" s="135"/>
      <c r="AB670" s="135"/>
      <c r="AC670" s="135"/>
      <c r="AD670" s="135"/>
      <c r="AE670" s="135"/>
      <c r="AF670" s="135"/>
    </row>
    <row r="671">
      <c r="A671" s="135"/>
      <c r="B671" s="135"/>
      <c r="C671" s="135"/>
      <c r="D671" s="135"/>
      <c r="E671" s="135"/>
      <c r="F671" s="135"/>
      <c r="G671" s="135"/>
      <c r="H671" s="135"/>
      <c r="I671" s="135"/>
      <c r="J671" s="135"/>
      <c r="K671" s="135"/>
      <c r="L671" s="135"/>
      <c r="M671" s="135"/>
      <c r="N671" s="135"/>
      <c r="O671" s="135"/>
      <c r="P671" s="135"/>
      <c r="Q671" s="135"/>
      <c r="R671" s="135"/>
      <c r="S671" s="135"/>
      <c r="T671" s="135"/>
      <c r="U671" s="135"/>
      <c r="V671" s="135"/>
      <c r="W671" s="135"/>
      <c r="X671" s="135"/>
      <c r="Y671" s="135"/>
      <c r="Z671" s="135"/>
      <c r="AA671" s="135"/>
      <c r="AB671" s="135"/>
      <c r="AC671" s="135"/>
      <c r="AD671" s="135"/>
      <c r="AE671" s="135"/>
      <c r="AF671" s="135"/>
    </row>
    <row r="672">
      <c r="A672" s="135"/>
      <c r="B672" s="135"/>
      <c r="C672" s="135"/>
      <c r="D672" s="135"/>
      <c r="E672" s="135"/>
      <c r="F672" s="135"/>
      <c r="G672" s="135"/>
      <c r="H672" s="135"/>
      <c r="I672" s="135"/>
      <c r="J672" s="135"/>
      <c r="K672" s="135"/>
      <c r="L672" s="135"/>
      <c r="M672" s="135"/>
      <c r="N672" s="135"/>
      <c r="O672" s="135"/>
      <c r="P672" s="135"/>
      <c r="Q672" s="135"/>
      <c r="R672" s="135"/>
      <c r="S672" s="135"/>
      <c r="T672" s="135"/>
      <c r="U672" s="135"/>
      <c r="V672" s="135"/>
      <c r="W672" s="135"/>
      <c r="X672" s="135"/>
      <c r="Y672" s="135"/>
      <c r="Z672" s="135"/>
      <c r="AA672" s="135"/>
      <c r="AB672" s="135"/>
      <c r="AC672" s="135"/>
      <c r="AD672" s="135"/>
      <c r="AE672" s="135"/>
      <c r="AF672" s="135"/>
    </row>
    <row r="673">
      <c r="A673" s="135"/>
      <c r="B673" s="135"/>
      <c r="C673" s="135"/>
      <c r="D673" s="135"/>
      <c r="E673" s="135"/>
      <c r="F673" s="135"/>
      <c r="G673" s="135"/>
      <c r="H673" s="135"/>
      <c r="I673" s="135"/>
      <c r="J673" s="135"/>
      <c r="K673" s="135"/>
      <c r="L673" s="135"/>
      <c r="M673" s="135"/>
      <c r="N673" s="135"/>
      <c r="O673" s="135"/>
      <c r="P673" s="135"/>
      <c r="Q673" s="135"/>
      <c r="R673" s="135"/>
      <c r="S673" s="135"/>
      <c r="T673" s="135"/>
      <c r="U673" s="135"/>
      <c r="V673" s="135"/>
      <c r="W673" s="135"/>
      <c r="X673" s="135"/>
      <c r="Y673" s="135"/>
      <c r="Z673" s="135"/>
      <c r="AA673" s="135"/>
      <c r="AB673" s="135"/>
      <c r="AC673" s="135"/>
      <c r="AD673" s="135"/>
      <c r="AE673" s="135"/>
      <c r="AF673" s="135"/>
    </row>
    <row r="674">
      <c r="A674" s="135"/>
      <c r="B674" s="135"/>
      <c r="C674" s="135"/>
      <c r="D674" s="135"/>
      <c r="E674" s="135"/>
      <c r="F674" s="135"/>
      <c r="G674" s="135"/>
      <c r="H674" s="135"/>
      <c r="I674" s="135"/>
      <c r="J674" s="135"/>
      <c r="K674" s="135"/>
      <c r="L674" s="135"/>
      <c r="M674" s="135"/>
      <c r="N674" s="135"/>
      <c r="O674" s="135"/>
      <c r="P674" s="135"/>
      <c r="Q674" s="135"/>
      <c r="R674" s="135"/>
      <c r="S674" s="135"/>
      <c r="T674" s="135"/>
      <c r="U674" s="135"/>
      <c r="V674" s="135"/>
      <c r="W674" s="135"/>
      <c r="X674" s="135"/>
      <c r="Y674" s="135"/>
      <c r="Z674" s="135"/>
      <c r="AA674" s="135"/>
      <c r="AB674" s="135"/>
      <c r="AC674" s="135"/>
      <c r="AD674" s="135"/>
      <c r="AE674" s="135"/>
      <c r="AF674" s="135"/>
    </row>
    <row r="675">
      <c r="A675" s="135"/>
      <c r="B675" s="135"/>
      <c r="C675" s="135"/>
      <c r="D675" s="135"/>
      <c r="E675" s="135"/>
      <c r="F675" s="135"/>
      <c r="G675" s="135"/>
      <c r="H675" s="135"/>
      <c r="I675" s="135"/>
      <c r="J675" s="135"/>
      <c r="K675" s="135"/>
      <c r="L675" s="135"/>
      <c r="M675" s="135"/>
      <c r="N675" s="135"/>
      <c r="O675" s="135"/>
      <c r="P675" s="135"/>
      <c r="Q675" s="135"/>
      <c r="R675" s="135"/>
      <c r="S675" s="135"/>
      <c r="T675" s="135"/>
      <c r="U675" s="135"/>
      <c r="V675" s="135"/>
      <c r="W675" s="135"/>
      <c r="X675" s="135"/>
      <c r="Y675" s="135"/>
      <c r="Z675" s="135"/>
      <c r="AA675" s="135"/>
      <c r="AB675" s="135"/>
      <c r="AC675" s="135"/>
      <c r="AD675" s="135"/>
      <c r="AE675" s="135"/>
      <c r="AF675" s="135"/>
    </row>
    <row r="676">
      <c r="A676" s="135"/>
      <c r="B676" s="135"/>
      <c r="C676" s="135"/>
      <c r="D676" s="135"/>
      <c r="E676" s="135"/>
      <c r="F676" s="135"/>
      <c r="G676" s="135"/>
      <c r="H676" s="135"/>
      <c r="I676" s="135"/>
      <c r="J676" s="135"/>
      <c r="K676" s="135"/>
      <c r="L676" s="135"/>
      <c r="M676" s="135"/>
      <c r="N676" s="135"/>
      <c r="O676" s="135"/>
      <c r="P676" s="135"/>
      <c r="Q676" s="135"/>
      <c r="R676" s="135"/>
      <c r="S676" s="135"/>
      <c r="T676" s="135"/>
      <c r="U676" s="135"/>
      <c r="V676" s="135"/>
      <c r="W676" s="135"/>
      <c r="X676" s="135"/>
      <c r="Y676" s="135"/>
      <c r="Z676" s="135"/>
      <c r="AA676" s="135"/>
      <c r="AB676" s="135"/>
      <c r="AC676" s="135"/>
      <c r="AD676" s="135"/>
      <c r="AE676" s="135"/>
      <c r="AF676" s="135"/>
    </row>
    <row r="677">
      <c r="A677" s="135"/>
      <c r="B677" s="135"/>
      <c r="C677" s="135"/>
      <c r="D677" s="135"/>
      <c r="E677" s="135"/>
      <c r="F677" s="135"/>
      <c r="G677" s="135"/>
      <c r="H677" s="135"/>
      <c r="I677" s="135"/>
      <c r="J677" s="135"/>
      <c r="K677" s="135"/>
      <c r="L677" s="135"/>
      <c r="M677" s="135"/>
      <c r="N677" s="135"/>
      <c r="O677" s="135"/>
      <c r="P677" s="135"/>
      <c r="Q677" s="135"/>
      <c r="R677" s="135"/>
      <c r="S677" s="135"/>
      <c r="T677" s="135"/>
      <c r="U677" s="135"/>
      <c r="V677" s="135"/>
      <c r="W677" s="135"/>
      <c r="X677" s="135"/>
      <c r="Y677" s="135"/>
      <c r="Z677" s="135"/>
      <c r="AA677" s="135"/>
      <c r="AB677" s="135"/>
      <c r="AC677" s="135"/>
      <c r="AD677" s="135"/>
      <c r="AE677" s="135"/>
      <c r="AF677" s="135"/>
    </row>
    <row r="678">
      <c r="A678" s="135"/>
      <c r="B678" s="135"/>
      <c r="C678" s="135"/>
      <c r="D678" s="135"/>
      <c r="E678" s="135"/>
      <c r="F678" s="135"/>
      <c r="G678" s="135"/>
      <c r="H678" s="135"/>
      <c r="I678" s="135"/>
      <c r="J678" s="135"/>
      <c r="K678" s="135"/>
      <c r="L678" s="135"/>
      <c r="M678" s="135"/>
      <c r="N678" s="135"/>
      <c r="O678" s="135"/>
      <c r="P678" s="135"/>
      <c r="Q678" s="135"/>
      <c r="R678" s="135"/>
      <c r="S678" s="135"/>
      <c r="T678" s="135"/>
      <c r="U678" s="135"/>
      <c r="V678" s="135"/>
      <c r="W678" s="135"/>
      <c r="X678" s="135"/>
      <c r="Y678" s="135"/>
      <c r="Z678" s="135"/>
      <c r="AA678" s="135"/>
      <c r="AB678" s="135"/>
      <c r="AC678" s="135"/>
      <c r="AD678" s="135"/>
      <c r="AE678" s="135"/>
      <c r="AF678" s="135"/>
    </row>
    <row r="679">
      <c r="A679" s="135"/>
      <c r="B679" s="135"/>
      <c r="C679" s="135"/>
      <c r="D679" s="135"/>
      <c r="E679" s="135"/>
      <c r="F679" s="135"/>
      <c r="G679" s="135"/>
      <c r="H679" s="135"/>
      <c r="I679" s="135"/>
      <c r="J679" s="135"/>
      <c r="K679" s="135"/>
      <c r="L679" s="135"/>
      <c r="M679" s="135"/>
      <c r="N679" s="135"/>
      <c r="O679" s="135"/>
      <c r="P679" s="135"/>
      <c r="Q679" s="135"/>
      <c r="R679" s="135"/>
      <c r="S679" s="135"/>
      <c r="T679" s="135"/>
      <c r="U679" s="135"/>
      <c r="V679" s="135"/>
      <c r="W679" s="135"/>
      <c r="X679" s="135"/>
      <c r="Y679" s="135"/>
      <c r="Z679" s="135"/>
      <c r="AA679" s="135"/>
      <c r="AB679" s="135"/>
      <c r="AC679" s="135"/>
      <c r="AD679" s="135"/>
      <c r="AE679" s="135"/>
      <c r="AF679" s="135"/>
    </row>
    <row r="680">
      <c r="A680" s="135"/>
      <c r="B680" s="135"/>
      <c r="C680" s="135"/>
      <c r="D680" s="135"/>
      <c r="E680" s="135"/>
      <c r="F680" s="135"/>
      <c r="G680" s="135"/>
      <c r="H680" s="135"/>
      <c r="I680" s="135"/>
      <c r="J680" s="135"/>
      <c r="K680" s="135"/>
      <c r="L680" s="135"/>
      <c r="M680" s="135"/>
      <c r="N680" s="135"/>
      <c r="O680" s="135"/>
      <c r="P680" s="135"/>
      <c r="Q680" s="135"/>
      <c r="R680" s="135"/>
      <c r="S680" s="135"/>
      <c r="T680" s="135"/>
      <c r="U680" s="135"/>
      <c r="V680" s="135"/>
      <c r="W680" s="135"/>
      <c r="X680" s="135"/>
      <c r="Y680" s="135"/>
      <c r="Z680" s="135"/>
      <c r="AA680" s="135"/>
      <c r="AB680" s="135"/>
      <c r="AC680" s="135"/>
      <c r="AD680" s="135"/>
      <c r="AE680" s="135"/>
      <c r="AF680" s="135"/>
    </row>
    <row r="681">
      <c r="A681" s="135"/>
      <c r="B681" s="135"/>
      <c r="C681" s="135"/>
      <c r="D681" s="135"/>
      <c r="E681" s="135"/>
      <c r="F681" s="135"/>
      <c r="G681" s="135"/>
      <c r="H681" s="135"/>
      <c r="I681" s="135"/>
      <c r="J681" s="135"/>
      <c r="K681" s="135"/>
      <c r="L681" s="135"/>
      <c r="M681" s="135"/>
      <c r="N681" s="135"/>
      <c r="O681" s="135"/>
      <c r="P681" s="135"/>
      <c r="Q681" s="135"/>
      <c r="R681" s="135"/>
      <c r="S681" s="135"/>
      <c r="T681" s="135"/>
      <c r="U681" s="135"/>
      <c r="V681" s="135"/>
      <c r="W681" s="135"/>
      <c r="X681" s="135"/>
      <c r="Y681" s="135"/>
      <c r="Z681" s="135"/>
      <c r="AA681" s="135"/>
      <c r="AB681" s="135"/>
      <c r="AC681" s="135"/>
      <c r="AD681" s="135"/>
      <c r="AE681" s="135"/>
      <c r="AF681" s="135"/>
    </row>
    <row r="682">
      <c r="A682" s="135"/>
      <c r="B682" s="135"/>
      <c r="C682" s="135"/>
      <c r="D682" s="135"/>
      <c r="E682" s="135"/>
      <c r="F682" s="135"/>
      <c r="G682" s="135"/>
      <c r="H682" s="135"/>
      <c r="I682" s="135"/>
      <c r="J682" s="135"/>
      <c r="K682" s="135"/>
      <c r="L682" s="135"/>
      <c r="M682" s="135"/>
      <c r="N682" s="135"/>
      <c r="O682" s="135"/>
      <c r="P682" s="135"/>
      <c r="Q682" s="135"/>
      <c r="R682" s="135"/>
      <c r="S682" s="135"/>
      <c r="T682" s="135"/>
      <c r="U682" s="135"/>
      <c r="V682" s="135"/>
      <c r="W682" s="135"/>
      <c r="X682" s="135"/>
      <c r="Y682" s="135"/>
      <c r="Z682" s="135"/>
      <c r="AA682" s="135"/>
      <c r="AB682" s="135"/>
      <c r="AC682" s="135"/>
      <c r="AD682" s="135"/>
      <c r="AE682" s="135"/>
      <c r="AF682" s="135"/>
    </row>
    <row r="683">
      <c r="A683" s="135"/>
      <c r="B683" s="135"/>
      <c r="C683" s="135"/>
      <c r="D683" s="135"/>
      <c r="E683" s="135"/>
      <c r="F683" s="135"/>
      <c r="G683" s="135"/>
      <c r="H683" s="135"/>
      <c r="I683" s="135"/>
      <c r="J683" s="135"/>
      <c r="K683" s="135"/>
      <c r="L683" s="135"/>
      <c r="M683" s="135"/>
      <c r="N683" s="135"/>
      <c r="O683" s="135"/>
      <c r="P683" s="135"/>
      <c r="Q683" s="135"/>
      <c r="R683" s="135"/>
      <c r="S683" s="135"/>
      <c r="T683" s="135"/>
      <c r="U683" s="135"/>
      <c r="V683" s="135"/>
      <c r="W683" s="135"/>
      <c r="X683" s="135"/>
      <c r="Y683" s="135"/>
      <c r="Z683" s="135"/>
      <c r="AA683" s="135"/>
      <c r="AB683" s="135"/>
      <c r="AC683" s="135"/>
      <c r="AD683" s="135"/>
      <c r="AE683" s="135"/>
      <c r="AF683" s="135"/>
    </row>
    <row r="684">
      <c r="A684" s="135"/>
      <c r="B684" s="135"/>
      <c r="C684" s="135"/>
      <c r="D684" s="135"/>
      <c r="E684" s="135"/>
      <c r="F684" s="135"/>
      <c r="G684" s="135"/>
      <c r="H684" s="135"/>
      <c r="I684" s="135"/>
      <c r="J684" s="135"/>
      <c r="K684" s="135"/>
      <c r="L684" s="135"/>
      <c r="M684" s="135"/>
      <c r="N684" s="135"/>
      <c r="O684" s="135"/>
      <c r="P684" s="135"/>
      <c r="Q684" s="135"/>
      <c r="R684" s="135"/>
      <c r="S684" s="135"/>
      <c r="T684" s="135"/>
      <c r="U684" s="135"/>
      <c r="V684" s="135"/>
      <c r="W684" s="135"/>
      <c r="X684" s="135"/>
      <c r="Y684" s="135"/>
      <c r="Z684" s="135"/>
      <c r="AA684" s="135"/>
      <c r="AB684" s="135"/>
      <c r="AC684" s="135"/>
      <c r="AD684" s="135"/>
      <c r="AE684" s="135"/>
      <c r="AF684" s="135"/>
    </row>
    <row r="685">
      <c r="A685" s="135"/>
      <c r="B685" s="135"/>
      <c r="C685" s="135"/>
      <c r="D685" s="135"/>
      <c r="E685" s="135"/>
      <c r="F685" s="135"/>
      <c r="G685" s="135"/>
      <c r="H685" s="135"/>
      <c r="I685" s="135"/>
      <c r="J685" s="135"/>
      <c r="K685" s="135"/>
      <c r="L685" s="135"/>
      <c r="M685" s="135"/>
      <c r="N685" s="135"/>
      <c r="O685" s="135"/>
      <c r="P685" s="135"/>
      <c r="Q685" s="135"/>
      <c r="R685" s="135"/>
      <c r="S685" s="135"/>
      <c r="T685" s="135"/>
      <c r="U685" s="135"/>
      <c r="V685" s="135"/>
      <c r="W685" s="135"/>
      <c r="X685" s="135"/>
      <c r="Y685" s="135"/>
      <c r="Z685" s="135"/>
      <c r="AA685" s="135"/>
      <c r="AB685" s="135"/>
      <c r="AC685" s="135"/>
      <c r="AD685" s="135"/>
      <c r="AE685" s="135"/>
      <c r="AF685" s="135"/>
    </row>
    <row r="686">
      <c r="A686" s="135"/>
      <c r="B686" s="135"/>
      <c r="C686" s="135"/>
      <c r="D686" s="135"/>
      <c r="E686" s="135"/>
      <c r="F686" s="135"/>
      <c r="G686" s="135"/>
      <c r="H686" s="135"/>
      <c r="I686" s="135"/>
      <c r="J686" s="135"/>
      <c r="K686" s="135"/>
      <c r="L686" s="135"/>
      <c r="M686" s="135"/>
      <c r="N686" s="135"/>
      <c r="O686" s="135"/>
      <c r="P686" s="135"/>
      <c r="Q686" s="135"/>
      <c r="R686" s="135"/>
      <c r="S686" s="135"/>
      <c r="T686" s="135"/>
      <c r="U686" s="135"/>
      <c r="V686" s="135"/>
      <c r="W686" s="135"/>
      <c r="X686" s="135"/>
      <c r="Y686" s="135"/>
      <c r="Z686" s="135"/>
      <c r="AA686" s="135"/>
      <c r="AB686" s="135"/>
      <c r="AC686" s="135"/>
      <c r="AD686" s="135"/>
      <c r="AE686" s="135"/>
      <c r="AF686" s="135"/>
    </row>
    <row r="687">
      <c r="A687" s="135"/>
      <c r="B687" s="135"/>
      <c r="C687" s="135"/>
      <c r="D687" s="135"/>
      <c r="E687" s="135"/>
      <c r="F687" s="135"/>
      <c r="G687" s="135"/>
      <c r="H687" s="135"/>
      <c r="I687" s="135"/>
      <c r="J687" s="135"/>
      <c r="K687" s="135"/>
      <c r="L687" s="135"/>
      <c r="M687" s="135"/>
      <c r="N687" s="135"/>
      <c r="O687" s="135"/>
      <c r="P687" s="135"/>
      <c r="Q687" s="135"/>
      <c r="R687" s="135"/>
      <c r="S687" s="135"/>
      <c r="T687" s="135"/>
      <c r="U687" s="135"/>
      <c r="V687" s="135"/>
      <c r="W687" s="135"/>
      <c r="X687" s="135"/>
      <c r="Y687" s="135"/>
      <c r="Z687" s="135"/>
      <c r="AA687" s="135"/>
      <c r="AB687" s="135"/>
      <c r="AC687" s="135"/>
      <c r="AD687" s="135"/>
      <c r="AE687" s="135"/>
      <c r="AF687" s="135"/>
    </row>
    <row r="688">
      <c r="A688" s="135"/>
      <c r="B688" s="135"/>
      <c r="C688" s="135"/>
      <c r="D688" s="135"/>
      <c r="E688" s="135"/>
      <c r="F688" s="135"/>
      <c r="G688" s="135"/>
      <c r="H688" s="135"/>
      <c r="I688" s="135"/>
      <c r="J688" s="135"/>
      <c r="K688" s="135"/>
      <c r="L688" s="135"/>
      <c r="M688" s="135"/>
      <c r="N688" s="135"/>
      <c r="O688" s="135"/>
      <c r="P688" s="135"/>
      <c r="Q688" s="135"/>
      <c r="R688" s="135"/>
      <c r="S688" s="135"/>
      <c r="T688" s="135"/>
      <c r="U688" s="135"/>
      <c r="V688" s="135"/>
      <c r="W688" s="135"/>
      <c r="X688" s="135"/>
      <c r="Y688" s="135"/>
      <c r="Z688" s="135"/>
      <c r="AA688" s="135"/>
      <c r="AB688" s="135"/>
      <c r="AC688" s="135"/>
      <c r="AD688" s="135"/>
      <c r="AE688" s="135"/>
      <c r="AF688" s="135"/>
    </row>
    <row r="689">
      <c r="A689" s="135"/>
      <c r="B689" s="135"/>
      <c r="C689" s="135"/>
      <c r="D689" s="135"/>
      <c r="E689" s="135"/>
      <c r="F689" s="135"/>
      <c r="G689" s="135"/>
      <c r="H689" s="135"/>
      <c r="I689" s="135"/>
      <c r="J689" s="135"/>
      <c r="K689" s="135"/>
      <c r="L689" s="135"/>
      <c r="M689" s="135"/>
      <c r="N689" s="135"/>
      <c r="O689" s="135"/>
      <c r="P689" s="135"/>
      <c r="Q689" s="135"/>
      <c r="R689" s="135"/>
      <c r="S689" s="135"/>
      <c r="T689" s="135"/>
      <c r="U689" s="135"/>
      <c r="V689" s="135"/>
      <c r="W689" s="135"/>
      <c r="X689" s="135"/>
      <c r="Y689" s="135"/>
      <c r="Z689" s="135"/>
      <c r="AA689" s="135"/>
      <c r="AB689" s="135"/>
      <c r="AC689" s="135"/>
      <c r="AD689" s="135"/>
      <c r="AE689" s="135"/>
      <c r="AF689" s="135"/>
    </row>
    <row r="690">
      <c r="A690" s="135"/>
      <c r="B690" s="135"/>
      <c r="C690" s="135"/>
      <c r="D690" s="135"/>
      <c r="E690" s="135"/>
      <c r="F690" s="135"/>
      <c r="G690" s="135"/>
      <c r="H690" s="135"/>
      <c r="I690" s="135"/>
      <c r="J690" s="135"/>
      <c r="K690" s="135"/>
      <c r="L690" s="135"/>
      <c r="M690" s="135"/>
      <c r="N690" s="135"/>
      <c r="O690" s="135"/>
      <c r="P690" s="135"/>
      <c r="Q690" s="135"/>
      <c r="R690" s="135"/>
      <c r="S690" s="135"/>
      <c r="T690" s="135"/>
      <c r="U690" s="135"/>
      <c r="V690" s="135"/>
      <c r="W690" s="135"/>
      <c r="X690" s="135"/>
      <c r="Y690" s="135"/>
      <c r="Z690" s="135"/>
      <c r="AA690" s="135"/>
      <c r="AB690" s="135"/>
      <c r="AC690" s="135"/>
      <c r="AD690" s="135"/>
      <c r="AE690" s="135"/>
      <c r="AF690" s="135"/>
    </row>
    <row r="691">
      <c r="A691" s="135"/>
      <c r="B691" s="135"/>
      <c r="C691" s="135"/>
      <c r="D691" s="135"/>
      <c r="E691" s="135"/>
      <c r="F691" s="135"/>
      <c r="G691" s="135"/>
      <c r="H691" s="135"/>
      <c r="I691" s="135"/>
      <c r="J691" s="135"/>
      <c r="K691" s="135"/>
      <c r="L691" s="135"/>
      <c r="M691" s="135"/>
      <c r="N691" s="135"/>
      <c r="O691" s="135"/>
      <c r="P691" s="135"/>
      <c r="Q691" s="135"/>
      <c r="R691" s="135"/>
      <c r="S691" s="135"/>
      <c r="T691" s="135"/>
      <c r="U691" s="135"/>
      <c r="V691" s="135"/>
      <c r="W691" s="135"/>
      <c r="X691" s="135"/>
      <c r="Y691" s="135"/>
      <c r="Z691" s="135"/>
      <c r="AA691" s="135"/>
      <c r="AB691" s="135"/>
      <c r="AC691" s="135"/>
      <c r="AD691" s="135"/>
      <c r="AE691" s="135"/>
      <c r="AF691" s="135"/>
    </row>
    <row r="692">
      <c r="A692" s="135"/>
      <c r="B692" s="135"/>
      <c r="C692" s="135"/>
      <c r="D692" s="135"/>
      <c r="E692" s="135"/>
      <c r="F692" s="135"/>
      <c r="G692" s="135"/>
      <c r="H692" s="135"/>
      <c r="I692" s="135"/>
      <c r="J692" s="135"/>
      <c r="K692" s="135"/>
      <c r="L692" s="135"/>
      <c r="M692" s="135"/>
      <c r="N692" s="135"/>
      <c r="O692" s="135"/>
      <c r="P692" s="135"/>
      <c r="Q692" s="135"/>
      <c r="R692" s="135"/>
      <c r="S692" s="135"/>
      <c r="T692" s="135"/>
      <c r="U692" s="135"/>
      <c r="V692" s="135"/>
      <c r="W692" s="135"/>
      <c r="X692" s="135"/>
      <c r="Y692" s="135"/>
      <c r="Z692" s="135"/>
      <c r="AA692" s="135"/>
      <c r="AB692" s="135"/>
      <c r="AC692" s="135"/>
      <c r="AD692" s="135"/>
      <c r="AE692" s="135"/>
      <c r="AF692" s="135"/>
    </row>
    <row r="693">
      <c r="A693" s="135"/>
      <c r="B693" s="135"/>
      <c r="C693" s="135"/>
      <c r="D693" s="135"/>
      <c r="E693" s="135"/>
      <c r="F693" s="135"/>
      <c r="G693" s="135"/>
      <c r="H693" s="135"/>
      <c r="I693" s="135"/>
      <c r="J693" s="135"/>
      <c r="K693" s="135"/>
      <c r="L693" s="135"/>
      <c r="M693" s="135"/>
      <c r="N693" s="135"/>
      <c r="O693" s="135"/>
      <c r="P693" s="135"/>
      <c r="Q693" s="135"/>
      <c r="R693" s="135"/>
      <c r="S693" s="135"/>
      <c r="T693" s="135"/>
      <c r="U693" s="135"/>
      <c r="V693" s="135"/>
      <c r="W693" s="135"/>
      <c r="X693" s="135"/>
      <c r="Y693" s="135"/>
      <c r="Z693" s="135"/>
      <c r="AA693" s="135"/>
      <c r="AB693" s="135"/>
      <c r="AC693" s="135"/>
      <c r="AD693" s="135"/>
      <c r="AE693" s="135"/>
      <c r="AF693" s="135"/>
    </row>
    <row r="694">
      <c r="A694" s="135"/>
      <c r="B694" s="135"/>
      <c r="C694" s="135"/>
      <c r="D694" s="135"/>
      <c r="E694" s="135"/>
      <c r="F694" s="135"/>
      <c r="G694" s="135"/>
      <c r="H694" s="135"/>
      <c r="I694" s="135"/>
      <c r="J694" s="135"/>
      <c r="K694" s="135"/>
      <c r="L694" s="135"/>
      <c r="M694" s="135"/>
      <c r="N694" s="135"/>
      <c r="O694" s="135"/>
      <c r="P694" s="135"/>
      <c r="Q694" s="135"/>
      <c r="R694" s="135"/>
      <c r="S694" s="135"/>
      <c r="T694" s="135"/>
      <c r="U694" s="135"/>
      <c r="V694" s="135"/>
      <c r="W694" s="135"/>
      <c r="X694" s="135"/>
      <c r="Y694" s="135"/>
      <c r="Z694" s="135"/>
      <c r="AA694" s="135"/>
      <c r="AB694" s="135"/>
      <c r="AC694" s="135"/>
      <c r="AD694" s="135"/>
      <c r="AE694" s="135"/>
      <c r="AF694" s="135"/>
    </row>
    <row r="695">
      <c r="A695" s="135"/>
      <c r="B695" s="135"/>
      <c r="C695" s="135"/>
      <c r="D695" s="135"/>
      <c r="E695" s="135"/>
      <c r="F695" s="135"/>
      <c r="G695" s="135"/>
      <c r="H695" s="135"/>
      <c r="I695" s="135"/>
      <c r="J695" s="135"/>
      <c r="K695" s="135"/>
      <c r="L695" s="135"/>
      <c r="M695" s="135"/>
      <c r="N695" s="135"/>
      <c r="O695" s="135"/>
      <c r="P695" s="135"/>
      <c r="Q695" s="135"/>
      <c r="R695" s="135"/>
      <c r="S695" s="135"/>
      <c r="T695" s="135"/>
      <c r="U695" s="135"/>
      <c r="V695" s="135"/>
      <c r="W695" s="135"/>
      <c r="X695" s="135"/>
      <c r="Y695" s="135"/>
      <c r="Z695" s="135"/>
      <c r="AA695" s="135"/>
      <c r="AB695" s="135"/>
      <c r="AC695" s="135"/>
      <c r="AD695" s="135"/>
      <c r="AE695" s="135"/>
      <c r="AF695" s="135"/>
    </row>
    <row r="696">
      <c r="A696" s="135"/>
      <c r="B696" s="135"/>
      <c r="C696" s="135"/>
      <c r="D696" s="135"/>
      <c r="E696" s="135"/>
      <c r="F696" s="135"/>
      <c r="G696" s="135"/>
      <c r="H696" s="135"/>
      <c r="I696" s="135"/>
      <c r="J696" s="135"/>
      <c r="K696" s="135"/>
      <c r="L696" s="135"/>
      <c r="M696" s="135"/>
      <c r="N696" s="135"/>
      <c r="O696" s="135"/>
      <c r="P696" s="135"/>
      <c r="Q696" s="135"/>
      <c r="R696" s="135"/>
      <c r="S696" s="135"/>
      <c r="T696" s="135"/>
      <c r="U696" s="135"/>
      <c r="V696" s="135"/>
      <c r="W696" s="135"/>
      <c r="X696" s="135"/>
      <c r="Y696" s="135"/>
      <c r="Z696" s="135"/>
      <c r="AA696" s="135"/>
      <c r="AB696" s="135"/>
      <c r="AC696" s="135"/>
      <c r="AD696" s="135"/>
      <c r="AE696" s="135"/>
      <c r="AF696" s="135"/>
    </row>
    <row r="697">
      <c r="A697" s="135"/>
      <c r="B697" s="135"/>
      <c r="C697" s="135"/>
      <c r="D697" s="135"/>
      <c r="E697" s="135"/>
      <c r="F697" s="135"/>
      <c r="G697" s="135"/>
      <c r="H697" s="135"/>
      <c r="I697" s="135"/>
      <c r="J697" s="135"/>
      <c r="K697" s="135"/>
      <c r="L697" s="135"/>
      <c r="M697" s="135"/>
      <c r="N697" s="135"/>
      <c r="O697" s="135"/>
      <c r="P697" s="135"/>
      <c r="Q697" s="135"/>
      <c r="R697" s="135"/>
      <c r="S697" s="135"/>
      <c r="T697" s="135"/>
      <c r="U697" s="135"/>
      <c r="V697" s="135"/>
      <c r="W697" s="135"/>
      <c r="X697" s="135"/>
      <c r="Y697" s="135"/>
      <c r="Z697" s="135"/>
      <c r="AA697" s="135"/>
      <c r="AB697" s="135"/>
      <c r="AC697" s="135"/>
      <c r="AD697" s="135"/>
      <c r="AE697" s="135"/>
      <c r="AF697" s="135"/>
    </row>
    <row r="698">
      <c r="A698" s="135"/>
      <c r="B698" s="135"/>
      <c r="C698" s="135"/>
      <c r="D698" s="135"/>
      <c r="E698" s="135"/>
      <c r="F698" s="135"/>
      <c r="G698" s="135"/>
      <c r="H698" s="135"/>
      <c r="I698" s="135"/>
      <c r="J698" s="135"/>
      <c r="K698" s="135"/>
      <c r="L698" s="135"/>
      <c r="M698" s="135"/>
      <c r="N698" s="135"/>
      <c r="O698" s="135"/>
      <c r="P698" s="135"/>
      <c r="Q698" s="135"/>
      <c r="R698" s="135"/>
      <c r="S698" s="135"/>
      <c r="T698" s="135"/>
      <c r="U698" s="135"/>
      <c r="V698" s="135"/>
      <c r="W698" s="135"/>
      <c r="X698" s="135"/>
      <c r="Y698" s="135"/>
      <c r="Z698" s="135"/>
      <c r="AA698" s="135"/>
      <c r="AB698" s="135"/>
      <c r="AC698" s="135"/>
      <c r="AD698" s="135"/>
      <c r="AE698" s="135"/>
      <c r="AF698" s="135"/>
    </row>
    <row r="699">
      <c r="A699" s="135"/>
      <c r="B699" s="135"/>
      <c r="C699" s="135"/>
      <c r="D699" s="135"/>
      <c r="E699" s="135"/>
      <c r="F699" s="135"/>
      <c r="G699" s="135"/>
      <c r="H699" s="135"/>
      <c r="I699" s="135"/>
      <c r="J699" s="135"/>
      <c r="K699" s="135"/>
      <c r="L699" s="135"/>
      <c r="M699" s="135"/>
      <c r="N699" s="135"/>
      <c r="O699" s="135"/>
      <c r="P699" s="135"/>
      <c r="Q699" s="135"/>
      <c r="R699" s="135"/>
      <c r="S699" s="135"/>
      <c r="T699" s="135"/>
      <c r="U699" s="135"/>
      <c r="V699" s="135"/>
      <c r="W699" s="135"/>
      <c r="X699" s="135"/>
      <c r="Y699" s="135"/>
      <c r="Z699" s="135"/>
      <c r="AA699" s="135"/>
      <c r="AB699" s="135"/>
      <c r="AC699" s="135"/>
      <c r="AD699" s="135"/>
      <c r="AE699" s="135"/>
      <c r="AF699" s="135"/>
    </row>
    <row r="700">
      <c r="A700" s="135"/>
      <c r="B700" s="135"/>
      <c r="C700" s="135"/>
      <c r="D700" s="135"/>
      <c r="E700" s="135"/>
      <c r="F700" s="135"/>
      <c r="G700" s="135"/>
      <c r="H700" s="135"/>
      <c r="I700" s="135"/>
      <c r="J700" s="135"/>
      <c r="K700" s="135"/>
      <c r="L700" s="135"/>
      <c r="M700" s="135"/>
      <c r="N700" s="135"/>
      <c r="O700" s="135"/>
      <c r="P700" s="135"/>
      <c r="Q700" s="135"/>
      <c r="R700" s="135"/>
      <c r="S700" s="135"/>
      <c r="T700" s="135"/>
      <c r="U700" s="135"/>
      <c r="V700" s="135"/>
      <c r="W700" s="135"/>
      <c r="X700" s="135"/>
      <c r="Y700" s="135"/>
      <c r="Z700" s="135"/>
      <c r="AA700" s="135"/>
      <c r="AB700" s="135"/>
      <c r="AC700" s="135"/>
      <c r="AD700" s="135"/>
      <c r="AE700" s="135"/>
      <c r="AF700" s="135"/>
    </row>
    <row r="701">
      <c r="A701" s="135"/>
      <c r="B701" s="135"/>
      <c r="C701" s="135"/>
      <c r="D701" s="135"/>
      <c r="E701" s="135"/>
      <c r="F701" s="135"/>
      <c r="G701" s="135"/>
      <c r="H701" s="135"/>
      <c r="I701" s="135"/>
      <c r="J701" s="135"/>
      <c r="K701" s="135"/>
      <c r="L701" s="135"/>
      <c r="M701" s="135"/>
      <c r="N701" s="135"/>
      <c r="O701" s="135"/>
      <c r="P701" s="135"/>
      <c r="Q701" s="135"/>
      <c r="R701" s="135"/>
      <c r="S701" s="135"/>
      <c r="T701" s="135"/>
      <c r="U701" s="135"/>
      <c r="V701" s="135"/>
      <c r="W701" s="135"/>
      <c r="X701" s="135"/>
      <c r="Y701" s="135"/>
      <c r="Z701" s="135"/>
      <c r="AA701" s="135"/>
      <c r="AB701" s="135"/>
      <c r="AC701" s="135"/>
      <c r="AD701" s="135"/>
      <c r="AE701" s="135"/>
      <c r="AF701" s="135"/>
    </row>
    <row r="702">
      <c r="A702" s="135"/>
      <c r="B702" s="135"/>
      <c r="C702" s="135"/>
      <c r="D702" s="135"/>
      <c r="E702" s="135"/>
      <c r="F702" s="135"/>
      <c r="G702" s="135"/>
      <c r="H702" s="135"/>
      <c r="I702" s="135"/>
      <c r="J702" s="135"/>
      <c r="K702" s="135"/>
      <c r="L702" s="135"/>
      <c r="M702" s="135"/>
      <c r="N702" s="135"/>
      <c r="O702" s="135"/>
      <c r="P702" s="135"/>
      <c r="Q702" s="135"/>
      <c r="R702" s="135"/>
      <c r="S702" s="135"/>
      <c r="T702" s="135"/>
      <c r="U702" s="135"/>
      <c r="V702" s="135"/>
      <c r="W702" s="135"/>
      <c r="X702" s="135"/>
      <c r="Y702" s="135"/>
      <c r="Z702" s="135"/>
      <c r="AA702" s="135"/>
      <c r="AB702" s="135"/>
      <c r="AC702" s="135"/>
      <c r="AD702" s="135"/>
      <c r="AE702" s="135"/>
      <c r="AF702" s="135"/>
    </row>
    <row r="703">
      <c r="A703" s="135"/>
      <c r="B703" s="135"/>
      <c r="C703" s="135"/>
      <c r="D703" s="135"/>
      <c r="E703" s="135"/>
      <c r="F703" s="135"/>
      <c r="G703" s="135"/>
      <c r="H703" s="135"/>
      <c r="I703" s="135"/>
      <c r="J703" s="135"/>
      <c r="K703" s="135"/>
      <c r="L703" s="135"/>
      <c r="M703" s="135"/>
      <c r="N703" s="135"/>
      <c r="O703" s="135"/>
      <c r="P703" s="135"/>
      <c r="Q703" s="135"/>
      <c r="R703" s="135"/>
      <c r="S703" s="135"/>
      <c r="T703" s="135"/>
      <c r="U703" s="135"/>
      <c r="V703" s="135"/>
      <c r="W703" s="135"/>
      <c r="X703" s="135"/>
      <c r="Y703" s="135"/>
      <c r="Z703" s="135"/>
      <c r="AA703" s="135"/>
      <c r="AB703" s="135"/>
      <c r="AC703" s="135"/>
      <c r="AD703" s="135"/>
      <c r="AE703" s="135"/>
      <c r="AF703" s="135"/>
    </row>
    <row r="704">
      <c r="A704" s="135"/>
      <c r="B704" s="135"/>
      <c r="C704" s="135"/>
      <c r="D704" s="135"/>
      <c r="E704" s="135"/>
      <c r="F704" s="135"/>
      <c r="G704" s="135"/>
      <c r="H704" s="135"/>
      <c r="I704" s="135"/>
      <c r="J704" s="135"/>
      <c r="K704" s="135"/>
      <c r="L704" s="135"/>
      <c r="M704" s="135"/>
      <c r="N704" s="135"/>
      <c r="O704" s="135"/>
      <c r="P704" s="135"/>
      <c r="Q704" s="135"/>
      <c r="R704" s="135"/>
      <c r="S704" s="135"/>
      <c r="T704" s="135"/>
      <c r="U704" s="135"/>
      <c r="V704" s="135"/>
      <c r="W704" s="135"/>
      <c r="X704" s="135"/>
      <c r="Y704" s="135"/>
      <c r="Z704" s="135"/>
      <c r="AA704" s="135"/>
      <c r="AB704" s="135"/>
      <c r="AC704" s="135"/>
      <c r="AD704" s="135"/>
      <c r="AE704" s="135"/>
      <c r="AF704" s="135"/>
    </row>
    <row r="705">
      <c r="A705" s="135"/>
      <c r="B705" s="135"/>
      <c r="C705" s="135"/>
      <c r="D705" s="135"/>
      <c r="E705" s="135"/>
      <c r="F705" s="135"/>
      <c r="G705" s="135"/>
      <c r="H705" s="135"/>
      <c r="I705" s="135"/>
      <c r="J705" s="135"/>
      <c r="K705" s="135"/>
      <c r="L705" s="135"/>
      <c r="M705" s="135"/>
      <c r="N705" s="135"/>
      <c r="O705" s="135"/>
      <c r="P705" s="135"/>
      <c r="Q705" s="135"/>
      <c r="R705" s="135"/>
      <c r="S705" s="135"/>
      <c r="T705" s="135"/>
      <c r="U705" s="135"/>
      <c r="V705" s="135"/>
      <c r="W705" s="135"/>
      <c r="X705" s="135"/>
      <c r="Y705" s="135"/>
      <c r="Z705" s="135"/>
      <c r="AA705" s="135"/>
      <c r="AB705" s="135"/>
      <c r="AC705" s="135"/>
      <c r="AD705" s="135"/>
      <c r="AE705" s="135"/>
      <c r="AF705" s="135"/>
    </row>
    <row r="706">
      <c r="A706" s="135"/>
      <c r="B706" s="135"/>
      <c r="C706" s="135"/>
      <c r="D706" s="135"/>
      <c r="E706" s="135"/>
      <c r="F706" s="135"/>
      <c r="G706" s="135"/>
      <c r="H706" s="135"/>
      <c r="I706" s="135"/>
      <c r="J706" s="135"/>
      <c r="K706" s="135"/>
      <c r="L706" s="135"/>
      <c r="M706" s="135"/>
      <c r="N706" s="135"/>
      <c r="O706" s="135"/>
      <c r="P706" s="135"/>
      <c r="Q706" s="135"/>
      <c r="R706" s="135"/>
      <c r="S706" s="135"/>
      <c r="T706" s="135"/>
      <c r="U706" s="135"/>
      <c r="V706" s="135"/>
      <c r="W706" s="135"/>
      <c r="X706" s="135"/>
      <c r="Y706" s="135"/>
      <c r="Z706" s="135"/>
      <c r="AA706" s="135"/>
      <c r="AB706" s="135"/>
      <c r="AC706" s="135"/>
      <c r="AD706" s="135"/>
      <c r="AE706" s="135"/>
      <c r="AF706" s="135"/>
    </row>
    <row r="707">
      <c r="A707" s="135"/>
      <c r="B707" s="135"/>
      <c r="C707" s="135"/>
      <c r="D707" s="135"/>
      <c r="E707" s="135"/>
      <c r="F707" s="135"/>
      <c r="G707" s="135"/>
      <c r="H707" s="135"/>
      <c r="I707" s="135"/>
      <c r="J707" s="135"/>
      <c r="K707" s="135"/>
      <c r="L707" s="135"/>
      <c r="M707" s="135"/>
      <c r="N707" s="135"/>
      <c r="O707" s="135"/>
      <c r="P707" s="135"/>
      <c r="Q707" s="135"/>
      <c r="R707" s="135"/>
      <c r="S707" s="135"/>
      <c r="T707" s="135"/>
      <c r="U707" s="135"/>
      <c r="V707" s="135"/>
      <c r="W707" s="135"/>
      <c r="X707" s="135"/>
      <c r="Y707" s="135"/>
      <c r="Z707" s="135"/>
      <c r="AA707" s="135"/>
      <c r="AB707" s="135"/>
      <c r="AC707" s="135"/>
      <c r="AD707" s="135"/>
      <c r="AE707" s="135"/>
      <c r="AF707" s="135"/>
    </row>
    <row r="708">
      <c r="A708" s="135"/>
      <c r="B708" s="135"/>
      <c r="C708" s="135"/>
      <c r="D708" s="135"/>
      <c r="E708" s="135"/>
      <c r="F708" s="135"/>
      <c r="G708" s="135"/>
      <c r="H708" s="135"/>
      <c r="I708" s="135"/>
      <c r="J708" s="135"/>
      <c r="K708" s="135"/>
      <c r="L708" s="135"/>
      <c r="M708" s="135"/>
      <c r="N708" s="135"/>
      <c r="O708" s="135"/>
      <c r="P708" s="135"/>
      <c r="Q708" s="135"/>
      <c r="R708" s="135"/>
      <c r="S708" s="135"/>
      <c r="T708" s="135"/>
      <c r="U708" s="135"/>
      <c r="V708" s="135"/>
      <c r="W708" s="135"/>
      <c r="X708" s="135"/>
      <c r="Y708" s="135"/>
      <c r="Z708" s="135"/>
      <c r="AA708" s="135"/>
      <c r="AB708" s="135"/>
      <c r="AC708" s="135"/>
      <c r="AD708" s="135"/>
      <c r="AE708" s="135"/>
      <c r="AF708" s="135"/>
    </row>
    <row r="709">
      <c r="A709" s="135"/>
      <c r="B709" s="135"/>
      <c r="C709" s="135"/>
      <c r="D709" s="135"/>
      <c r="E709" s="135"/>
      <c r="F709" s="135"/>
      <c r="G709" s="135"/>
      <c r="H709" s="135"/>
      <c r="I709" s="135"/>
      <c r="J709" s="135"/>
      <c r="K709" s="135"/>
      <c r="L709" s="135"/>
      <c r="M709" s="135"/>
      <c r="N709" s="135"/>
      <c r="O709" s="135"/>
      <c r="P709" s="135"/>
      <c r="Q709" s="135"/>
      <c r="R709" s="135"/>
      <c r="S709" s="135"/>
      <c r="T709" s="135"/>
      <c r="U709" s="135"/>
      <c r="V709" s="135"/>
      <c r="W709" s="135"/>
      <c r="X709" s="135"/>
      <c r="Y709" s="135"/>
      <c r="Z709" s="135"/>
      <c r="AA709" s="135"/>
      <c r="AB709" s="135"/>
      <c r="AC709" s="135"/>
      <c r="AD709" s="135"/>
      <c r="AE709" s="135"/>
      <c r="AF709" s="135"/>
    </row>
    <row r="710">
      <c r="A710" s="135"/>
      <c r="B710" s="135"/>
      <c r="C710" s="135"/>
      <c r="D710" s="135"/>
      <c r="E710" s="135"/>
      <c r="F710" s="135"/>
      <c r="G710" s="135"/>
      <c r="H710" s="135"/>
      <c r="I710" s="135"/>
      <c r="J710" s="135"/>
      <c r="K710" s="135"/>
      <c r="L710" s="135"/>
      <c r="M710" s="135"/>
      <c r="N710" s="135"/>
      <c r="O710" s="135"/>
      <c r="P710" s="135"/>
      <c r="Q710" s="135"/>
      <c r="R710" s="135"/>
      <c r="S710" s="135"/>
      <c r="T710" s="135"/>
      <c r="U710" s="135"/>
      <c r="V710" s="135"/>
      <c r="W710" s="135"/>
      <c r="X710" s="135"/>
      <c r="Y710" s="135"/>
      <c r="Z710" s="135"/>
      <c r="AA710" s="135"/>
      <c r="AB710" s="135"/>
      <c r="AC710" s="135"/>
      <c r="AD710" s="135"/>
      <c r="AE710" s="135"/>
      <c r="AF710" s="135"/>
    </row>
    <row r="711">
      <c r="A711" s="135"/>
      <c r="B711" s="135"/>
      <c r="C711" s="135"/>
      <c r="D711" s="135"/>
      <c r="E711" s="135"/>
      <c r="F711" s="135"/>
      <c r="G711" s="135"/>
      <c r="H711" s="135"/>
      <c r="I711" s="135"/>
      <c r="J711" s="135"/>
      <c r="K711" s="135"/>
      <c r="L711" s="135"/>
      <c r="M711" s="135"/>
      <c r="N711" s="135"/>
      <c r="O711" s="135"/>
      <c r="P711" s="135"/>
      <c r="Q711" s="135"/>
      <c r="R711" s="135"/>
      <c r="S711" s="135"/>
      <c r="T711" s="135"/>
      <c r="U711" s="135"/>
      <c r="V711" s="135"/>
      <c r="W711" s="135"/>
      <c r="X711" s="135"/>
      <c r="Y711" s="135"/>
      <c r="Z711" s="135"/>
      <c r="AA711" s="135"/>
      <c r="AB711" s="135"/>
      <c r="AC711" s="135"/>
      <c r="AD711" s="135"/>
      <c r="AE711" s="135"/>
      <c r="AF711" s="135"/>
    </row>
    <row r="712">
      <c r="A712" s="135"/>
      <c r="B712" s="135"/>
      <c r="C712" s="135"/>
      <c r="D712" s="135"/>
      <c r="E712" s="135"/>
      <c r="F712" s="135"/>
      <c r="G712" s="135"/>
      <c r="H712" s="135"/>
      <c r="I712" s="135"/>
      <c r="J712" s="135"/>
      <c r="K712" s="135"/>
      <c r="L712" s="135"/>
      <c r="M712" s="135"/>
      <c r="N712" s="135"/>
      <c r="O712" s="135"/>
      <c r="P712" s="135"/>
      <c r="Q712" s="135"/>
      <c r="R712" s="135"/>
      <c r="S712" s="135"/>
      <c r="T712" s="135"/>
      <c r="U712" s="135"/>
      <c r="V712" s="135"/>
      <c r="W712" s="135"/>
      <c r="X712" s="135"/>
      <c r="Y712" s="135"/>
      <c r="Z712" s="135"/>
      <c r="AA712" s="135"/>
      <c r="AB712" s="135"/>
      <c r="AC712" s="135"/>
      <c r="AD712" s="135"/>
      <c r="AE712" s="135"/>
      <c r="AF712" s="135"/>
    </row>
    <row r="713">
      <c r="A713" s="135"/>
      <c r="B713" s="135"/>
      <c r="C713" s="135"/>
      <c r="D713" s="135"/>
      <c r="E713" s="135"/>
      <c r="F713" s="135"/>
      <c r="G713" s="135"/>
      <c r="H713" s="135"/>
      <c r="I713" s="135"/>
      <c r="J713" s="135"/>
      <c r="K713" s="135"/>
      <c r="L713" s="135"/>
      <c r="M713" s="135"/>
      <c r="N713" s="135"/>
      <c r="O713" s="135"/>
      <c r="P713" s="135"/>
      <c r="Q713" s="135"/>
      <c r="R713" s="135"/>
      <c r="S713" s="135"/>
      <c r="T713" s="135"/>
      <c r="U713" s="135"/>
      <c r="V713" s="135"/>
      <c r="W713" s="135"/>
      <c r="X713" s="135"/>
      <c r="Y713" s="135"/>
      <c r="Z713" s="135"/>
      <c r="AA713" s="135"/>
      <c r="AB713" s="135"/>
      <c r="AC713" s="135"/>
      <c r="AD713" s="135"/>
      <c r="AE713" s="135"/>
      <c r="AF713" s="135"/>
    </row>
    <row r="714">
      <c r="A714" s="135"/>
      <c r="B714" s="135"/>
      <c r="C714" s="135"/>
      <c r="D714" s="135"/>
      <c r="E714" s="135"/>
      <c r="F714" s="135"/>
      <c r="G714" s="135"/>
      <c r="H714" s="135"/>
      <c r="I714" s="135"/>
      <c r="J714" s="135"/>
      <c r="K714" s="135"/>
      <c r="L714" s="135"/>
      <c r="M714" s="135"/>
      <c r="N714" s="135"/>
      <c r="O714" s="135"/>
      <c r="P714" s="135"/>
      <c r="Q714" s="135"/>
      <c r="R714" s="135"/>
      <c r="S714" s="135"/>
      <c r="T714" s="135"/>
      <c r="U714" s="135"/>
      <c r="V714" s="135"/>
      <c r="W714" s="135"/>
      <c r="X714" s="135"/>
      <c r="Y714" s="135"/>
      <c r="Z714" s="135"/>
      <c r="AA714" s="135"/>
      <c r="AB714" s="135"/>
      <c r="AC714" s="135"/>
      <c r="AD714" s="135"/>
      <c r="AE714" s="135"/>
      <c r="AF714" s="135"/>
    </row>
    <row r="715">
      <c r="A715" s="135"/>
      <c r="B715" s="135"/>
      <c r="C715" s="135"/>
      <c r="D715" s="135"/>
      <c r="E715" s="135"/>
      <c r="F715" s="135"/>
      <c r="G715" s="135"/>
      <c r="H715" s="135"/>
      <c r="I715" s="135"/>
      <c r="J715" s="135"/>
      <c r="K715" s="135"/>
      <c r="L715" s="135"/>
      <c r="M715" s="135"/>
      <c r="N715" s="135"/>
      <c r="O715" s="135"/>
      <c r="P715" s="135"/>
      <c r="Q715" s="135"/>
      <c r="R715" s="135"/>
      <c r="S715" s="135"/>
      <c r="T715" s="135"/>
      <c r="U715" s="135"/>
      <c r="V715" s="135"/>
      <c r="W715" s="135"/>
      <c r="X715" s="135"/>
      <c r="Y715" s="135"/>
      <c r="Z715" s="135"/>
      <c r="AA715" s="135"/>
      <c r="AB715" s="135"/>
      <c r="AC715" s="135"/>
      <c r="AD715" s="135"/>
      <c r="AE715" s="135"/>
      <c r="AF715" s="135"/>
    </row>
    <row r="716">
      <c r="A716" s="135"/>
      <c r="B716" s="135"/>
      <c r="C716" s="135"/>
      <c r="D716" s="135"/>
      <c r="E716" s="135"/>
      <c r="F716" s="135"/>
      <c r="G716" s="135"/>
      <c r="H716" s="135"/>
      <c r="I716" s="135"/>
      <c r="J716" s="135"/>
      <c r="K716" s="135"/>
      <c r="L716" s="135"/>
      <c r="M716" s="135"/>
      <c r="N716" s="135"/>
      <c r="O716" s="135"/>
      <c r="P716" s="135"/>
      <c r="Q716" s="135"/>
      <c r="R716" s="135"/>
      <c r="S716" s="135"/>
      <c r="T716" s="135"/>
      <c r="U716" s="135"/>
      <c r="V716" s="135"/>
      <c r="W716" s="135"/>
      <c r="X716" s="135"/>
      <c r="Y716" s="135"/>
      <c r="Z716" s="135"/>
      <c r="AA716" s="135"/>
      <c r="AB716" s="135"/>
      <c r="AC716" s="135"/>
      <c r="AD716" s="135"/>
      <c r="AE716" s="135"/>
      <c r="AF716" s="135"/>
    </row>
    <row r="717">
      <c r="A717" s="135"/>
      <c r="B717" s="135"/>
      <c r="C717" s="135"/>
      <c r="D717" s="135"/>
      <c r="E717" s="135"/>
      <c r="F717" s="135"/>
      <c r="G717" s="135"/>
      <c r="H717" s="135"/>
      <c r="I717" s="135"/>
      <c r="J717" s="135"/>
      <c r="K717" s="135"/>
      <c r="L717" s="135"/>
      <c r="M717" s="135"/>
      <c r="N717" s="135"/>
      <c r="O717" s="135"/>
      <c r="P717" s="135"/>
      <c r="Q717" s="135"/>
      <c r="R717" s="135"/>
      <c r="S717" s="135"/>
      <c r="T717" s="135"/>
      <c r="U717" s="135"/>
      <c r="V717" s="135"/>
      <c r="W717" s="135"/>
      <c r="X717" s="135"/>
      <c r="Y717" s="135"/>
      <c r="Z717" s="135"/>
      <c r="AA717" s="135"/>
      <c r="AB717" s="135"/>
      <c r="AC717" s="135"/>
      <c r="AD717" s="135"/>
      <c r="AE717" s="135"/>
      <c r="AF717" s="135"/>
    </row>
    <row r="718">
      <c r="A718" s="135"/>
      <c r="B718" s="135"/>
      <c r="C718" s="135"/>
      <c r="D718" s="135"/>
      <c r="E718" s="135"/>
      <c r="F718" s="135"/>
      <c r="G718" s="135"/>
      <c r="H718" s="135"/>
      <c r="I718" s="135"/>
      <c r="J718" s="135"/>
      <c r="K718" s="135"/>
      <c r="L718" s="135"/>
      <c r="M718" s="135"/>
      <c r="N718" s="135"/>
      <c r="O718" s="135"/>
      <c r="P718" s="135"/>
      <c r="Q718" s="135"/>
      <c r="R718" s="135"/>
      <c r="S718" s="135"/>
      <c r="T718" s="135"/>
      <c r="U718" s="135"/>
      <c r="V718" s="135"/>
      <c r="W718" s="135"/>
      <c r="X718" s="135"/>
      <c r="Y718" s="135"/>
      <c r="Z718" s="135"/>
      <c r="AA718" s="135"/>
      <c r="AB718" s="135"/>
      <c r="AC718" s="135"/>
      <c r="AD718" s="135"/>
      <c r="AE718" s="135"/>
      <c r="AF718" s="135"/>
    </row>
    <row r="719">
      <c r="A719" s="135"/>
      <c r="B719" s="135"/>
      <c r="C719" s="135"/>
      <c r="D719" s="135"/>
      <c r="E719" s="135"/>
      <c r="F719" s="135"/>
      <c r="G719" s="135"/>
      <c r="H719" s="135"/>
      <c r="I719" s="135"/>
      <c r="J719" s="135"/>
      <c r="K719" s="135"/>
      <c r="L719" s="135"/>
      <c r="M719" s="135"/>
      <c r="N719" s="135"/>
      <c r="O719" s="135"/>
      <c r="P719" s="135"/>
      <c r="Q719" s="135"/>
      <c r="R719" s="135"/>
      <c r="S719" s="135"/>
      <c r="T719" s="135"/>
      <c r="U719" s="135"/>
      <c r="V719" s="135"/>
      <c r="W719" s="135"/>
      <c r="X719" s="135"/>
      <c r="Y719" s="135"/>
      <c r="Z719" s="135"/>
      <c r="AA719" s="135"/>
      <c r="AB719" s="135"/>
      <c r="AC719" s="135"/>
      <c r="AD719" s="135"/>
      <c r="AE719" s="135"/>
      <c r="AF719" s="135"/>
    </row>
    <row r="720">
      <c r="A720" s="135"/>
      <c r="B720" s="135"/>
      <c r="C720" s="135"/>
      <c r="D720" s="135"/>
      <c r="E720" s="135"/>
      <c r="F720" s="135"/>
      <c r="G720" s="135"/>
      <c r="H720" s="135"/>
      <c r="I720" s="135"/>
      <c r="J720" s="135"/>
      <c r="K720" s="135"/>
      <c r="L720" s="135"/>
      <c r="M720" s="135"/>
      <c r="N720" s="135"/>
      <c r="O720" s="135"/>
      <c r="P720" s="135"/>
      <c r="Q720" s="135"/>
      <c r="R720" s="135"/>
      <c r="S720" s="135"/>
      <c r="T720" s="135"/>
      <c r="U720" s="135"/>
      <c r="V720" s="135"/>
      <c r="W720" s="135"/>
      <c r="X720" s="135"/>
      <c r="Y720" s="135"/>
      <c r="Z720" s="135"/>
      <c r="AA720" s="135"/>
      <c r="AB720" s="135"/>
      <c r="AC720" s="135"/>
      <c r="AD720" s="135"/>
      <c r="AE720" s="135"/>
      <c r="AF720" s="135"/>
    </row>
    <row r="721">
      <c r="A721" s="135"/>
      <c r="B721" s="135"/>
      <c r="C721" s="135"/>
      <c r="D721" s="135"/>
      <c r="E721" s="135"/>
      <c r="F721" s="135"/>
      <c r="G721" s="135"/>
      <c r="H721" s="135"/>
      <c r="I721" s="135"/>
      <c r="J721" s="135"/>
      <c r="K721" s="135"/>
      <c r="L721" s="135"/>
      <c r="M721" s="135"/>
      <c r="N721" s="135"/>
      <c r="O721" s="135"/>
      <c r="P721" s="135"/>
      <c r="Q721" s="135"/>
      <c r="R721" s="135"/>
      <c r="S721" s="135"/>
      <c r="T721" s="135"/>
      <c r="U721" s="135"/>
      <c r="V721" s="135"/>
      <c r="W721" s="135"/>
      <c r="X721" s="135"/>
      <c r="Y721" s="135"/>
      <c r="Z721" s="135"/>
      <c r="AA721" s="135"/>
      <c r="AB721" s="135"/>
      <c r="AC721" s="135"/>
      <c r="AD721" s="135"/>
      <c r="AE721" s="135"/>
      <c r="AF721" s="135"/>
    </row>
    <row r="722">
      <c r="A722" s="135"/>
      <c r="B722" s="135"/>
      <c r="C722" s="135"/>
      <c r="D722" s="135"/>
      <c r="E722" s="135"/>
      <c r="F722" s="135"/>
      <c r="G722" s="135"/>
      <c r="H722" s="135"/>
      <c r="I722" s="135"/>
      <c r="J722" s="135"/>
      <c r="K722" s="135"/>
      <c r="L722" s="135"/>
      <c r="M722" s="135"/>
      <c r="N722" s="135"/>
      <c r="O722" s="135"/>
      <c r="P722" s="135"/>
      <c r="Q722" s="135"/>
      <c r="R722" s="135"/>
      <c r="S722" s="135"/>
      <c r="T722" s="135"/>
      <c r="U722" s="135"/>
      <c r="V722" s="135"/>
      <c r="W722" s="135"/>
      <c r="X722" s="135"/>
      <c r="Y722" s="135"/>
      <c r="Z722" s="135"/>
      <c r="AA722" s="135"/>
      <c r="AB722" s="135"/>
      <c r="AC722" s="135"/>
      <c r="AD722" s="135"/>
      <c r="AE722" s="135"/>
      <c r="AF722" s="135"/>
    </row>
    <row r="723">
      <c r="A723" s="135"/>
      <c r="B723" s="135"/>
      <c r="C723" s="135"/>
      <c r="D723" s="135"/>
      <c r="E723" s="135"/>
      <c r="F723" s="135"/>
      <c r="G723" s="135"/>
      <c r="H723" s="135"/>
      <c r="I723" s="135"/>
      <c r="J723" s="135"/>
      <c r="K723" s="135"/>
      <c r="L723" s="135"/>
      <c r="M723" s="135"/>
      <c r="N723" s="135"/>
      <c r="O723" s="135"/>
      <c r="P723" s="135"/>
      <c r="Q723" s="135"/>
      <c r="R723" s="135"/>
      <c r="S723" s="135"/>
      <c r="T723" s="135"/>
      <c r="U723" s="135"/>
      <c r="V723" s="135"/>
      <c r="W723" s="135"/>
      <c r="X723" s="135"/>
      <c r="Y723" s="135"/>
      <c r="Z723" s="135"/>
      <c r="AA723" s="135"/>
      <c r="AB723" s="135"/>
      <c r="AC723" s="135"/>
      <c r="AD723" s="135"/>
      <c r="AE723" s="135"/>
      <c r="AF723" s="135"/>
    </row>
    <row r="724">
      <c r="A724" s="135"/>
      <c r="B724" s="135"/>
      <c r="C724" s="135"/>
      <c r="D724" s="135"/>
      <c r="E724" s="135"/>
      <c r="F724" s="135"/>
      <c r="G724" s="135"/>
      <c r="H724" s="135"/>
      <c r="I724" s="135"/>
      <c r="J724" s="135"/>
      <c r="K724" s="135"/>
      <c r="L724" s="135"/>
      <c r="M724" s="135"/>
      <c r="N724" s="135"/>
      <c r="O724" s="135"/>
      <c r="P724" s="135"/>
      <c r="Q724" s="135"/>
      <c r="R724" s="135"/>
      <c r="S724" s="135"/>
      <c r="T724" s="135"/>
      <c r="U724" s="135"/>
      <c r="V724" s="135"/>
      <c r="W724" s="135"/>
      <c r="X724" s="135"/>
      <c r="Y724" s="135"/>
      <c r="Z724" s="135"/>
      <c r="AA724" s="135"/>
      <c r="AB724" s="135"/>
      <c r="AC724" s="135"/>
      <c r="AD724" s="135"/>
      <c r="AE724" s="135"/>
      <c r="AF724" s="135"/>
    </row>
    <row r="725">
      <c r="A725" s="135"/>
      <c r="B725" s="135"/>
      <c r="C725" s="135"/>
      <c r="D725" s="135"/>
      <c r="E725" s="135"/>
      <c r="F725" s="135"/>
      <c r="G725" s="135"/>
      <c r="H725" s="135"/>
      <c r="I725" s="135"/>
      <c r="J725" s="135"/>
      <c r="K725" s="135"/>
      <c r="L725" s="135"/>
      <c r="M725" s="135"/>
      <c r="N725" s="135"/>
      <c r="O725" s="135"/>
      <c r="P725" s="135"/>
      <c r="Q725" s="135"/>
      <c r="R725" s="135"/>
      <c r="S725" s="135"/>
      <c r="T725" s="135"/>
      <c r="U725" s="135"/>
      <c r="V725" s="135"/>
      <c r="W725" s="135"/>
      <c r="X725" s="135"/>
      <c r="Y725" s="135"/>
      <c r="Z725" s="135"/>
      <c r="AA725" s="135"/>
      <c r="AB725" s="135"/>
      <c r="AC725" s="135"/>
      <c r="AD725" s="135"/>
      <c r="AE725" s="135"/>
      <c r="AF725" s="135"/>
    </row>
    <row r="726">
      <c r="A726" s="135"/>
      <c r="B726" s="135"/>
      <c r="C726" s="135"/>
      <c r="D726" s="135"/>
      <c r="E726" s="135"/>
      <c r="F726" s="135"/>
      <c r="G726" s="135"/>
      <c r="H726" s="135"/>
      <c r="I726" s="135"/>
      <c r="J726" s="135"/>
      <c r="K726" s="135"/>
      <c r="L726" s="135"/>
      <c r="M726" s="135"/>
      <c r="N726" s="135"/>
      <c r="O726" s="135"/>
      <c r="P726" s="135"/>
      <c r="Q726" s="135"/>
      <c r="R726" s="135"/>
      <c r="S726" s="135"/>
      <c r="T726" s="135"/>
      <c r="U726" s="135"/>
      <c r="V726" s="135"/>
      <c r="W726" s="135"/>
      <c r="X726" s="135"/>
      <c r="Y726" s="135"/>
      <c r="Z726" s="135"/>
      <c r="AA726" s="135"/>
      <c r="AB726" s="135"/>
      <c r="AC726" s="135"/>
      <c r="AD726" s="135"/>
      <c r="AE726" s="135"/>
      <c r="AF726" s="135"/>
    </row>
    <row r="727">
      <c r="A727" s="135"/>
      <c r="B727" s="135"/>
      <c r="C727" s="135"/>
      <c r="D727" s="135"/>
      <c r="E727" s="135"/>
      <c r="F727" s="135"/>
      <c r="G727" s="135"/>
      <c r="H727" s="135"/>
      <c r="I727" s="135"/>
      <c r="J727" s="135"/>
      <c r="K727" s="135"/>
      <c r="L727" s="135"/>
      <c r="M727" s="135"/>
      <c r="N727" s="135"/>
      <c r="O727" s="135"/>
      <c r="P727" s="135"/>
      <c r="Q727" s="135"/>
      <c r="R727" s="135"/>
      <c r="S727" s="135"/>
      <c r="T727" s="135"/>
      <c r="U727" s="135"/>
      <c r="V727" s="135"/>
      <c r="W727" s="135"/>
      <c r="X727" s="135"/>
      <c r="Y727" s="135"/>
      <c r="Z727" s="135"/>
      <c r="AA727" s="135"/>
      <c r="AB727" s="135"/>
      <c r="AC727" s="135"/>
      <c r="AD727" s="135"/>
      <c r="AE727" s="135"/>
      <c r="AF727" s="135"/>
    </row>
    <row r="728">
      <c r="A728" s="135"/>
      <c r="B728" s="135"/>
      <c r="C728" s="135"/>
      <c r="D728" s="135"/>
      <c r="E728" s="135"/>
      <c r="F728" s="135"/>
      <c r="G728" s="135"/>
      <c r="H728" s="135"/>
      <c r="I728" s="135"/>
      <c r="J728" s="135"/>
      <c r="K728" s="135"/>
      <c r="L728" s="135"/>
      <c r="M728" s="135"/>
      <c r="N728" s="135"/>
      <c r="O728" s="135"/>
      <c r="P728" s="135"/>
      <c r="Q728" s="135"/>
      <c r="R728" s="135"/>
      <c r="S728" s="135"/>
      <c r="T728" s="135"/>
      <c r="U728" s="135"/>
      <c r="V728" s="135"/>
      <c r="W728" s="135"/>
      <c r="X728" s="135"/>
      <c r="Y728" s="135"/>
      <c r="Z728" s="135"/>
      <c r="AA728" s="135"/>
      <c r="AB728" s="135"/>
      <c r="AC728" s="135"/>
      <c r="AD728" s="135"/>
      <c r="AE728" s="135"/>
      <c r="AF728" s="135"/>
    </row>
    <row r="729">
      <c r="A729" s="135"/>
      <c r="B729" s="135"/>
      <c r="C729" s="135"/>
      <c r="D729" s="135"/>
      <c r="E729" s="135"/>
      <c r="F729" s="135"/>
      <c r="G729" s="135"/>
      <c r="H729" s="135"/>
      <c r="I729" s="135"/>
      <c r="J729" s="135"/>
      <c r="K729" s="135"/>
      <c r="L729" s="135"/>
      <c r="M729" s="135"/>
      <c r="N729" s="135"/>
      <c r="O729" s="135"/>
      <c r="P729" s="135"/>
      <c r="Q729" s="135"/>
      <c r="R729" s="135"/>
      <c r="S729" s="135"/>
      <c r="T729" s="135"/>
      <c r="U729" s="135"/>
      <c r="V729" s="135"/>
      <c r="W729" s="135"/>
      <c r="X729" s="135"/>
      <c r="Y729" s="135"/>
      <c r="Z729" s="135"/>
      <c r="AA729" s="135"/>
      <c r="AB729" s="135"/>
      <c r="AC729" s="135"/>
      <c r="AD729" s="135"/>
      <c r="AE729" s="135"/>
      <c r="AF729" s="135"/>
    </row>
    <row r="730">
      <c r="A730" s="135"/>
      <c r="B730" s="135"/>
      <c r="C730" s="135"/>
      <c r="D730" s="135"/>
      <c r="E730" s="135"/>
      <c r="F730" s="135"/>
      <c r="G730" s="135"/>
      <c r="H730" s="135"/>
      <c r="I730" s="135"/>
      <c r="J730" s="135"/>
      <c r="K730" s="135"/>
      <c r="L730" s="135"/>
      <c r="M730" s="135"/>
      <c r="N730" s="135"/>
      <c r="O730" s="135"/>
      <c r="P730" s="135"/>
      <c r="Q730" s="135"/>
      <c r="R730" s="135"/>
      <c r="S730" s="135"/>
      <c r="T730" s="135"/>
      <c r="U730" s="135"/>
      <c r="V730" s="135"/>
      <c r="W730" s="135"/>
      <c r="X730" s="135"/>
      <c r="Y730" s="135"/>
      <c r="Z730" s="135"/>
      <c r="AA730" s="135"/>
      <c r="AB730" s="135"/>
      <c r="AC730" s="135"/>
      <c r="AD730" s="135"/>
      <c r="AE730" s="135"/>
      <c r="AF730" s="135"/>
    </row>
    <row r="731">
      <c r="A731" s="135"/>
      <c r="B731" s="135"/>
      <c r="C731" s="135"/>
      <c r="D731" s="135"/>
      <c r="E731" s="135"/>
      <c r="F731" s="135"/>
      <c r="G731" s="135"/>
      <c r="H731" s="135"/>
      <c r="I731" s="135"/>
      <c r="J731" s="135"/>
      <c r="K731" s="135"/>
      <c r="L731" s="135"/>
      <c r="M731" s="135"/>
      <c r="N731" s="135"/>
      <c r="O731" s="135"/>
      <c r="P731" s="135"/>
      <c r="Q731" s="135"/>
      <c r="R731" s="135"/>
      <c r="S731" s="135"/>
      <c r="T731" s="135"/>
      <c r="U731" s="135"/>
      <c r="V731" s="135"/>
      <c r="W731" s="135"/>
      <c r="X731" s="135"/>
      <c r="Y731" s="135"/>
      <c r="Z731" s="135"/>
      <c r="AA731" s="135"/>
      <c r="AB731" s="135"/>
      <c r="AC731" s="135"/>
      <c r="AD731" s="135"/>
      <c r="AE731" s="135"/>
      <c r="AF731" s="135"/>
    </row>
    <row r="732">
      <c r="A732" s="135"/>
      <c r="B732" s="135"/>
      <c r="C732" s="135"/>
      <c r="D732" s="135"/>
      <c r="E732" s="135"/>
      <c r="F732" s="135"/>
      <c r="G732" s="135"/>
      <c r="H732" s="135"/>
      <c r="I732" s="135"/>
      <c r="J732" s="135"/>
      <c r="K732" s="135"/>
      <c r="L732" s="135"/>
      <c r="M732" s="135"/>
      <c r="N732" s="135"/>
      <c r="O732" s="135"/>
      <c r="P732" s="135"/>
      <c r="Q732" s="135"/>
      <c r="R732" s="135"/>
      <c r="S732" s="135"/>
      <c r="T732" s="135"/>
      <c r="U732" s="135"/>
      <c r="V732" s="135"/>
      <c r="W732" s="135"/>
      <c r="X732" s="135"/>
      <c r="Y732" s="135"/>
      <c r="Z732" s="135"/>
      <c r="AA732" s="135"/>
      <c r="AB732" s="135"/>
      <c r="AC732" s="135"/>
      <c r="AD732" s="135"/>
      <c r="AE732" s="135"/>
      <c r="AF732" s="135"/>
    </row>
    <row r="733">
      <c r="A733" s="135"/>
      <c r="B733" s="135"/>
      <c r="C733" s="135"/>
      <c r="D733" s="135"/>
      <c r="E733" s="135"/>
      <c r="F733" s="135"/>
      <c r="G733" s="135"/>
      <c r="H733" s="135"/>
      <c r="I733" s="135"/>
      <c r="J733" s="135"/>
      <c r="K733" s="135"/>
      <c r="L733" s="135"/>
      <c r="M733" s="135"/>
      <c r="N733" s="135"/>
      <c r="O733" s="135"/>
      <c r="P733" s="135"/>
      <c r="Q733" s="135"/>
      <c r="R733" s="135"/>
      <c r="S733" s="135"/>
      <c r="T733" s="135"/>
      <c r="U733" s="135"/>
      <c r="V733" s="135"/>
      <c r="W733" s="135"/>
      <c r="X733" s="135"/>
      <c r="Y733" s="135"/>
      <c r="Z733" s="135"/>
      <c r="AA733" s="135"/>
      <c r="AB733" s="135"/>
      <c r="AC733" s="135"/>
      <c r="AD733" s="135"/>
      <c r="AE733" s="135"/>
      <c r="AF733" s="135"/>
    </row>
    <row r="734">
      <c r="A734" s="135"/>
      <c r="B734" s="135"/>
      <c r="C734" s="135"/>
      <c r="D734" s="135"/>
      <c r="E734" s="135"/>
      <c r="F734" s="135"/>
      <c r="G734" s="135"/>
      <c r="H734" s="135"/>
      <c r="I734" s="135"/>
      <c r="J734" s="135"/>
      <c r="K734" s="135"/>
      <c r="L734" s="135"/>
      <c r="M734" s="135"/>
      <c r="N734" s="135"/>
      <c r="O734" s="135"/>
      <c r="P734" s="135"/>
      <c r="Q734" s="135"/>
      <c r="R734" s="135"/>
      <c r="S734" s="135"/>
      <c r="T734" s="135"/>
      <c r="U734" s="135"/>
      <c r="V734" s="135"/>
      <c r="W734" s="135"/>
      <c r="X734" s="135"/>
      <c r="Y734" s="135"/>
      <c r="Z734" s="135"/>
      <c r="AA734" s="135"/>
      <c r="AB734" s="135"/>
      <c r="AC734" s="135"/>
      <c r="AD734" s="135"/>
      <c r="AE734" s="135"/>
      <c r="AF734" s="135"/>
    </row>
    <row r="735">
      <c r="A735" s="135"/>
      <c r="B735" s="135"/>
      <c r="C735" s="135"/>
      <c r="D735" s="135"/>
      <c r="E735" s="135"/>
      <c r="F735" s="135"/>
      <c r="G735" s="135"/>
      <c r="H735" s="135"/>
      <c r="I735" s="135"/>
      <c r="J735" s="135"/>
      <c r="K735" s="135"/>
      <c r="L735" s="135"/>
      <c r="M735" s="135"/>
      <c r="N735" s="135"/>
      <c r="O735" s="135"/>
      <c r="P735" s="135"/>
      <c r="Q735" s="135"/>
      <c r="R735" s="135"/>
      <c r="S735" s="135"/>
      <c r="T735" s="135"/>
      <c r="U735" s="135"/>
      <c r="V735" s="135"/>
      <c r="W735" s="135"/>
      <c r="X735" s="135"/>
      <c r="Y735" s="135"/>
      <c r="Z735" s="135"/>
      <c r="AA735" s="135"/>
      <c r="AB735" s="135"/>
      <c r="AC735" s="135"/>
      <c r="AD735" s="135"/>
      <c r="AE735" s="135"/>
      <c r="AF735" s="135"/>
    </row>
    <row r="736">
      <c r="A736" s="135"/>
      <c r="B736" s="135"/>
      <c r="C736" s="135"/>
      <c r="D736" s="135"/>
      <c r="E736" s="135"/>
      <c r="F736" s="135"/>
      <c r="G736" s="135"/>
      <c r="H736" s="135"/>
      <c r="I736" s="135"/>
      <c r="J736" s="135"/>
      <c r="K736" s="135"/>
      <c r="L736" s="135"/>
      <c r="M736" s="135"/>
      <c r="N736" s="135"/>
      <c r="O736" s="135"/>
      <c r="P736" s="135"/>
      <c r="Q736" s="135"/>
      <c r="R736" s="135"/>
      <c r="S736" s="135"/>
      <c r="T736" s="135"/>
      <c r="U736" s="135"/>
      <c r="V736" s="135"/>
      <c r="W736" s="135"/>
      <c r="X736" s="135"/>
      <c r="Y736" s="135"/>
      <c r="Z736" s="135"/>
      <c r="AA736" s="135"/>
      <c r="AB736" s="135"/>
      <c r="AC736" s="135"/>
      <c r="AD736" s="135"/>
      <c r="AE736" s="135"/>
      <c r="AF736" s="135"/>
    </row>
    <row r="737">
      <c r="A737" s="135"/>
      <c r="B737" s="135"/>
      <c r="C737" s="135"/>
      <c r="D737" s="135"/>
      <c r="E737" s="135"/>
      <c r="F737" s="135"/>
      <c r="G737" s="135"/>
      <c r="H737" s="135"/>
      <c r="I737" s="135"/>
      <c r="J737" s="135"/>
      <c r="K737" s="135"/>
      <c r="L737" s="135"/>
      <c r="M737" s="135"/>
      <c r="N737" s="135"/>
      <c r="O737" s="135"/>
      <c r="P737" s="135"/>
      <c r="Q737" s="135"/>
      <c r="R737" s="135"/>
      <c r="S737" s="135"/>
      <c r="T737" s="135"/>
      <c r="U737" s="135"/>
      <c r="V737" s="135"/>
      <c r="W737" s="135"/>
      <c r="X737" s="135"/>
      <c r="Y737" s="135"/>
      <c r="Z737" s="135"/>
      <c r="AA737" s="135"/>
      <c r="AB737" s="135"/>
      <c r="AC737" s="135"/>
      <c r="AD737" s="135"/>
      <c r="AE737" s="135"/>
      <c r="AF737" s="135"/>
    </row>
    <row r="738">
      <c r="A738" s="135"/>
      <c r="B738" s="135"/>
      <c r="C738" s="135"/>
      <c r="D738" s="135"/>
      <c r="E738" s="135"/>
      <c r="F738" s="135"/>
      <c r="G738" s="135"/>
      <c r="H738" s="135"/>
      <c r="I738" s="135"/>
      <c r="J738" s="135"/>
      <c r="K738" s="135"/>
      <c r="L738" s="135"/>
      <c r="M738" s="135"/>
      <c r="N738" s="135"/>
      <c r="O738" s="135"/>
      <c r="P738" s="135"/>
      <c r="Q738" s="135"/>
      <c r="R738" s="135"/>
      <c r="S738" s="135"/>
      <c r="T738" s="135"/>
      <c r="U738" s="135"/>
      <c r="V738" s="135"/>
      <c r="W738" s="135"/>
      <c r="X738" s="135"/>
      <c r="Y738" s="135"/>
      <c r="Z738" s="135"/>
      <c r="AA738" s="135"/>
      <c r="AB738" s="135"/>
      <c r="AC738" s="135"/>
      <c r="AD738" s="135"/>
      <c r="AE738" s="135"/>
      <c r="AF738" s="135"/>
    </row>
    <row r="739">
      <c r="A739" s="135"/>
      <c r="B739" s="135"/>
      <c r="C739" s="135"/>
      <c r="D739" s="135"/>
      <c r="E739" s="135"/>
      <c r="F739" s="135"/>
      <c r="G739" s="135"/>
      <c r="H739" s="135"/>
      <c r="I739" s="135"/>
      <c r="J739" s="135"/>
      <c r="K739" s="135"/>
      <c r="L739" s="135"/>
      <c r="M739" s="135"/>
      <c r="N739" s="135"/>
      <c r="O739" s="135"/>
      <c r="P739" s="135"/>
      <c r="Q739" s="135"/>
      <c r="R739" s="135"/>
      <c r="S739" s="135"/>
      <c r="T739" s="135"/>
      <c r="U739" s="135"/>
      <c r="V739" s="135"/>
      <c r="W739" s="135"/>
      <c r="X739" s="135"/>
      <c r="Y739" s="135"/>
      <c r="Z739" s="135"/>
      <c r="AA739" s="135"/>
      <c r="AB739" s="135"/>
      <c r="AC739" s="135"/>
      <c r="AD739" s="135"/>
      <c r="AE739" s="135"/>
      <c r="AF739" s="135"/>
    </row>
    <row r="740">
      <c r="A740" s="135"/>
      <c r="B740" s="135"/>
      <c r="C740" s="135"/>
      <c r="D740" s="135"/>
      <c r="E740" s="135"/>
      <c r="F740" s="135"/>
      <c r="G740" s="135"/>
      <c r="H740" s="135"/>
      <c r="I740" s="135"/>
      <c r="J740" s="135"/>
      <c r="K740" s="135"/>
      <c r="L740" s="135"/>
      <c r="M740" s="135"/>
      <c r="N740" s="135"/>
      <c r="O740" s="135"/>
      <c r="P740" s="135"/>
      <c r="Q740" s="135"/>
      <c r="R740" s="135"/>
      <c r="S740" s="135"/>
      <c r="T740" s="135"/>
      <c r="U740" s="135"/>
      <c r="V740" s="135"/>
      <c r="W740" s="135"/>
      <c r="X740" s="135"/>
      <c r="Y740" s="135"/>
      <c r="Z740" s="135"/>
      <c r="AA740" s="135"/>
      <c r="AB740" s="135"/>
      <c r="AC740" s="135"/>
      <c r="AD740" s="135"/>
      <c r="AE740" s="135"/>
      <c r="AF740" s="135"/>
    </row>
    <row r="741">
      <c r="A741" s="135"/>
      <c r="B741" s="135"/>
      <c r="C741" s="135"/>
      <c r="D741" s="135"/>
      <c r="E741" s="135"/>
      <c r="F741" s="135"/>
      <c r="G741" s="135"/>
      <c r="H741" s="135"/>
      <c r="I741" s="135"/>
      <c r="J741" s="135"/>
      <c r="K741" s="135"/>
      <c r="L741" s="135"/>
      <c r="M741" s="135"/>
      <c r="N741" s="135"/>
      <c r="O741" s="135"/>
      <c r="P741" s="135"/>
      <c r="Q741" s="135"/>
      <c r="R741" s="135"/>
      <c r="S741" s="135"/>
      <c r="T741" s="135"/>
      <c r="U741" s="135"/>
      <c r="V741" s="135"/>
      <c r="W741" s="135"/>
      <c r="X741" s="135"/>
      <c r="Y741" s="135"/>
      <c r="Z741" s="135"/>
      <c r="AA741" s="135"/>
      <c r="AB741" s="135"/>
      <c r="AC741" s="135"/>
      <c r="AD741" s="135"/>
      <c r="AE741" s="135"/>
      <c r="AF741" s="135"/>
    </row>
    <row r="742">
      <c r="A742" s="135"/>
      <c r="B742" s="135"/>
      <c r="C742" s="135"/>
      <c r="D742" s="135"/>
      <c r="E742" s="135"/>
      <c r="F742" s="135"/>
      <c r="G742" s="135"/>
      <c r="H742" s="135"/>
      <c r="I742" s="135"/>
      <c r="J742" s="135"/>
      <c r="K742" s="135"/>
      <c r="L742" s="135"/>
      <c r="M742" s="135"/>
      <c r="N742" s="135"/>
      <c r="O742" s="135"/>
      <c r="P742" s="135"/>
      <c r="Q742" s="135"/>
      <c r="R742" s="135"/>
      <c r="S742" s="135"/>
      <c r="T742" s="135"/>
      <c r="U742" s="135"/>
      <c r="V742" s="135"/>
      <c r="W742" s="135"/>
      <c r="X742" s="135"/>
      <c r="Y742" s="135"/>
      <c r="Z742" s="135"/>
      <c r="AA742" s="135"/>
      <c r="AB742" s="135"/>
      <c r="AC742" s="135"/>
      <c r="AD742" s="135"/>
      <c r="AE742" s="135"/>
      <c r="AF742" s="135"/>
    </row>
    <row r="743">
      <c r="A743" s="135"/>
      <c r="B743" s="135"/>
      <c r="C743" s="135"/>
      <c r="D743" s="135"/>
      <c r="E743" s="135"/>
      <c r="F743" s="135"/>
      <c r="G743" s="135"/>
      <c r="H743" s="135"/>
      <c r="I743" s="135"/>
      <c r="J743" s="135"/>
      <c r="K743" s="135"/>
      <c r="L743" s="135"/>
      <c r="M743" s="135"/>
      <c r="N743" s="135"/>
      <c r="O743" s="135"/>
      <c r="P743" s="135"/>
      <c r="Q743" s="135"/>
      <c r="R743" s="135"/>
      <c r="S743" s="135"/>
      <c r="T743" s="135"/>
      <c r="U743" s="135"/>
      <c r="V743" s="135"/>
      <c r="W743" s="135"/>
      <c r="X743" s="135"/>
      <c r="Y743" s="135"/>
      <c r="Z743" s="135"/>
      <c r="AA743" s="135"/>
      <c r="AB743" s="135"/>
      <c r="AC743" s="135"/>
      <c r="AD743" s="135"/>
      <c r="AE743" s="135"/>
      <c r="AF743" s="135"/>
    </row>
    <row r="744">
      <c r="A744" s="135"/>
      <c r="B744" s="135"/>
      <c r="C744" s="135"/>
      <c r="D744" s="135"/>
      <c r="E744" s="135"/>
      <c r="F744" s="135"/>
      <c r="G744" s="135"/>
      <c r="H744" s="135"/>
      <c r="I744" s="135"/>
      <c r="J744" s="135"/>
      <c r="K744" s="135"/>
      <c r="L744" s="135"/>
      <c r="M744" s="135"/>
      <c r="N744" s="135"/>
      <c r="O744" s="135"/>
      <c r="P744" s="135"/>
      <c r="Q744" s="135"/>
      <c r="R744" s="135"/>
      <c r="S744" s="135"/>
      <c r="T744" s="135"/>
      <c r="U744" s="135"/>
      <c r="V744" s="135"/>
      <c r="W744" s="135"/>
      <c r="X744" s="135"/>
      <c r="Y744" s="135"/>
      <c r="Z744" s="135"/>
      <c r="AA744" s="135"/>
      <c r="AB744" s="135"/>
      <c r="AC744" s="135"/>
      <c r="AD744" s="135"/>
      <c r="AE744" s="135"/>
      <c r="AF744" s="135"/>
    </row>
    <row r="745">
      <c r="A745" s="135"/>
      <c r="B745" s="135"/>
      <c r="C745" s="135"/>
      <c r="D745" s="135"/>
      <c r="E745" s="135"/>
      <c r="F745" s="135"/>
      <c r="G745" s="135"/>
      <c r="H745" s="135"/>
      <c r="I745" s="135"/>
      <c r="J745" s="135"/>
      <c r="K745" s="135"/>
      <c r="L745" s="135"/>
      <c r="M745" s="135"/>
      <c r="N745" s="135"/>
      <c r="O745" s="135"/>
      <c r="P745" s="135"/>
      <c r="Q745" s="135"/>
      <c r="R745" s="135"/>
      <c r="S745" s="135"/>
      <c r="T745" s="135"/>
      <c r="U745" s="135"/>
      <c r="V745" s="135"/>
      <c r="W745" s="135"/>
      <c r="X745" s="135"/>
      <c r="Y745" s="135"/>
      <c r="Z745" s="135"/>
      <c r="AA745" s="135"/>
      <c r="AB745" s="135"/>
      <c r="AC745" s="135"/>
      <c r="AD745" s="135"/>
      <c r="AE745" s="135"/>
      <c r="AF745" s="135"/>
    </row>
    <row r="746">
      <c r="A746" s="135"/>
      <c r="B746" s="135"/>
      <c r="C746" s="135"/>
      <c r="D746" s="135"/>
      <c r="E746" s="135"/>
      <c r="F746" s="135"/>
      <c r="G746" s="135"/>
      <c r="H746" s="135"/>
      <c r="I746" s="135"/>
      <c r="J746" s="135"/>
      <c r="K746" s="135"/>
      <c r="L746" s="135"/>
      <c r="M746" s="135"/>
      <c r="N746" s="135"/>
      <c r="O746" s="135"/>
      <c r="P746" s="135"/>
      <c r="Q746" s="135"/>
      <c r="R746" s="135"/>
      <c r="S746" s="135"/>
      <c r="T746" s="135"/>
      <c r="U746" s="135"/>
      <c r="V746" s="135"/>
      <c r="W746" s="135"/>
      <c r="X746" s="135"/>
      <c r="Y746" s="135"/>
      <c r="Z746" s="135"/>
      <c r="AA746" s="135"/>
      <c r="AB746" s="135"/>
      <c r="AC746" s="135"/>
      <c r="AD746" s="135"/>
      <c r="AE746" s="135"/>
      <c r="AF746" s="135"/>
    </row>
    <row r="747">
      <c r="A747" s="135"/>
      <c r="B747" s="135"/>
      <c r="C747" s="135"/>
      <c r="D747" s="135"/>
      <c r="E747" s="135"/>
      <c r="F747" s="135"/>
      <c r="G747" s="135"/>
      <c r="H747" s="135"/>
      <c r="I747" s="135"/>
      <c r="J747" s="135"/>
      <c r="K747" s="135"/>
      <c r="L747" s="135"/>
      <c r="M747" s="135"/>
      <c r="N747" s="135"/>
      <c r="O747" s="135"/>
      <c r="P747" s="135"/>
      <c r="Q747" s="135"/>
      <c r="R747" s="135"/>
      <c r="S747" s="135"/>
      <c r="T747" s="135"/>
      <c r="U747" s="135"/>
      <c r="V747" s="135"/>
      <c r="W747" s="135"/>
      <c r="X747" s="135"/>
      <c r="Y747" s="135"/>
      <c r="Z747" s="135"/>
      <c r="AA747" s="135"/>
      <c r="AB747" s="135"/>
      <c r="AC747" s="135"/>
      <c r="AD747" s="135"/>
      <c r="AE747" s="135"/>
      <c r="AF747" s="135"/>
    </row>
    <row r="748">
      <c r="A748" s="135"/>
      <c r="B748" s="135"/>
      <c r="C748" s="135"/>
      <c r="D748" s="135"/>
      <c r="E748" s="135"/>
      <c r="F748" s="135"/>
      <c r="G748" s="135"/>
      <c r="H748" s="135"/>
      <c r="I748" s="135"/>
      <c r="J748" s="135"/>
      <c r="K748" s="135"/>
      <c r="L748" s="135"/>
      <c r="M748" s="135"/>
      <c r="N748" s="135"/>
      <c r="O748" s="135"/>
      <c r="P748" s="135"/>
      <c r="Q748" s="135"/>
      <c r="R748" s="135"/>
      <c r="S748" s="135"/>
      <c r="T748" s="135"/>
      <c r="U748" s="135"/>
      <c r="V748" s="135"/>
      <c r="W748" s="135"/>
      <c r="X748" s="135"/>
      <c r="Y748" s="135"/>
      <c r="Z748" s="135"/>
      <c r="AA748" s="135"/>
      <c r="AB748" s="135"/>
      <c r="AC748" s="135"/>
      <c r="AD748" s="135"/>
      <c r="AE748" s="135"/>
      <c r="AF748" s="135"/>
    </row>
    <row r="749">
      <c r="A749" s="135"/>
      <c r="B749" s="135"/>
      <c r="C749" s="135"/>
      <c r="D749" s="135"/>
      <c r="E749" s="135"/>
      <c r="F749" s="135"/>
      <c r="G749" s="135"/>
      <c r="H749" s="135"/>
      <c r="I749" s="135"/>
      <c r="J749" s="135"/>
      <c r="K749" s="135"/>
      <c r="L749" s="135"/>
      <c r="M749" s="135"/>
      <c r="N749" s="135"/>
      <c r="O749" s="135"/>
      <c r="P749" s="135"/>
      <c r="Q749" s="135"/>
      <c r="R749" s="135"/>
      <c r="S749" s="135"/>
      <c r="T749" s="135"/>
      <c r="U749" s="135"/>
      <c r="V749" s="135"/>
      <c r="W749" s="135"/>
      <c r="X749" s="135"/>
      <c r="Y749" s="135"/>
      <c r="Z749" s="135"/>
      <c r="AA749" s="135"/>
      <c r="AB749" s="135"/>
      <c r="AC749" s="135"/>
      <c r="AD749" s="135"/>
      <c r="AE749" s="135"/>
      <c r="AF749" s="135"/>
    </row>
    <row r="750">
      <c r="A750" s="135"/>
      <c r="B750" s="135"/>
      <c r="C750" s="135"/>
      <c r="D750" s="135"/>
      <c r="E750" s="135"/>
      <c r="F750" s="135"/>
      <c r="G750" s="135"/>
      <c r="H750" s="135"/>
      <c r="I750" s="135"/>
      <c r="J750" s="135"/>
      <c r="K750" s="135"/>
      <c r="L750" s="135"/>
      <c r="M750" s="135"/>
      <c r="N750" s="135"/>
      <c r="O750" s="135"/>
      <c r="P750" s="135"/>
      <c r="Q750" s="135"/>
      <c r="R750" s="135"/>
      <c r="S750" s="135"/>
      <c r="T750" s="135"/>
      <c r="U750" s="135"/>
      <c r="V750" s="135"/>
      <c r="W750" s="135"/>
      <c r="X750" s="135"/>
      <c r="Y750" s="135"/>
      <c r="Z750" s="135"/>
      <c r="AA750" s="135"/>
      <c r="AB750" s="135"/>
      <c r="AC750" s="135"/>
      <c r="AD750" s="135"/>
      <c r="AE750" s="135"/>
      <c r="AF750" s="135"/>
    </row>
    <row r="751">
      <c r="A751" s="135"/>
      <c r="B751" s="135"/>
      <c r="C751" s="135"/>
      <c r="D751" s="135"/>
      <c r="E751" s="135"/>
      <c r="F751" s="135"/>
      <c r="G751" s="135"/>
      <c r="H751" s="135"/>
      <c r="I751" s="135"/>
      <c r="J751" s="135"/>
      <c r="K751" s="135"/>
      <c r="L751" s="135"/>
      <c r="M751" s="135"/>
      <c r="N751" s="135"/>
      <c r="O751" s="135"/>
      <c r="P751" s="135"/>
      <c r="Q751" s="135"/>
      <c r="R751" s="135"/>
      <c r="S751" s="135"/>
      <c r="T751" s="135"/>
      <c r="U751" s="135"/>
      <c r="V751" s="135"/>
      <c r="W751" s="135"/>
      <c r="X751" s="135"/>
      <c r="Y751" s="135"/>
      <c r="Z751" s="135"/>
      <c r="AA751" s="135"/>
      <c r="AB751" s="135"/>
      <c r="AC751" s="135"/>
      <c r="AD751" s="135"/>
      <c r="AE751" s="135"/>
      <c r="AF751" s="135"/>
    </row>
    <row r="752">
      <c r="A752" s="135"/>
      <c r="B752" s="135"/>
      <c r="C752" s="135"/>
      <c r="D752" s="135"/>
      <c r="E752" s="135"/>
      <c r="F752" s="135"/>
      <c r="G752" s="135"/>
      <c r="H752" s="135"/>
      <c r="I752" s="135"/>
      <c r="J752" s="135"/>
      <c r="K752" s="135"/>
      <c r="L752" s="135"/>
      <c r="M752" s="135"/>
      <c r="N752" s="135"/>
      <c r="O752" s="135"/>
      <c r="P752" s="135"/>
      <c r="Q752" s="135"/>
      <c r="R752" s="135"/>
      <c r="S752" s="135"/>
      <c r="T752" s="135"/>
      <c r="U752" s="135"/>
      <c r="V752" s="135"/>
      <c r="W752" s="135"/>
      <c r="X752" s="135"/>
      <c r="Y752" s="135"/>
      <c r="Z752" s="135"/>
      <c r="AA752" s="135"/>
      <c r="AB752" s="135"/>
      <c r="AC752" s="135"/>
      <c r="AD752" s="135"/>
      <c r="AE752" s="135"/>
      <c r="AF752" s="135"/>
    </row>
    <row r="753">
      <c r="A753" s="135"/>
      <c r="B753" s="135"/>
      <c r="C753" s="135"/>
      <c r="D753" s="135"/>
      <c r="E753" s="135"/>
      <c r="F753" s="135"/>
      <c r="G753" s="135"/>
      <c r="H753" s="135"/>
      <c r="I753" s="135"/>
      <c r="J753" s="135"/>
      <c r="K753" s="135"/>
      <c r="L753" s="135"/>
      <c r="M753" s="135"/>
      <c r="N753" s="135"/>
      <c r="O753" s="135"/>
      <c r="P753" s="135"/>
      <c r="Q753" s="135"/>
      <c r="R753" s="135"/>
      <c r="S753" s="135"/>
      <c r="T753" s="135"/>
      <c r="U753" s="135"/>
      <c r="V753" s="135"/>
      <c r="W753" s="135"/>
      <c r="X753" s="135"/>
      <c r="Y753" s="135"/>
      <c r="Z753" s="135"/>
      <c r="AA753" s="135"/>
      <c r="AB753" s="135"/>
      <c r="AC753" s="135"/>
      <c r="AD753" s="135"/>
      <c r="AE753" s="135"/>
      <c r="AF753" s="135"/>
    </row>
    <row r="754">
      <c r="A754" s="135"/>
      <c r="B754" s="135"/>
      <c r="C754" s="135"/>
      <c r="D754" s="135"/>
      <c r="E754" s="135"/>
      <c r="F754" s="135"/>
      <c r="G754" s="135"/>
      <c r="H754" s="135"/>
      <c r="I754" s="135"/>
      <c r="J754" s="135"/>
      <c r="K754" s="135"/>
      <c r="L754" s="135"/>
      <c r="M754" s="135"/>
      <c r="N754" s="135"/>
      <c r="O754" s="135"/>
      <c r="P754" s="135"/>
      <c r="Q754" s="135"/>
      <c r="R754" s="135"/>
      <c r="S754" s="135"/>
      <c r="T754" s="135"/>
      <c r="U754" s="135"/>
      <c r="V754" s="135"/>
      <c r="W754" s="135"/>
      <c r="X754" s="135"/>
      <c r="Y754" s="135"/>
      <c r="Z754" s="135"/>
      <c r="AA754" s="135"/>
      <c r="AB754" s="135"/>
      <c r="AC754" s="135"/>
      <c r="AD754" s="135"/>
      <c r="AE754" s="135"/>
      <c r="AF754" s="135"/>
    </row>
    <row r="755">
      <c r="A755" s="135"/>
      <c r="B755" s="135"/>
      <c r="C755" s="135"/>
      <c r="D755" s="135"/>
      <c r="E755" s="135"/>
      <c r="F755" s="135"/>
      <c r="G755" s="135"/>
      <c r="H755" s="135"/>
      <c r="I755" s="135"/>
      <c r="J755" s="135"/>
      <c r="K755" s="135"/>
      <c r="L755" s="135"/>
      <c r="M755" s="135"/>
      <c r="N755" s="135"/>
      <c r="O755" s="135"/>
      <c r="P755" s="135"/>
      <c r="Q755" s="135"/>
      <c r="R755" s="135"/>
      <c r="S755" s="135"/>
      <c r="T755" s="135"/>
      <c r="U755" s="135"/>
      <c r="V755" s="135"/>
      <c r="W755" s="135"/>
      <c r="X755" s="135"/>
      <c r="Y755" s="135"/>
      <c r="Z755" s="135"/>
      <c r="AA755" s="135"/>
      <c r="AB755" s="135"/>
      <c r="AC755" s="135"/>
      <c r="AD755" s="135"/>
      <c r="AE755" s="135"/>
      <c r="AF755" s="135"/>
    </row>
    <row r="756">
      <c r="A756" s="135"/>
      <c r="B756" s="135"/>
      <c r="C756" s="135"/>
      <c r="D756" s="135"/>
      <c r="E756" s="135"/>
      <c r="F756" s="135"/>
      <c r="G756" s="135"/>
      <c r="H756" s="135"/>
      <c r="I756" s="135"/>
      <c r="J756" s="135"/>
      <c r="K756" s="135"/>
      <c r="L756" s="135"/>
      <c r="M756" s="135"/>
      <c r="N756" s="135"/>
      <c r="O756" s="135"/>
      <c r="P756" s="135"/>
      <c r="Q756" s="135"/>
      <c r="R756" s="135"/>
      <c r="S756" s="135"/>
      <c r="T756" s="135"/>
      <c r="U756" s="135"/>
      <c r="V756" s="135"/>
      <c r="W756" s="135"/>
      <c r="X756" s="135"/>
      <c r="Y756" s="135"/>
      <c r="Z756" s="135"/>
      <c r="AA756" s="135"/>
      <c r="AB756" s="135"/>
      <c r="AC756" s="135"/>
      <c r="AD756" s="135"/>
      <c r="AE756" s="135"/>
      <c r="AF756" s="135"/>
    </row>
    <row r="757">
      <c r="A757" s="135"/>
      <c r="B757" s="135"/>
      <c r="C757" s="135"/>
      <c r="D757" s="135"/>
      <c r="E757" s="135"/>
      <c r="F757" s="135"/>
      <c r="G757" s="135"/>
      <c r="H757" s="135"/>
      <c r="I757" s="135"/>
      <c r="J757" s="135"/>
      <c r="K757" s="135"/>
      <c r="L757" s="135"/>
      <c r="M757" s="135"/>
      <c r="N757" s="135"/>
      <c r="O757" s="135"/>
      <c r="P757" s="135"/>
      <c r="Q757" s="135"/>
      <c r="R757" s="135"/>
      <c r="S757" s="135"/>
      <c r="T757" s="135"/>
      <c r="U757" s="135"/>
      <c r="V757" s="135"/>
      <c r="W757" s="135"/>
      <c r="X757" s="135"/>
      <c r="Y757" s="135"/>
      <c r="Z757" s="135"/>
      <c r="AA757" s="135"/>
      <c r="AB757" s="135"/>
      <c r="AC757" s="135"/>
      <c r="AD757" s="135"/>
      <c r="AE757" s="135"/>
      <c r="AF757" s="135"/>
    </row>
    <row r="758">
      <c r="A758" s="135"/>
      <c r="B758" s="135"/>
      <c r="C758" s="135"/>
      <c r="D758" s="135"/>
      <c r="E758" s="135"/>
      <c r="F758" s="135"/>
      <c r="G758" s="135"/>
      <c r="H758" s="135"/>
      <c r="I758" s="135"/>
      <c r="J758" s="135"/>
      <c r="K758" s="135"/>
      <c r="L758" s="135"/>
      <c r="M758" s="135"/>
      <c r="N758" s="135"/>
      <c r="O758" s="135"/>
      <c r="P758" s="135"/>
      <c r="Q758" s="135"/>
      <c r="R758" s="135"/>
      <c r="S758" s="135"/>
      <c r="T758" s="135"/>
      <c r="U758" s="135"/>
      <c r="V758" s="135"/>
      <c r="W758" s="135"/>
      <c r="X758" s="135"/>
      <c r="Y758" s="135"/>
      <c r="Z758" s="135"/>
      <c r="AA758" s="135"/>
      <c r="AB758" s="135"/>
      <c r="AC758" s="135"/>
      <c r="AD758" s="135"/>
      <c r="AE758" s="135"/>
      <c r="AF758" s="135"/>
    </row>
    <row r="759">
      <c r="A759" s="135"/>
      <c r="B759" s="135"/>
      <c r="C759" s="135"/>
      <c r="D759" s="135"/>
      <c r="E759" s="135"/>
      <c r="F759" s="135"/>
      <c r="G759" s="135"/>
      <c r="H759" s="135"/>
      <c r="I759" s="135"/>
      <c r="J759" s="135"/>
      <c r="K759" s="135"/>
      <c r="L759" s="135"/>
      <c r="M759" s="135"/>
      <c r="N759" s="135"/>
      <c r="O759" s="135"/>
      <c r="P759" s="135"/>
      <c r="Q759" s="135"/>
      <c r="R759" s="135"/>
      <c r="S759" s="135"/>
      <c r="T759" s="135"/>
      <c r="U759" s="135"/>
      <c r="V759" s="135"/>
      <c r="W759" s="135"/>
      <c r="X759" s="135"/>
      <c r="Y759" s="135"/>
      <c r="Z759" s="135"/>
      <c r="AA759" s="135"/>
      <c r="AB759" s="135"/>
      <c r="AC759" s="135"/>
      <c r="AD759" s="135"/>
      <c r="AE759" s="135"/>
      <c r="AF759" s="135"/>
    </row>
    <row r="760">
      <c r="A760" s="135"/>
      <c r="B760" s="135"/>
      <c r="C760" s="135"/>
      <c r="D760" s="135"/>
      <c r="E760" s="135"/>
      <c r="F760" s="135"/>
      <c r="G760" s="135"/>
      <c r="H760" s="135"/>
      <c r="I760" s="135"/>
      <c r="J760" s="135"/>
      <c r="K760" s="135"/>
      <c r="L760" s="135"/>
      <c r="M760" s="135"/>
      <c r="N760" s="135"/>
      <c r="O760" s="135"/>
      <c r="P760" s="135"/>
      <c r="Q760" s="135"/>
      <c r="R760" s="135"/>
      <c r="S760" s="135"/>
      <c r="T760" s="135"/>
      <c r="U760" s="135"/>
      <c r="V760" s="135"/>
      <c r="W760" s="135"/>
      <c r="X760" s="135"/>
      <c r="Y760" s="135"/>
      <c r="Z760" s="135"/>
      <c r="AA760" s="135"/>
      <c r="AB760" s="135"/>
      <c r="AC760" s="135"/>
      <c r="AD760" s="135"/>
      <c r="AE760" s="135"/>
      <c r="AF760" s="135"/>
    </row>
    <row r="761">
      <c r="A761" s="135"/>
      <c r="B761" s="135"/>
      <c r="C761" s="135"/>
      <c r="D761" s="135"/>
      <c r="E761" s="135"/>
      <c r="F761" s="135"/>
      <c r="G761" s="135"/>
      <c r="H761" s="135"/>
      <c r="I761" s="135"/>
      <c r="J761" s="135"/>
      <c r="K761" s="135"/>
      <c r="L761" s="135"/>
      <c r="M761" s="135"/>
      <c r="N761" s="135"/>
      <c r="O761" s="135"/>
      <c r="P761" s="135"/>
      <c r="Q761" s="135"/>
      <c r="R761" s="135"/>
      <c r="S761" s="135"/>
      <c r="T761" s="135"/>
      <c r="U761" s="135"/>
      <c r="V761" s="135"/>
      <c r="W761" s="135"/>
      <c r="X761" s="135"/>
      <c r="Y761" s="135"/>
      <c r="Z761" s="135"/>
      <c r="AA761" s="135"/>
      <c r="AB761" s="135"/>
      <c r="AC761" s="135"/>
      <c r="AD761" s="135"/>
      <c r="AE761" s="135"/>
      <c r="AF761" s="135"/>
    </row>
    <row r="762">
      <c r="A762" s="135"/>
      <c r="B762" s="135"/>
      <c r="C762" s="135"/>
      <c r="D762" s="135"/>
      <c r="E762" s="135"/>
      <c r="F762" s="135"/>
      <c r="G762" s="135"/>
      <c r="H762" s="135"/>
      <c r="I762" s="135"/>
      <c r="J762" s="135"/>
      <c r="K762" s="135"/>
      <c r="L762" s="135"/>
      <c r="M762" s="135"/>
      <c r="N762" s="135"/>
      <c r="O762" s="135"/>
      <c r="P762" s="135"/>
      <c r="Q762" s="135"/>
      <c r="R762" s="135"/>
      <c r="S762" s="135"/>
      <c r="T762" s="135"/>
      <c r="U762" s="135"/>
      <c r="V762" s="135"/>
      <c r="W762" s="135"/>
      <c r="X762" s="135"/>
      <c r="Y762" s="135"/>
      <c r="Z762" s="135"/>
      <c r="AA762" s="135"/>
      <c r="AB762" s="135"/>
      <c r="AC762" s="135"/>
      <c r="AD762" s="135"/>
      <c r="AE762" s="135"/>
      <c r="AF762" s="135"/>
    </row>
    <row r="763">
      <c r="A763" s="135"/>
      <c r="B763" s="135"/>
      <c r="C763" s="135"/>
      <c r="D763" s="135"/>
      <c r="E763" s="135"/>
      <c r="F763" s="135"/>
      <c r="G763" s="135"/>
      <c r="H763" s="135"/>
      <c r="I763" s="135"/>
      <c r="J763" s="135"/>
      <c r="K763" s="135"/>
      <c r="L763" s="135"/>
      <c r="M763" s="135"/>
      <c r="N763" s="135"/>
      <c r="O763" s="135"/>
      <c r="P763" s="135"/>
      <c r="Q763" s="135"/>
      <c r="R763" s="135"/>
      <c r="S763" s="135"/>
      <c r="T763" s="135"/>
      <c r="U763" s="135"/>
      <c r="V763" s="135"/>
      <c r="W763" s="135"/>
      <c r="X763" s="135"/>
      <c r="Y763" s="135"/>
      <c r="Z763" s="135"/>
      <c r="AA763" s="135"/>
      <c r="AB763" s="135"/>
      <c r="AC763" s="135"/>
      <c r="AD763" s="135"/>
      <c r="AE763" s="135"/>
      <c r="AF763" s="135"/>
    </row>
    <row r="764">
      <c r="A764" s="135"/>
      <c r="B764" s="135"/>
      <c r="C764" s="135"/>
      <c r="D764" s="135"/>
      <c r="E764" s="135"/>
      <c r="F764" s="135"/>
      <c r="G764" s="135"/>
      <c r="H764" s="135"/>
      <c r="I764" s="135"/>
      <c r="J764" s="135"/>
      <c r="K764" s="135"/>
      <c r="L764" s="135"/>
      <c r="M764" s="135"/>
      <c r="N764" s="135"/>
      <c r="O764" s="135"/>
      <c r="P764" s="135"/>
      <c r="Q764" s="135"/>
      <c r="R764" s="135"/>
      <c r="S764" s="135"/>
      <c r="T764" s="135"/>
      <c r="U764" s="135"/>
      <c r="V764" s="135"/>
      <c r="W764" s="135"/>
      <c r="X764" s="135"/>
      <c r="Y764" s="135"/>
      <c r="Z764" s="135"/>
      <c r="AA764" s="135"/>
      <c r="AB764" s="135"/>
      <c r="AC764" s="135"/>
      <c r="AD764" s="135"/>
      <c r="AE764" s="135"/>
      <c r="AF764" s="135"/>
    </row>
    <row r="765">
      <c r="A765" s="135"/>
      <c r="B765" s="135"/>
      <c r="C765" s="135"/>
      <c r="D765" s="135"/>
      <c r="E765" s="135"/>
      <c r="F765" s="135"/>
      <c r="G765" s="135"/>
      <c r="H765" s="135"/>
      <c r="I765" s="135"/>
      <c r="J765" s="135"/>
      <c r="K765" s="135"/>
      <c r="L765" s="135"/>
      <c r="M765" s="135"/>
      <c r="N765" s="135"/>
      <c r="O765" s="135"/>
      <c r="P765" s="135"/>
      <c r="Q765" s="135"/>
      <c r="R765" s="135"/>
      <c r="S765" s="135"/>
      <c r="T765" s="135"/>
      <c r="U765" s="135"/>
      <c r="V765" s="135"/>
      <c r="W765" s="135"/>
      <c r="X765" s="135"/>
      <c r="Y765" s="135"/>
      <c r="Z765" s="135"/>
      <c r="AA765" s="135"/>
      <c r="AB765" s="135"/>
      <c r="AC765" s="135"/>
      <c r="AD765" s="135"/>
      <c r="AE765" s="135"/>
      <c r="AF765" s="135"/>
    </row>
    <row r="766">
      <c r="A766" s="135"/>
      <c r="B766" s="135"/>
      <c r="C766" s="135"/>
      <c r="D766" s="135"/>
      <c r="E766" s="135"/>
      <c r="F766" s="135"/>
      <c r="G766" s="135"/>
      <c r="H766" s="135"/>
      <c r="I766" s="135"/>
      <c r="J766" s="135"/>
      <c r="K766" s="135"/>
      <c r="L766" s="135"/>
      <c r="M766" s="135"/>
      <c r="N766" s="135"/>
      <c r="O766" s="135"/>
      <c r="P766" s="135"/>
      <c r="Q766" s="135"/>
      <c r="R766" s="135"/>
      <c r="S766" s="135"/>
      <c r="T766" s="135"/>
      <c r="U766" s="135"/>
      <c r="V766" s="135"/>
      <c r="W766" s="135"/>
      <c r="X766" s="135"/>
      <c r="Y766" s="135"/>
      <c r="Z766" s="135"/>
      <c r="AA766" s="135"/>
      <c r="AB766" s="135"/>
      <c r="AC766" s="135"/>
      <c r="AD766" s="135"/>
      <c r="AE766" s="135"/>
      <c r="AF766" s="135"/>
    </row>
    <row r="767">
      <c r="A767" s="135"/>
      <c r="B767" s="135"/>
      <c r="C767" s="135"/>
      <c r="D767" s="135"/>
      <c r="E767" s="135"/>
      <c r="F767" s="135"/>
      <c r="G767" s="135"/>
      <c r="H767" s="135"/>
      <c r="I767" s="135"/>
      <c r="J767" s="135"/>
      <c r="K767" s="135"/>
      <c r="L767" s="135"/>
      <c r="M767" s="135"/>
      <c r="N767" s="135"/>
      <c r="O767" s="135"/>
      <c r="P767" s="135"/>
      <c r="Q767" s="135"/>
      <c r="R767" s="135"/>
      <c r="S767" s="135"/>
      <c r="T767" s="135"/>
      <c r="U767" s="135"/>
      <c r="V767" s="135"/>
      <c r="W767" s="135"/>
      <c r="X767" s="135"/>
      <c r="Y767" s="135"/>
      <c r="Z767" s="135"/>
      <c r="AA767" s="135"/>
      <c r="AB767" s="135"/>
      <c r="AC767" s="135"/>
      <c r="AD767" s="135"/>
      <c r="AE767" s="135"/>
      <c r="AF767" s="135"/>
    </row>
    <row r="768">
      <c r="A768" s="135"/>
      <c r="B768" s="135"/>
      <c r="C768" s="135"/>
      <c r="D768" s="135"/>
      <c r="E768" s="135"/>
      <c r="F768" s="135"/>
      <c r="G768" s="135"/>
      <c r="H768" s="135"/>
      <c r="I768" s="135"/>
      <c r="J768" s="135"/>
      <c r="K768" s="135"/>
      <c r="L768" s="135"/>
      <c r="M768" s="135"/>
      <c r="N768" s="135"/>
      <c r="O768" s="135"/>
      <c r="P768" s="135"/>
      <c r="Q768" s="135"/>
      <c r="R768" s="135"/>
      <c r="S768" s="135"/>
      <c r="T768" s="135"/>
      <c r="U768" s="135"/>
      <c r="V768" s="135"/>
      <c r="W768" s="135"/>
      <c r="X768" s="135"/>
      <c r="Y768" s="135"/>
      <c r="Z768" s="135"/>
      <c r="AA768" s="135"/>
      <c r="AB768" s="135"/>
      <c r="AC768" s="135"/>
      <c r="AD768" s="135"/>
      <c r="AE768" s="135"/>
      <c r="AF768" s="135"/>
    </row>
    <row r="769">
      <c r="A769" s="135"/>
      <c r="B769" s="135"/>
      <c r="C769" s="135"/>
      <c r="D769" s="135"/>
      <c r="E769" s="135"/>
      <c r="F769" s="135"/>
      <c r="G769" s="135"/>
      <c r="H769" s="135"/>
      <c r="I769" s="135"/>
      <c r="J769" s="135"/>
      <c r="K769" s="135"/>
      <c r="L769" s="135"/>
      <c r="M769" s="135"/>
      <c r="N769" s="135"/>
      <c r="O769" s="135"/>
      <c r="P769" s="135"/>
      <c r="Q769" s="135"/>
      <c r="R769" s="135"/>
      <c r="S769" s="135"/>
      <c r="T769" s="135"/>
      <c r="U769" s="135"/>
      <c r="V769" s="135"/>
      <c r="W769" s="135"/>
      <c r="X769" s="135"/>
      <c r="Y769" s="135"/>
      <c r="Z769" s="135"/>
      <c r="AA769" s="135"/>
      <c r="AB769" s="135"/>
      <c r="AC769" s="135"/>
      <c r="AD769" s="135"/>
      <c r="AE769" s="135"/>
      <c r="AF769" s="135"/>
    </row>
    <row r="770">
      <c r="A770" s="135"/>
      <c r="B770" s="135"/>
      <c r="C770" s="135"/>
      <c r="D770" s="135"/>
      <c r="E770" s="135"/>
      <c r="F770" s="135"/>
      <c r="G770" s="135"/>
      <c r="H770" s="135"/>
      <c r="I770" s="135"/>
      <c r="J770" s="135"/>
      <c r="K770" s="135"/>
      <c r="L770" s="135"/>
      <c r="M770" s="135"/>
      <c r="N770" s="135"/>
      <c r="O770" s="135"/>
      <c r="P770" s="135"/>
      <c r="Q770" s="135"/>
      <c r="R770" s="135"/>
      <c r="S770" s="135"/>
      <c r="T770" s="135"/>
      <c r="U770" s="135"/>
      <c r="V770" s="135"/>
      <c r="W770" s="135"/>
      <c r="X770" s="135"/>
      <c r="Y770" s="135"/>
      <c r="Z770" s="135"/>
      <c r="AA770" s="135"/>
      <c r="AB770" s="135"/>
      <c r="AC770" s="135"/>
      <c r="AD770" s="135"/>
      <c r="AE770" s="135"/>
      <c r="AF770" s="135"/>
    </row>
    <row r="771">
      <c r="A771" s="135"/>
      <c r="B771" s="135"/>
      <c r="C771" s="135"/>
      <c r="D771" s="135"/>
      <c r="E771" s="135"/>
      <c r="F771" s="135"/>
      <c r="G771" s="135"/>
      <c r="H771" s="135"/>
      <c r="I771" s="135"/>
      <c r="J771" s="135"/>
      <c r="K771" s="135"/>
      <c r="L771" s="135"/>
      <c r="M771" s="135"/>
      <c r="N771" s="135"/>
      <c r="O771" s="135"/>
      <c r="P771" s="135"/>
      <c r="Q771" s="135"/>
      <c r="R771" s="135"/>
      <c r="S771" s="135"/>
      <c r="T771" s="135"/>
      <c r="U771" s="135"/>
      <c r="V771" s="135"/>
      <c r="W771" s="135"/>
      <c r="X771" s="135"/>
      <c r="Y771" s="135"/>
      <c r="Z771" s="135"/>
      <c r="AA771" s="135"/>
      <c r="AB771" s="135"/>
      <c r="AC771" s="135"/>
      <c r="AD771" s="135"/>
      <c r="AE771" s="135"/>
      <c r="AF771" s="135"/>
    </row>
    <row r="772">
      <c r="A772" s="135"/>
      <c r="B772" s="135"/>
      <c r="C772" s="135"/>
      <c r="D772" s="135"/>
      <c r="E772" s="135"/>
      <c r="F772" s="135"/>
      <c r="G772" s="135"/>
      <c r="H772" s="135"/>
      <c r="I772" s="135"/>
      <c r="J772" s="135"/>
      <c r="K772" s="135"/>
      <c r="L772" s="135"/>
      <c r="M772" s="135"/>
      <c r="N772" s="135"/>
      <c r="O772" s="135"/>
      <c r="P772" s="135"/>
      <c r="Q772" s="135"/>
      <c r="R772" s="135"/>
      <c r="S772" s="135"/>
      <c r="T772" s="135"/>
      <c r="U772" s="135"/>
      <c r="V772" s="135"/>
      <c r="W772" s="135"/>
      <c r="X772" s="135"/>
      <c r="Y772" s="135"/>
      <c r="Z772" s="135"/>
      <c r="AA772" s="135"/>
      <c r="AB772" s="135"/>
      <c r="AC772" s="135"/>
      <c r="AD772" s="135"/>
      <c r="AE772" s="135"/>
      <c r="AF772" s="135"/>
    </row>
    <row r="773">
      <c r="A773" s="135"/>
      <c r="B773" s="135"/>
      <c r="C773" s="135"/>
      <c r="D773" s="135"/>
      <c r="E773" s="135"/>
      <c r="F773" s="135"/>
      <c r="G773" s="135"/>
      <c r="H773" s="135"/>
      <c r="I773" s="135"/>
      <c r="J773" s="135"/>
      <c r="K773" s="135"/>
      <c r="L773" s="135"/>
      <c r="M773" s="135"/>
      <c r="N773" s="135"/>
      <c r="O773" s="135"/>
      <c r="P773" s="135"/>
      <c r="Q773" s="135"/>
      <c r="R773" s="135"/>
      <c r="S773" s="135"/>
      <c r="T773" s="135"/>
      <c r="U773" s="135"/>
      <c r="V773" s="135"/>
      <c r="W773" s="135"/>
      <c r="X773" s="135"/>
      <c r="Y773" s="135"/>
      <c r="Z773" s="135"/>
      <c r="AA773" s="135"/>
      <c r="AB773" s="135"/>
      <c r="AC773" s="135"/>
      <c r="AD773" s="135"/>
      <c r="AE773" s="135"/>
      <c r="AF773" s="135"/>
    </row>
    <row r="774">
      <c r="A774" s="135"/>
      <c r="B774" s="135"/>
      <c r="C774" s="135"/>
      <c r="D774" s="135"/>
      <c r="E774" s="135"/>
      <c r="F774" s="135"/>
      <c r="G774" s="135"/>
      <c r="H774" s="135"/>
      <c r="I774" s="135"/>
      <c r="J774" s="135"/>
      <c r="K774" s="135"/>
      <c r="L774" s="135"/>
      <c r="M774" s="135"/>
      <c r="N774" s="135"/>
      <c r="O774" s="135"/>
      <c r="P774" s="135"/>
      <c r="Q774" s="135"/>
      <c r="R774" s="135"/>
      <c r="S774" s="135"/>
      <c r="T774" s="135"/>
      <c r="U774" s="135"/>
      <c r="V774" s="135"/>
      <c r="W774" s="135"/>
      <c r="X774" s="135"/>
      <c r="Y774" s="135"/>
      <c r="Z774" s="135"/>
      <c r="AA774" s="135"/>
      <c r="AB774" s="135"/>
      <c r="AC774" s="135"/>
      <c r="AD774" s="135"/>
      <c r="AE774" s="135"/>
      <c r="AF774" s="135"/>
    </row>
    <row r="775">
      <c r="A775" s="135"/>
      <c r="B775" s="135"/>
      <c r="C775" s="135"/>
      <c r="D775" s="135"/>
      <c r="E775" s="135"/>
      <c r="F775" s="135"/>
      <c r="G775" s="135"/>
      <c r="H775" s="135"/>
      <c r="I775" s="135"/>
      <c r="J775" s="135"/>
      <c r="K775" s="135"/>
      <c r="L775" s="135"/>
      <c r="M775" s="135"/>
      <c r="N775" s="135"/>
      <c r="O775" s="135"/>
      <c r="P775" s="135"/>
      <c r="Q775" s="135"/>
      <c r="R775" s="135"/>
      <c r="S775" s="135"/>
      <c r="T775" s="135"/>
      <c r="U775" s="135"/>
      <c r="V775" s="135"/>
      <c r="W775" s="135"/>
      <c r="X775" s="135"/>
      <c r="Y775" s="135"/>
      <c r="Z775" s="135"/>
      <c r="AA775" s="135"/>
      <c r="AB775" s="135"/>
      <c r="AC775" s="135"/>
      <c r="AD775" s="135"/>
      <c r="AE775" s="135"/>
      <c r="AF775" s="135"/>
    </row>
    <row r="776">
      <c r="A776" s="135"/>
      <c r="B776" s="135"/>
      <c r="C776" s="135"/>
      <c r="D776" s="135"/>
      <c r="E776" s="135"/>
      <c r="F776" s="135"/>
      <c r="G776" s="135"/>
      <c r="H776" s="135"/>
      <c r="I776" s="135"/>
      <c r="J776" s="135"/>
      <c r="K776" s="135"/>
      <c r="L776" s="135"/>
      <c r="M776" s="135"/>
      <c r="N776" s="135"/>
      <c r="O776" s="135"/>
      <c r="P776" s="135"/>
      <c r="Q776" s="135"/>
      <c r="R776" s="135"/>
      <c r="S776" s="135"/>
      <c r="T776" s="135"/>
      <c r="U776" s="135"/>
      <c r="V776" s="135"/>
      <c r="W776" s="135"/>
      <c r="X776" s="135"/>
      <c r="Y776" s="135"/>
      <c r="Z776" s="135"/>
      <c r="AA776" s="135"/>
      <c r="AB776" s="135"/>
      <c r="AC776" s="135"/>
      <c r="AD776" s="135"/>
      <c r="AE776" s="135"/>
      <c r="AF776" s="135"/>
    </row>
    <row r="777">
      <c r="A777" s="135"/>
      <c r="B777" s="135"/>
      <c r="C777" s="135"/>
      <c r="D777" s="135"/>
      <c r="E777" s="135"/>
      <c r="F777" s="135"/>
      <c r="G777" s="135"/>
      <c r="H777" s="135"/>
      <c r="I777" s="135"/>
      <c r="J777" s="135"/>
      <c r="K777" s="135"/>
      <c r="L777" s="135"/>
      <c r="M777" s="135"/>
      <c r="N777" s="135"/>
      <c r="O777" s="135"/>
      <c r="P777" s="135"/>
      <c r="Q777" s="135"/>
      <c r="R777" s="135"/>
      <c r="S777" s="135"/>
      <c r="T777" s="135"/>
      <c r="U777" s="135"/>
      <c r="V777" s="135"/>
      <c r="W777" s="135"/>
      <c r="X777" s="135"/>
      <c r="Y777" s="135"/>
      <c r="Z777" s="135"/>
      <c r="AA777" s="135"/>
      <c r="AB777" s="135"/>
      <c r="AC777" s="135"/>
      <c r="AD777" s="135"/>
      <c r="AE777" s="135"/>
      <c r="AF777" s="135"/>
    </row>
    <row r="778">
      <c r="A778" s="135"/>
      <c r="B778" s="135"/>
      <c r="C778" s="135"/>
      <c r="D778" s="135"/>
      <c r="E778" s="135"/>
      <c r="F778" s="135"/>
      <c r="G778" s="135"/>
      <c r="H778" s="135"/>
      <c r="I778" s="135"/>
      <c r="J778" s="135"/>
      <c r="K778" s="135"/>
      <c r="L778" s="135"/>
      <c r="M778" s="135"/>
      <c r="N778" s="135"/>
      <c r="O778" s="135"/>
      <c r="P778" s="135"/>
      <c r="Q778" s="135"/>
      <c r="R778" s="135"/>
      <c r="S778" s="135"/>
      <c r="T778" s="135"/>
      <c r="U778" s="135"/>
      <c r="V778" s="135"/>
      <c r="W778" s="135"/>
      <c r="X778" s="135"/>
      <c r="Y778" s="135"/>
      <c r="Z778" s="135"/>
      <c r="AA778" s="135"/>
      <c r="AB778" s="135"/>
      <c r="AC778" s="135"/>
      <c r="AD778" s="135"/>
      <c r="AE778" s="135"/>
      <c r="AF778" s="135"/>
    </row>
    <row r="779">
      <c r="A779" s="135"/>
      <c r="B779" s="135"/>
      <c r="C779" s="135"/>
      <c r="D779" s="135"/>
      <c r="E779" s="135"/>
      <c r="F779" s="135"/>
      <c r="G779" s="135"/>
      <c r="H779" s="135"/>
      <c r="I779" s="135"/>
      <c r="J779" s="135"/>
      <c r="K779" s="135"/>
      <c r="L779" s="135"/>
      <c r="M779" s="135"/>
      <c r="N779" s="135"/>
      <c r="O779" s="135"/>
      <c r="P779" s="135"/>
      <c r="Q779" s="135"/>
      <c r="R779" s="135"/>
      <c r="S779" s="135"/>
      <c r="T779" s="135"/>
      <c r="U779" s="135"/>
      <c r="V779" s="135"/>
      <c r="W779" s="135"/>
      <c r="X779" s="135"/>
      <c r="Y779" s="135"/>
      <c r="Z779" s="135"/>
      <c r="AA779" s="135"/>
      <c r="AB779" s="135"/>
      <c r="AC779" s="135"/>
      <c r="AD779" s="135"/>
      <c r="AE779" s="135"/>
      <c r="AF779" s="135"/>
    </row>
    <row r="780">
      <c r="A780" s="135"/>
      <c r="B780" s="135"/>
      <c r="C780" s="135"/>
      <c r="D780" s="135"/>
      <c r="E780" s="135"/>
      <c r="F780" s="135"/>
      <c r="G780" s="135"/>
      <c r="H780" s="135"/>
      <c r="I780" s="135"/>
      <c r="J780" s="135"/>
      <c r="K780" s="135"/>
      <c r="L780" s="135"/>
      <c r="M780" s="135"/>
      <c r="N780" s="135"/>
      <c r="O780" s="135"/>
      <c r="P780" s="135"/>
      <c r="Q780" s="135"/>
      <c r="R780" s="135"/>
      <c r="S780" s="135"/>
      <c r="T780" s="135"/>
      <c r="U780" s="135"/>
      <c r="V780" s="135"/>
      <c r="W780" s="135"/>
      <c r="X780" s="135"/>
      <c r="Y780" s="135"/>
      <c r="Z780" s="135"/>
      <c r="AA780" s="135"/>
      <c r="AB780" s="135"/>
      <c r="AC780" s="135"/>
      <c r="AD780" s="135"/>
      <c r="AE780" s="135"/>
      <c r="AF780" s="135"/>
    </row>
    <row r="781">
      <c r="A781" s="135"/>
      <c r="B781" s="135"/>
      <c r="C781" s="135"/>
      <c r="D781" s="135"/>
      <c r="E781" s="135"/>
      <c r="F781" s="135"/>
      <c r="G781" s="135"/>
      <c r="H781" s="135"/>
      <c r="I781" s="135"/>
      <c r="J781" s="135"/>
      <c r="K781" s="135"/>
      <c r="L781" s="135"/>
      <c r="M781" s="135"/>
      <c r="N781" s="135"/>
      <c r="O781" s="135"/>
      <c r="P781" s="135"/>
      <c r="Q781" s="135"/>
      <c r="R781" s="135"/>
      <c r="S781" s="135"/>
      <c r="T781" s="135"/>
      <c r="U781" s="135"/>
      <c r="V781" s="135"/>
      <c r="W781" s="135"/>
      <c r="X781" s="135"/>
      <c r="Y781" s="135"/>
      <c r="Z781" s="135"/>
      <c r="AA781" s="135"/>
      <c r="AB781" s="135"/>
      <c r="AC781" s="135"/>
      <c r="AD781" s="135"/>
      <c r="AE781" s="135"/>
      <c r="AF781" s="135"/>
    </row>
    <row r="782">
      <c r="A782" s="135"/>
      <c r="B782" s="135"/>
      <c r="C782" s="135"/>
      <c r="D782" s="135"/>
      <c r="E782" s="135"/>
      <c r="F782" s="135"/>
      <c r="G782" s="135"/>
      <c r="H782" s="135"/>
      <c r="I782" s="135"/>
      <c r="J782" s="135"/>
      <c r="K782" s="135"/>
      <c r="L782" s="135"/>
      <c r="M782" s="135"/>
      <c r="N782" s="135"/>
      <c r="O782" s="135"/>
      <c r="P782" s="135"/>
      <c r="Q782" s="135"/>
      <c r="R782" s="135"/>
      <c r="S782" s="135"/>
      <c r="T782" s="135"/>
      <c r="U782" s="135"/>
      <c r="V782" s="135"/>
      <c r="W782" s="135"/>
      <c r="X782" s="135"/>
      <c r="Y782" s="135"/>
      <c r="Z782" s="135"/>
      <c r="AA782" s="135"/>
      <c r="AB782" s="135"/>
      <c r="AC782" s="135"/>
      <c r="AD782" s="135"/>
      <c r="AE782" s="135"/>
      <c r="AF782" s="135"/>
    </row>
    <row r="783">
      <c r="A783" s="135"/>
      <c r="B783" s="135"/>
      <c r="C783" s="135"/>
      <c r="D783" s="135"/>
      <c r="E783" s="135"/>
      <c r="F783" s="135"/>
      <c r="G783" s="135"/>
      <c r="H783" s="135"/>
      <c r="I783" s="135"/>
      <c r="J783" s="135"/>
      <c r="K783" s="135"/>
      <c r="L783" s="135"/>
      <c r="M783" s="135"/>
      <c r="N783" s="135"/>
      <c r="O783" s="135"/>
      <c r="P783" s="135"/>
      <c r="Q783" s="135"/>
      <c r="R783" s="135"/>
      <c r="S783" s="135"/>
      <c r="T783" s="135"/>
      <c r="U783" s="135"/>
      <c r="V783" s="135"/>
      <c r="W783" s="135"/>
      <c r="X783" s="135"/>
      <c r="Y783" s="135"/>
      <c r="Z783" s="135"/>
      <c r="AA783" s="135"/>
      <c r="AB783" s="135"/>
      <c r="AC783" s="135"/>
      <c r="AD783" s="135"/>
      <c r="AE783" s="135"/>
      <c r="AF783" s="135"/>
    </row>
    <row r="784">
      <c r="A784" s="135"/>
      <c r="B784" s="135"/>
      <c r="C784" s="135"/>
      <c r="D784" s="135"/>
      <c r="E784" s="135"/>
      <c r="F784" s="135"/>
      <c r="G784" s="135"/>
      <c r="H784" s="135"/>
      <c r="I784" s="135"/>
      <c r="J784" s="135"/>
      <c r="K784" s="135"/>
      <c r="L784" s="135"/>
      <c r="M784" s="135"/>
      <c r="N784" s="135"/>
      <c r="O784" s="135"/>
      <c r="P784" s="135"/>
      <c r="Q784" s="135"/>
      <c r="R784" s="135"/>
      <c r="S784" s="135"/>
      <c r="T784" s="135"/>
      <c r="U784" s="135"/>
      <c r="V784" s="135"/>
      <c r="W784" s="135"/>
      <c r="X784" s="135"/>
      <c r="Y784" s="135"/>
      <c r="Z784" s="135"/>
      <c r="AA784" s="135"/>
      <c r="AB784" s="135"/>
      <c r="AC784" s="135"/>
      <c r="AD784" s="135"/>
      <c r="AE784" s="135"/>
      <c r="AF784" s="135"/>
    </row>
    <row r="785">
      <c r="A785" s="135"/>
      <c r="B785" s="135"/>
      <c r="C785" s="135"/>
      <c r="D785" s="135"/>
      <c r="E785" s="135"/>
      <c r="F785" s="135"/>
      <c r="G785" s="135"/>
      <c r="H785" s="135"/>
      <c r="I785" s="135"/>
      <c r="J785" s="135"/>
      <c r="K785" s="135"/>
      <c r="L785" s="135"/>
      <c r="M785" s="135"/>
      <c r="N785" s="135"/>
      <c r="O785" s="135"/>
      <c r="P785" s="135"/>
      <c r="Q785" s="135"/>
      <c r="R785" s="135"/>
      <c r="S785" s="135"/>
      <c r="T785" s="135"/>
      <c r="U785" s="135"/>
      <c r="V785" s="135"/>
      <c r="W785" s="135"/>
      <c r="X785" s="135"/>
      <c r="Y785" s="135"/>
      <c r="Z785" s="135"/>
      <c r="AA785" s="135"/>
      <c r="AB785" s="135"/>
      <c r="AC785" s="135"/>
      <c r="AD785" s="135"/>
      <c r="AE785" s="135"/>
      <c r="AF785" s="135"/>
    </row>
    <row r="786">
      <c r="A786" s="135"/>
      <c r="B786" s="135"/>
      <c r="C786" s="135"/>
      <c r="D786" s="135"/>
      <c r="E786" s="135"/>
      <c r="F786" s="135"/>
      <c r="G786" s="135"/>
      <c r="H786" s="135"/>
      <c r="I786" s="135"/>
      <c r="J786" s="135"/>
      <c r="K786" s="135"/>
      <c r="L786" s="135"/>
      <c r="M786" s="135"/>
      <c r="N786" s="135"/>
      <c r="O786" s="135"/>
      <c r="P786" s="135"/>
      <c r="Q786" s="135"/>
      <c r="R786" s="135"/>
      <c r="S786" s="135"/>
      <c r="T786" s="135"/>
      <c r="U786" s="135"/>
      <c r="V786" s="135"/>
      <c r="W786" s="135"/>
      <c r="X786" s="135"/>
      <c r="Y786" s="135"/>
      <c r="Z786" s="135"/>
      <c r="AA786" s="135"/>
      <c r="AB786" s="135"/>
      <c r="AC786" s="135"/>
      <c r="AD786" s="135"/>
      <c r="AE786" s="135"/>
      <c r="AF786" s="135"/>
    </row>
    <row r="787">
      <c r="A787" s="135"/>
      <c r="B787" s="135"/>
      <c r="C787" s="135"/>
      <c r="D787" s="135"/>
      <c r="E787" s="135"/>
      <c r="F787" s="135"/>
      <c r="G787" s="135"/>
      <c r="H787" s="135"/>
      <c r="I787" s="135"/>
      <c r="J787" s="135"/>
      <c r="K787" s="135"/>
      <c r="L787" s="135"/>
      <c r="M787" s="135"/>
      <c r="N787" s="135"/>
      <c r="O787" s="135"/>
      <c r="P787" s="135"/>
      <c r="Q787" s="135"/>
      <c r="R787" s="135"/>
      <c r="S787" s="135"/>
      <c r="T787" s="135"/>
      <c r="U787" s="135"/>
      <c r="V787" s="135"/>
      <c r="W787" s="135"/>
      <c r="X787" s="135"/>
      <c r="Y787" s="135"/>
      <c r="Z787" s="135"/>
      <c r="AA787" s="135"/>
      <c r="AB787" s="135"/>
      <c r="AC787" s="135"/>
      <c r="AD787" s="135"/>
      <c r="AE787" s="135"/>
      <c r="AF787" s="135"/>
    </row>
    <row r="788">
      <c r="A788" s="135"/>
      <c r="B788" s="135"/>
      <c r="C788" s="135"/>
      <c r="D788" s="135"/>
      <c r="E788" s="135"/>
      <c r="F788" s="135"/>
      <c r="G788" s="135"/>
      <c r="H788" s="135"/>
      <c r="I788" s="135"/>
      <c r="J788" s="135"/>
      <c r="K788" s="135"/>
      <c r="L788" s="135"/>
      <c r="M788" s="135"/>
      <c r="N788" s="135"/>
      <c r="O788" s="135"/>
      <c r="P788" s="135"/>
      <c r="Q788" s="135"/>
      <c r="R788" s="135"/>
      <c r="S788" s="135"/>
      <c r="T788" s="135"/>
      <c r="U788" s="135"/>
      <c r="V788" s="135"/>
      <c r="W788" s="135"/>
      <c r="X788" s="135"/>
      <c r="Y788" s="135"/>
      <c r="Z788" s="135"/>
      <c r="AA788" s="135"/>
      <c r="AB788" s="135"/>
      <c r="AC788" s="135"/>
      <c r="AD788" s="135"/>
      <c r="AE788" s="135"/>
      <c r="AF788" s="135"/>
    </row>
    <row r="789">
      <c r="A789" s="135"/>
      <c r="B789" s="135"/>
      <c r="C789" s="135"/>
      <c r="D789" s="135"/>
      <c r="E789" s="135"/>
      <c r="F789" s="135"/>
      <c r="G789" s="135"/>
      <c r="H789" s="135"/>
      <c r="I789" s="135"/>
      <c r="J789" s="135"/>
      <c r="K789" s="135"/>
      <c r="L789" s="135"/>
      <c r="M789" s="135"/>
      <c r="N789" s="135"/>
      <c r="O789" s="135"/>
      <c r="P789" s="135"/>
      <c r="Q789" s="135"/>
      <c r="R789" s="135"/>
      <c r="S789" s="135"/>
      <c r="T789" s="135"/>
      <c r="U789" s="135"/>
      <c r="V789" s="135"/>
      <c r="W789" s="135"/>
      <c r="X789" s="135"/>
      <c r="Y789" s="135"/>
      <c r="Z789" s="135"/>
      <c r="AA789" s="135"/>
      <c r="AB789" s="135"/>
      <c r="AC789" s="135"/>
      <c r="AD789" s="135"/>
      <c r="AE789" s="135"/>
      <c r="AF789" s="135"/>
    </row>
    <row r="790">
      <c r="A790" s="135"/>
      <c r="B790" s="135"/>
      <c r="C790" s="135"/>
      <c r="D790" s="135"/>
      <c r="E790" s="135"/>
      <c r="F790" s="135"/>
      <c r="G790" s="135"/>
      <c r="H790" s="135"/>
      <c r="I790" s="135"/>
      <c r="J790" s="135"/>
      <c r="K790" s="135"/>
      <c r="L790" s="135"/>
      <c r="M790" s="135"/>
      <c r="N790" s="135"/>
      <c r="O790" s="135"/>
      <c r="P790" s="135"/>
      <c r="Q790" s="135"/>
      <c r="R790" s="135"/>
      <c r="S790" s="135"/>
      <c r="T790" s="135"/>
      <c r="U790" s="135"/>
      <c r="V790" s="135"/>
      <c r="W790" s="135"/>
      <c r="X790" s="135"/>
      <c r="Y790" s="135"/>
      <c r="Z790" s="135"/>
      <c r="AA790" s="135"/>
      <c r="AB790" s="135"/>
      <c r="AC790" s="135"/>
      <c r="AD790" s="135"/>
      <c r="AE790" s="135"/>
      <c r="AF790" s="135"/>
    </row>
    <row r="791">
      <c r="A791" s="135"/>
      <c r="B791" s="135"/>
      <c r="C791" s="135"/>
      <c r="D791" s="135"/>
      <c r="E791" s="135"/>
      <c r="F791" s="135"/>
      <c r="G791" s="135"/>
      <c r="H791" s="135"/>
      <c r="I791" s="135"/>
      <c r="J791" s="135"/>
      <c r="K791" s="135"/>
      <c r="L791" s="135"/>
      <c r="M791" s="135"/>
      <c r="N791" s="135"/>
      <c r="O791" s="135"/>
      <c r="P791" s="135"/>
      <c r="Q791" s="135"/>
      <c r="R791" s="135"/>
      <c r="S791" s="135"/>
      <c r="T791" s="135"/>
      <c r="U791" s="135"/>
      <c r="V791" s="135"/>
      <c r="W791" s="135"/>
      <c r="X791" s="135"/>
      <c r="Y791" s="135"/>
      <c r="Z791" s="135"/>
      <c r="AA791" s="135"/>
      <c r="AB791" s="135"/>
      <c r="AC791" s="135"/>
      <c r="AD791" s="135"/>
      <c r="AE791" s="135"/>
      <c r="AF791" s="135"/>
    </row>
    <row r="792">
      <c r="A792" s="135"/>
      <c r="B792" s="135"/>
      <c r="C792" s="135"/>
      <c r="D792" s="135"/>
      <c r="E792" s="135"/>
      <c r="F792" s="135"/>
      <c r="G792" s="135"/>
      <c r="H792" s="135"/>
      <c r="I792" s="135"/>
      <c r="J792" s="135"/>
      <c r="K792" s="135"/>
      <c r="L792" s="135"/>
      <c r="M792" s="135"/>
      <c r="N792" s="135"/>
      <c r="O792" s="135"/>
      <c r="P792" s="135"/>
      <c r="Q792" s="135"/>
      <c r="R792" s="135"/>
      <c r="S792" s="135"/>
      <c r="T792" s="135"/>
      <c r="U792" s="135"/>
      <c r="V792" s="135"/>
      <c r="W792" s="135"/>
      <c r="X792" s="135"/>
      <c r="Y792" s="135"/>
      <c r="Z792" s="135"/>
      <c r="AA792" s="135"/>
      <c r="AB792" s="135"/>
      <c r="AC792" s="135"/>
      <c r="AD792" s="135"/>
      <c r="AE792" s="135"/>
      <c r="AF792" s="135"/>
    </row>
    <row r="793">
      <c r="A793" s="135"/>
      <c r="B793" s="135"/>
      <c r="C793" s="135"/>
      <c r="D793" s="135"/>
      <c r="E793" s="135"/>
      <c r="F793" s="135"/>
      <c r="G793" s="135"/>
      <c r="H793" s="135"/>
      <c r="I793" s="135"/>
      <c r="J793" s="135"/>
      <c r="K793" s="135"/>
      <c r="L793" s="135"/>
      <c r="M793" s="135"/>
      <c r="N793" s="135"/>
      <c r="O793" s="135"/>
      <c r="P793" s="135"/>
      <c r="Q793" s="135"/>
      <c r="R793" s="135"/>
      <c r="S793" s="135"/>
      <c r="T793" s="135"/>
      <c r="U793" s="135"/>
      <c r="V793" s="135"/>
      <c r="W793" s="135"/>
      <c r="X793" s="135"/>
      <c r="Y793" s="135"/>
      <c r="Z793" s="135"/>
      <c r="AA793" s="135"/>
      <c r="AB793" s="135"/>
      <c r="AC793" s="135"/>
      <c r="AD793" s="135"/>
      <c r="AE793" s="135"/>
      <c r="AF793" s="135"/>
    </row>
    <row r="794">
      <c r="A794" s="135"/>
      <c r="B794" s="135"/>
      <c r="C794" s="135"/>
      <c r="D794" s="135"/>
      <c r="E794" s="135"/>
      <c r="F794" s="135"/>
      <c r="G794" s="135"/>
      <c r="H794" s="135"/>
      <c r="I794" s="135"/>
      <c r="J794" s="135"/>
      <c r="K794" s="135"/>
      <c r="L794" s="135"/>
      <c r="M794" s="135"/>
      <c r="N794" s="135"/>
      <c r="O794" s="135"/>
      <c r="P794" s="135"/>
      <c r="Q794" s="135"/>
      <c r="R794" s="135"/>
      <c r="S794" s="135"/>
      <c r="T794" s="135"/>
      <c r="U794" s="135"/>
      <c r="V794" s="135"/>
      <c r="W794" s="135"/>
      <c r="X794" s="135"/>
      <c r="Y794" s="135"/>
      <c r="Z794" s="135"/>
      <c r="AA794" s="135"/>
      <c r="AB794" s="135"/>
      <c r="AC794" s="135"/>
      <c r="AD794" s="135"/>
      <c r="AE794" s="135"/>
      <c r="AF794" s="135"/>
    </row>
    <row r="795">
      <c r="A795" s="135"/>
      <c r="B795" s="135"/>
      <c r="C795" s="135"/>
      <c r="D795" s="135"/>
      <c r="E795" s="135"/>
      <c r="F795" s="135"/>
      <c r="G795" s="135"/>
      <c r="H795" s="135"/>
      <c r="I795" s="135"/>
      <c r="J795" s="135"/>
      <c r="K795" s="135"/>
      <c r="L795" s="135"/>
      <c r="M795" s="135"/>
      <c r="N795" s="135"/>
      <c r="O795" s="135"/>
      <c r="P795" s="135"/>
      <c r="Q795" s="135"/>
      <c r="R795" s="135"/>
      <c r="S795" s="135"/>
      <c r="T795" s="135"/>
      <c r="U795" s="135"/>
      <c r="V795" s="135"/>
      <c r="W795" s="135"/>
      <c r="X795" s="135"/>
      <c r="Y795" s="135"/>
      <c r="Z795" s="135"/>
      <c r="AA795" s="135"/>
      <c r="AB795" s="135"/>
      <c r="AC795" s="135"/>
      <c r="AD795" s="135"/>
      <c r="AE795" s="135"/>
      <c r="AF795" s="135"/>
    </row>
    <row r="796">
      <c r="A796" s="135"/>
      <c r="B796" s="135"/>
      <c r="C796" s="135"/>
      <c r="D796" s="135"/>
      <c r="E796" s="135"/>
      <c r="F796" s="135"/>
      <c r="G796" s="135"/>
      <c r="H796" s="135"/>
      <c r="I796" s="135"/>
      <c r="J796" s="135"/>
      <c r="K796" s="135"/>
      <c r="L796" s="135"/>
      <c r="M796" s="135"/>
      <c r="N796" s="135"/>
      <c r="O796" s="135"/>
      <c r="P796" s="135"/>
      <c r="Q796" s="135"/>
      <c r="R796" s="135"/>
      <c r="S796" s="135"/>
      <c r="T796" s="135"/>
      <c r="U796" s="135"/>
      <c r="V796" s="135"/>
      <c r="W796" s="135"/>
      <c r="X796" s="135"/>
      <c r="Y796" s="135"/>
      <c r="Z796" s="135"/>
      <c r="AA796" s="135"/>
      <c r="AB796" s="135"/>
      <c r="AC796" s="135"/>
      <c r="AD796" s="135"/>
      <c r="AE796" s="135"/>
      <c r="AF796" s="135"/>
    </row>
    <row r="797">
      <c r="A797" s="135"/>
      <c r="B797" s="135"/>
      <c r="C797" s="135"/>
      <c r="D797" s="135"/>
      <c r="E797" s="135"/>
      <c r="F797" s="135"/>
      <c r="G797" s="135"/>
      <c r="H797" s="135"/>
      <c r="I797" s="135"/>
      <c r="J797" s="135"/>
      <c r="K797" s="135"/>
      <c r="L797" s="135"/>
      <c r="M797" s="135"/>
      <c r="N797" s="135"/>
      <c r="O797" s="135"/>
      <c r="P797" s="135"/>
      <c r="Q797" s="135"/>
      <c r="R797" s="135"/>
      <c r="S797" s="135"/>
      <c r="T797" s="135"/>
      <c r="U797" s="135"/>
      <c r="V797" s="135"/>
      <c r="W797" s="135"/>
      <c r="X797" s="135"/>
      <c r="Y797" s="135"/>
      <c r="Z797" s="135"/>
      <c r="AA797" s="135"/>
      <c r="AB797" s="135"/>
      <c r="AC797" s="135"/>
      <c r="AD797" s="135"/>
      <c r="AE797" s="135"/>
      <c r="AF797" s="135"/>
    </row>
    <row r="798">
      <c r="A798" s="135"/>
      <c r="B798" s="135"/>
      <c r="C798" s="135"/>
      <c r="D798" s="135"/>
      <c r="E798" s="135"/>
      <c r="F798" s="135"/>
      <c r="G798" s="135"/>
      <c r="H798" s="135"/>
      <c r="I798" s="135"/>
      <c r="J798" s="135"/>
      <c r="K798" s="135"/>
      <c r="L798" s="135"/>
      <c r="M798" s="135"/>
      <c r="N798" s="135"/>
      <c r="O798" s="135"/>
      <c r="P798" s="135"/>
      <c r="Q798" s="135"/>
      <c r="R798" s="135"/>
      <c r="S798" s="135"/>
      <c r="T798" s="135"/>
      <c r="U798" s="135"/>
      <c r="V798" s="135"/>
      <c r="W798" s="135"/>
      <c r="X798" s="135"/>
      <c r="Y798" s="135"/>
      <c r="Z798" s="135"/>
      <c r="AA798" s="135"/>
      <c r="AB798" s="135"/>
      <c r="AC798" s="135"/>
      <c r="AD798" s="135"/>
      <c r="AE798" s="135"/>
      <c r="AF798" s="135"/>
    </row>
    <row r="799">
      <c r="A799" s="135"/>
      <c r="B799" s="135"/>
      <c r="C799" s="135"/>
      <c r="D799" s="135"/>
      <c r="E799" s="135"/>
      <c r="F799" s="135"/>
      <c r="G799" s="135"/>
      <c r="H799" s="135"/>
      <c r="I799" s="135"/>
      <c r="J799" s="135"/>
      <c r="K799" s="135"/>
      <c r="L799" s="135"/>
      <c r="M799" s="135"/>
      <c r="N799" s="135"/>
      <c r="O799" s="135"/>
      <c r="P799" s="135"/>
      <c r="Q799" s="135"/>
      <c r="R799" s="135"/>
      <c r="S799" s="135"/>
      <c r="T799" s="135"/>
      <c r="U799" s="135"/>
      <c r="V799" s="135"/>
      <c r="W799" s="135"/>
      <c r="X799" s="135"/>
      <c r="Y799" s="135"/>
      <c r="Z799" s="135"/>
      <c r="AA799" s="135"/>
      <c r="AB799" s="135"/>
      <c r="AC799" s="135"/>
      <c r="AD799" s="135"/>
      <c r="AE799" s="135"/>
      <c r="AF799" s="135"/>
    </row>
    <row r="800">
      <c r="A800" s="135"/>
      <c r="B800" s="135"/>
      <c r="C800" s="135"/>
      <c r="D800" s="135"/>
      <c r="E800" s="135"/>
      <c r="F800" s="135"/>
      <c r="G800" s="135"/>
      <c r="H800" s="135"/>
      <c r="I800" s="135"/>
      <c r="J800" s="135"/>
      <c r="K800" s="135"/>
      <c r="L800" s="135"/>
      <c r="M800" s="135"/>
      <c r="N800" s="135"/>
      <c r="O800" s="135"/>
      <c r="P800" s="135"/>
      <c r="Q800" s="135"/>
      <c r="R800" s="135"/>
      <c r="S800" s="135"/>
      <c r="T800" s="135"/>
      <c r="U800" s="135"/>
      <c r="V800" s="135"/>
      <c r="W800" s="135"/>
      <c r="X800" s="135"/>
      <c r="Y800" s="135"/>
      <c r="Z800" s="135"/>
      <c r="AA800" s="135"/>
      <c r="AB800" s="135"/>
      <c r="AC800" s="135"/>
      <c r="AD800" s="135"/>
      <c r="AE800" s="135"/>
      <c r="AF800" s="135"/>
    </row>
    <row r="801">
      <c r="A801" s="135"/>
      <c r="B801" s="135"/>
      <c r="C801" s="135"/>
      <c r="D801" s="135"/>
      <c r="E801" s="135"/>
      <c r="F801" s="135"/>
      <c r="G801" s="135"/>
      <c r="H801" s="135"/>
      <c r="I801" s="135"/>
      <c r="J801" s="135"/>
      <c r="K801" s="135"/>
      <c r="L801" s="135"/>
      <c r="M801" s="135"/>
      <c r="N801" s="135"/>
      <c r="O801" s="135"/>
      <c r="P801" s="135"/>
      <c r="Q801" s="135"/>
      <c r="R801" s="135"/>
      <c r="S801" s="135"/>
      <c r="T801" s="135"/>
      <c r="U801" s="135"/>
      <c r="V801" s="135"/>
      <c r="W801" s="135"/>
      <c r="X801" s="135"/>
      <c r="Y801" s="135"/>
      <c r="Z801" s="135"/>
      <c r="AA801" s="135"/>
      <c r="AB801" s="135"/>
      <c r="AC801" s="135"/>
      <c r="AD801" s="135"/>
      <c r="AE801" s="135"/>
      <c r="AF801" s="135"/>
    </row>
    <row r="802">
      <c r="A802" s="135"/>
      <c r="B802" s="135"/>
      <c r="C802" s="135"/>
      <c r="D802" s="135"/>
      <c r="E802" s="135"/>
      <c r="F802" s="135"/>
      <c r="G802" s="135"/>
      <c r="H802" s="135"/>
      <c r="I802" s="135"/>
      <c r="J802" s="135"/>
      <c r="K802" s="135"/>
      <c r="L802" s="135"/>
      <c r="M802" s="135"/>
      <c r="N802" s="135"/>
      <c r="O802" s="135"/>
      <c r="P802" s="135"/>
      <c r="Q802" s="135"/>
      <c r="R802" s="135"/>
      <c r="S802" s="135"/>
      <c r="T802" s="135"/>
      <c r="U802" s="135"/>
      <c r="V802" s="135"/>
      <c r="W802" s="135"/>
      <c r="X802" s="135"/>
      <c r="Y802" s="135"/>
      <c r="Z802" s="135"/>
      <c r="AA802" s="135"/>
      <c r="AB802" s="135"/>
      <c r="AC802" s="135"/>
      <c r="AD802" s="135"/>
      <c r="AE802" s="135"/>
      <c r="AF802" s="135"/>
    </row>
    <row r="803">
      <c r="A803" s="135"/>
      <c r="B803" s="135"/>
      <c r="C803" s="135"/>
      <c r="D803" s="135"/>
      <c r="E803" s="135"/>
      <c r="F803" s="135"/>
      <c r="G803" s="135"/>
      <c r="H803" s="135"/>
      <c r="I803" s="135"/>
      <c r="J803" s="135"/>
      <c r="K803" s="135"/>
      <c r="L803" s="135"/>
      <c r="M803" s="135"/>
      <c r="N803" s="135"/>
      <c r="O803" s="135"/>
      <c r="P803" s="135"/>
      <c r="Q803" s="135"/>
      <c r="R803" s="135"/>
      <c r="S803" s="135"/>
      <c r="T803" s="135"/>
      <c r="U803" s="135"/>
      <c r="V803" s="135"/>
      <c r="W803" s="135"/>
      <c r="X803" s="135"/>
      <c r="Y803" s="135"/>
      <c r="Z803" s="135"/>
      <c r="AA803" s="135"/>
      <c r="AB803" s="135"/>
      <c r="AC803" s="135"/>
      <c r="AD803" s="135"/>
      <c r="AE803" s="135"/>
      <c r="AF803" s="135"/>
    </row>
    <row r="804">
      <c r="A804" s="135"/>
      <c r="B804" s="135"/>
      <c r="C804" s="135"/>
      <c r="D804" s="135"/>
      <c r="E804" s="135"/>
      <c r="F804" s="135"/>
      <c r="G804" s="135"/>
      <c r="H804" s="135"/>
      <c r="I804" s="135"/>
      <c r="J804" s="135"/>
      <c r="K804" s="135"/>
      <c r="L804" s="135"/>
      <c r="M804" s="135"/>
      <c r="N804" s="135"/>
      <c r="O804" s="135"/>
      <c r="P804" s="135"/>
      <c r="Q804" s="135"/>
      <c r="R804" s="135"/>
      <c r="S804" s="135"/>
      <c r="T804" s="135"/>
      <c r="U804" s="135"/>
      <c r="V804" s="135"/>
      <c r="W804" s="135"/>
      <c r="X804" s="135"/>
      <c r="Y804" s="135"/>
      <c r="Z804" s="135"/>
      <c r="AA804" s="135"/>
      <c r="AB804" s="135"/>
      <c r="AC804" s="135"/>
      <c r="AD804" s="135"/>
      <c r="AE804" s="135"/>
      <c r="AF804" s="135"/>
    </row>
    <row r="805">
      <c r="A805" s="135"/>
      <c r="B805" s="135"/>
      <c r="C805" s="135"/>
      <c r="D805" s="135"/>
      <c r="E805" s="135"/>
      <c r="F805" s="135"/>
      <c r="G805" s="135"/>
      <c r="H805" s="135"/>
      <c r="I805" s="135"/>
      <c r="J805" s="135"/>
      <c r="K805" s="135"/>
      <c r="L805" s="135"/>
      <c r="M805" s="135"/>
      <c r="N805" s="135"/>
      <c r="O805" s="135"/>
      <c r="P805" s="135"/>
      <c r="Q805" s="135"/>
      <c r="R805" s="135"/>
      <c r="S805" s="135"/>
      <c r="T805" s="135"/>
      <c r="U805" s="135"/>
      <c r="V805" s="135"/>
      <c r="W805" s="135"/>
      <c r="X805" s="135"/>
      <c r="Y805" s="135"/>
      <c r="Z805" s="135"/>
      <c r="AA805" s="135"/>
      <c r="AB805" s="135"/>
      <c r="AC805" s="135"/>
      <c r="AD805" s="135"/>
      <c r="AE805" s="135"/>
      <c r="AF805" s="135"/>
    </row>
    <row r="806">
      <c r="A806" s="135"/>
      <c r="B806" s="135"/>
      <c r="C806" s="135"/>
      <c r="D806" s="135"/>
      <c r="E806" s="135"/>
      <c r="F806" s="135"/>
      <c r="G806" s="135"/>
      <c r="H806" s="135"/>
      <c r="I806" s="135"/>
      <c r="J806" s="135"/>
      <c r="K806" s="135"/>
      <c r="L806" s="135"/>
      <c r="M806" s="135"/>
      <c r="N806" s="135"/>
      <c r="O806" s="135"/>
      <c r="P806" s="135"/>
      <c r="Q806" s="135"/>
      <c r="R806" s="135"/>
      <c r="S806" s="135"/>
      <c r="T806" s="135"/>
      <c r="U806" s="135"/>
      <c r="V806" s="135"/>
      <c r="W806" s="135"/>
      <c r="X806" s="135"/>
      <c r="Y806" s="135"/>
      <c r="Z806" s="135"/>
      <c r="AA806" s="135"/>
      <c r="AB806" s="135"/>
      <c r="AC806" s="135"/>
      <c r="AD806" s="135"/>
      <c r="AE806" s="135"/>
      <c r="AF806" s="135"/>
    </row>
    <row r="807">
      <c r="A807" s="135"/>
      <c r="B807" s="135"/>
      <c r="C807" s="135"/>
      <c r="D807" s="135"/>
      <c r="E807" s="135"/>
      <c r="F807" s="135"/>
      <c r="G807" s="135"/>
      <c r="H807" s="135"/>
      <c r="I807" s="135"/>
      <c r="J807" s="135"/>
      <c r="K807" s="135"/>
      <c r="L807" s="135"/>
      <c r="M807" s="135"/>
      <c r="N807" s="135"/>
      <c r="O807" s="135"/>
      <c r="P807" s="135"/>
      <c r="Q807" s="135"/>
      <c r="R807" s="135"/>
      <c r="S807" s="135"/>
      <c r="T807" s="135"/>
      <c r="U807" s="135"/>
      <c r="V807" s="135"/>
      <c r="W807" s="135"/>
      <c r="X807" s="135"/>
      <c r="Y807" s="135"/>
      <c r="Z807" s="135"/>
      <c r="AA807" s="135"/>
      <c r="AB807" s="135"/>
      <c r="AC807" s="135"/>
      <c r="AD807" s="135"/>
      <c r="AE807" s="135"/>
      <c r="AF807" s="135"/>
    </row>
    <row r="808">
      <c r="A808" s="135"/>
      <c r="B808" s="135"/>
      <c r="C808" s="135"/>
      <c r="D808" s="135"/>
      <c r="E808" s="135"/>
      <c r="F808" s="135"/>
      <c r="G808" s="135"/>
      <c r="H808" s="135"/>
      <c r="I808" s="135"/>
      <c r="J808" s="135"/>
      <c r="K808" s="135"/>
      <c r="L808" s="135"/>
      <c r="M808" s="135"/>
      <c r="N808" s="135"/>
      <c r="O808" s="135"/>
      <c r="P808" s="135"/>
      <c r="Q808" s="135"/>
      <c r="R808" s="135"/>
      <c r="S808" s="135"/>
      <c r="T808" s="135"/>
      <c r="U808" s="135"/>
      <c r="V808" s="135"/>
      <c r="W808" s="135"/>
      <c r="X808" s="135"/>
      <c r="Y808" s="135"/>
      <c r="Z808" s="135"/>
      <c r="AA808" s="135"/>
      <c r="AB808" s="135"/>
      <c r="AC808" s="135"/>
      <c r="AD808" s="135"/>
      <c r="AE808" s="135"/>
      <c r="AF808" s="135"/>
    </row>
    <row r="809">
      <c r="A809" s="135"/>
      <c r="B809" s="135"/>
      <c r="C809" s="135"/>
      <c r="D809" s="135"/>
      <c r="E809" s="135"/>
      <c r="F809" s="135"/>
      <c r="G809" s="135"/>
      <c r="H809" s="135"/>
      <c r="I809" s="135"/>
      <c r="J809" s="135"/>
      <c r="K809" s="135"/>
      <c r="L809" s="135"/>
      <c r="M809" s="135"/>
      <c r="N809" s="135"/>
      <c r="O809" s="135"/>
      <c r="P809" s="135"/>
      <c r="Q809" s="135"/>
      <c r="R809" s="135"/>
      <c r="S809" s="135"/>
      <c r="T809" s="135"/>
      <c r="U809" s="135"/>
      <c r="V809" s="135"/>
      <c r="W809" s="135"/>
      <c r="X809" s="135"/>
      <c r="Y809" s="135"/>
      <c r="Z809" s="135"/>
      <c r="AA809" s="135"/>
      <c r="AB809" s="135"/>
      <c r="AC809" s="135"/>
      <c r="AD809" s="135"/>
      <c r="AE809" s="135"/>
      <c r="AF809" s="135"/>
    </row>
    <row r="810">
      <c r="A810" s="135"/>
      <c r="B810" s="135"/>
      <c r="C810" s="135"/>
      <c r="D810" s="135"/>
      <c r="E810" s="135"/>
      <c r="F810" s="135"/>
      <c r="G810" s="135"/>
      <c r="H810" s="135"/>
      <c r="I810" s="135"/>
      <c r="J810" s="135"/>
      <c r="K810" s="135"/>
      <c r="L810" s="135"/>
      <c r="M810" s="135"/>
      <c r="N810" s="135"/>
      <c r="O810" s="135"/>
      <c r="P810" s="135"/>
      <c r="Q810" s="135"/>
      <c r="R810" s="135"/>
      <c r="S810" s="135"/>
      <c r="T810" s="135"/>
      <c r="U810" s="135"/>
      <c r="V810" s="135"/>
      <c r="W810" s="135"/>
      <c r="X810" s="135"/>
      <c r="Y810" s="135"/>
      <c r="Z810" s="135"/>
      <c r="AA810" s="135"/>
      <c r="AB810" s="135"/>
      <c r="AC810" s="135"/>
      <c r="AD810" s="135"/>
      <c r="AE810" s="135"/>
      <c r="AF810" s="135"/>
    </row>
    <row r="811">
      <c r="A811" s="135"/>
      <c r="B811" s="135"/>
      <c r="C811" s="135"/>
      <c r="D811" s="135"/>
      <c r="E811" s="135"/>
      <c r="F811" s="135"/>
      <c r="G811" s="135"/>
      <c r="H811" s="135"/>
      <c r="I811" s="135"/>
      <c r="J811" s="135"/>
      <c r="K811" s="135"/>
      <c r="L811" s="135"/>
      <c r="M811" s="135"/>
      <c r="N811" s="135"/>
      <c r="O811" s="135"/>
      <c r="P811" s="135"/>
      <c r="Q811" s="135"/>
      <c r="R811" s="135"/>
      <c r="S811" s="135"/>
      <c r="T811" s="135"/>
      <c r="U811" s="135"/>
      <c r="V811" s="135"/>
      <c r="W811" s="135"/>
      <c r="X811" s="135"/>
      <c r="Y811" s="135"/>
      <c r="Z811" s="135"/>
      <c r="AA811" s="135"/>
      <c r="AB811" s="135"/>
      <c r="AC811" s="135"/>
      <c r="AD811" s="135"/>
      <c r="AE811" s="135"/>
      <c r="AF811" s="135"/>
    </row>
    <row r="812">
      <c r="A812" s="135"/>
      <c r="B812" s="135"/>
      <c r="C812" s="135"/>
      <c r="D812" s="135"/>
      <c r="E812" s="135"/>
      <c r="F812" s="135"/>
      <c r="G812" s="135"/>
      <c r="H812" s="135"/>
      <c r="I812" s="135"/>
      <c r="J812" s="135"/>
      <c r="K812" s="135"/>
      <c r="L812" s="135"/>
      <c r="M812" s="135"/>
      <c r="N812" s="135"/>
      <c r="O812" s="135"/>
      <c r="P812" s="135"/>
      <c r="Q812" s="135"/>
      <c r="R812" s="135"/>
      <c r="S812" s="135"/>
      <c r="T812" s="135"/>
      <c r="U812" s="135"/>
      <c r="V812" s="135"/>
      <c r="W812" s="135"/>
      <c r="X812" s="135"/>
      <c r="Y812" s="135"/>
      <c r="Z812" s="135"/>
      <c r="AA812" s="135"/>
      <c r="AB812" s="135"/>
      <c r="AC812" s="135"/>
      <c r="AD812" s="135"/>
      <c r="AE812" s="135"/>
      <c r="AF812" s="135"/>
    </row>
    <row r="813">
      <c r="A813" s="135"/>
      <c r="B813" s="135"/>
      <c r="C813" s="135"/>
      <c r="D813" s="135"/>
      <c r="E813" s="135"/>
      <c r="F813" s="135"/>
      <c r="G813" s="135"/>
      <c r="H813" s="135"/>
      <c r="I813" s="135"/>
      <c r="J813" s="135"/>
      <c r="K813" s="135"/>
      <c r="L813" s="135"/>
      <c r="M813" s="135"/>
      <c r="N813" s="135"/>
      <c r="O813" s="135"/>
      <c r="P813" s="135"/>
      <c r="Q813" s="135"/>
      <c r="R813" s="135"/>
      <c r="S813" s="135"/>
      <c r="T813" s="135"/>
      <c r="U813" s="135"/>
      <c r="V813" s="135"/>
      <c r="W813" s="135"/>
      <c r="X813" s="135"/>
      <c r="Y813" s="135"/>
      <c r="Z813" s="135"/>
      <c r="AA813" s="135"/>
      <c r="AB813" s="135"/>
      <c r="AC813" s="135"/>
      <c r="AD813" s="135"/>
      <c r="AE813" s="135"/>
      <c r="AF813" s="135"/>
    </row>
    <row r="814">
      <c r="A814" s="135"/>
      <c r="B814" s="135"/>
      <c r="C814" s="135"/>
      <c r="D814" s="135"/>
      <c r="E814" s="135"/>
      <c r="F814" s="135"/>
      <c r="G814" s="135"/>
      <c r="H814" s="135"/>
      <c r="I814" s="135"/>
      <c r="J814" s="135"/>
      <c r="K814" s="135"/>
      <c r="L814" s="135"/>
      <c r="M814" s="135"/>
      <c r="N814" s="135"/>
      <c r="O814" s="135"/>
      <c r="P814" s="135"/>
      <c r="Q814" s="135"/>
      <c r="R814" s="135"/>
      <c r="S814" s="135"/>
      <c r="T814" s="135"/>
      <c r="U814" s="135"/>
      <c r="V814" s="135"/>
      <c r="W814" s="135"/>
      <c r="X814" s="135"/>
      <c r="Y814" s="135"/>
      <c r="Z814" s="135"/>
      <c r="AA814" s="135"/>
      <c r="AB814" s="135"/>
      <c r="AC814" s="135"/>
      <c r="AD814" s="135"/>
      <c r="AE814" s="135"/>
      <c r="AF814" s="135"/>
    </row>
    <row r="815">
      <c r="A815" s="135"/>
      <c r="B815" s="135"/>
      <c r="C815" s="135"/>
      <c r="D815" s="135"/>
      <c r="E815" s="135"/>
      <c r="F815" s="135"/>
      <c r="G815" s="135"/>
      <c r="H815" s="135"/>
      <c r="I815" s="135"/>
      <c r="J815" s="135"/>
      <c r="K815" s="135"/>
      <c r="L815" s="135"/>
      <c r="M815" s="135"/>
      <c r="N815" s="135"/>
      <c r="O815" s="135"/>
      <c r="P815" s="135"/>
      <c r="Q815" s="135"/>
      <c r="R815" s="135"/>
      <c r="S815" s="135"/>
      <c r="T815" s="135"/>
      <c r="U815" s="135"/>
      <c r="V815" s="135"/>
      <c r="W815" s="135"/>
      <c r="X815" s="135"/>
      <c r="Y815" s="135"/>
      <c r="Z815" s="135"/>
      <c r="AA815" s="135"/>
      <c r="AB815" s="135"/>
      <c r="AC815" s="135"/>
      <c r="AD815" s="135"/>
      <c r="AE815" s="135"/>
      <c r="AF815" s="135"/>
    </row>
    <row r="816">
      <c r="A816" s="135"/>
      <c r="B816" s="135"/>
      <c r="C816" s="135"/>
      <c r="D816" s="135"/>
      <c r="E816" s="135"/>
      <c r="F816" s="135"/>
      <c r="G816" s="135"/>
      <c r="H816" s="135"/>
      <c r="I816" s="135"/>
      <c r="J816" s="135"/>
      <c r="K816" s="135"/>
      <c r="L816" s="135"/>
      <c r="M816" s="135"/>
      <c r="N816" s="135"/>
      <c r="O816" s="135"/>
      <c r="P816" s="135"/>
      <c r="Q816" s="135"/>
      <c r="R816" s="135"/>
      <c r="S816" s="135"/>
      <c r="T816" s="135"/>
      <c r="U816" s="135"/>
      <c r="V816" s="135"/>
      <c r="W816" s="135"/>
      <c r="X816" s="135"/>
      <c r="Y816" s="135"/>
      <c r="Z816" s="135"/>
      <c r="AA816" s="135"/>
      <c r="AB816" s="135"/>
      <c r="AC816" s="135"/>
      <c r="AD816" s="135"/>
      <c r="AE816" s="135"/>
      <c r="AF816" s="135"/>
    </row>
    <row r="817">
      <c r="A817" s="135"/>
      <c r="B817" s="135"/>
      <c r="C817" s="135"/>
      <c r="D817" s="135"/>
      <c r="E817" s="135"/>
      <c r="F817" s="135"/>
      <c r="G817" s="135"/>
      <c r="H817" s="135"/>
      <c r="I817" s="135"/>
      <c r="J817" s="135"/>
      <c r="K817" s="135"/>
      <c r="L817" s="135"/>
      <c r="M817" s="135"/>
      <c r="N817" s="135"/>
      <c r="O817" s="135"/>
      <c r="P817" s="135"/>
      <c r="Q817" s="135"/>
      <c r="R817" s="135"/>
      <c r="S817" s="135"/>
      <c r="T817" s="135"/>
      <c r="U817" s="135"/>
      <c r="V817" s="135"/>
      <c r="W817" s="135"/>
      <c r="X817" s="135"/>
      <c r="Y817" s="135"/>
      <c r="Z817" s="135"/>
      <c r="AA817" s="135"/>
      <c r="AB817" s="135"/>
      <c r="AC817" s="135"/>
      <c r="AD817" s="135"/>
      <c r="AE817" s="135"/>
      <c r="AF817" s="135"/>
    </row>
    <row r="818">
      <c r="A818" s="135"/>
      <c r="B818" s="135"/>
      <c r="C818" s="135"/>
      <c r="D818" s="135"/>
      <c r="E818" s="135"/>
      <c r="F818" s="135"/>
      <c r="G818" s="135"/>
      <c r="H818" s="135"/>
      <c r="I818" s="135"/>
      <c r="J818" s="135"/>
      <c r="K818" s="135"/>
      <c r="L818" s="135"/>
      <c r="M818" s="135"/>
      <c r="N818" s="135"/>
      <c r="O818" s="135"/>
      <c r="P818" s="135"/>
      <c r="Q818" s="135"/>
      <c r="R818" s="135"/>
      <c r="S818" s="135"/>
      <c r="T818" s="135"/>
      <c r="U818" s="135"/>
      <c r="V818" s="135"/>
      <c r="W818" s="135"/>
      <c r="X818" s="135"/>
      <c r="Y818" s="135"/>
      <c r="Z818" s="135"/>
      <c r="AA818" s="135"/>
      <c r="AB818" s="135"/>
      <c r="AC818" s="135"/>
      <c r="AD818" s="135"/>
      <c r="AE818" s="135"/>
      <c r="AF818" s="135"/>
    </row>
    <row r="819">
      <c r="A819" s="135"/>
      <c r="B819" s="135"/>
      <c r="C819" s="135"/>
      <c r="D819" s="135"/>
      <c r="E819" s="135"/>
      <c r="F819" s="135"/>
      <c r="G819" s="135"/>
      <c r="H819" s="135"/>
      <c r="I819" s="135"/>
      <c r="J819" s="135"/>
      <c r="K819" s="135"/>
      <c r="L819" s="135"/>
      <c r="M819" s="135"/>
      <c r="N819" s="135"/>
      <c r="O819" s="135"/>
      <c r="P819" s="135"/>
      <c r="Q819" s="135"/>
      <c r="R819" s="135"/>
      <c r="S819" s="135"/>
      <c r="T819" s="135"/>
      <c r="U819" s="135"/>
      <c r="V819" s="135"/>
      <c r="W819" s="135"/>
      <c r="X819" s="135"/>
      <c r="Y819" s="135"/>
      <c r="Z819" s="135"/>
      <c r="AA819" s="135"/>
      <c r="AB819" s="135"/>
      <c r="AC819" s="135"/>
      <c r="AD819" s="135"/>
      <c r="AE819" s="135"/>
      <c r="AF819" s="135"/>
    </row>
    <row r="820">
      <c r="A820" s="135"/>
      <c r="B820" s="135"/>
      <c r="C820" s="135"/>
      <c r="D820" s="135"/>
      <c r="E820" s="135"/>
      <c r="F820" s="135"/>
      <c r="G820" s="135"/>
      <c r="H820" s="135"/>
      <c r="I820" s="135"/>
      <c r="J820" s="135"/>
      <c r="K820" s="135"/>
      <c r="L820" s="135"/>
      <c r="M820" s="135"/>
      <c r="N820" s="135"/>
      <c r="O820" s="135"/>
      <c r="P820" s="135"/>
      <c r="Q820" s="135"/>
      <c r="R820" s="135"/>
      <c r="S820" s="135"/>
      <c r="T820" s="135"/>
      <c r="U820" s="135"/>
      <c r="V820" s="135"/>
      <c r="W820" s="135"/>
      <c r="X820" s="135"/>
      <c r="Y820" s="135"/>
      <c r="Z820" s="135"/>
      <c r="AA820" s="135"/>
      <c r="AB820" s="135"/>
      <c r="AC820" s="135"/>
      <c r="AD820" s="135"/>
      <c r="AE820" s="135"/>
      <c r="AF820" s="135"/>
    </row>
    <row r="821">
      <c r="A821" s="135"/>
      <c r="B821" s="135"/>
      <c r="C821" s="135"/>
      <c r="D821" s="135"/>
      <c r="E821" s="135"/>
      <c r="F821" s="135"/>
      <c r="G821" s="135"/>
      <c r="H821" s="135"/>
      <c r="I821" s="135"/>
      <c r="J821" s="135"/>
      <c r="K821" s="135"/>
      <c r="L821" s="135"/>
      <c r="M821" s="135"/>
      <c r="N821" s="135"/>
      <c r="O821" s="135"/>
      <c r="P821" s="135"/>
      <c r="Q821" s="135"/>
      <c r="R821" s="135"/>
      <c r="S821" s="135"/>
      <c r="T821" s="135"/>
      <c r="U821" s="135"/>
      <c r="V821" s="135"/>
      <c r="W821" s="135"/>
      <c r="X821" s="135"/>
      <c r="Y821" s="135"/>
      <c r="Z821" s="135"/>
      <c r="AA821" s="135"/>
      <c r="AB821" s="135"/>
      <c r="AC821" s="135"/>
      <c r="AD821" s="135"/>
      <c r="AE821" s="135"/>
      <c r="AF821" s="135"/>
    </row>
    <row r="822">
      <c r="A822" s="135"/>
      <c r="B822" s="135"/>
      <c r="C822" s="135"/>
      <c r="D822" s="135"/>
      <c r="E822" s="135"/>
      <c r="F822" s="135"/>
      <c r="G822" s="135"/>
      <c r="H822" s="135"/>
      <c r="I822" s="135"/>
      <c r="J822" s="135"/>
      <c r="K822" s="135"/>
      <c r="L822" s="135"/>
      <c r="M822" s="135"/>
      <c r="N822" s="135"/>
      <c r="O822" s="135"/>
      <c r="P822" s="135"/>
      <c r="Q822" s="135"/>
      <c r="R822" s="135"/>
      <c r="S822" s="135"/>
      <c r="T822" s="135"/>
      <c r="U822" s="135"/>
      <c r="V822" s="135"/>
      <c r="W822" s="135"/>
      <c r="X822" s="135"/>
      <c r="Y822" s="135"/>
      <c r="Z822" s="135"/>
      <c r="AA822" s="135"/>
      <c r="AB822" s="135"/>
      <c r="AC822" s="135"/>
      <c r="AD822" s="135"/>
      <c r="AE822" s="135"/>
      <c r="AF822" s="135"/>
    </row>
    <row r="823">
      <c r="A823" s="135"/>
      <c r="B823" s="135"/>
      <c r="C823" s="135"/>
      <c r="D823" s="135"/>
      <c r="E823" s="135"/>
      <c r="F823" s="135"/>
      <c r="G823" s="135"/>
      <c r="H823" s="135"/>
      <c r="I823" s="135"/>
      <c r="J823" s="135"/>
      <c r="K823" s="135"/>
      <c r="L823" s="135"/>
      <c r="M823" s="135"/>
      <c r="N823" s="135"/>
      <c r="O823" s="135"/>
      <c r="P823" s="135"/>
      <c r="Q823" s="135"/>
      <c r="R823" s="135"/>
      <c r="S823" s="135"/>
      <c r="T823" s="135"/>
      <c r="U823" s="135"/>
      <c r="V823" s="135"/>
      <c r="W823" s="135"/>
      <c r="X823" s="135"/>
      <c r="Y823" s="135"/>
      <c r="Z823" s="135"/>
      <c r="AA823" s="135"/>
      <c r="AB823" s="135"/>
      <c r="AC823" s="135"/>
      <c r="AD823" s="135"/>
      <c r="AE823" s="135"/>
      <c r="AF823" s="135"/>
    </row>
    <row r="824">
      <c r="A824" s="135"/>
      <c r="B824" s="135"/>
      <c r="C824" s="135"/>
      <c r="D824" s="135"/>
      <c r="E824" s="135"/>
      <c r="F824" s="135"/>
      <c r="G824" s="135"/>
      <c r="H824" s="135"/>
      <c r="I824" s="135"/>
      <c r="J824" s="135"/>
      <c r="K824" s="135"/>
      <c r="L824" s="135"/>
      <c r="M824" s="135"/>
      <c r="N824" s="135"/>
      <c r="O824" s="135"/>
      <c r="P824" s="135"/>
      <c r="Q824" s="135"/>
      <c r="R824" s="135"/>
      <c r="S824" s="135"/>
      <c r="T824" s="135"/>
      <c r="U824" s="135"/>
      <c r="V824" s="135"/>
      <c r="W824" s="135"/>
      <c r="X824" s="135"/>
      <c r="Y824" s="135"/>
      <c r="Z824" s="135"/>
      <c r="AA824" s="135"/>
      <c r="AB824" s="135"/>
      <c r="AC824" s="135"/>
      <c r="AD824" s="135"/>
      <c r="AE824" s="135"/>
      <c r="AF824" s="135"/>
    </row>
    <row r="825">
      <c r="A825" s="135"/>
      <c r="B825" s="135"/>
      <c r="C825" s="135"/>
      <c r="D825" s="135"/>
      <c r="E825" s="135"/>
      <c r="F825" s="135"/>
      <c r="G825" s="135"/>
      <c r="H825" s="135"/>
      <c r="I825" s="135"/>
      <c r="J825" s="135"/>
      <c r="K825" s="135"/>
      <c r="L825" s="135"/>
      <c r="M825" s="135"/>
      <c r="N825" s="135"/>
      <c r="O825" s="135"/>
      <c r="P825" s="135"/>
      <c r="Q825" s="135"/>
      <c r="R825" s="135"/>
      <c r="S825" s="135"/>
      <c r="T825" s="135"/>
      <c r="U825" s="135"/>
      <c r="V825" s="135"/>
      <c r="W825" s="135"/>
      <c r="X825" s="135"/>
      <c r="Y825" s="135"/>
      <c r="Z825" s="135"/>
      <c r="AA825" s="135"/>
      <c r="AB825" s="135"/>
      <c r="AC825" s="135"/>
      <c r="AD825" s="135"/>
      <c r="AE825" s="135"/>
      <c r="AF825" s="135"/>
    </row>
    <row r="826">
      <c r="A826" s="135"/>
      <c r="B826" s="135"/>
      <c r="C826" s="135"/>
      <c r="D826" s="135"/>
      <c r="E826" s="135"/>
      <c r="F826" s="135"/>
      <c r="G826" s="135"/>
      <c r="H826" s="135"/>
      <c r="I826" s="135"/>
      <c r="J826" s="135"/>
      <c r="K826" s="135"/>
      <c r="L826" s="135"/>
      <c r="M826" s="135"/>
      <c r="N826" s="135"/>
      <c r="O826" s="135"/>
      <c r="P826" s="135"/>
      <c r="Q826" s="135"/>
      <c r="R826" s="135"/>
      <c r="S826" s="135"/>
      <c r="T826" s="135"/>
      <c r="U826" s="135"/>
      <c r="V826" s="135"/>
      <c r="W826" s="135"/>
      <c r="X826" s="135"/>
      <c r="Y826" s="135"/>
      <c r="Z826" s="135"/>
      <c r="AA826" s="135"/>
      <c r="AB826" s="135"/>
      <c r="AC826" s="135"/>
      <c r="AD826" s="135"/>
      <c r="AE826" s="135"/>
      <c r="AF826" s="135"/>
    </row>
    <row r="827">
      <c r="A827" s="135"/>
      <c r="B827" s="135"/>
      <c r="C827" s="135"/>
      <c r="D827" s="135"/>
      <c r="E827" s="135"/>
      <c r="F827" s="135"/>
      <c r="G827" s="135"/>
      <c r="H827" s="135"/>
      <c r="I827" s="135"/>
      <c r="J827" s="135"/>
      <c r="K827" s="135"/>
      <c r="L827" s="135"/>
      <c r="M827" s="135"/>
      <c r="N827" s="135"/>
      <c r="O827" s="135"/>
      <c r="P827" s="135"/>
      <c r="Q827" s="135"/>
      <c r="R827" s="135"/>
      <c r="S827" s="135"/>
      <c r="T827" s="135"/>
      <c r="U827" s="135"/>
      <c r="V827" s="135"/>
      <c r="W827" s="135"/>
      <c r="X827" s="135"/>
      <c r="Y827" s="135"/>
      <c r="Z827" s="135"/>
      <c r="AA827" s="135"/>
      <c r="AB827" s="135"/>
      <c r="AC827" s="135"/>
      <c r="AD827" s="135"/>
      <c r="AE827" s="135"/>
      <c r="AF827" s="135"/>
    </row>
    <row r="828">
      <c r="A828" s="135"/>
      <c r="B828" s="135"/>
      <c r="C828" s="135"/>
      <c r="D828" s="135"/>
      <c r="E828" s="135"/>
      <c r="F828" s="135"/>
      <c r="G828" s="135"/>
      <c r="H828" s="135"/>
      <c r="I828" s="135"/>
      <c r="J828" s="135"/>
      <c r="K828" s="135"/>
      <c r="L828" s="135"/>
      <c r="M828" s="135"/>
      <c r="N828" s="135"/>
      <c r="O828" s="135"/>
      <c r="P828" s="135"/>
      <c r="Q828" s="135"/>
      <c r="R828" s="135"/>
      <c r="S828" s="135"/>
      <c r="T828" s="135"/>
      <c r="U828" s="135"/>
      <c r="V828" s="135"/>
      <c r="W828" s="135"/>
      <c r="X828" s="135"/>
      <c r="Y828" s="135"/>
      <c r="Z828" s="135"/>
      <c r="AA828" s="135"/>
      <c r="AB828" s="135"/>
      <c r="AC828" s="135"/>
      <c r="AD828" s="135"/>
      <c r="AE828" s="135"/>
      <c r="AF828" s="135"/>
    </row>
    <row r="829">
      <c r="A829" s="135"/>
      <c r="B829" s="135"/>
      <c r="C829" s="135"/>
      <c r="D829" s="135"/>
      <c r="E829" s="135"/>
      <c r="F829" s="135"/>
      <c r="G829" s="135"/>
      <c r="H829" s="135"/>
      <c r="I829" s="135"/>
      <c r="J829" s="135"/>
      <c r="K829" s="135"/>
      <c r="L829" s="135"/>
      <c r="M829" s="135"/>
      <c r="N829" s="135"/>
      <c r="O829" s="135"/>
      <c r="P829" s="135"/>
      <c r="Q829" s="135"/>
      <c r="R829" s="135"/>
      <c r="S829" s="135"/>
      <c r="T829" s="135"/>
      <c r="U829" s="135"/>
      <c r="V829" s="135"/>
      <c r="W829" s="135"/>
      <c r="X829" s="135"/>
      <c r="Y829" s="135"/>
      <c r="Z829" s="135"/>
      <c r="AA829" s="135"/>
      <c r="AB829" s="135"/>
      <c r="AC829" s="135"/>
      <c r="AD829" s="135"/>
      <c r="AE829" s="135"/>
      <c r="AF829" s="135"/>
    </row>
    <row r="830">
      <c r="A830" s="135"/>
      <c r="B830" s="135"/>
      <c r="C830" s="135"/>
      <c r="D830" s="135"/>
      <c r="E830" s="135"/>
      <c r="F830" s="135"/>
      <c r="G830" s="135"/>
      <c r="H830" s="135"/>
      <c r="I830" s="135"/>
      <c r="J830" s="135"/>
      <c r="K830" s="135"/>
      <c r="L830" s="135"/>
      <c r="M830" s="135"/>
      <c r="N830" s="135"/>
      <c r="O830" s="135"/>
      <c r="P830" s="135"/>
      <c r="Q830" s="135"/>
      <c r="R830" s="135"/>
      <c r="S830" s="135"/>
      <c r="T830" s="135"/>
      <c r="U830" s="135"/>
      <c r="V830" s="135"/>
      <c r="W830" s="135"/>
      <c r="X830" s="135"/>
      <c r="Y830" s="135"/>
      <c r="Z830" s="135"/>
      <c r="AA830" s="135"/>
      <c r="AB830" s="135"/>
      <c r="AC830" s="135"/>
      <c r="AD830" s="135"/>
      <c r="AE830" s="135"/>
      <c r="AF830" s="135"/>
    </row>
    <row r="831">
      <c r="A831" s="135"/>
      <c r="B831" s="135"/>
      <c r="C831" s="135"/>
      <c r="D831" s="135"/>
      <c r="E831" s="135"/>
      <c r="F831" s="135"/>
      <c r="G831" s="135"/>
      <c r="H831" s="135"/>
      <c r="I831" s="135"/>
      <c r="J831" s="135"/>
      <c r="K831" s="135"/>
      <c r="L831" s="135"/>
      <c r="M831" s="135"/>
      <c r="N831" s="135"/>
      <c r="O831" s="135"/>
      <c r="P831" s="135"/>
      <c r="Q831" s="135"/>
      <c r="R831" s="135"/>
      <c r="S831" s="135"/>
      <c r="T831" s="135"/>
      <c r="U831" s="135"/>
      <c r="V831" s="135"/>
      <c r="W831" s="135"/>
      <c r="X831" s="135"/>
      <c r="Y831" s="135"/>
      <c r="Z831" s="135"/>
      <c r="AA831" s="135"/>
      <c r="AB831" s="135"/>
      <c r="AC831" s="135"/>
      <c r="AD831" s="135"/>
      <c r="AE831" s="135"/>
      <c r="AF831" s="135"/>
    </row>
    <row r="832">
      <c r="A832" s="135"/>
      <c r="B832" s="135"/>
      <c r="C832" s="135"/>
      <c r="D832" s="135"/>
      <c r="E832" s="135"/>
      <c r="F832" s="135"/>
      <c r="G832" s="135"/>
      <c r="H832" s="135"/>
      <c r="I832" s="135"/>
      <c r="J832" s="135"/>
      <c r="K832" s="135"/>
      <c r="L832" s="135"/>
      <c r="M832" s="135"/>
      <c r="N832" s="135"/>
      <c r="O832" s="135"/>
      <c r="P832" s="135"/>
      <c r="Q832" s="135"/>
      <c r="R832" s="135"/>
      <c r="S832" s="135"/>
      <c r="T832" s="135"/>
      <c r="U832" s="135"/>
      <c r="V832" s="135"/>
      <c r="W832" s="135"/>
      <c r="X832" s="135"/>
      <c r="Y832" s="135"/>
      <c r="Z832" s="135"/>
      <c r="AA832" s="135"/>
      <c r="AB832" s="135"/>
      <c r="AC832" s="135"/>
      <c r="AD832" s="135"/>
      <c r="AE832" s="135"/>
      <c r="AF832" s="135"/>
    </row>
    <row r="833">
      <c r="A833" s="135"/>
      <c r="B833" s="135"/>
      <c r="C833" s="135"/>
      <c r="D833" s="135"/>
      <c r="E833" s="135"/>
      <c r="F833" s="135"/>
      <c r="G833" s="135"/>
      <c r="H833" s="135"/>
      <c r="I833" s="135"/>
      <c r="J833" s="135"/>
      <c r="K833" s="135"/>
      <c r="L833" s="135"/>
      <c r="M833" s="135"/>
      <c r="N833" s="135"/>
      <c r="O833" s="135"/>
      <c r="P833" s="135"/>
      <c r="Q833" s="135"/>
      <c r="R833" s="135"/>
      <c r="S833" s="135"/>
      <c r="T833" s="135"/>
      <c r="U833" s="135"/>
      <c r="V833" s="135"/>
      <c r="W833" s="135"/>
      <c r="X833" s="135"/>
      <c r="Y833" s="135"/>
      <c r="Z833" s="135"/>
      <c r="AA833" s="135"/>
      <c r="AB833" s="135"/>
      <c r="AC833" s="135"/>
      <c r="AD833" s="135"/>
      <c r="AE833" s="135"/>
      <c r="AF833" s="135"/>
    </row>
    <row r="834">
      <c r="A834" s="135"/>
      <c r="B834" s="135"/>
      <c r="C834" s="135"/>
      <c r="D834" s="135"/>
      <c r="E834" s="135"/>
      <c r="F834" s="135"/>
      <c r="G834" s="135"/>
      <c r="H834" s="135"/>
      <c r="I834" s="135"/>
      <c r="J834" s="135"/>
      <c r="K834" s="135"/>
      <c r="L834" s="135"/>
      <c r="M834" s="135"/>
      <c r="N834" s="135"/>
      <c r="O834" s="135"/>
      <c r="P834" s="135"/>
      <c r="Q834" s="135"/>
      <c r="R834" s="135"/>
      <c r="S834" s="135"/>
      <c r="T834" s="135"/>
      <c r="U834" s="135"/>
      <c r="V834" s="135"/>
      <c r="W834" s="135"/>
      <c r="X834" s="135"/>
      <c r="Y834" s="135"/>
      <c r="Z834" s="135"/>
      <c r="AA834" s="135"/>
      <c r="AB834" s="135"/>
      <c r="AC834" s="135"/>
      <c r="AD834" s="135"/>
      <c r="AE834" s="135"/>
      <c r="AF834" s="135"/>
    </row>
    <row r="835">
      <c r="A835" s="135"/>
      <c r="B835" s="135"/>
      <c r="C835" s="135"/>
      <c r="D835" s="135"/>
      <c r="E835" s="135"/>
      <c r="F835" s="135"/>
      <c r="G835" s="135"/>
      <c r="H835" s="135"/>
      <c r="I835" s="135"/>
      <c r="J835" s="135"/>
      <c r="K835" s="135"/>
      <c r="L835" s="135"/>
      <c r="M835" s="135"/>
      <c r="N835" s="135"/>
      <c r="O835" s="135"/>
      <c r="P835" s="135"/>
      <c r="Q835" s="135"/>
      <c r="R835" s="135"/>
      <c r="S835" s="135"/>
      <c r="T835" s="135"/>
      <c r="U835" s="135"/>
      <c r="V835" s="135"/>
      <c r="W835" s="135"/>
      <c r="X835" s="135"/>
      <c r="Y835" s="135"/>
      <c r="Z835" s="135"/>
      <c r="AA835" s="135"/>
      <c r="AB835" s="135"/>
      <c r="AC835" s="135"/>
      <c r="AD835" s="135"/>
      <c r="AE835" s="135"/>
      <c r="AF835" s="135"/>
    </row>
    <row r="836">
      <c r="A836" s="135"/>
      <c r="B836" s="135"/>
      <c r="C836" s="135"/>
      <c r="D836" s="135"/>
      <c r="E836" s="135"/>
      <c r="F836" s="135"/>
      <c r="G836" s="135"/>
      <c r="H836" s="135"/>
      <c r="I836" s="135"/>
      <c r="J836" s="135"/>
      <c r="K836" s="135"/>
      <c r="L836" s="135"/>
      <c r="M836" s="135"/>
      <c r="N836" s="135"/>
      <c r="O836" s="135"/>
      <c r="P836" s="135"/>
      <c r="Q836" s="135"/>
      <c r="R836" s="135"/>
      <c r="S836" s="135"/>
      <c r="T836" s="135"/>
      <c r="U836" s="135"/>
      <c r="V836" s="135"/>
      <c r="W836" s="135"/>
      <c r="X836" s="135"/>
      <c r="Y836" s="135"/>
      <c r="Z836" s="135"/>
      <c r="AA836" s="135"/>
      <c r="AB836" s="135"/>
      <c r="AC836" s="135"/>
      <c r="AD836" s="135"/>
      <c r="AE836" s="135"/>
      <c r="AF836" s="135"/>
    </row>
    <row r="837">
      <c r="A837" s="135"/>
      <c r="B837" s="135"/>
      <c r="C837" s="135"/>
      <c r="D837" s="135"/>
      <c r="E837" s="135"/>
      <c r="F837" s="135"/>
      <c r="G837" s="135"/>
      <c r="H837" s="135"/>
      <c r="I837" s="135"/>
      <c r="J837" s="135"/>
      <c r="K837" s="135"/>
      <c r="L837" s="135"/>
      <c r="M837" s="135"/>
      <c r="N837" s="135"/>
      <c r="O837" s="135"/>
      <c r="P837" s="135"/>
      <c r="Q837" s="135"/>
      <c r="R837" s="135"/>
      <c r="S837" s="135"/>
      <c r="T837" s="135"/>
      <c r="U837" s="135"/>
      <c r="V837" s="135"/>
      <c r="W837" s="135"/>
      <c r="X837" s="135"/>
      <c r="Y837" s="135"/>
      <c r="Z837" s="135"/>
      <c r="AA837" s="135"/>
      <c r="AB837" s="135"/>
      <c r="AC837" s="135"/>
      <c r="AD837" s="135"/>
      <c r="AE837" s="135"/>
      <c r="AF837" s="135"/>
    </row>
    <row r="838">
      <c r="A838" s="135"/>
      <c r="B838" s="135"/>
      <c r="C838" s="135"/>
      <c r="D838" s="135"/>
      <c r="E838" s="135"/>
      <c r="F838" s="135"/>
      <c r="G838" s="135"/>
      <c r="H838" s="135"/>
      <c r="I838" s="135"/>
      <c r="J838" s="135"/>
      <c r="K838" s="135"/>
      <c r="L838" s="135"/>
      <c r="M838" s="135"/>
      <c r="N838" s="135"/>
      <c r="O838" s="135"/>
      <c r="P838" s="135"/>
      <c r="Q838" s="135"/>
      <c r="R838" s="135"/>
      <c r="S838" s="135"/>
      <c r="T838" s="135"/>
      <c r="U838" s="135"/>
      <c r="V838" s="135"/>
      <c r="W838" s="135"/>
      <c r="X838" s="135"/>
      <c r="Y838" s="135"/>
      <c r="Z838" s="135"/>
      <c r="AA838" s="135"/>
      <c r="AB838" s="135"/>
      <c r="AC838" s="135"/>
      <c r="AD838" s="135"/>
      <c r="AE838" s="135"/>
      <c r="AF838" s="135"/>
    </row>
    <row r="839">
      <c r="A839" s="135"/>
      <c r="B839" s="135"/>
      <c r="C839" s="135"/>
      <c r="D839" s="135"/>
      <c r="E839" s="135"/>
      <c r="F839" s="135"/>
      <c r="G839" s="135"/>
      <c r="H839" s="135"/>
      <c r="I839" s="135"/>
      <c r="J839" s="135"/>
      <c r="K839" s="135"/>
      <c r="L839" s="135"/>
      <c r="M839" s="135"/>
      <c r="N839" s="135"/>
      <c r="O839" s="135"/>
      <c r="P839" s="135"/>
      <c r="Q839" s="135"/>
      <c r="R839" s="135"/>
      <c r="S839" s="135"/>
      <c r="T839" s="135"/>
      <c r="U839" s="135"/>
      <c r="V839" s="135"/>
      <c r="W839" s="135"/>
      <c r="X839" s="135"/>
      <c r="Y839" s="135"/>
      <c r="Z839" s="135"/>
      <c r="AA839" s="135"/>
      <c r="AB839" s="135"/>
      <c r="AC839" s="135"/>
      <c r="AD839" s="135"/>
      <c r="AE839" s="135"/>
      <c r="AF839" s="135"/>
    </row>
    <row r="840">
      <c r="A840" s="135"/>
      <c r="B840" s="135"/>
      <c r="C840" s="135"/>
      <c r="D840" s="135"/>
      <c r="E840" s="135"/>
      <c r="F840" s="135"/>
      <c r="G840" s="135"/>
      <c r="H840" s="135"/>
      <c r="I840" s="135"/>
      <c r="J840" s="135"/>
      <c r="K840" s="135"/>
      <c r="L840" s="135"/>
      <c r="M840" s="135"/>
      <c r="N840" s="135"/>
      <c r="O840" s="135"/>
      <c r="P840" s="135"/>
      <c r="Q840" s="135"/>
      <c r="R840" s="135"/>
      <c r="S840" s="135"/>
      <c r="T840" s="135"/>
      <c r="U840" s="135"/>
      <c r="V840" s="135"/>
      <c r="W840" s="135"/>
      <c r="X840" s="135"/>
      <c r="Y840" s="135"/>
      <c r="Z840" s="135"/>
      <c r="AA840" s="135"/>
      <c r="AB840" s="135"/>
      <c r="AC840" s="135"/>
      <c r="AD840" s="135"/>
      <c r="AE840" s="135"/>
      <c r="AF840" s="135"/>
    </row>
    <row r="841">
      <c r="A841" s="135"/>
      <c r="B841" s="135"/>
      <c r="C841" s="135"/>
      <c r="D841" s="135"/>
      <c r="E841" s="135"/>
      <c r="F841" s="135"/>
      <c r="G841" s="135"/>
      <c r="H841" s="135"/>
      <c r="I841" s="135"/>
      <c r="J841" s="135"/>
      <c r="K841" s="135"/>
      <c r="L841" s="135"/>
      <c r="M841" s="135"/>
      <c r="N841" s="135"/>
      <c r="O841" s="135"/>
      <c r="P841" s="135"/>
      <c r="Q841" s="135"/>
      <c r="R841" s="135"/>
      <c r="S841" s="135"/>
      <c r="T841" s="135"/>
      <c r="U841" s="135"/>
      <c r="V841" s="135"/>
      <c r="W841" s="135"/>
      <c r="X841" s="135"/>
      <c r="Y841" s="135"/>
      <c r="Z841" s="135"/>
      <c r="AA841" s="135"/>
      <c r="AB841" s="135"/>
      <c r="AC841" s="135"/>
      <c r="AD841" s="135"/>
      <c r="AE841" s="135"/>
      <c r="AF841" s="135"/>
    </row>
    <row r="842">
      <c r="A842" s="135"/>
      <c r="B842" s="135"/>
      <c r="C842" s="135"/>
      <c r="D842" s="135"/>
      <c r="E842" s="135"/>
      <c r="F842" s="135"/>
      <c r="G842" s="135"/>
      <c r="H842" s="135"/>
      <c r="I842" s="135"/>
      <c r="J842" s="135"/>
      <c r="K842" s="135"/>
      <c r="L842" s="135"/>
      <c r="M842" s="135"/>
      <c r="N842" s="135"/>
      <c r="O842" s="135"/>
      <c r="P842" s="135"/>
      <c r="Q842" s="135"/>
      <c r="R842" s="135"/>
      <c r="S842" s="135"/>
      <c r="T842" s="135"/>
      <c r="U842" s="135"/>
      <c r="V842" s="135"/>
      <c r="W842" s="135"/>
      <c r="X842" s="135"/>
      <c r="Y842" s="135"/>
      <c r="Z842" s="135"/>
      <c r="AA842" s="135"/>
      <c r="AB842" s="135"/>
      <c r="AC842" s="135"/>
      <c r="AD842" s="135"/>
      <c r="AE842" s="135"/>
      <c r="AF842" s="135"/>
    </row>
    <row r="843">
      <c r="A843" s="135"/>
      <c r="B843" s="135"/>
      <c r="C843" s="135"/>
      <c r="D843" s="135"/>
      <c r="E843" s="135"/>
      <c r="F843" s="135"/>
      <c r="G843" s="135"/>
      <c r="H843" s="135"/>
      <c r="I843" s="135"/>
      <c r="J843" s="135"/>
      <c r="K843" s="135"/>
      <c r="L843" s="135"/>
      <c r="M843" s="135"/>
      <c r="N843" s="135"/>
      <c r="O843" s="135"/>
      <c r="P843" s="135"/>
      <c r="Q843" s="135"/>
      <c r="R843" s="135"/>
      <c r="S843" s="135"/>
      <c r="T843" s="135"/>
      <c r="U843" s="135"/>
      <c r="V843" s="135"/>
      <c r="W843" s="135"/>
      <c r="X843" s="135"/>
      <c r="Y843" s="135"/>
      <c r="Z843" s="135"/>
      <c r="AA843" s="135"/>
      <c r="AB843" s="135"/>
      <c r="AC843" s="135"/>
      <c r="AD843" s="135"/>
      <c r="AE843" s="135"/>
      <c r="AF843" s="135"/>
    </row>
    <row r="844">
      <c r="A844" s="135"/>
      <c r="B844" s="135"/>
      <c r="C844" s="135"/>
      <c r="D844" s="135"/>
      <c r="E844" s="135"/>
      <c r="F844" s="135"/>
      <c r="G844" s="135"/>
      <c r="H844" s="135"/>
      <c r="I844" s="135"/>
      <c r="J844" s="135"/>
      <c r="K844" s="135"/>
      <c r="L844" s="135"/>
      <c r="M844" s="135"/>
      <c r="N844" s="135"/>
      <c r="O844" s="135"/>
      <c r="P844" s="135"/>
      <c r="Q844" s="135"/>
      <c r="R844" s="135"/>
      <c r="S844" s="135"/>
      <c r="T844" s="135"/>
      <c r="U844" s="135"/>
      <c r="V844" s="135"/>
      <c r="W844" s="135"/>
      <c r="X844" s="135"/>
      <c r="Y844" s="135"/>
      <c r="Z844" s="135"/>
      <c r="AA844" s="135"/>
      <c r="AB844" s="135"/>
      <c r="AC844" s="135"/>
      <c r="AD844" s="135"/>
      <c r="AE844" s="135"/>
      <c r="AF844" s="135"/>
    </row>
    <row r="845">
      <c r="A845" s="135"/>
      <c r="B845" s="135"/>
      <c r="C845" s="135"/>
      <c r="D845" s="135"/>
      <c r="E845" s="135"/>
      <c r="F845" s="135"/>
      <c r="G845" s="135"/>
      <c r="H845" s="135"/>
      <c r="I845" s="135"/>
      <c r="J845" s="135"/>
      <c r="K845" s="135"/>
      <c r="L845" s="135"/>
      <c r="M845" s="135"/>
      <c r="N845" s="135"/>
      <c r="O845" s="135"/>
      <c r="P845" s="135"/>
      <c r="Q845" s="135"/>
      <c r="R845" s="135"/>
      <c r="S845" s="135"/>
      <c r="T845" s="135"/>
      <c r="U845" s="135"/>
      <c r="V845" s="135"/>
      <c r="W845" s="135"/>
      <c r="X845" s="135"/>
      <c r="Y845" s="135"/>
      <c r="Z845" s="135"/>
      <c r="AA845" s="135"/>
      <c r="AB845" s="135"/>
      <c r="AC845" s="135"/>
      <c r="AD845" s="135"/>
      <c r="AE845" s="135"/>
      <c r="AF845" s="135"/>
    </row>
    <row r="846">
      <c r="A846" s="135"/>
      <c r="B846" s="135"/>
      <c r="C846" s="135"/>
      <c r="D846" s="135"/>
      <c r="E846" s="135"/>
      <c r="F846" s="135"/>
      <c r="G846" s="135"/>
      <c r="H846" s="135"/>
      <c r="I846" s="135"/>
      <c r="J846" s="135"/>
      <c r="K846" s="135"/>
      <c r="L846" s="135"/>
      <c r="M846" s="135"/>
      <c r="N846" s="135"/>
      <c r="O846" s="135"/>
      <c r="P846" s="135"/>
      <c r="Q846" s="135"/>
      <c r="R846" s="135"/>
      <c r="S846" s="135"/>
      <c r="T846" s="135"/>
      <c r="U846" s="135"/>
      <c r="V846" s="135"/>
      <c r="W846" s="135"/>
      <c r="X846" s="135"/>
      <c r="Y846" s="135"/>
      <c r="Z846" s="135"/>
      <c r="AA846" s="135"/>
      <c r="AB846" s="135"/>
      <c r="AC846" s="135"/>
      <c r="AD846" s="135"/>
      <c r="AE846" s="135"/>
      <c r="AF846" s="135"/>
    </row>
    <row r="847">
      <c r="A847" s="135"/>
      <c r="B847" s="135"/>
      <c r="C847" s="135"/>
      <c r="D847" s="135"/>
      <c r="E847" s="135"/>
      <c r="F847" s="135"/>
      <c r="G847" s="135"/>
      <c r="H847" s="135"/>
      <c r="I847" s="135"/>
      <c r="J847" s="135"/>
      <c r="K847" s="135"/>
      <c r="L847" s="135"/>
      <c r="M847" s="135"/>
      <c r="N847" s="135"/>
      <c r="O847" s="135"/>
      <c r="P847" s="135"/>
      <c r="Q847" s="135"/>
      <c r="R847" s="135"/>
      <c r="S847" s="135"/>
      <c r="T847" s="135"/>
      <c r="U847" s="135"/>
      <c r="V847" s="135"/>
      <c r="W847" s="135"/>
      <c r="X847" s="135"/>
      <c r="Y847" s="135"/>
      <c r="Z847" s="135"/>
      <c r="AA847" s="135"/>
      <c r="AB847" s="135"/>
      <c r="AC847" s="135"/>
      <c r="AD847" s="135"/>
      <c r="AE847" s="135"/>
      <c r="AF847" s="135"/>
    </row>
    <row r="848">
      <c r="A848" s="135"/>
      <c r="B848" s="135"/>
      <c r="C848" s="135"/>
      <c r="D848" s="135"/>
      <c r="E848" s="135"/>
      <c r="F848" s="135"/>
      <c r="G848" s="135"/>
      <c r="H848" s="135"/>
      <c r="I848" s="135"/>
      <c r="J848" s="135"/>
      <c r="K848" s="135"/>
      <c r="L848" s="135"/>
      <c r="M848" s="135"/>
      <c r="N848" s="135"/>
      <c r="O848" s="135"/>
      <c r="P848" s="135"/>
      <c r="Q848" s="135"/>
      <c r="R848" s="135"/>
      <c r="S848" s="135"/>
      <c r="T848" s="135"/>
      <c r="U848" s="135"/>
      <c r="V848" s="135"/>
      <c r="W848" s="135"/>
      <c r="X848" s="135"/>
      <c r="Y848" s="135"/>
      <c r="Z848" s="135"/>
      <c r="AA848" s="135"/>
      <c r="AB848" s="135"/>
      <c r="AC848" s="135"/>
      <c r="AD848" s="135"/>
      <c r="AE848" s="135"/>
      <c r="AF848" s="135"/>
    </row>
    <row r="849">
      <c r="A849" s="135"/>
      <c r="B849" s="135"/>
      <c r="C849" s="135"/>
      <c r="D849" s="135"/>
      <c r="E849" s="135"/>
      <c r="F849" s="135"/>
      <c r="G849" s="135"/>
      <c r="H849" s="135"/>
      <c r="I849" s="135"/>
      <c r="J849" s="135"/>
      <c r="K849" s="135"/>
      <c r="L849" s="135"/>
      <c r="M849" s="135"/>
      <c r="N849" s="135"/>
      <c r="O849" s="135"/>
      <c r="P849" s="135"/>
      <c r="Q849" s="135"/>
      <c r="R849" s="135"/>
      <c r="S849" s="135"/>
      <c r="T849" s="135"/>
      <c r="U849" s="135"/>
      <c r="V849" s="135"/>
      <c r="W849" s="135"/>
      <c r="X849" s="135"/>
      <c r="Y849" s="135"/>
      <c r="Z849" s="135"/>
      <c r="AA849" s="135"/>
      <c r="AB849" s="135"/>
      <c r="AC849" s="135"/>
      <c r="AD849" s="135"/>
      <c r="AE849" s="135"/>
      <c r="AF849" s="135"/>
    </row>
    <row r="850">
      <c r="A850" s="135"/>
      <c r="B850" s="135"/>
      <c r="C850" s="135"/>
      <c r="D850" s="135"/>
      <c r="E850" s="135"/>
      <c r="F850" s="135"/>
      <c r="G850" s="135"/>
      <c r="H850" s="135"/>
      <c r="I850" s="135"/>
      <c r="J850" s="135"/>
      <c r="K850" s="135"/>
      <c r="L850" s="135"/>
      <c r="M850" s="135"/>
      <c r="N850" s="135"/>
      <c r="O850" s="135"/>
      <c r="P850" s="135"/>
      <c r="Q850" s="135"/>
      <c r="R850" s="135"/>
      <c r="S850" s="135"/>
      <c r="T850" s="135"/>
      <c r="U850" s="135"/>
      <c r="V850" s="135"/>
      <c r="W850" s="135"/>
      <c r="X850" s="135"/>
      <c r="Y850" s="135"/>
      <c r="Z850" s="135"/>
      <c r="AA850" s="135"/>
      <c r="AB850" s="135"/>
      <c r="AC850" s="135"/>
      <c r="AD850" s="135"/>
      <c r="AE850" s="135"/>
      <c r="AF850" s="135"/>
    </row>
    <row r="851">
      <c r="A851" s="135"/>
      <c r="B851" s="135"/>
      <c r="C851" s="135"/>
      <c r="D851" s="135"/>
      <c r="E851" s="135"/>
      <c r="F851" s="135"/>
      <c r="G851" s="135"/>
      <c r="H851" s="135"/>
      <c r="I851" s="135"/>
      <c r="J851" s="135"/>
      <c r="K851" s="135"/>
      <c r="L851" s="135"/>
      <c r="M851" s="135"/>
      <c r="N851" s="135"/>
      <c r="O851" s="135"/>
      <c r="P851" s="135"/>
      <c r="Q851" s="135"/>
      <c r="R851" s="135"/>
      <c r="S851" s="135"/>
      <c r="T851" s="135"/>
      <c r="U851" s="135"/>
      <c r="V851" s="135"/>
      <c r="W851" s="135"/>
      <c r="X851" s="135"/>
      <c r="Y851" s="135"/>
      <c r="Z851" s="135"/>
      <c r="AA851" s="135"/>
      <c r="AB851" s="135"/>
      <c r="AC851" s="135"/>
      <c r="AD851" s="135"/>
      <c r="AE851" s="135"/>
      <c r="AF851" s="135"/>
    </row>
    <row r="852">
      <c r="A852" s="135"/>
      <c r="B852" s="135"/>
      <c r="C852" s="135"/>
      <c r="D852" s="135"/>
      <c r="E852" s="135"/>
      <c r="F852" s="135"/>
      <c r="G852" s="135"/>
      <c r="H852" s="135"/>
      <c r="I852" s="135"/>
      <c r="J852" s="135"/>
      <c r="K852" s="135"/>
      <c r="L852" s="135"/>
      <c r="M852" s="135"/>
      <c r="N852" s="135"/>
      <c r="O852" s="135"/>
      <c r="P852" s="135"/>
      <c r="Q852" s="135"/>
      <c r="R852" s="135"/>
      <c r="S852" s="135"/>
      <c r="T852" s="135"/>
      <c r="U852" s="135"/>
      <c r="V852" s="135"/>
      <c r="W852" s="135"/>
      <c r="X852" s="135"/>
      <c r="Y852" s="135"/>
      <c r="Z852" s="135"/>
      <c r="AA852" s="135"/>
      <c r="AB852" s="135"/>
      <c r="AC852" s="135"/>
      <c r="AD852" s="135"/>
      <c r="AE852" s="135"/>
      <c r="AF852" s="135"/>
    </row>
    <row r="853">
      <c r="A853" s="135"/>
      <c r="B853" s="135"/>
      <c r="C853" s="135"/>
      <c r="D853" s="135"/>
      <c r="E853" s="135"/>
      <c r="F853" s="135"/>
      <c r="G853" s="135"/>
      <c r="H853" s="135"/>
      <c r="I853" s="135"/>
      <c r="J853" s="135"/>
      <c r="K853" s="135"/>
      <c r="L853" s="135"/>
      <c r="M853" s="135"/>
      <c r="N853" s="135"/>
      <c r="O853" s="135"/>
      <c r="P853" s="135"/>
      <c r="Q853" s="135"/>
      <c r="R853" s="135"/>
      <c r="S853" s="135"/>
      <c r="T853" s="135"/>
      <c r="U853" s="135"/>
      <c r="V853" s="135"/>
      <c r="W853" s="135"/>
      <c r="X853" s="135"/>
      <c r="Y853" s="135"/>
      <c r="Z853" s="135"/>
      <c r="AA853" s="135"/>
      <c r="AB853" s="135"/>
      <c r="AC853" s="135"/>
      <c r="AD853" s="135"/>
      <c r="AE853" s="135"/>
      <c r="AF853" s="135"/>
    </row>
    <row r="854">
      <c r="A854" s="135"/>
      <c r="B854" s="135"/>
      <c r="C854" s="135"/>
      <c r="D854" s="135"/>
      <c r="E854" s="135"/>
      <c r="F854" s="135"/>
      <c r="G854" s="135"/>
      <c r="H854" s="135"/>
      <c r="I854" s="135"/>
      <c r="J854" s="135"/>
      <c r="K854" s="135"/>
      <c r="L854" s="135"/>
      <c r="M854" s="135"/>
      <c r="N854" s="135"/>
      <c r="O854" s="135"/>
      <c r="P854" s="135"/>
      <c r="Q854" s="135"/>
      <c r="R854" s="135"/>
      <c r="S854" s="135"/>
      <c r="T854" s="135"/>
      <c r="U854" s="135"/>
      <c r="V854" s="135"/>
      <c r="W854" s="135"/>
      <c r="X854" s="135"/>
      <c r="Y854" s="135"/>
      <c r="Z854" s="135"/>
      <c r="AA854" s="135"/>
      <c r="AB854" s="135"/>
      <c r="AC854" s="135"/>
      <c r="AD854" s="135"/>
      <c r="AE854" s="135"/>
      <c r="AF854" s="135"/>
    </row>
    <row r="855">
      <c r="A855" s="135"/>
      <c r="B855" s="135"/>
      <c r="C855" s="135"/>
      <c r="D855" s="135"/>
      <c r="E855" s="135"/>
      <c r="F855" s="135"/>
      <c r="G855" s="135"/>
      <c r="H855" s="135"/>
      <c r="I855" s="135"/>
      <c r="J855" s="135"/>
      <c r="K855" s="135"/>
      <c r="L855" s="135"/>
      <c r="M855" s="135"/>
      <c r="N855" s="135"/>
      <c r="O855" s="135"/>
      <c r="P855" s="135"/>
      <c r="Q855" s="135"/>
      <c r="R855" s="135"/>
      <c r="S855" s="135"/>
      <c r="T855" s="135"/>
      <c r="U855" s="135"/>
      <c r="V855" s="135"/>
      <c r="W855" s="135"/>
      <c r="X855" s="135"/>
      <c r="Y855" s="135"/>
      <c r="Z855" s="135"/>
      <c r="AA855" s="135"/>
      <c r="AB855" s="135"/>
      <c r="AC855" s="135"/>
      <c r="AD855" s="135"/>
      <c r="AE855" s="135"/>
      <c r="AF855" s="135"/>
    </row>
    <row r="856">
      <c r="A856" s="135"/>
      <c r="B856" s="135"/>
      <c r="C856" s="135"/>
      <c r="D856" s="135"/>
      <c r="E856" s="135"/>
      <c r="F856" s="135"/>
      <c r="G856" s="135"/>
      <c r="H856" s="135"/>
      <c r="I856" s="135"/>
      <c r="J856" s="135"/>
      <c r="K856" s="135"/>
      <c r="L856" s="135"/>
      <c r="M856" s="135"/>
      <c r="N856" s="135"/>
      <c r="O856" s="135"/>
      <c r="P856" s="135"/>
      <c r="Q856" s="135"/>
      <c r="R856" s="135"/>
      <c r="S856" s="135"/>
      <c r="T856" s="135"/>
      <c r="U856" s="135"/>
      <c r="V856" s="135"/>
      <c r="W856" s="135"/>
      <c r="X856" s="135"/>
      <c r="Y856" s="135"/>
      <c r="Z856" s="135"/>
      <c r="AA856" s="135"/>
      <c r="AB856" s="135"/>
      <c r="AC856" s="135"/>
      <c r="AD856" s="135"/>
      <c r="AE856" s="135"/>
      <c r="AF856" s="135"/>
    </row>
    <row r="857">
      <c r="A857" s="135"/>
      <c r="B857" s="135"/>
      <c r="C857" s="135"/>
      <c r="D857" s="135"/>
      <c r="E857" s="135"/>
      <c r="F857" s="135"/>
      <c r="G857" s="135"/>
      <c r="H857" s="135"/>
      <c r="I857" s="135"/>
      <c r="J857" s="135"/>
      <c r="K857" s="135"/>
      <c r="L857" s="135"/>
      <c r="M857" s="135"/>
      <c r="N857" s="135"/>
      <c r="O857" s="135"/>
      <c r="P857" s="135"/>
      <c r="Q857" s="135"/>
      <c r="R857" s="135"/>
      <c r="S857" s="135"/>
      <c r="T857" s="135"/>
      <c r="U857" s="135"/>
      <c r="V857" s="135"/>
      <c r="W857" s="135"/>
      <c r="X857" s="135"/>
      <c r="Y857" s="135"/>
      <c r="Z857" s="135"/>
      <c r="AA857" s="135"/>
      <c r="AB857" s="135"/>
      <c r="AC857" s="135"/>
      <c r="AD857" s="135"/>
      <c r="AE857" s="135"/>
      <c r="AF857" s="135"/>
    </row>
    <row r="858">
      <c r="A858" s="135"/>
      <c r="B858" s="135"/>
      <c r="C858" s="135"/>
      <c r="D858" s="135"/>
      <c r="E858" s="135"/>
      <c r="F858" s="135"/>
      <c r="G858" s="135"/>
      <c r="H858" s="135"/>
      <c r="I858" s="135"/>
      <c r="J858" s="135"/>
      <c r="K858" s="135"/>
      <c r="L858" s="135"/>
      <c r="M858" s="135"/>
      <c r="N858" s="135"/>
      <c r="O858" s="135"/>
      <c r="P858" s="135"/>
      <c r="Q858" s="135"/>
      <c r="R858" s="135"/>
      <c r="S858" s="135"/>
      <c r="T858" s="135"/>
      <c r="U858" s="135"/>
      <c r="V858" s="135"/>
      <c r="W858" s="135"/>
      <c r="X858" s="135"/>
      <c r="Y858" s="135"/>
      <c r="Z858" s="135"/>
      <c r="AA858" s="135"/>
      <c r="AB858" s="135"/>
      <c r="AC858" s="135"/>
      <c r="AD858" s="135"/>
      <c r="AE858" s="135"/>
      <c r="AF858" s="135"/>
    </row>
    <row r="859">
      <c r="A859" s="135"/>
      <c r="B859" s="135"/>
      <c r="C859" s="135"/>
      <c r="D859" s="135"/>
      <c r="E859" s="135"/>
      <c r="F859" s="135"/>
      <c r="G859" s="135"/>
      <c r="H859" s="135"/>
      <c r="I859" s="135"/>
      <c r="J859" s="135"/>
      <c r="K859" s="135"/>
      <c r="L859" s="135"/>
      <c r="M859" s="135"/>
      <c r="N859" s="135"/>
      <c r="O859" s="135"/>
      <c r="P859" s="135"/>
      <c r="Q859" s="135"/>
      <c r="R859" s="135"/>
      <c r="S859" s="135"/>
      <c r="T859" s="135"/>
      <c r="U859" s="135"/>
      <c r="V859" s="135"/>
      <c r="W859" s="135"/>
      <c r="X859" s="135"/>
      <c r="Y859" s="135"/>
      <c r="Z859" s="135"/>
      <c r="AA859" s="135"/>
      <c r="AB859" s="135"/>
      <c r="AC859" s="135"/>
      <c r="AD859" s="135"/>
      <c r="AE859" s="135"/>
      <c r="AF859" s="135"/>
    </row>
    <row r="860">
      <c r="A860" s="135"/>
      <c r="B860" s="135"/>
      <c r="C860" s="135"/>
      <c r="D860" s="135"/>
      <c r="E860" s="135"/>
      <c r="F860" s="135"/>
      <c r="G860" s="135"/>
      <c r="H860" s="135"/>
      <c r="I860" s="135"/>
      <c r="J860" s="135"/>
      <c r="K860" s="135"/>
      <c r="L860" s="135"/>
      <c r="M860" s="135"/>
      <c r="N860" s="135"/>
      <c r="O860" s="135"/>
      <c r="P860" s="135"/>
      <c r="Q860" s="135"/>
      <c r="R860" s="135"/>
      <c r="S860" s="135"/>
      <c r="T860" s="135"/>
      <c r="U860" s="135"/>
      <c r="V860" s="135"/>
      <c r="W860" s="135"/>
      <c r="X860" s="135"/>
      <c r="Y860" s="135"/>
      <c r="Z860" s="135"/>
      <c r="AA860" s="135"/>
      <c r="AB860" s="135"/>
      <c r="AC860" s="135"/>
      <c r="AD860" s="135"/>
      <c r="AE860" s="135"/>
      <c r="AF860" s="135"/>
    </row>
    <row r="861">
      <c r="A861" s="135"/>
      <c r="B861" s="135"/>
      <c r="C861" s="135"/>
      <c r="D861" s="135"/>
      <c r="E861" s="135"/>
      <c r="F861" s="135"/>
      <c r="G861" s="135"/>
      <c r="H861" s="135"/>
      <c r="I861" s="135"/>
      <c r="J861" s="135"/>
      <c r="K861" s="135"/>
      <c r="L861" s="135"/>
      <c r="M861" s="135"/>
      <c r="N861" s="135"/>
      <c r="O861" s="135"/>
      <c r="P861" s="135"/>
      <c r="Q861" s="135"/>
      <c r="R861" s="135"/>
      <c r="S861" s="135"/>
      <c r="T861" s="135"/>
      <c r="U861" s="135"/>
      <c r="V861" s="135"/>
      <c r="W861" s="135"/>
      <c r="X861" s="135"/>
      <c r="Y861" s="135"/>
      <c r="Z861" s="135"/>
      <c r="AA861" s="135"/>
      <c r="AB861" s="135"/>
      <c r="AC861" s="135"/>
      <c r="AD861" s="135"/>
      <c r="AE861" s="135"/>
      <c r="AF861" s="135"/>
    </row>
    <row r="862">
      <c r="A862" s="135"/>
      <c r="B862" s="135"/>
      <c r="C862" s="135"/>
      <c r="D862" s="135"/>
      <c r="E862" s="135"/>
      <c r="F862" s="135"/>
      <c r="G862" s="135"/>
      <c r="H862" s="135"/>
      <c r="I862" s="135"/>
      <c r="J862" s="135"/>
      <c r="K862" s="135"/>
      <c r="L862" s="135"/>
      <c r="M862" s="135"/>
      <c r="N862" s="135"/>
      <c r="O862" s="135"/>
      <c r="P862" s="135"/>
      <c r="Q862" s="135"/>
      <c r="R862" s="135"/>
      <c r="S862" s="135"/>
      <c r="T862" s="135"/>
      <c r="U862" s="135"/>
      <c r="V862" s="135"/>
      <c r="W862" s="135"/>
      <c r="X862" s="135"/>
      <c r="Y862" s="135"/>
      <c r="Z862" s="135"/>
      <c r="AA862" s="135"/>
      <c r="AB862" s="135"/>
      <c r="AC862" s="135"/>
      <c r="AD862" s="135"/>
      <c r="AE862" s="135"/>
      <c r="AF862" s="135"/>
    </row>
    <row r="863">
      <c r="A863" s="135"/>
      <c r="B863" s="135"/>
      <c r="C863" s="135"/>
      <c r="D863" s="135"/>
      <c r="E863" s="135"/>
      <c r="F863" s="135"/>
      <c r="G863" s="135"/>
      <c r="H863" s="135"/>
      <c r="I863" s="135"/>
      <c r="J863" s="135"/>
      <c r="K863" s="135"/>
      <c r="L863" s="135"/>
      <c r="M863" s="135"/>
      <c r="N863" s="135"/>
      <c r="O863" s="135"/>
      <c r="P863" s="135"/>
      <c r="Q863" s="135"/>
      <c r="R863" s="135"/>
      <c r="S863" s="135"/>
      <c r="T863" s="135"/>
      <c r="U863" s="135"/>
      <c r="V863" s="135"/>
      <c r="W863" s="135"/>
      <c r="X863" s="135"/>
      <c r="Y863" s="135"/>
      <c r="Z863" s="135"/>
      <c r="AA863" s="135"/>
      <c r="AB863" s="135"/>
      <c r="AC863" s="135"/>
      <c r="AD863" s="135"/>
      <c r="AE863" s="135"/>
      <c r="AF863" s="135"/>
    </row>
    <row r="864">
      <c r="A864" s="135"/>
      <c r="B864" s="135"/>
      <c r="C864" s="135"/>
      <c r="D864" s="135"/>
      <c r="E864" s="135"/>
      <c r="F864" s="135"/>
      <c r="G864" s="135"/>
      <c r="H864" s="135"/>
      <c r="I864" s="135"/>
      <c r="J864" s="135"/>
      <c r="K864" s="135"/>
      <c r="L864" s="135"/>
      <c r="M864" s="135"/>
      <c r="N864" s="135"/>
      <c r="O864" s="135"/>
      <c r="P864" s="135"/>
      <c r="Q864" s="135"/>
      <c r="R864" s="135"/>
      <c r="S864" s="135"/>
      <c r="T864" s="135"/>
      <c r="U864" s="135"/>
      <c r="V864" s="135"/>
      <c r="W864" s="135"/>
      <c r="X864" s="135"/>
      <c r="Y864" s="135"/>
      <c r="Z864" s="135"/>
      <c r="AA864" s="135"/>
      <c r="AB864" s="135"/>
      <c r="AC864" s="135"/>
      <c r="AD864" s="135"/>
      <c r="AE864" s="135"/>
      <c r="AF864" s="135"/>
    </row>
    <row r="865">
      <c r="A865" s="135"/>
      <c r="B865" s="135"/>
      <c r="C865" s="135"/>
      <c r="D865" s="135"/>
      <c r="E865" s="135"/>
      <c r="F865" s="135"/>
      <c r="G865" s="135"/>
      <c r="H865" s="135"/>
      <c r="I865" s="135"/>
      <c r="J865" s="135"/>
      <c r="K865" s="135"/>
      <c r="L865" s="135"/>
      <c r="M865" s="135"/>
      <c r="N865" s="135"/>
      <c r="O865" s="135"/>
      <c r="P865" s="135"/>
      <c r="Q865" s="135"/>
      <c r="R865" s="135"/>
      <c r="S865" s="135"/>
      <c r="T865" s="135"/>
      <c r="U865" s="135"/>
      <c r="V865" s="135"/>
      <c r="W865" s="135"/>
      <c r="X865" s="135"/>
      <c r="Y865" s="135"/>
      <c r="Z865" s="135"/>
      <c r="AA865" s="135"/>
      <c r="AB865" s="135"/>
      <c r="AC865" s="135"/>
      <c r="AD865" s="135"/>
      <c r="AE865" s="135"/>
      <c r="AF865" s="135"/>
    </row>
    <row r="866">
      <c r="A866" s="135"/>
      <c r="B866" s="135"/>
      <c r="C866" s="135"/>
      <c r="D866" s="135"/>
      <c r="E866" s="135"/>
      <c r="F866" s="135"/>
      <c r="G866" s="135"/>
      <c r="H866" s="135"/>
      <c r="I866" s="135"/>
      <c r="J866" s="135"/>
      <c r="K866" s="135"/>
      <c r="L866" s="135"/>
      <c r="M866" s="135"/>
      <c r="N866" s="135"/>
      <c r="O866" s="135"/>
      <c r="P866" s="135"/>
      <c r="Q866" s="135"/>
      <c r="R866" s="135"/>
      <c r="S866" s="135"/>
      <c r="T866" s="135"/>
      <c r="U866" s="135"/>
      <c r="V866" s="135"/>
      <c r="W866" s="135"/>
      <c r="X866" s="135"/>
      <c r="Y866" s="135"/>
      <c r="Z866" s="135"/>
      <c r="AA866" s="135"/>
      <c r="AB866" s="135"/>
      <c r="AC866" s="135"/>
      <c r="AD866" s="135"/>
      <c r="AE866" s="135"/>
      <c r="AF866" s="135"/>
    </row>
    <row r="867">
      <c r="A867" s="135"/>
      <c r="B867" s="135"/>
      <c r="C867" s="135"/>
      <c r="D867" s="135"/>
      <c r="E867" s="135"/>
      <c r="F867" s="135"/>
      <c r="G867" s="135"/>
      <c r="H867" s="135"/>
      <c r="I867" s="135"/>
      <c r="J867" s="135"/>
      <c r="K867" s="135"/>
      <c r="L867" s="135"/>
      <c r="M867" s="135"/>
      <c r="N867" s="135"/>
      <c r="O867" s="135"/>
      <c r="P867" s="135"/>
      <c r="Q867" s="135"/>
      <c r="R867" s="135"/>
      <c r="S867" s="135"/>
      <c r="T867" s="135"/>
      <c r="U867" s="135"/>
      <c r="V867" s="135"/>
      <c r="W867" s="135"/>
      <c r="X867" s="135"/>
      <c r="Y867" s="135"/>
      <c r="Z867" s="135"/>
      <c r="AA867" s="135"/>
      <c r="AB867" s="135"/>
      <c r="AC867" s="135"/>
      <c r="AD867" s="135"/>
      <c r="AE867" s="135"/>
      <c r="AF867" s="135"/>
    </row>
    <row r="868">
      <c r="A868" s="135"/>
      <c r="B868" s="135"/>
      <c r="C868" s="135"/>
      <c r="D868" s="135"/>
      <c r="E868" s="135"/>
      <c r="F868" s="135"/>
      <c r="G868" s="135"/>
      <c r="H868" s="135"/>
      <c r="I868" s="135"/>
      <c r="J868" s="135"/>
      <c r="K868" s="135"/>
      <c r="L868" s="135"/>
      <c r="M868" s="135"/>
      <c r="N868" s="135"/>
      <c r="O868" s="135"/>
      <c r="P868" s="135"/>
      <c r="Q868" s="135"/>
      <c r="R868" s="135"/>
      <c r="S868" s="135"/>
      <c r="T868" s="135"/>
      <c r="U868" s="135"/>
      <c r="V868" s="135"/>
      <c r="W868" s="135"/>
      <c r="X868" s="135"/>
      <c r="Y868" s="135"/>
      <c r="Z868" s="135"/>
      <c r="AA868" s="135"/>
      <c r="AB868" s="135"/>
      <c r="AC868" s="135"/>
      <c r="AD868" s="135"/>
      <c r="AE868" s="135"/>
      <c r="AF868" s="135"/>
    </row>
    <row r="869">
      <c r="A869" s="135"/>
      <c r="B869" s="135"/>
      <c r="C869" s="135"/>
      <c r="D869" s="135"/>
      <c r="E869" s="135"/>
      <c r="F869" s="135"/>
      <c r="G869" s="135"/>
      <c r="H869" s="135"/>
      <c r="I869" s="135"/>
      <c r="J869" s="135"/>
      <c r="K869" s="135"/>
      <c r="L869" s="135"/>
      <c r="M869" s="135"/>
      <c r="N869" s="135"/>
      <c r="O869" s="135"/>
      <c r="P869" s="135"/>
      <c r="Q869" s="135"/>
      <c r="R869" s="135"/>
      <c r="S869" s="135"/>
      <c r="T869" s="135"/>
      <c r="U869" s="135"/>
      <c r="V869" s="135"/>
      <c r="W869" s="135"/>
      <c r="X869" s="135"/>
      <c r="Y869" s="135"/>
      <c r="Z869" s="135"/>
      <c r="AA869" s="135"/>
      <c r="AB869" s="135"/>
      <c r="AC869" s="135"/>
      <c r="AD869" s="135"/>
      <c r="AE869" s="135"/>
      <c r="AF869" s="135"/>
    </row>
    <row r="870">
      <c r="A870" s="135"/>
      <c r="B870" s="135"/>
      <c r="C870" s="135"/>
      <c r="D870" s="135"/>
      <c r="E870" s="135"/>
      <c r="F870" s="135"/>
      <c r="G870" s="135"/>
      <c r="H870" s="135"/>
      <c r="I870" s="135"/>
      <c r="J870" s="135"/>
      <c r="K870" s="135"/>
      <c r="L870" s="135"/>
      <c r="M870" s="135"/>
      <c r="N870" s="135"/>
      <c r="O870" s="135"/>
      <c r="P870" s="135"/>
      <c r="Q870" s="135"/>
      <c r="R870" s="135"/>
      <c r="S870" s="135"/>
      <c r="T870" s="135"/>
      <c r="U870" s="135"/>
      <c r="V870" s="135"/>
      <c r="W870" s="135"/>
      <c r="X870" s="135"/>
      <c r="Y870" s="135"/>
      <c r="Z870" s="135"/>
      <c r="AA870" s="135"/>
      <c r="AB870" s="135"/>
      <c r="AC870" s="135"/>
      <c r="AD870" s="135"/>
      <c r="AE870" s="135"/>
      <c r="AF870" s="135"/>
    </row>
    <row r="871">
      <c r="A871" s="135"/>
      <c r="B871" s="135"/>
      <c r="C871" s="135"/>
      <c r="D871" s="135"/>
      <c r="E871" s="135"/>
      <c r="F871" s="135"/>
      <c r="G871" s="135"/>
      <c r="H871" s="135"/>
      <c r="I871" s="135"/>
      <c r="J871" s="135"/>
      <c r="K871" s="135"/>
      <c r="L871" s="135"/>
      <c r="M871" s="135"/>
      <c r="N871" s="135"/>
      <c r="O871" s="135"/>
      <c r="P871" s="135"/>
      <c r="Q871" s="135"/>
      <c r="R871" s="135"/>
      <c r="S871" s="135"/>
      <c r="T871" s="135"/>
      <c r="U871" s="135"/>
      <c r="V871" s="135"/>
      <c r="W871" s="135"/>
      <c r="X871" s="135"/>
      <c r="Y871" s="135"/>
      <c r="Z871" s="135"/>
      <c r="AA871" s="135"/>
      <c r="AB871" s="135"/>
      <c r="AC871" s="135"/>
      <c r="AD871" s="135"/>
      <c r="AE871" s="135"/>
      <c r="AF871" s="135"/>
    </row>
    <row r="872">
      <c r="A872" s="135"/>
      <c r="B872" s="135"/>
      <c r="C872" s="135"/>
      <c r="D872" s="135"/>
      <c r="E872" s="135"/>
      <c r="F872" s="135"/>
      <c r="G872" s="135"/>
      <c r="H872" s="135"/>
      <c r="I872" s="135"/>
      <c r="J872" s="135"/>
      <c r="K872" s="135"/>
      <c r="L872" s="135"/>
      <c r="M872" s="135"/>
      <c r="N872" s="135"/>
      <c r="O872" s="135"/>
      <c r="P872" s="135"/>
      <c r="Q872" s="135"/>
      <c r="R872" s="135"/>
      <c r="S872" s="135"/>
      <c r="T872" s="135"/>
      <c r="U872" s="135"/>
      <c r="V872" s="135"/>
      <c r="W872" s="135"/>
      <c r="X872" s="135"/>
      <c r="Y872" s="135"/>
      <c r="Z872" s="135"/>
      <c r="AA872" s="135"/>
      <c r="AB872" s="135"/>
      <c r="AC872" s="135"/>
      <c r="AD872" s="135"/>
      <c r="AE872" s="135"/>
      <c r="AF872" s="135"/>
    </row>
    <row r="873">
      <c r="A873" s="135"/>
      <c r="B873" s="135"/>
      <c r="C873" s="135"/>
      <c r="D873" s="135"/>
      <c r="E873" s="135"/>
      <c r="F873" s="135"/>
      <c r="G873" s="135"/>
      <c r="H873" s="135"/>
      <c r="I873" s="135"/>
      <c r="J873" s="135"/>
      <c r="K873" s="135"/>
      <c r="L873" s="135"/>
      <c r="M873" s="135"/>
      <c r="N873" s="135"/>
      <c r="O873" s="135"/>
      <c r="P873" s="135"/>
      <c r="Q873" s="135"/>
      <c r="R873" s="135"/>
      <c r="S873" s="135"/>
      <c r="T873" s="135"/>
      <c r="U873" s="135"/>
      <c r="V873" s="135"/>
      <c r="W873" s="135"/>
      <c r="X873" s="135"/>
      <c r="Y873" s="135"/>
      <c r="Z873" s="135"/>
      <c r="AA873" s="135"/>
      <c r="AB873" s="135"/>
      <c r="AC873" s="135"/>
      <c r="AD873" s="135"/>
      <c r="AE873" s="135"/>
      <c r="AF873" s="135"/>
    </row>
    <row r="874">
      <c r="A874" s="135"/>
      <c r="B874" s="135"/>
      <c r="C874" s="135"/>
      <c r="D874" s="135"/>
      <c r="E874" s="135"/>
      <c r="F874" s="135"/>
      <c r="G874" s="135"/>
      <c r="H874" s="135"/>
      <c r="I874" s="135"/>
      <c r="J874" s="135"/>
      <c r="K874" s="135"/>
      <c r="L874" s="135"/>
      <c r="M874" s="135"/>
      <c r="N874" s="135"/>
      <c r="O874" s="135"/>
      <c r="P874" s="135"/>
      <c r="Q874" s="135"/>
      <c r="R874" s="135"/>
      <c r="S874" s="135"/>
      <c r="T874" s="135"/>
      <c r="U874" s="135"/>
      <c r="V874" s="135"/>
      <c r="W874" s="135"/>
      <c r="X874" s="135"/>
      <c r="Y874" s="135"/>
      <c r="Z874" s="135"/>
      <c r="AA874" s="135"/>
      <c r="AB874" s="135"/>
      <c r="AC874" s="135"/>
      <c r="AD874" s="135"/>
      <c r="AE874" s="135"/>
      <c r="AF874" s="135"/>
    </row>
    <row r="875">
      <c r="A875" s="135"/>
      <c r="B875" s="135"/>
      <c r="C875" s="135"/>
      <c r="D875" s="135"/>
      <c r="E875" s="135"/>
      <c r="F875" s="135"/>
      <c r="G875" s="135"/>
      <c r="H875" s="135"/>
      <c r="I875" s="135"/>
      <c r="J875" s="135"/>
      <c r="K875" s="135"/>
      <c r="L875" s="135"/>
      <c r="M875" s="135"/>
      <c r="N875" s="135"/>
      <c r="O875" s="135"/>
      <c r="P875" s="135"/>
      <c r="Q875" s="135"/>
      <c r="R875" s="135"/>
      <c r="S875" s="135"/>
      <c r="T875" s="135"/>
      <c r="U875" s="135"/>
      <c r="V875" s="135"/>
      <c r="W875" s="135"/>
      <c r="X875" s="135"/>
      <c r="Y875" s="135"/>
      <c r="Z875" s="135"/>
      <c r="AA875" s="135"/>
      <c r="AB875" s="135"/>
      <c r="AC875" s="135"/>
      <c r="AD875" s="135"/>
      <c r="AE875" s="135"/>
      <c r="AF875" s="135"/>
    </row>
    <row r="876">
      <c r="A876" s="135"/>
      <c r="B876" s="135"/>
      <c r="C876" s="135"/>
      <c r="D876" s="135"/>
      <c r="E876" s="135"/>
      <c r="F876" s="135"/>
      <c r="G876" s="135"/>
      <c r="H876" s="135"/>
      <c r="I876" s="135"/>
      <c r="J876" s="135"/>
      <c r="K876" s="135"/>
      <c r="L876" s="135"/>
      <c r="M876" s="135"/>
      <c r="N876" s="135"/>
      <c r="O876" s="135"/>
      <c r="P876" s="135"/>
      <c r="Q876" s="135"/>
      <c r="R876" s="135"/>
      <c r="S876" s="135"/>
      <c r="T876" s="135"/>
      <c r="U876" s="135"/>
      <c r="V876" s="135"/>
      <c r="W876" s="135"/>
      <c r="X876" s="135"/>
      <c r="Y876" s="135"/>
      <c r="Z876" s="135"/>
      <c r="AA876" s="135"/>
      <c r="AB876" s="135"/>
      <c r="AC876" s="135"/>
      <c r="AD876" s="135"/>
      <c r="AE876" s="135"/>
      <c r="AF876" s="135"/>
    </row>
    <row r="877">
      <c r="A877" s="135"/>
      <c r="B877" s="135"/>
      <c r="C877" s="135"/>
      <c r="D877" s="135"/>
      <c r="E877" s="135"/>
      <c r="F877" s="135"/>
      <c r="G877" s="135"/>
      <c r="H877" s="135"/>
      <c r="I877" s="135"/>
      <c r="J877" s="135"/>
      <c r="K877" s="135"/>
      <c r="L877" s="135"/>
      <c r="M877" s="135"/>
      <c r="N877" s="135"/>
      <c r="O877" s="135"/>
      <c r="P877" s="135"/>
      <c r="Q877" s="135"/>
      <c r="R877" s="135"/>
      <c r="S877" s="135"/>
      <c r="T877" s="135"/>
      <c r="U877" s="135"/>
      <c r="V877" s="135"/>
      <c r="W877" s="135"/>
      <c r="X877" s="135"/>
      <c r="Y877" s="135"/>
      <c r="Z877" s="135"/>
      <c r="AA877" s="135"/>
      <c r="AB877" s="135"/>
      <c r="AC877" s="135"/>
      <c r="AD877" s="135"/>
      <c r="AE877" s="135"/>
      <c r="AF877" s="135"/>
    </row>
    <row r="878">
      <c r="A878" s="135"/>
      <c r="B878" s="135"/>
      <c r="C878" s="135"/>
      <c r="D878" s="135"/>
      <c r="E878" s="135"/>
      <c r="F878" s="135"/>
      <c r="G878" s="135"/>
      <c r="H878" s="135"/>
      <c r="I878" s="135"/>
      <c r="J878" s="135"/>
      <c r="K878" s="135"/>
      <c r="L878" s="135"/>
      <c r="M878" s="135"/>
      <c r="N878" s="135"/>
      <c r="O878" s="135"/>
      <c r="P878" s="135"/>
      <c r="Q878" s="135"/>
      <c r="R878" s="135"/>
      <c r="S878" s="135"/>
      <c r="T878" s="135"/>
      <c r="U878" s="135"/>
      <c r="V878" s="135"/>
      <c r="W878" s="135"/>
      <c r="X878" s="135"/>
      <c r="Y878" s="135"/>
      <c r="Z878" s="135"/>
      <c r="AA878" s="135"/>
      <c r="AB878" s="135"/>
      <c r="AC878" s="135"/>
      <c r="AD878" s="135"/>
      <c r="AE878" s="135"/>
      <c r="AF878" s="135"/>
    </row>
    <row r="879">
      <c r="A879" s="135"/>
      <c r="B879" s="135"/>
      <c r="C879" s="135"/>
      <c r="D879" s="135"/>
      <c r="E879" s="135"/>
      <c r="F879" s="135"/>
      <c r="G879" s="135"/>
      <c r="H879" s="135"/>
      <c r="I879" s="135"/>
      <c r="J879" s="135"/>
      <c r="K879" s="135"/>
      <c r="L879" s="135"/>
      <c r="M879" s="135"/>
      <c r="N879" s="135"/>
      <c r="O879" s="135"/>
      <c r="P879" s="135"/>
      <c r="Q879" s="135"/>
      <c r="R879" s="135"/>
      <c r="S879" s="135"/>
      <c r="T879" s="135"/>
      <c r="U879" s="135"/>
      <c r="V879" s="135"/>
      <c r="W879" s="135"/>
      <c r="X879" s="135"/>
      <c r="Y879" s="135"/>
      <c r="Z879" s="135"/>
      <c r="AA879" s="135"/>
      <c r="AB879" s="135"/>
      <c r="AC879" s="135"/>
      <c r="AD879" s="135"/>
      <c r="AE879" s="135"/>
      <c r="AF879" s="135"/>
    </row>
    <row r="880">
      <c r="A880" s="135"/>
      <c r="B880" s="135"/>
      <c r="C880" s="135"/>
      <c r="D880" s="135"/>
      <c r="E880" s="135"/>
      <c r="F880" s="135"/>
      <c r="G880" s="135"/>
      <c r="H880" s="135"/>
      <c r="I880" s="135"/>
      <c r="J880" s="135"/>
      <c r="K880" s="135"/>
      <c r="L880" s="135"/>
      <c r="M880" s="135"/>
      <c r="N880" s="135"/>
      <c r="O880" s="135"/>
      <c r="P880" s="135"/>
      <c r="Q880" s="135"/>
      <c r="R880" s="135"/>
      <c r="S880" s="135"/>
      <c r="T880" s="135"/>
      <c r="U880" s="135"/>
      <c r="V880" s="135"/>
      <c r="W880" s="135"/>
      <c r="X880" s="135"/>
      <c r="Y880" s="135"/>
      <c r="Z880" s="135"/>
      <c r="AA880" s="135"/>
      <c r="AB880" s="135"/>
      <c r="AC880" s="135"/>
      <c r="AD880" s="135"/>
      <c r="AE880" s="135"/>
      <c r="AF880" s="135"/>
    </row>
    <row r="881">
      <c r="A881" s="135"/>
      <c r="B881" s="135"/>
      <c r="C881" s="135"/>
      <c r="D881" s="135"/>
      <c r="E881" s="135"/>
      <c r="F881" s="135"/>
      <c r="G881" s="135"/>
      <c r="H881" s="135"/>
      <c r="I881" s="135"/>
      <c r="J881" s="135"/>
      <c r="K881" s="135"/>
      <c r="L881" s="135"/>
      <c r="M881" s="135"/>
      <c r="N881" s="135"/>
      <c r="O881" s="135"/>
      <c r="P881" s="135"/>
      <c r="Q881" s="135"/>
      <c r="R881" s="135"/>
      <c r="S881" s="135"/>
      <c r="T881" s="135"/>
      <c r="U881" s="135"/>
      <c r="V881" s="135"/>
      <c r="W881" s="135"/>
      <c r="X881" s="135"/>
      <c r="Y881" s="135"/>
      <c r="Z881" s="135"/>
      <c r="AA881" s="135"/>
      <c r="AB881" s="135"/>
      <c r="AC881" s="135"/>
      <c r="AD881" s="135"/>
      <c r="AE881" s="135"/>
      <c r="AF881" s="135"/>
    </row>
    <row r="882">
      <c r="A882" s="135"/>
      <c r="B882" s="135"/>
      <c r="C882" s="135"/>
      <c r="D882" s="135"/>
      <c r="E882" s="135"/>
      <c r="F882" s="135"/>
      <c r="G882" s="135"/>
      <c r="H882" s="135"/>
      <c r="I882" s="135"/>
      <c r="J882" s="135"/>
      <c r="K882" s="135"/>
      <c r="L882" s="135"/>
      <c r="M882" s="135"/>
      <c r="N882" s="135"/>
      <c r="O882" s="135"/>
      <c r="P882" s="135"/>
      <c r="Q882" s="135"/>
      <c r="R882" s="135"/>
      <c r="S882" s="135"/>
      <c r="T882" s="135"/>
      <c r="U882" s="135"/>
      <c r="V882" s="135"/>
      <c r="W882" s="135"/>
      <c r="X882" s="135"/>
      <c r="Y882" s="135"/>
      <c r="Z882" s="135"/>
      <c r="AA882" s="135"/>
      <c r="AB882" s="135"/>
      <c r="AC882" s="135"/>
      <c r="AD882" s="135"/>
      <c r="AE882" s="135"/>
      <c r="AF882" s="135"/>
    </row>
    <row r="883">
      <c r="A883" s="135"/>
      <c r="B883" s="135"/>
      <c r="C883" s="135"/>
      <c r="D883" s="135"/>
      <c r="E883" s="135"/>
      <c r="F883" s="135"/>
      <c r="G883" s="135"/>
      <c r="H883" s="135"/>
      <c r="I883" s="135"/>
      <c r="J883" s="135"/>
      <c r="K883" s="135"/>
      <c r="L883" s="135"/>
      <c r="M883" s="135"/>
      <c r="N883" s="135"/>
      <c r="O883" s="135"/>
      <c r="P883" s="135"/>
      <c r="Q883" s="135"/>
      <c r="R883" s="135"/>
      <c r="S883" s="135"/>
      <c r="T883" s="135"/>
      <c r="U883" s="135"/>
      <c r="V883" s="135"/>
      <c r="W883" s="135"/>
      <c r="X883" s="135"/>
      <c r="Y883" s="135"/>
      <c r="Z883" s="135"/>
      <c r="AA883" s="135"/>
      <c r="AB883" s="135"/>
      <c r="AC883" s="135"/>
      <c r="AD883" s="135"/>
      <c r="AE883" s="135"/>
      <c r="AF883" s="135"/>
    </row>
    <row r="884">
      <c r="A884" s="135"/>
      <c r="B884" s="135"/>
      <c r="C884" s="135"/>
      <c r="D884" s="135"/>
      <c r="E884" s="135"/>
      <c r="F884" s="135"/>
      <c r="G884" s="135"/>
      <c r="H884" s="135"/>
      <c r="I884" s="135"/>
      <c r="J884" s="135"/>
      <c r="K884" s="135"/>
      <c r="L884" s="135"/>
      <c r="M884" s="135"/>
      <c r="N884" s="135"/>
      <c r="O884" s="135"/>
      <c r="P884" s="135"/>
      <c r="Q884" s="135"/>
      <c r="R884" s="135"/>
      <c r="S884" s="135"/>
      <c r="T884" s="135"/>
      <c r="U884" s="135"/>
      <c r="V884" s="135"/>
      <c r="W884" s="135"/>
      <c r="X884" s="135"/>
      <c r="Y884" s="135"/>
      <c r="Z884" s="135"/>
      <c r="AA884" s="135"/>
      <c r="AB884" s="135"/>
      <c r="AC884" s="135"/>
      <c r="AD884" s="135"/>
      <c r="AE884" s="135"/>
      <c r="AF884" s="135"/>
    </row>
    <row r="885">
      <c r="A885" s="135"/>
      <c r="B885" s="135"/>
      <c r="C885" s="135"/>
      <c r="D885" s="135"/>
      <c r="E885" s="135"/>
      <c r="F885" s="135"/>
      <c r="G885" s="135"/>
      <c r="H885" s="135"/>
      <c r="I885" s="135"/>
      <c r="J885" s="135"/>
      <c r="K885" s="135"/>
      <c r="L885" s="135"/>
      <c r="M885" s="135"/>
      <c r="N885" s="135"/>
      <c r="O885" s="135"/>
      <c r="P885" s="135"/>
      <c r="Q885" s="135"/>
      <c r="R885" s="135"/>
      <c r="S885" s="135"/>
      <c r="T885" s="135"/>
      <c r="U885" s="135"/>
      <c r="V885" s="135"/>
      <c r="W885" s="135"/>
      <c r="X885" s="135"/>
      <c r="Y885" s="135"/>
      <c r="Z885" s="135"/>
      <c r="AA885" s="135"/>
      <c r="AB885" s="135"/>
      <c r="AC885" s="135"/>
      <c r="AD885" s="135"/>
      <c r="AE885" s="135"/>
      <c r="AF885" s="135"/>
    </row>
    <row r="886">
      <c r="A886" s="135"/>
      <c r="B886" s="135"/>
      <c r="C886" s="135"/>
      <c r="D886" s="135"/>
      <c r="E886" s="135"/>
      <c r="F886" s="135"/>
      <c r="G886" s="135"/>
      <c r="H886" s="135"/>
      <c r="I886" s="135"/>
      <c r="J886" s="135"/>
      <c r="K886" s="135"/>
      <c r="L886" s="135"/>
      <c r="M886" s="135"/>
      <c r="N886" s="135"/>
      <c r="O886" s="135"/>
      <c r="P886" s="135"/>
      <c r="Q886" s="135"/>
      <c r="R886" s="135"/>
      <c r="S886" s="135"/>
      <c r="T886" s="135"/>
      <c r="U886" s="135"/>
      <c r="V886" s="135"/>
      <c r="W886" s="135"/>
      <c r="X886" s="135"/>
      <c r="Y886" s="135"/>
      <c r="Z886" s="135"/>
      <c r="AA886" s="135"/>
      <c r="AB886" s="135"/>
      <c r="AC886" s="135"/>
      <c r="AD886" s="135"/>
      <c r="AE886" s="135"/>
      <c r="AF886" s="135"/>
    </row>
    <row r="887">
      <c r="A887" s="135"/>
      <c r="B887" s="135"/>
      <c r="C887" s="135"/>
      <c r="D887" s="135"/>
      <c r="E887" s="135"/>
      <c r="F887" s="135"/>
      <c r="G887" s="135"/>
      <c r="H887" s="135"/>
      <c r="I887" s="135"/>
      <c r="J887" s="135"/>
      <c r="K887" s="135"/>
      <c r="L887" s="135"/>
      <c r="M887" s="135"/>
      <c r="N887" s="135"/>
      <c r="O887" s="135"/>
      <c r="P887" s="135"/>
      <c r="Q887" s="135"/>
      <c r="R887" s="135"/>
      <c r="S887" s="135"/>
      <c r="T887" s="135"/>
      <c r="U887" s="135"/>
      <c r="V887" s="135"/>
      <c r="W887" s="135"/>
      <c r="X887" s="135"/>
      <c r="Y887" s="135"/>
      <c r="Z887" s="135"/>
      <c r="AA887" s="135"/>
      <c r="AB887" s="135"/>
      <c r="AC887" s="135"/>
      <c r="AD887" s="135"/>
      <c r="AE887" s="135"/>
      <c r="AF887" s="135"/>
    </row>
    <row r="888">
      <c r="A888" s="135"/>
      <c r="B888" s="135"/>
      <c r="C888" s="135"/>
      <c r="D888" s="135"/>
      <c r="E888" s="135"/>
      <c r="F888" s="135"/>
      <c r="G888" s="135"/>
      <c r="H888" s="135"/>
      <c r="I888" s="135"/>
      <c r="J888" s="135"/>
      <c r="K888" s="135"/>
      <c r="L888" s="135"/>
      <c r="M888" s="135"/>
      <c r="N888" s="135"/>
      <c r="O888" s="135"/>
      <c r="P888" s="135"/>
      <c r="Q888" s="135"/>
      <c r="R888" s="135"/>
      <c r="S888" s="135"/>
      <c r="T888" s="135"/>
      <c r="U888" s="135"/>
      <c r="V888" s="135"/>
      <c r="W888" s="135"/>
      <c r="X888" s="135"/>
      <c r="Y888" s="135"/>
      <c r="Z888" s="135"/>
      <c r="AA888" s="135"/>
      <c r="AB888" s="135"/>
      <c r="AC888" s="135"/>
      <c r="AD888" s="135"/>
      <c r="AE888" s="135"/>
      <c r="AF888" s="135"/>
    </row>
    <row r="889">
      <c r="A889" s="135"/>
      <c r="B889" s="135"/>
      <c r="C889" s="135"/>
      <c r="D889" s="135"/>
      <c r="E889" s="135"/>
      <c r="F889" s="135"/>
      <c r="G889" s="135"/>
      <c r="H889" s="135"/>
      <c r="I889" s="135"/>
      <c r="J889" s="135"/>
      <c r="K889" s="135"/>
      <c r="L889" s="135"/>
      <c r="M889" s="135"/>
      <c r="N889" s="135"/>
      <c r="O889" s="135"/>
      <c r="P889" s="135"/>
      <c r="Q889" s="135"/>
      <c r="R889" s="135"/>
      <c r="S889" s="135"/>
      <c r="T889" s="135"/>
      <c r="U889" s="135"/>
      <c r="V889" s="135"/>
      <c r="W889" s="135"/>
      <c r="X889" s="135"/>
      <c r="Y889" s="135"/>
      <c r="Z889" s="135"/>
      <c r="AA889" s="135"/>
      <c r="AB889" s="135"/>
      <c r="AC889" s="135"/>
      <c r="AD889" s="135"/>
      <c r="AE889" s="135"/>
      <c r="AF889" s="135"/>
    </row>
    <row r="890">
      <c r="A890" s="135"/>
      <c r="B890" s="135"/>
      <c r="C890" s="135"/>
      <c r="D890" s="135"/>
      <c r="E890" s="135"/>
      <c r="F890" s="135"/>
      <c r="G890" s="135"/>
      <c r="H890" s="135"/>
      <c r="I890" s="135"/>
      <c r="J890" s="135"/>
      <c r="K890" s="135"/>
      <c r="L890" s="135"/>
      <c r="M890" s="135"/>
      <c r="N890" s="135"/>
      <c r="O890" s="135"/>
      <c r="P890" s="135"/>
      <c r="Q890" s="135"/>
      <c r="R890" s="135"/>
      <c r="S890" s="135"/>
      <c r="T890" s="135"/>
      <c r="U890" s="135"/>
      <c r="V890" s="135"/>
      <c r="W890" s="135"/>
      <c r="X890" s="135"/>
      <c r="Y890" s="135"/>
      <c r="Z890" s="135"/>
      <c r="AA890" s="135"/>
      <c r="AB890" s="135"/>
      <c r="AC890" s="135"/>
      <c r="AD890" s="135"/>
      <c r="AE890" s="135"/>
      <c r="AF890" s="135"/>
    </row>
    <row r="891">
      <c r="A891" s="135"/>
      <c r="B891" s="135"/>
      <c r="C891" s="135"/>
      <c r="D891" s="135"/>
      <c r="E891" s="135"/>
      <c r="F891" s="135"/>
      <c r="G891" s="135"/>
      <c r="H891" s="135"/>
      <c r="I891" s="135"/>
      <c r="J891" s="135"/>
      <c r="K891" s="135"/>
      <c r="L891" s="135"/>
      <c r="M891" s="135"/>
      <c r="N891" s="135"/>
      <c r="O891" s="135"/>
      <c r="P891" s="135"/>
      <c r="Q891" s="135"/>
      <c r="R891" s="135"/>
      <c r="S891" s="135"/>
      <c r="T891" s="135"/>
      <c r="U891" s="135"/>
      <c r="V891" s="135"/>
      <c r="W891" s="135"/>
      <c r="X891" s="135"/>
      <c r="Y891" s="135"/>
      <c r="Z891" s="135"/>
      <c r="AA891" s="135"/>
      <c r="AB891" s="135"/>
      <c r="AC891" s="135"/>
      <c r="AD891" s="135"/>
      <c r="AE891" s="135"/>
      <c r="AF891" s="135"/>
    </row>
    <row r="892">
      <c r="A892" s="135"/>
      <c r="B892" s="135"/>
      <c r="C892" s="135"/>
      <c r="D892" s="135"/>
      <c r="E892" s="135"/>
      <c r="F892" s="135"/>
      <c r="G892" s="135"/>
      <c r="H892" s="135"/>
      <c r="I892" s="135"/>
      <c r="J892" s="135"/>
      <c r="K892" s="135"/>
      <c r="L892" s="135"/>
      <c r="M892" s="135"/>
      <c r="N892" s="135"/>
      <c r="O892" s="135"/>
      <c r="P892" s="135"/>
      <c r="Q892" s="135"/>
      <c r="R892" s="135"/>
      <c r="S892" s="135"/>
      <c r="T892" s="135"/>
      <c r="U892" s="135"/>
      <c r="V892" s="135"/>
      <c r="W892" s="135"/>
      <c r="X892" s="135"/>
      <c r="Y892" s="135"/>
      <c r="Z892" s="135"/>
      <c r="AA892" s="135"/>
      <c r="AB892" s="135"/>
      <c r="AC892" s="135"/>
      <c r="AD892" s="135"/>
      <c r="AE892" s="135"/>
      <c r="AF892" s="135"/>
    </row>
    <row r="893">
      <c r="A893" s="135"/>
      <c r="B893" s="135"/>
      <c r="C893" s="135"/>
      <c r="D893" s="135"/>
      <c r="E893" s="135"/>
      <c r="F893" s="135"/>
      <c r="G893" s="135"/>
      <c r="H893" s="135"/>
      <c r="I893" s="135"/>
      <c r="J893" s="135"/>
      <c r="K893" s="135"/>
      <c r="L893" s="135"/>
      <c r="M893" s="135"/>
      <c r="N893" s="135"/>
      <c r="O893" s="135"/>
      <c r="P893" s="135"/>
      <c r="Q893" s="135"/>
      <c r="R893" s="135"/>
      <c r="S893" s="135"/>
      <c r="T893" s="135"/>
      <c r="U893" s="135"/>
      <c r="V893" s="135"/>
      <c r="W893" s="135"/>
      <c r="X893" s="135"/>
      <c r="Y893" s="135"/>
      <c r="Z893" s="135"/>
      <c r="AA893" s="135"/>
      <c r="AB893" s="135"/>
      <c r="AC893" s="135"/>
      <c r="AD893" s="135"/>
      <c r="AE893" s="135"/>
      <c r="AF893" s="135"/>
    </row>
    <row r="894">
      <c r="A894" s="135"/>
      <c r="B894" s="135"/>
      <c r="C894" s="135"/>
      <c r="D894" s="135"/>
      <c r="E894" s="135"/>
      <c r="F894" s="135"/>
      <c r="G894" s="135"/>
      <c r="H894" s="135"/>
      <c r="I894" s="135"/>
      <c r="J894" s="135"/>
      <c r="K894" s="135"/>
      <c r="L894" s="135"/>
      <c r="M894" s="135"/>
      <c r="N894" s="135"/>
      <c r="O894" s="135"/>
      <c r="P894" s="135"/>
      <c r="Q894" s="135"/>
      <c r="R894" s="135"/>
      <c r="S894" s="135"/>
      <c r="T894" s="135"/>
      <c r="U894" s="135"/>
      <c r="V894" s="135"/>
      <c r="W894" s="135"/>
      <c r="X894" s="135"/>
      <c r="Y894" s="135"/>
      <c r="Z894" s="135"/>
      <c r="AA894" s="135"/>
      <c r="AB894" s="135"/>
      <c r="AC894" s="135"/>
      <c r="AD894" s="135"/>
      <c r="AE894" s="135"/>
      <c r="AF894" s="135"/>
    </row>
    <row r="895">
      <c r="A895" s="135"/>
      <c r="B895" s="135"/>
      <c r="C895" s="135"/>
      <c r="D895" s="135"/>
      <c r="E895" s="135"/>
      <c r="F895" s="135"/>
      <c r="G895" s="135"/>
      <c r="H895" s="135"/>
      <c r="I895" s="135"/>
      <c r="J895" s="135"/>
      <c r="K895" s="135"/>
      <c r="L895" s="135"/>
      <c r="M895" s="135"/>
      <c r="N895" s="135"/>
      <c r="O895" s="135"/>
      <c r="P895" s="135"/>
      <c r="Q895" s="135"/>
      <c r="R895" s="135"/>
      <c r="S895" s="135"/>
      <c r="T895" s="135"/>
      <c r="U895" s="135"/>
      <c r="V895" s="135"/>
      <c r="W895" s="135"/>
      <c r="X895" s="135"/>
      <c r="Y895" s="135"/>
      <c r="Z895" s="135"/>
      <c r="AA895" s="135"/>
      <c r="AB895" s="135"/>
      <c r="AC895" s="135"/>
      <c r="AD895" s="135"/>
      <c r="AE895" s="135"/>
      <c r="AF895" s="135"/>
    </row>
    <row r="896">
      <c r="A896" s="135"/>
      <c r="B896" s="135"/>
      <c r="C896" s="135"/>
      <c r="D896" s="135"/>
      <c r="E896" s="135"/>
      <c r="F896" s="135"/>
      <c r="G896" s="135"/>
      <c r="H896" s="135"/>
      <c r="I896" s="135"/>
      <c r="J896" s="135"/>
      <c r="K896" s="135"/>
      <c r="L896" s="135"/>
      <c r="M896" s="135"/>
      <c r="N896" s="135"/>
      <c r="O896" s="135"/>
      <c r="P896" s="135"/>
      <c r="Q896" s="135"/>
      <c r="R896" s="135"/>
      <c r="S896" s="135"/>
      <c r="T896" s="135"/>
      <c r="U896" s="135"/>
      <c r="V896" s="135"/>
      <c r="W896" s="135"/>
      <c r="X896" s="135"/>
      <c r="Y896" s="135"/>
      <c r="Z896" s="135"/>
      <c r="AA896" s="135"/>
      <c r="AB896" s="135"/>
      <c r="AC896" s="135"/>
      <c r="AD896" s="135"/>
      <c r="AE896" s="135"/>
      <c r="AF896" s="135"/>
    </row>
    <row r="897">
      <c r="A897" s="135"/>
      <c r="B897" s="135"/>
      <c r="C897" s="135"/>
      <c r="D897" s="135"/>
      <c r="E897" s="135"/>
      <c r="F897" s="135"/>
      <c r="G897" s="135"/>
      <c r="H897" s="135"/>
      <c r="I897" s="135"/>
      <c r="J897" s="135"/>
      <c r="K897" s="135"/>
      <c r="L897" s="135"/>
      <c r="M897" s="135"/>
      <c r="N897" s="135"/>
      <c r="O897" s="135"/>
      <c r="P897" s="135"/>
      <c r="Q897" s="135"/>
      <c r="R897" s="135"/>
      <c r="S897" s="135"/>
      <c r="T897" s="135"/>
      <c r="U897" s="135"/>
      <c r="V897" s="135"/>
      <c r="W897" s="135"/>
      <c r="X897" s="135"/>
      <c r="Y897" s="135"/>
      <c r="Z897" s="135"/>
      <c r="AA897" s="135"/>
      <c r="AB897" s="135"/>
      <c r="AC897" s="135"/>
      <c r="AD897" s="135"/>
      <c r="AE897" s="135"/>
      <c r="AF897" s="135"/>
    </row>
    <row r="898">
      <c r="A898" s="135"/>
      <c r="B898" s="135"/>
      <c r="C898" s="135"/>
      <c r="D898" s="135"/>
      <c r="E898" s="135"/>
      <c r="F898" s="135"/>
      <c r="G898" s="135"/>
      <c r="H898" s="135"/>
      <c r="I898" s="135"/>
      <c r="J898" s="135"/>
      <c r="K898" s="135"/>
      <c r="L898" s="135"/>
      <c r="M898" s="135"/>
      <c r="N898" s="135"/>
      <c r="O898" s="135"/>
      <c r="P898" s="135"/>
      <c r="Q898" s="135"/>
      <c r="R898" s="135"/>
      <c r="S898" s="135"/>
      <c r="T898" s="135"/>
      <c r="U898" s="135"/>
      <c r="V898" s="135"/>
      <c r="W898" s="135"/>
      <c r="X898" s="135"/>
      <c r="Y898" s="135"/>
      <c r="Z898" s="135"/>
      <c r="AA898" s="135"/>
      <c r="AB898" s="135"/>
      <c r="AC898" s="135"/>
      <c r="AD898" s="135"/>
      <c r="AE898" s="135"/>
      <c r="AF898" s="135"/>
    </row>
    <row r="899">
      <c r="A899" s="135"/>
      <c r="B899" s="135"/>
      <c r="C899" s="135"/>
      <c r="D899" s="135"/>
      <c r="E899" s="135"/>
      <c r="F899" s="135"/>
      <c r="G899" s="135"/>
      <c r="H899" s="135"/>
      <c r="I899" s="135"/>
      <c r="J899" s="135"/>
      <c r="K899" s="135"/>
      <c r="L899" s="135"/>
      <c r="M899" s="135"/>
      <c r="N899" s="135"/>
      <c r="O899" s="135"/>
      <c r="P899" s="135"/>
      <c r="Q899" s="135"/>
      <c r="R899" s="135"/>
      <c r="S899" s="135"/>
      <c r="T899" s="135"/>
      <c r="U899" s="135"/>
      <c r="V899" s="135"/>
      <c r="W899" s="135"/>
      <c r="X899" s="135"/>
      <c r="Y899" s="135"/>
      <c r="Z899" s="135"/>
      <c r="AA899" s="135"/>
      <c r="AB899" s="135"/>
      <c r="AC899" s="135"/>
      <c r="AD899" s="135"/>
      <c r="AE899" s="135"/>
      <c r="AF899" s="135"/>
    </row>
    <row r="900">
      <c r="A900" s="135"/>
      <c r="B900" s="135"/>
      <c r="C900" s="135"/>
      <c r="D900" s="135"/>
      <c r="E900" s="135"/>
      <c r="F900" s="135"/>
      <c r="G900" s="135"/>
      <c r="H900" s="135"/>
      <c r="I900" s="135"/>
      <c r="J900" s="135"/>
      <c r="K900" s="135"/>
      <c r="L900" s="135"/>
      <c r="M900" s="135"/>
      <c r="N900" s="135"/>
      <c r="O900" s="135"/>
      <c r="P900" s="135"/>
      <c r="Q900" s="135"/>
      <c r="R900" s="135"/>
      <c r="S900" s="135"/>
      <c r="T900" s="135"/>
      <c r="U900" s="135"/>
      <c r="V900" s="135"/>
      <c r="W900" s="135"/>
      <c r="X900" s="135"/>
      <c r="Y900" s="135"/>
      <c r="Z900" s="135"/>
      <c r="AA900" s="135"/>
      <c r="AB900" s="135"/>
      <c r="AC900" s="135"/>
      <c r="AD900" s="135"/>
      <c r="AE900" s="135"/>
      <c r="AF900" s="135"/>
    </row>
    <row r="901">
      <c r="A901" s="135"/>
      <c r="B901" s="135"/>
      <c r="C901" s="135"/>
      <c r="D901" s="135"/>
      <c r="E901" s="135"/>
      <c r="F901" s="135"/>
      <c r="G901" s="135"/>
      <c r="H901" s="135"/>
      <c r="I901" s="135"/>
      <c r="J901" s="135"/>
      <c r="K901" s="135"/>
      <c r="L901" s="135"/>
      <c r="M901" s="135"/>
      <c r="N901" s="135"/>
      <c r="O901" s="135"/>
      <c r="P901" s="135"/>
      <c r="Q901" s="135"/>
      <c r="R901" s="135"/>
      <c r="S901" s="135"/>
      <c r="T901" s="135"/>
      <c r="U901" s="135"/>
      <c r="V901" s="135"/>
      <c r="W901" s="135"/>
      <c r="X901" s="135"/>
      <c r="Y901" s="135"/>
      <c r="Z901" s="135"/>
      <c r="AA901" s="135"/>
      <c r="AB901" s="135"/>
      <c r="AC901" s="135"/>
      <c r="AD901" s="135"/>
      <c r="AE901" s="135"/>
      <c r="AF901" s="135"/>
    </row>
    <row r="902">
      <c r="A902" s="135"/>
      <c r="B902" s="135"/>
      <c r="C902" s="135"/>
      <c r="D902" s="135"/>
      <c r="E902" s="135"/>
      <c r="F902" s="135"/>
      <c r="G902" s="135"/>
      <c r="H902" s="135"/>
      <c r="I902" s="135"/>
      <c r="J902" s="135"/>
      <c r="K902" s="135"/>
      <c r="L902" s="135"/>
      <c r="M902" s="135"/>
      <c r="N902" s="135"/>
      <c r="O902" s="135"/>
      <c r="P902" s="135"/>
      <c r="Q902" s="135"/>
      <c r="R902" s="135"/>
      <c r="S902" s="135"/>
      <c r="T902" s="135"/>
      <c r="U902" s="135"/>
      <c r="V902" s="135"/>
      <c r="W902" s="135"/>
      <c r="X902" s="135"/>
      <c r="Y902" s="135"/>
      <c r="Z902" s="135"/>
      <c r="AA902" s="135"/>
      <c r="AB902" s="135"/>
      <c r="AC902" s="135"/>
      <c r="AD902" s="135"/>
      <c r="AE902" s="135"/>
      <c r="AF902" s="135"/>
    </row>
    <row r="903">
      <c r="A903" s="135"/>
      <c r="B903" s="135"/>
      <c r="C903" s="135"/>
      <c r="D903" s="135"/>
      <c r="E903" s="135"/>
      <c r="F903" s="135"/>
      <c r="G903" s="135"/>
      <c r="H903" s="135"/>
      <c r="I903" s="135"/>
      <c r="J903" s="135"/>
      <c r="K903" s="135"/>
      <c r="L903" s="135"/>
      <c r="M903" s="135"/>
      <c r="N903" s="135"/>
      <c r="O903" s="135"/>
      <c r="P903" s="135"/>
      <c r="Q903" s="135"/>
      <c r="R903" s="135"/>
      <c r="S903" s="135"/>
      <c r="T903" s="135"/>
      <c r="U903" s="135"/>
      <c r="V903" s="135"/>
      <c r="W903" s="135"/>
      <c r="X903" s="135"/>
      <c r="Y903" s="135"/>
      <c r="Z903" s="135"/>
      <c r="AA903" s="135"/>
      <c r="AB903" s="135"/>
      <c r="AC903" s="135"/>
      <c r="AD903" s="135"/>
      <c r="AE903" s="135"/>
      <c r="AF903" s="135"/>
    </row>
    <row r="904">
      <c r="A904" s="135"/>
      <c r="B904" s="135"/>
      <c r="C904" s="135"/>
      <c r="D904" s="135"/>
      <c r="E904" s="135"/>
      <c r="F904" s="135"/>
      <c r="G904" s="135"/>
      <c r="H904" s="135"/>
      <c r="I904" s="135"/>
      <c r="J904" s="135"/>
      <c r="K904" s="135"/>
      <c r="L904" s="135"/>
      <c r="M904" s="135"/>
      <c r="N904" s="135"/>
      <c r="O904" s="135"/>
      <c r="P904" s="135"/>
      <c r="Q904" s="135"/>
      <c r="R904" s="135"/>
      <c r="S904" s="135"/>
      <c r="T904" s="135"/>
      <c r="U904" s="135"/>
      <c r="V904" s="135"/>
      <c r="W904" s="135"/>
      <c r="X904" s="135"/>
      <c r="Y904" s="135"/>
      <c r="Z904" s="135"/>
      <c r="AA904" s="135"/>
      <c r="AB904" s="135"/>
      <c r="AC904" s="135"/>
      <c r="AD904" s="135"/>
      <c r="AE904" s="135"/>
      <c r="AF904" s="135"/>
    </row>
    <row r="905">
      <c r="A905" s="135"/>
      <c r="B905" s="135"/>
      <c r="C905" s="135"/>
      <c r="D905" s="135"/>
      <c r="E905" s="135"/>
      <c r="F905" s="135"/>
      <c r="G905" s="135"/>
      <c r="H905" s="135"/>
      <c r="I905" s="135"/>
      <c r="J905" s="135"/>
      <c r="K905" s="135"/>
      <c r="L905" s="135"/>
      <c r="M905" s="135"/>
      <c r="N905" s="135"/>
      <c r="O905" s="135"/>
      <c r="P905" s="135"/>
      <c r="Q905" s="135"/>
      <c r="R905" s="135"/>
      <c r="S905" s="135"/>
      <c r="T905" s="135"/>
      <c r="U905" s="135"/>
      <c r="V905" s="135"/>
      <c r="W905" s="135"/>
      <c r="X905" s="135"/>
      <c r="Y905" s="135"/>
      <c r="Z905" s="135"/>
      <c r="AA905" s="135"/>
      <c r="AB905" s="135"/>
      <c r="AC905" s="135"/>
      <c r="AD905" s="135"/>
      <c r="AE905" s="135"/>
      <c r="AF905" s="135"/>
    </row>
    <row r="906">
      <c r="A906" s="135"/>
      <c r="B906" s="135"/>
      <c r="C906" s="135"/>
      <c r="D906" s="135"/>
      <c r="E906" s="135"/>
      <c r="F906" s="135"/>
      <c r="G906" s="135"/>
      <c r="H906" s="135"/>
      <c r="I906" s="135"/>
      <c r="J906" s="135"/>
      <c r="K906" s="135"/>
      <c r="L906" s="135"/>
      <c r="M906" s="135"/>
      <c r="N906" s="135"/>
      <c r="O906" s="135"/>
      <c r="P906" s="135"/>
      <c r="Q906" s="135"/>
      <c r="R906" s="135"/>
      <c r="S906" s="135"/>
      <c r="T906" s="135"/>
      <c r="U906" s="135"/>
      <c r="V906" s="135"/>
      <c r="W906" s="135"/>
      <c r="X906" s="135"/>
      <c r="Y906" s="135"/>
      <c r="Z906" s="135"/>
      <c r="AA906" s="135"/>
      <c r="AB906" s="135"/>
      <c r="AC906" s="135"/>
      <c r="AD906" s="135"/>
      <c r="AE906" s="135"/>
      <c r="AF906" s="135"/>
    </row>
    <row r="907">
      <c r="A907" s="135"/>
      <c r="B907" s="135"/>
      <c r="C907" s="135"/>
      <c r="D907" s="135"/>
      <c r="E907" s="135"/>
      <c r="F907" s="135"/>
      <c r="G907" s="135"/>
      <c r="H907" s="135"/>
      <c r="I907" s="135"/>
      <c r="J907" s="135"/>
      <c r="K907" s="135"/>
      <c r="L907" s="135"/>
      <c r="M907" s="135"/>
      <c r="N907" s="135"/>
      <c r="O907" s="135"/>
      <c r="P907" s="135"/>
      <c r="Q907" s="135"/>
      <c r="R907" s="135"/>
      <c r="S907" s="135"/>
      <c r="T907" s="135"/>
      <c r="U907" s="135"/>
      <c r="V907" s="135"/>
      <c r="W907" s="135"/>
      <c r="X907" s="135"/>
      <c r="Y907" s="135"/>
      <c r="Z907" s="135"/>
      <c r="AA907" s="135"/>
      <c r="AB907" s="135"/>
      <c r="AC907" s="135"/>
      <c r="AD907" s="135"/>
      <c r="AE907" s="135"/>
      <c r="AF907" s="135"/>
    </row>
    <row r="908">
      <c r="A908" s="135"/>
      <c r="B908" s="135"/>
      <c r="C908" s="135"/>
      <c r="D908" s="135"/>
      <c r="E908" s="135"/>
      <c r="F908" s="135"/>
      <c r="G908" s="135"/>
      <c r="H908" s="135"/>
      <c r="I908" s="135"/>
      <c r="J908" s="135"/>
      <c r="K908" s="135"/>
      <c r="L908" s="135"/>
      <c r="M908" s="135"/>
      <c r="N908" s="135"/>
      <c r="O908" s="135"/>
      <c r="P908" s="135"/>
      <c r="Q908" s="135"/>
      <c r="R908" s="135"/>
      <c r="S908" s="135"/>
      <c r="T908" s="135"/>
      <c r="U908" s="135"/>
      <c r="V908" s="135"/>
      <c r="W908" s="135"/>
      <c r="X908" s="135"/>
      <c r="Y908" s="135"/>
      <c r="Z908" s="135"/>
      <c r="AA908" s="135"/>
      <c r="AB908" s="135"/>
      <c r="AC908" s="135"/>
      <c r="AD908" s="135"/>
      <c r="AE908" s="135"/>
      <c r="AF908" s="135"/>
    </row>
    <row r="909">
      <c r="A909" s="135"/>
      <c r="B909" s="135"/>
      <c r="C909" s="135"/>
      <c r="D909" s="135"/>
      <c r="E909" s="135"/>
      <c r="F909" s="135"/>
      <c r="G909" s="135"/>
      <c r="H909" s="135"/>
      <c r="I909" s="135"/>
      <c r="J909" s="135"/>
      <c r="K909" s="135"/>
      <c r="L909" s="135"/>
      <c r="M909" s="135"/>
      <c r="N909" s="135"/>
      <c r="O909" s="135"/>
      <c r="P909" s="135"/>
      <c r="Q909" s="135"/>
      <c r="R909" s="135"/>
      <c r="S909" s="135"/>
      <c r="T909" s="135"/>
      <c r="U909" s="135"/>
      <c r="V909" s="135"/>
      <c r="W909" s="135"/>
      <c r="X909" s="135"/>
      <c r="Y909" s="135"/>
      <c r="Z909" s="135"/>
      <c r="AA909" s="135"/>
      <c r="AB909" s="135"/>
      <c r="AC909" s="135"/>
      <c r="AD909" s="135"/>
      <c r="AE909" s="135"/>
      <c r="AF909" s="135"/>
    </row>
    <row r="910">
      <c r="A910" s="135"/>
      <c r="B910" s="135"/>
      <c r="C910" s="135"/>
      <c r="D910" s="135"/>
      <c r="E910" s="135"/>
      <c r="F910" s="135"/>
      <c r="G910" s="135"/>
      <c r="H910" s="135"/>
      <c r="I910" s="135"/>
      <c r="J910" s="135"/>
      <c r="K910" s="135"/>
      <c r="L910" s="135"/>
      <c r="M910" s="135"/>
      <c r="N910" s="135"/>
      <c r="O910" s="135"/>
      <c r="P910" s="135"/>
      <c r="Q910" s="135"/>
      <c r="R910" s="135"/>
      <c r="S910" s="135"/>
      <c r="T910" s="135"/>
      <c r="U910" s="135"/>
      <c r="V910" s="135"/>
      <c r="W910" s="135"/>
      <c r="X910" s="135"/>
      <c r="Y910" s="135"/>
      <c r="Z910" s="135"/>
      <c r="AA910" s="135"/>
      <c r="AB910" s="135"/>
      <c r="AC910" s="135"/>
      <c r="AD910" s="135"/>
      <c r="AE910" s="135"/>
      <c r="AF910" s="135"/>
    </row>
    <row r="911">
      <c r="A911" s="135"/>
      <c r="B911" s="135"/>
      <c r="C911" s="135"/>
      <c r="D911" s="135"/>
      <c r="E911" s="135"/>
      <c r="F911" s="135"/>
      <c r="G911" s="135"/>
      <c r="H911" s="135"/>
      <c r="I911" s="135"/>
      <c r="J911" s="135"/>
      <c r="K911" s="135"/>
      <c r="L911" s="135"/>
      <c r="M911" s="135"/>
      <c r="N911" s="135"/>
      <c r="O911" s="135"/>
      <c r="P911" s="135"/>
      <c r="Q911" s="135"/>
      <c r="R911" s="135"/>
      <c r="S911" s="135"/>
      <c r="T911" s="135"/>
      <c r="U911" s="135"/>
      <c r="V911" s="135"/>
      <c r="W911" s="135"/>
      <c r="X911" s="135"/>
      <c r="Y911" s="135"/>
      <c r="Z911" s="135"/>
      <c r="AA911" s="135"/>
      <c r="AB911" s="135"/>
      <c r="AC911" s="135"/>
      <c r="AD911" s="135"/>
      <c r="AE911" s="135"/>
      <c r="AF911" s="135"/>
    </row>
    <row r="912">
      <c r="A912" s="135"/>
      <c r="B912" s="135"/>
      <c r="C912" s="135"/>
      <c r="D912" s="135"/>
      <c r="E912" s="135"/>
      <c r="F912" s="135"/>
      <c r="G912" s="135"/>
      <c r="H912" s="135"/>
      <c r="I912" s="135"/>
      <c r="J912" s="135"/>
      <c r="K912" s="135"/>
      <c r="L912" s="135"/>
      <c r="M912" s="135"/>
      <c r="N912" s="135"/>
      <c r="O912" s="135"/>
      <c r="P912" s="135"/>
      <c r="Q912" s="135"/>
      <c r="R912" s="135"/>
      <c r="S912" s="135"/>
      <c r="T912" s="135"/>
      <c r="U912" s="135"/>
      <c r="V912" s="135"/>
      <c r="W912" s="135"/>
      <c r="X912" s="135"/>
      <c r="Y912" s="135"/>
      <c r="Z912" s="135"/>
      <c r="AA912" s="135"/>
      <c r="AB912" s="135"/>
      <c r="AC912" s="135"/>
      <c r="AD912" s="135"/>
      <c r="AE912" s="135"/>
      <c r="AF912" s="135"/>
    </row>
    <row r="913">
      <c r="A913" s="135"/>
      <c r="B913" s="135"/>
      <c r="C913" s="135"/>
      <c r="D913" s="135"/>
      <c r="E913" s="135"/>
      <c r="F913" s="135"/>
      <c r="G913" s="135"/>
      <c r="H913" s="135"/>
      <c r="I913" s="135"/>
      <c r="J913" s="135"/>
      <c r="K913" s="135"/>
      <c r="L913" s="135"/>
      <c r="M913" s="135"/>
      <c r="N913" s="135"/>
      <c r="O913" s="135"/>
      <c r="P913" s="135"/>
      <c r="Q913" s="135"/>
      <c r="R913" s="135"/>
      <c r="S913" s="135"/>
      <c r="T913" s="135"/>
      <c r="U913" s="135"/>
      <c r="V913" s="135"/>
      <c r="W913" s="135"/>
      <c r="X913" s="135"/>
      <c r="Y913" s="135"/>
      <c r="Z913" s="135"/>
      <c r="AA913" s="135"/>
      <c r="AB913" s="135"/>
      <c r="AC913" s="135"/>
      <c r="AD913" s="135"/>
      <c r="AE913" s="135"/>
      <c r="AF913" s="135"/>
    </row>
    <row r="914">
      <c r="A914" s="135"/>
      <c r="B914" s="135"/>
      <c r="C914" s="135"/>
      <c r="D914" s="135"/>
      <c r="E914" s="135"/>
      <c r="F914" s="135"/>
      <c r="G914" s="135"/>
      <c r="H914" s="135"/>
      <c r="I914" s="135"/>
      <c r="J914" s="135"/>
      <c r="K914" s="135"/>
      <c r="L914" s="135"/>
      <c r="M914" s="135"/>
      <c r="N914" s="135"/>
      <c r="O914" s="135"/>
      <c r="P914" s="135"/>
      <c r="Q914" s="135"/>
      <c r="R914" s="135"/>
      <c r="S914" s="135"/>
      <c r="T914" s="135"/>
      <c r="U914" s="135"/>
      <c r="V914" s="135"/>
      <c r="W914" s="135"/>
      <c r="X914" s="135"/>
      <c r="Y914" s="135"/>
      <c r="Z914" s="135"/>
      <c r="AA914" s="135"/>
      <c r="AB914" s="135"/>
      <c r="AC914" s="135"/>
      <c r="AD914" s="135"/>
      <c r="AE914" s="135"/>
      <c r="AF914" s="135"/>
    </row>
    <row r="915">
      <c r="A915" s="135"/>
      <c r="B915" s="135"/>
      <c r="C915" s="135"/>
      <c r="D915" s="135"/>
      <c r="E915" s="135"/>
      <c r="F915" s="135"/>
      <c r="G915" s="135"/>
      <c r="H915" s="135"/>
      <c r="I915" s="135"/>
      <c r="J915" s="135"/>
      <c r="K915" s="135"/>
      <c r="L915" s="135"/>
      <c r="M915" s="135"/>
      <c r="N915" s="135"/>
      <c r="O915" s="135"/>
      <c r="P915" s="135"/>
      <c r="Q915" s="135"/>
      <c r="R915" s="135"/>
      <c r="S915" s="135"/>
      <c r="T915" s="135"/>
      <c r="U915" s="135"/>
      <c r="V915" s="135"/>
      <c r="W915" s="135"/>
      <c r="X915" s="135"/>
      <c r="Y915" s="135"/>
      <c r="Z915" s="135"/>
      <c r="AA915" s="135"/>
      <c r="AB915" s="135"/>
      <c r="AC915" s="135"/>
      <c r="AD915" s="135"/>
      <c r="AE915" s="135"/>
      <c r="AF915" s="135"/>
    </row>
    <row r="916">
      <c r="A916" s="135"/>
      <c r="B916" s="135"/>
      <c r="C916" s="135"/>
      <c r="D916" s="135"/>
      <c r="E916" s="135"/>
      <c r="F916" s="135"/>
      <c r="G916" s="135"/>
      <c r="H916" s="135"/>
      <c r="I916" s="135"/>
      <c r="J916" s="135"/>
      <c r="K916" s="135"/>
      <c r="L916" s="135"/>
      <c r="M916" s="135"/>
      <c r="N916" s="135"/>
      <c r="O916" s="135"/>
      <c r="P916" s="135"/>
      <c r="Q916" s="135"/>
      <c r="R916" s="135"/>
      <c r="S916" s="135"/>
      <c r="T916" s="135"/>
      <c r="U916" s="135"/>
      <c r="V916" s="135"/>
      <c r="W916" s="135"/>
      <c r="X916" s="135"/>
      <c r="Y916" s="135"/>
      <c r="Z916" s="135"/>
      <c r="AA916" s="135"/>
      <c r="AB916" s="135"/>
      <c r="AC916" s="135"/>
      <c r="AD916" s="135"/>
      <c r="AE916" s="135"/>
      <c r="AF916" s="135"/>
    </row>
    <row r="917">
      <c r="A917" s="135"/>
      <c r="B917" s="135"/>
      <c r="C917" s="135"/>
      <c r="D917" s="135"/>
      <c r="E917" s="135"/>
      <c r="F917" s="135"/>
      <c r="G917" s="135"/>
      <c r="H917" s="135"/>
      <c r="I917" s="135"/>
      <c r="J917" s="135"/>
      <c r="K917" s="135"/>
      <c r="L917" s="135"/>
      <c r="M917" s="135"/>
      <c r="N917" s="135"/>
      <c r="O917" s="135"/>
      <c r="P917" s="135"/>
      <c r="Q917" s="135"/>
      <c r="R917" s="135"/>
      <c r="S917" s="135"/>
      <c r="T917" s="135"/>
      <c r="U917" s="135"/>
      <c r="V917" s="135"/>
      <c r="W917" s="135"/>
      <c r="X917" s="135"/>
      <c r="Y917" s="135"/>
      <c r="Z917" s="135"/>
      <c r="AA917" s="135"/>
      <c r="AB917" s="135"/>
      <c r="AC917" s="135"/>
      <c r="AD917" s="135"/>
      <c r="AE917" s="135"/>
      <c r="AF917" s="135"/>
    </row>
    <row r="918">
      <c r="A918" s="135"/>
      <c r="B918" s="135"/>
      <c r="C918" s="135"/>
      <c r="D918" s="135"/>
      <c r="E918" s="135"/>
      <c r="F918" s="135"/>
      <c r="G918" s="135"/>
      <c r="H918" s="135"/>
      <c r="I918" s="135"/>
      <c r="J918" s="135"/>
      <c r="K918" s="135"/>
      <c r="L918" s="135"/>
      <c r="M918" s="135"/>
      <c r="N918" s="135"/>
      <c r="O918" s="135"/>
      <c r="P918" s="135"/>
      <c r="Q918" s="135"/>
      <c r="R918" s="135"/>
      <c r="S918" s="135"/>
      <c r="T918" s="135"/>
      <c r="U918" s="135"/>
      <c r="V918" s="135"/>
      <c r="W918" s="135"/>
      <c r="X918" s="135"/>
      <c r="Y918" s="135"/>
      <c r="Z918" s="135"/>
      <c r="AA918" s="135"/>
      <c r="AB918" s="135"/>
      <c r="AC918" s="135"/>
      <c r="AD918" s="135"/>
      <c r="AE918" s="135"/>
      <c r="AF918" s="135"/>
    </row>
    <row r="919">
      <c r="A919" s="135"/>
      <c r="B919" s="135"/>
      <c r="C919" s="135"/>
      <c r="D919" s="135"/>
      <c r="E919" s="135"/>
      <c r="F919" s="135"/>
      <c r="G919" s="135"/>
      <c r="H919" s="135"/>
      <c r="I919" s="135"/>
      <c r="J919" s="135"/>
      <c r="K919" s="135"/>
      <c r="L919" s="135"/>
      <c r="M919" s="135"/>
      <c r="N919" s="135"/>
      <c r="O919" s="135"/>
      <c r="P919" s="135"/>
      <c r="Q919" s="135"/>
      <c r="R919" s="135"/>
      <c r="S919" s="135"/>
      <c r="T919" s="135"/>
      <c r="U919" s="135"/>
      <c r="V919" s="135"/>
      <c r="W919" s="135"/>
      <c r="X919" s="135"/>
      <c r="Y919" s="135"/>
      <c r="Z919" s="135"/>
      <c r="AA919" s="135"/>
      <c r="AB919" s="135"/>
      <c r="AC919" s="135"/>
      <c r="AD919" s="135"/>
      <c r="AE919" s="135"/>
      <c r="AF919" s="135"/>
    </row>
    <row r="920">
      <c r="A920" s="135"/>
      <c r="B920" s="135"/>
      <c r="C920" s="135"/>
      <c r="D920" s="135"/>
      <c r="E920" s="135"/>
      <c r="F920" s="135"/>
      <c r="G920" s="135"/>
      <c r="H920" s="135"/>
      <c r="I920" s="135"/>
      <c r="J920" s="135"/>
      <c r="K920" s="135"/>
      <c r="L920" s="135"/>
      <c r="M920" s="135"/>
      <c r="N920" s="135"/>
      <c r="O920" s="135"/>
      <c r="P920" s="135"/>
      <c r="Q920" s="135"/>
      <c r="R920" s="135"/>
      <c r="S920" s="135"/>
      <c r="T920" s="135"/>
      <c r="U920" s="135"/>
      <c r="V920" s="135"/>
      <c r="W920" s="135"/>
      <c r="X920" s="135"/>
      <c r="Y920" s="135"/>
      <c r="Z920" s="135"/>
      <c r="AA920" s="135"/>
      <c r="AB920" s="135"/>
      <c r="AC920" s="135"/>
      <c r="AD920" s="135"/>
      <c r="AE920" s="135"/>
      <c r="AF920" s="135"/>
    </row>
    <row r="921">
      <c r="A921" s="135"/>
      <c r="B921" s="135"/>
      <c r="C921" s="135"/>
      <c r="D921" s="135"/>
      <c r="E921" s="135"/>
      <c r="F921" s="135"/>
      <c r="G921" s="135"/>
      <c r="H921" s="135"/>
      <c r="I921" s="135"/>
      <c r="J921" s="135"/>
      <c r="K921" s="135"/>
      <c r="L921" s="135"/>
      <c r="M921" s="135"/>
      <c r="N921" s="135"/>
      <c r="O921" s="135"/>
      <c r="P921" s="135"/>
      <c r="Q921" s="135"/>
      <c r="R921" s="135"/>
      <c r="S921" s="135"/>
      <c r="T921" s="135"/>
      <c r="U921" s="135"/>
      <c r="V921" s="135"/>
      <c r="W921" s="135"/>
      <c r="X921" s="135"/>
      <c r="Y921" s="135"/>
      <c r="Z921" s="135"/>
      <c r="AA921" s="135"/>
      <c r="AB921" s="135"/>
      <c r="AC921" s="135"/>
      <c r="AD921" s="135"/>
      <c r="AE921" s="135"/>
      <c r="AF921" s="135"/>
    </row>
    <row r="922">
      <c r="A922" s="135"/>
      <c r="B922" s="135"/>
      <c r="C922" s="135"/>
      <c r="D922" s="135"/>
      <c r="E922" s="135"/>
      <c r="F922" s="135"/>
      <c r="G922" s="135"/>
      <c r="H922" s="135"/>
      <c r="I922" s="135"/>
      <c r="J922" s="135"/>
      <c r="K922" s="135"/>
      <c r="L922" s="135"/>
      <c r="M922" s="135"/>
      <c r="N922" s="135"/>
      <c r="O922" s="135"/>
      <c r="P922" s="135"/>
      <c r="Q922" s="135"/>
      <c r="R922" s="135"/>
      <c r="S922" s="135"/>
      <c r="T922" s="135"/>
      <c r="U922" s="135"/>
      <c r="V922" s="135"/>
      <c r="W922" s="135"/>
      <c r="X922" s="135"/>
      <c r="Y922" s="135"/>
      <c r="Z922" s="135"/>
      <c r="AA922" s="135"/>
      <c r="AB922" s="135"/>
      <c r="AC922" s="135"/>
      <c r="AD922" s="135"/>
      <c r="AE922" s="135"/>
      <c r="AF922" s="135"/>
    </row>
    <row r="923">
      <c r="A923" s="135"/>
      <c r="B923" s="135"/>
      <c r="C923" s="135"/>
      <c r="D923" s="135"/>
      <c r="E923" s="135"/>
      <c r="F923" s="135"/>
      <c r="G923" s="135"/>
      <c r="H923" s="135"/>
      <c r="I923" s="135"/>
      <c r="J923" s="135"/>
      <c r="K923" s="135"/>
      <c r="L923" s="135"/>
      <c r="M923" s="135"/>
      <c r="N923" s="135"/>
      <c r="O923" s="135"/>
      <c r="P923" s="135"/>
      <c r="Q923" s="135"/>
      <c r="R923" s="135"/>
      <c r="S923" s="135"/>
      <c r="T923" s="135"/>
      <c r="U923" s="135"/>
      <c r="V923" s="135"/>
      <c r="W923" s="135"/>
      <c r="X923" s="135"/>
      <c r="Y923" s="135"/>
      <c r="Z923" s="135"/>
      <c r="AA923" s="135"/>
      <c r="AB923" s="135"/>
      <c r="AC923" s="135"/>
      <c r="AD923" s="135"/>
      <c r="AE923" s="135"/>
      <c r="AF923" s="135"/>
    </row>
    <row r="924">
      <c r="A924" s="135"/>
      <c r="B924" s="135"/>
      <c r="C924" s="135"/>
      <c r="D924" s="135"/>
      <c r="E924" s="135"/>
      <c r="F924" s="135"/>
      <c r="G924" s="135"/>
      <c r="H924" s="135"/>
      <c r="I924" s="135"/>
      <c r="J924" s="135"/>
      <c r="K924" s="135"/>
      <c r="L924" s="135"/>
      <c r="M924" s="135"/>
      <c r="N924" s="135"/>
      <c r="O924" s="135"/>
      <c r="P924" s="135"/>
      <c r="Q924" s="135"/>
      <c r="R924" s="135"/>
      <c r="S924" s="135"/>
      <c r="T924" s="135"/>
      <c r="U924" s="135"/>
      <c r="V924" s="135"/>
      <c r="W924" s="135"/>
      <c r="X924" s="135"/>
      <c r="Y924" s="135"/>
      <c r="Z924" s="135"/>
      <c r="AA924" s="135"/>
      <c r="AB924" s="135"/>
      <c r="AC924" s="135"/>
      <c r="AD924" s="135"/>
      <c r="AE924" s="135"/>
      <c r="AF924" s="135"/>
    </row>
    <row r="925">
      <c r="A925" s="135"/>
      <c r="B925" s="135"/>
      <c r="C925" s="135"/>
      <c r="D925" s="135"/>
      <c r="E925" s="135"/>
      <c r="F925" s="135"/>
      <c r="G925" s="135"/>
      <c r="H925" s="135"/>
      <c r="I925" s="135"/>
      <c r="J925" s="135"/>
      <c r="K925" s="135"/>
      <c r="L925" s="135"/>
      <c r="M925" s="135"/>
      <c r="N925" s="135"/>
      <c r="O925" s="135"/>
      <c r="P925" s="135"/>
      <c r="Q925" s="135"/>
      <c r="R925" s="135"/>
      <c r="S925" s="135"/>
      <c r="T925" s="135"/>
      <c r="U925" s="135"/>
      <c r="V925" s="135"/>
      <c r="W925" s="135"/>
      <c r="X925" s="135"/>
      <c r="Y925" s="135"/>
      <c r="Z925" s="135"/>
      <c r="AA925" s="135"/>
      <c r="AB925" s="135"/>
      <c r="AC925" s="135"/>
      <c r="AD925" s="135"/>
      <c r="AE925" s="135"/>
      <c r="AF925" s="135"/>
    </row>
    <row r="926">
      <c r="A926" s="135"/>
      <c r="B926" s="135"/>
      <c r="C926" s="135"/>
      <c r="D926" s="135"/>
      <c r="E926" s="135"/>
      <c r="F926" s="135"/>
      <c r="G926" s="135"/>
      <c r="H926" s="135"/>
      <c r="I926" s="135"/>
      <c r="J926" s="135"/>
      <c r="K926" s="135"/>
      <c r="L926" s="135"/>
      <c r="M926" s="135"/>
      <c r="N926" s="135"/>
      <c r="O926" s="135"/>
      <c r="P926" s="135"/>
      <c r="Q926" s="135"/>
      <c r="R926" s="135"/>
      <c r="S926" s="135"/>
      <c r="T926" s="135"/>
      <c r="U926" s="135"/>
      <c r="V926" s="135"/>
      <c r="W926" s="135"/>
      <c r="X926" s="135"/>
      <c r="Y926" s="135"/>
      <c r="Z926" s="135"/>
      <c r="AA926" s="135"/>
      <c r="AB926" s="135"/>
      <c r="AC926" s="135"/>
      <c r="AD926" s="135"/>
      <c r="AE926" s="135"/>
      <c r="AF926" s="135"/>
    </row>
    <row r="927">
      <c r="A927" s="135"/>
      <c r="B927" s="135"/>
      <c r="C927" s="135"/>
      <c r="D927" s="135"/>
      <c r="E927" s="135"/>
      <c r="F927" s="135"/>
      <c r="G927" s="135"/>
      <c r="H927" s="135"/>
      <c r="I927" s="135"/>
      <c r="J927" s="135"/>
      <c r="K927" s="135"/>
      <c r="L927" s="135"/>
      <c r="M927" s="135"/>
      <c r="N927" s="135"/>
      <c r="O927" s="135"/>
      <c r="P927" s="135"/>
      <c r="Q927" s="135"/>
      <c r="R927" s="135"/>
      <c r="S927" s="135"/>
      <c r="T927" s="135"/>
      <c r="U927" s="135"/>
      <c r="V927" s="135"/>
      <c r="W927" s="135"/>
      <c r="X927" s="135"/>
      <c r="Y927" s="135"/>
      <c r="Z927" s="135"/>
      <c r="AA927" s="135"/>
      <c r="AB927" s="135"/>
      <c r="AC927" s="135"/>
      <c r="AD927" s="135"/>
      <c r="AE927" s="135"/>
      <c r="AF927" s="135"/>
    </row>
    <row r="928">
      <c r="A928" s="135"/>
      <c r="B928" s="135"/>
      <c r="C928" s="135"/>
      <c r="D928" s="135"/>
      <c r="E928" s="135"/>
      <c r="F928" s="135"/>
      <c r="G928" s="135"/>
      <c r="H928" s="135"/>
      <c r="I928" s="135"/>
      <c r="J928" s="135"/>
      <c r="K928" s="135"/>
      <c r="L928" s="135"/>
      <c r="M928" s="135"/>
      <c r="N928" s="135"/>
      <c r="O928" s="135"/>
      <c r="P928" s="135"/>
      <c r="Q928" s="135"/>
      <c r="R928" s="135"/>
      <c r="S928" s="135"/>
      <c r="T928" s="135"/>
      <c r="U928" s="135"/>
      <c r="V928" s="135"/>
      <c r="W928" s="135"/>
      <c r="X928" s="135"/>
      <c r="Y928" s="135"/>
      <c r="Z928" s="135"/>
      <c r="AA928" s="135"/>
      <c r="AB928" s="135"/>
      <c r="AC928" s="135"/>
      <c r="AD928" s="135"/>
      <c r="AE928" s="135"/>
      <c r="AF928" s="135"/>
    </row>
    <row r="929">
      <c r="A929" s="135"/>
      <c r="B929" s="135"/>
      <c r="C929" s="135"/>
      <c r="D929" s="135"/>
      <c r="E929" s="135"/>
      <c r="F929" s="135"/>
      <c r="G929" s="135"/>
      <c r="H929" s="135"/>
      <c r="I929" s="135"/>
      <c r="J929" s="135"/>
      <c r="K929" s="135"/>
      <c r="L929" s="135"/>
      <c r="M929" s="135"/>
      <c r="N929" s="135"/>
      <c r="O929" s="135"/>
      <c r="P929" s="135"/>
      <c r="Q929" s="135"/>
      <c r="R929" s="135"/>
      <c r="S929" s="135"/>
      <c r="T929" s="135"/>
      <c r="U929" s="135"/>
      <c r="V929" s="135"/>
      <c r="W929" s="135"/>
      <c r="X929" s="135"/>
      <c r="Y929" s="135"/>
      <c r="Z929" s="135"/>
      <c r="AA929" s="135"/>
      <c r="AB929" s="135"/>
      <c r="AC929" s="135"/>
      <c r="AD929" s="135"/>
      <c r="AE929" s="135"/>
      <c r="AF929" s="135"/>
    </row>
    <row r="930">
      <c r="A930" s="135"/>
      <c r="B930" s="135"/>
      <c r="C930" s="135"/>
      <c r="D930" s="135"/>
      <c r="E930" s="135"/>
      <c r="F930" s="135"/>
      <c r="G930" s="135"/>
      <c r="H930" s="135"/>
      <c r="I930" s="135"/>
      <c r="J930" s="135"/>
      <c r="K930" s="135"/>
      <c r="L930" s="135"/>
      <c r="M930" s="135"/>
      <c r="N930" s="135"/>
      <c r="O930" s="135"/>
      <c r="P930" s="135"/>
      <c r="Q930" s="135"/>
      <c r="R930" s="135"/>
      <c r="S930" s="135"/>
      <c r="T930" s="135"/>
      <c r="U930" s="135"/>
      <c r="V930" s="135"/>
      <c r="W930" s="135"/>
      <c r="X930" s="135"/>
      <c r="Y930" s="135"/>
      <c r="Z930" s="135"/>
      <c r="AA930" s="135"/>
      <c r="AB930" s="135"/>
      <c r="AC930" s="135"/>
      <c r="AD930" s="135"/>
      <c r="AE930" s="135"/>
      <c r="AF930" s="135"/>
    </row>
    <row r="931">
      <c r="A931" s="135"/>
      <c r="B931" s="135"/>
      <c r="C931" s="135"/>
      <c r="D931" s="135"/>
      <c r="E931" s="135"/>
      <c r="F931" s="135"/>
      <c r="G931" s="135"/>
      <c r="H931" s="135"/>
      <c r="I931" s="135"/>
      <c r="J931" s="135"/>
      <c r="K931" s="135"/>
      <c r="L931" s="135"/>
      <c r="M931" s="135"/>
      <c r="N931" s="135"/>
      <c r="O931" s="135"/>
      <c r="P931" s="135"/>
      <c r="Q931" s="135"/>
      <c r="R931" s="135"/>
      <c r="S931" s="135"/>
      <c r="T931" s="135"/>
      <c r="U931" s="135"/>
      <c r="V931" s="135"/>
      <c r="W931" s="135"/>
      <c r="X931" s="135"/>
      <c r="Y931" s="135"/>
      <c r="Z931" s="135"/>
      <c r="AA931" s="135"/>
      <c r="AB931" s="135"/>
      <c r="AC931" s="135"/>
      <c r="AD931" s="135"/>
      <c r="AE931" s="135"/>
      <c r="AF931" s="135"/>
    </row>
    <row r="932">
      <c r="A932" s="135"/>
      <c r="B932" s="135"/>
      <c r="C932" s="135"/>
      <c r="D932" s="135"/>
      <c r="E932" s="135"/>
      <c r="F932" s="135"/>
      <c r="G932" s="135"/>
      <c r="H932" s="135"/>
      <c r="I932" s="135"/>
      <c r="J932" s="135"/>
      <c r="K932" s="135"/>
      <c r="L932" s="135"/>
      <c r="M932" s="135"/>
      <c r="N932" s="135"/>
      <c r="O932" s="135"/>
      <c r="P932" s="135"/>
      <c r="Q932" s="135"/>
      <c r="R932" s="135"/>
      <c r="S932" s="135"/>
      <c r="T932" s="135"/>
      <c r="U932" s="135"/>
      <c r="V932" s="135"/>
      <c r="W932" s="135"/>
      <c r="X932" s="135"/>
      <c r="Y932" s="135"/>
      <c r="Z932" s="135"/>
      <c r="AA932" s="135"/>
      <c r="AB932" s="135"/>
      <c r="AC932" s="135"/>
      <c r="AD932" s="135"/>
      <c r="AE932" s="135"/>
      <c r="AF932" s="135"/>
    </row>
    <row r="933">
      <c r="A933" s="135"/>
      <c r="B933" s="135"/>
      <c r="C933" s="135"/>
      <c r="D933" s="135"/>
      <c r="E933" s="135"/>
      <c r="F933" s="135"/>
      <c r="G933" s="135"/>
      <c r="H933" s="135"/>
      <c r="I933" s="135"/>
      <c r="J933" s="135"/>
      <c r="K933" s="135"/>
      <c r="L933" s="135"/>
      <c r="M933" s="135"/>
      <c r="N933" s="135"/>
      <c r="O933" s="135"/>
      <c r="P933" s="135"/>
      <c r="Q933" s="135"/>
      <c r="R933" s="135"/>
      <c r="S933" s="135"/>
      <c r="T933" s="135"/>
      <c r="U933" s="135"/>
      <c r="V933" s="135"/>
      <c r="W933" s="135"/>
      <c r="X933" s="135"/>
      <c r="Y933" s="135"/>
      <c r="Z933" s="135"/>
      <c r="AA933" s="135"/>
      <c r="AB933" s="135"/>
      <c r="AC933" s="135"/>
      <c r="AD933" s="135"/>
      <c r="AE933" s="135"/>
      <c r="AF933" s="135"/>
    </row>
    <row r="934">
      <c r="A934" s="135"/>
      <c r="B934" s="135"/>
      <c r="C934" s="135"/>
      <c r="D934" s="135"/>
      <c r="E934" s="135"/>
      <c r="F934" s="135"/>
      <c r="G934" s="135"/>
      <c r="H934" s="135"/>
      <c r="I934" s="135"/>
      <c r="J934" s="135"/>
      <c r="K934" s="135"/>
      <c r="L934" s="135"/>
      <c r="M934" s="135"/>
      <c r="N934" s="135"/>
      <c r="O934" s="135"/>
      <c r="P934" s="135"/>
      <c r="Q934" s="135"/>
      <c r="R934" s="135"/>
      <c r="S934" s="135"/>
      <c r="T934" s="135"/>
      <c r="U934" s="135"/>
      <c r="V934" s="135"/>
      <c r="W934" s="135"/>
      <c r="X934" s="135"/>
      <c r="Y934" s="135"/>
      <c r="Z934" s="135"/>
      <c r="AA934" s="135"/>
      <c r="AB934" s="135"/>
      <c r="AC934" s="135"/>
      <c r="AD934" s="135"/>
      <c r="AE934" s="135"/>
      <c r="AF934" s="135"/>
    </row>
    <row r="935">
      <c r="A935" s="135"/>
      <c r="B935" s="135"/>
      <c r="C935" s="135"/>
      <c r="D935" s="135"/>
      <c r="E935" s="135"/>
      <c r="F935" s="135"/>
      <c r="G935" s="135"/>
      <c r="H935" s="135"/>
      <c r="I935" s="135"/>
      <c r="J935" s="135"/>
      <c r="K935" s="135"/>
      <c r="L935" s="135"/>
      <c r="M935" s="135"/>
      <c r="N935" s="135"/>
      <c r="O935" s="135"/>
      <c r="P935" s="135"/>
      <c r="Q935" s="135"/>
      <c r="R935" s="135"/>
      <c r="S935" s="135"/>
      <c r="T935" s="135"/>
      <c r="U935" s="135"/>
      <c r="V935" s="135"/>
      <c r="W935" s="135"/>
      <c r="X935" s="135"/>
      <c r="Y935" s="135"/>
      <c r="Z935" s="135"/>
      <c r="AA935" s="135"/>
      <c r="AB935" s="135"/>
      <c r="AC935" s="135"/>
      <c r="AD935" s="135"/>
      <c r="AE935" s="135"/>
      <c r="AF935" s="135"/>
    </row>
    <row r="936">
      <c r="A936" s="135"/>
      <c r="B936" s="135"/>
      <c r="C936" s="135"/>
      <c r="D936" s="135"/>
      <c r="E936" s="135"/>
      <c r="F936" s="135"/>
      <c r="G936" s="135"/>
      <c r="H936" s="135"/>
      <c r="I936" s="135"/>
      <c r="J936" s="135"/>
      <c r="K936" s="135"/>
      <c r="L936" s="135"/>
      <c r="M936" s="135"/>
      <c r="N936" s="135"/>
      <c r="O936" s="135"/>
      <c r="P936" s="135"/>
      <c r="Q936" s="135"/>
      <c r="R936" s="135"/>
      <c r="S936" s="135"/>
      <c r="T936" s="135"/>
      <c r="U936" s="135"/>
      <c r="V936" s="135"/>
      <c r="W936" s="135"/>
      <c r="X936" s="135"/>
      <c r="Y936" s="135"/>
      <c r="Z936" s="135"/>
      <c r="AA936" s="135"/>
      <c r="AB936" s="135"/>
      <c r="AC936" s="135"/>
      <c r="AD936" s="135"/>
      <c r="AE936" s="135"/>
      <c r="AF936" s="135"/>
    </row>
    <row r="937">
      <c r="A937" s="135"/>
      <c r="B937" s="135"/>
      <c r="C937" s="135"/>
      <c r="D937" s="135"/>
      <c r="E937" s="135"/>
      <c r="F937" s="135"/>
      <c r="G937" s="135"/>
      <c r="H937" s="135"/>
      <c r="I937" s="135"/>
      <c r="J937" s="135"/>
      <c r="K937" s="135"/>
      <c r="L937" s="135"/>
      <c r="M937" s="135"/>
      <c r="N937" s="135"/>
      <c r="O937" s="135"/>
      <c r="P937" s="135"/>
      <c r="Q937" s="135"/>
      <c r="R937" s="135"/>
      <c r="S937" s="135"/>
      <c r="T937" s="135"/>
      <c r="U937" s="135"/>
      <c r="V937" s="135"/>
      <c r="W937" s="135"/>
      <c r="X937" s="135"/>
      <c r="Y937" s="135"/>
      <c r="Z937" s="135"/>
      <c r="AA937" s="135"/>
      <c r="AB937" s="135"/>
      <c r="AC937" s="135"/>
      <c r="AD937" s="135"/>
      <c r="AE937" s="135"/>
      <c r="AF937" s="135"/>
    </row>
    <row r="938">
      <c r="A938" s="135"/>
      <c r="B938" s="135"/>
      <c r="C938" s="135"/>
      <c r="D938" s="135"/>
      <c r="E938" s="135"/>
      <c r="F938" s="135"/>
      <c r="G938" s="135"/>
      <c r="H938" s="135"/>
      <c r="I938" s="135"/>
      <c r="J938" s="135"/>
      <c r="K938" s="135"/>
      <c r="L938" s="135"/>
      <c r="M938" s="135"/>
      <c r="N938" s="135"/>
      <c r="O938" s="135"/>
      <c r="P938" s="135"/>
      <c r="Q938" s="135"/>
      <c r="R938" s="135"/>
      <c r="S938" s="135"/>
      <c r="T938" s="135"/>
      <c r="U938" s="135"/>
      <c r="V938" s="135"/>
      <c r="W938" s="135"/>
      <c r="X938" s="135"/>
      <c r="Y938" s="135"/>
      <c r="Z938" s="135"/>
      <c r="AA938" s="135"/>
      <c r="AB938" s="135"/>
      <c r="AC938" s="135"/>
      <c r="AD938" s="135"/>
      <c r="AE938" s="135"/>
      <c r="AF938" s="135"/>
    </row>
    <row r="939">
      <c r="A939" s="135"/>
      <c r="B939" s="135"/>
      <c r="C939" s="135"/>
      <c r="D939" s="135"/>
      <c r="E939" s="135"/>
      <c r="F939" s="135"/>
      <c r="G939" s="135"/>
      <c r="H939" s="135"/>
      <c r="I939" s="135"/>
      <c r="J939" s="135"/>
      <c r="K939" s="135"/>
      <c r="L939" s="135"/>
      <c r="M939" s="135"/>
      <c r="N939" s="135"/>
      <c r="O939" s="135"/>
      <c r="P939" s="135"/>
      <c r="Q939" s="135"/>
      <c r="R939" s="135"/>
      <c r="S939" s="135"/>
      <c r="T939" s="135"/>
      <c r="U939" s="135"/>
      <c r="V939" s="135"/>
      <c r="W939" s="135"/>
      <c r="X939" s="135"/>
      <c r="Y939" s="135"/>
      <c r="Z939" s="135"/>
      <c r="AA939" s="135"/>
      <c r="AB939" s="135"/>
      <c r="AC939" s="135"/>
      <c r="AD939" s="135"/>
      <c r="AE939" s="135"/>
      <c r="AF939" s="135"/>
    </row>
    <row r="940">
      <c r="A940" s="135"/>
      <c r="B940" s="135"/>
      <c r="C940" s="135"/>
      <c r="D940" s="135"/>
      <c r="E940" s="135"/>
      <c r="F940" s="135"/>
      <c r="G940" s="135"/>
      <c r="H940" s="135"/>
      <c r="I940" s="135"/>
      <c r="J940" s="135"/>
      <c r="K940" s="135"/>
      <c r="L940" s="135"/>
      <c r="M940" s="135"/>
      <c r="N940" s="135"/>
      <c r="O940" s="135"/>
      <c r="P940" s="135"/>
      <c r="Q940" s="135"/>
      <c r="R940" s="135"/>
      <c r="S940" s="135"/>
      <c r="T940" s="135"/>
      <c r="U940" s="135"/>
      <c r="V940" s="135"/>
      <c r="W940" s="135"/>
      <c r="X940" s="135"/>
      <c r="Y940" s="135"/>
      <c r="Z940" s="135"/>
      <c r="AA940" s="135"/>
      <c r="AB940" s="135"/>
      <c r="AC940" s="135"/>
      <c r="AD940" s="135"/>
      <c r="AE940" s="135"/>
      <c r="AF940" s="135"/>
    </row>
    <row r="941">
      <c r="A941" s="135"/>
      <c r="B941" s="135"/>
      <c r="C941" s="135"/>
      <c r="D941" s="135"/>
      <c r="E941" s="135"/>
      <c r="F941" s="135"/>
      <c r="G941" s="135"/>
      <c r="H941" s="135"/>
      <c r="I941" s="135"/>
      <c r="J941" s="135"/>
      <c r="K941" s="135"/>
      <c r="L941" s="135"/>
      <c r="M941" s="135"/>
      <c r="N941" s="135"/>
      <c r="O941" s="135"/>
      <c r="P941" s="135"/>
      <c r="Q941" s="135"/>
      <c r="R941" s="135"/>
      <c r="S941" s="135"/>
      <c r="T941" s="135"/>
      <c r="U941" s="135"/>
      <c r="V941" s="135"/>
      <c r="W941" s="135"/>
      <c r="X941" s="135"/>
      <c r="Y941" s="135"/>
      <c r="Z941" s="135"/>
      <c r="AA941" s="135"/>
      <c r="AB941" s="135"/>
      <c r="AC941" s="135"/>
      <c r="AD941" s="135"/>
      <c r="AE941" s="135"/>
      <c r="AF941" s="135"/>
    </row>
    <row r="942">
      <c r="A942" s="135"/>
      <c r="B942" s="135"/>
      <c r="C942" s="135"/>
      <c r="D942" s="135"/>
      <c r="E942" s="135"/>
      <c r="F942" s="135"/>
      <c r="G942" s="135"/>
      <c r="H942" s="135"/>
      <c r="I942" s="135"/>
      <c r="J942" s="135"/>
      <c r="K942" s="135"/>
      <c r="L942" s="135"/>
      <c r="M942" s="135"/>
      <c r="N942" s="135"/>
      <c r="O942" s="135"/>
      <c r="P942" s="135"/>
      <c r="Q942" s="135"/>
      <c r="R942" s="135"/>
      <c r="S942" s="135"/>
      <c r="T942" s="135"/>
      <c r="U942" s="135"/>
      <c r="V942" s="135"/>
      <c r="W942" s="135"/>
      <c r="X942" s="135"/>
      <c r="Y942" s="135"/>
      <c r="Z942" s="135"/>
      <c r="AA942" s="135"/>
      <c r="AB942" s="135"/>
      <c r="AC942" s="135"/>
      <c r="AD942" s="135"/>
      <c r="AE942" s="135"/>
      <c r="AF942" s="135"/>
    </row>
    <row r="943">
      <c r="A943" s="135"/>
      <c r="B943" s="135"/>
      <c r="C943" s="135"/>
      <c r="D943" s="135"/>
      <c r="E943" s="135"/>
      <c r="F943" s="135"/>
      <c r="G943" s="135"/>
      <c r="H943" s="135"/>
      <c r="I943" s="135"/>
      <c r="J943" s="135"/>
      <c r="K943" s="135"/>
      <c r="L943" s="135"/>
      <c r="M943" s="135"/>
      <c r="N943" s="135"/>
      <c r="O943" s="135"/>
      <c r="P943" s="135"/>
      <c r="Q943" s="135"/>
      <c r="R943" s="135"/>
      <c r="S943" s="135"/>
      <c r="T943" s="135"/>
      <c r="U943" s="135"/>
      <c r="V943" s="135"/>
      <c r="W943" s="135"/>
      <c r="X943" s="135"/>
      <c r="Y943" s="135"/>
      <c r="Z943" s="135"/>
      <c r="AA943" s="135"/>
      <c r="AB943" s="135"/>
      <c r="AC943" s="135"/>
      <c r="AD943" s="135"/>
      <c r="AE943" s="135"/>
      <c r="AF943" s="135"/>
    </row>
    <row r="944">
      <c r="A944" s="135"/>
      <c r="B944" s="135"/>
      <c r="C944" s="135"/>
      <c r="D944" s="135"/>
      <c r="E944" s="135"/>
      <c r="F944" s="135"/>
      <c r="G944" s="135"/>
      <c r="H944" s="135"/>
      <c r="I944" s="135"/>
      <c r="J944" s="135"/>
      <c r="K944" s="135"/>
      <c r="L944" s="135"/>
      <c r="M944" s="135"/>
      <c r="N944" s="135"/>
      <c r="O944" s="135"/>
      <c r="P944" s="135"/>
      <c r="Q944" s="135"/>
      <c r="R944" s="135"/>
      <c r="S944" s="135"/>
      <c r="T944" s="135"/>
      <c r="U944" s="135"/>
      <c r="V944" s="135"/>
      <c r="W944" s="135"/>
      <c r="X944" s="135"/>
      <c r="Y944" s="135"/>
      <c r="Z944" s="135"/>
      <c r="AA944" s="135"/>
      <c r="AB944" s="135"/>
      <c r="AC944" s="135"/>
      <c r="AD944" s="135"/>
      <c r="AE944" s="135"/>
      <c r="AF944" s="135"/>
    </row>
    <row r="945">
      <c r="A945" s="135"/>
      <c r="B945" s="135"/>
      <c r="C945" s="135"/>
      <c r="D945" s="135"/>
      <c r="E945" s="135"/>
      <c r="F945" s="135"/>
      <c r="G945" s="135"/>
      <c r="H945" s="135"/>
      <c r="I945" s="135"/>
      <c r="J945" s="135"/>
      <c r="K945" s="135"/>
      <c r="L945" s="135"/>
      <c r="M945" s="135"/>
      <c r="N945" s="135"/>
      <c r="O945" s="135"/>
      <c r="P945" s="135"/>
      <c r="Q945" s="135"/>
      <c r="R945" s="135"/>
      <c r="S945" s="135"/>
      <c r="T945" s="135"/>
      <c r="U945" s="135"/>
      <c r="V945" s="135"/>
      <c r="W945" s="135"/>
      <c r="X945" s="135"/>
      <c r="Y945" s="135"/>
      <c r="Z945" s="135"/>
      <c r="AA945" s="135"/>
      <c r="AB945" s="135"/>
      <c r="AC945" s="135"/>
      <c r="AD945" s="135"/>
      <c r="AE945" s="135"/>
      <c r="AF945" s="135"/>
    </row>
    <row r="946">
      <c r="A946" s="135"/>
      <c r="B946" s="135"/>
      <c r="C946" s="135"/>
      <c r="D946" s="135"/>
      <c r="E946" s="135"/>
      <c r="F946" s="135"/>
      <c r="G946" s="135"/>
      <c r="H946" s="135"/>
      <c r="I946" s="135"/>
      <c r="J946" s="135"/>
      <c r="K946" s="135"/>
      <c r="L946" s="135"/>
      <c r="M946" s="135"/>
      <c r="N946" s="135"/>
      <c r="O946" s="135"/>
      <c r="P946" s="135"/>
      <c r="Q946" s="135"/>
      <c r="R946" s="135"/>
      <c r="S946" s="135"/>
      <c r="T946" s="135"/>
      <c r="U946" s="135"/>
      <c r="V946" s="135"/>
      <c r="W946" s="135"/>
      <c r="X946" s="135"/>
      <c r="Y946" s="135"/>
      <c r="Z946" s="135"/>
      <c r="AA946" s="135"/>
      <c r="AB946" s="135"/>
      <c r="AC946" s="135"/>
      <c r="AD946" s="135"/>
      <c r="AE946" s="135"/>
      <c r="AF946" s="135"/>
    </row>
    <row r="947">
      <c r="A947" s="135"/>
      <c r="B947" s="135"/>
      <c r="C947" s="135"/>
      <c r="D947" s="135"/>
      <c r="E947" s="135"/>
      <c r="F947" s="135"/>
      <c r="G947" s="135"/>
      <c r="H947" s="135"/>
      <c r="I947" s="135"/>
      <c r="J947" s="135"/>
      <c r="K947" s="135"/>
      <c r="L947" s="135"/>
      <c r="M947" s="135"/>
      <c r="N947" s="135"/>
      <c r="O947" s="135"/>
      <c r="P947" s="135"/>
      <c r="Q947" s="135"/>
      <c r="R947" s="135"/>
      <c r="S947" s="135"/>
      <c r="T947" s="135"/>
      <c r="U947" s="135"/>
      <c r="V947" s="135"/>
      <c r="W947" s="135"/>
      <c r="X947" s="135"/>
      <c r="Y947" s="135"/>
      <c r="Z947" s="135"/>
      <c r="AA947" s="135"/>
      <c r="AB947" s="135"/>
      <c r="AC947" s="135"/>
      <c r="AD947" s="135"/>
      <c r="AE947" s="135"/>
      <c r="AF947" s="135"/>
    </row>
    <row r="948">
      <c r="A948" s="135"/>
      <c r="B948" s="135"/>
      <c r="C948" s="135"/>
      <c r="D948" s="135"/>
      <c r="E948" s="135"/>
      <c r="F948" s="135"/>
      <c r="G948" s="135"/>
      <c r="H948" s="135"/>
      <c r="I948" s="135"/>
      <c r="J948" s="135"/>
      <c r="K948" s="135"/>
      <c r="L948" s="135"/>
      <c r="M948" s="135"/>
      <c r="N948" s="135"/>
      <c r="O948" s="135"/>
      <c r="P948" s="135"/>
      <c r="Q948" s="135"/>
      <c r="R948" s="135"/>
      <c r="S948" s="135"/>
      <c r="T948" s="135"/>
      <c r="U948" s="135"/>
      <c r="V948" s="135"/>
      <c r="W948" s="135"/>
      <c r="X948" s="135"/>
      <c r="Y948" s="135"/>
      <c r="Z948" s="135"/>
      <c r="AA948" s="135"/>
      <c r="AB948" s="135"/>
      <c r="AC948" s="135"/>
      <c r="AD948" s="135"/>
      <c r="AE948" s="135"/>
      <c r="AF948" s="135"/>
    </row>
    <row r="949">
      <c r="A949" s="135"/>
      <c r="B949" s="135"/>
      <c r="C949" s="135"/>
      <c r="D949" s="135"/>
      <c r="E949" s="135"/>
      <c r="F949" s="135"/>
      <c r="G949" s="135"/>
      <c r="H949" s="135"/>
      <c r="I949" s="135"/>
      <c r="J949" s="135"/>
      <c r="K949" s="135"/>
      <c r="L949" s="135"/>
      <c r="M949" s="135"/>
      <c r="N949" s="135"/>
      <c r="O949" s="135"/>
      <c r="P949" s="135"/>
      <c r="Q949" s="135"/>
      <c r="R949" s="135"/>
      <c r="S949" s="135"/>
      <c r="T949" s="135"/>
      <c r="U949" s="135"/>
      <c r="V949" s="135"/>
      <c r="W949" s="135"/>
      <c r="X949" s="135"/>
      <c r="Y949" s="135"/>
      <c r="Z949" s="135"/>
      <c r="AA949" s="135"/>
      <c r="AB949" s="135"/>
      <c r="AC949" s="135"/>
      <c r="AD949" s="135"/>
      <c r="AE949" s="135"/>
      <c r="AF949" s="135"/>
    </row>
    <row r="950">
      <c r="A950" s="135"/>
      <c r="B950" s="135"/>
      <c r="C950" s="135"/>
      <c r="D950" s="135"/>
      <c r="E950" s="135"/>
      <c r="F950" s="135"/>
      <c r="G950" s="135"/>
      <c r="H950" s="135"/>
      <c r="I950" s="135"/>
      <c r="J950" s="135"/>
      <c r="K950" s="135"/>
      <c r="L950" s="135"/>
      <c r="M950" s="135"/>
      <c r="N950" s="135"/>
      <c r="O950" s="135"/>
      <c r="P950" s="135"/>
      <c r="Q950" s="135"/>
      <c r="R950" s="135"/>
      <c r="S950" s="135"/>
      <c r="T950" s="135"/>
      <c r="U950" s="135"/>
      <c r="V950" s="135"/>
      <c r="W950" s="135"/>
      <c r="X950" s="135"/>
      <c r="Y950" s="135"/>
      <c r="Z950" s="135"/>
      <c r="AA950" s="135"/>
      <c r="AB950" s="135"/>
      <c r="AC950" s="135"/>
      <c r="AD950" s="135"/>
      <c r="AE950" s="135"/>
      <c r="AF950" s="135"/>
    </row>
    <row r="951">
      <c r="A951" s="135"/>
      <c r="B951" s="135"/>
      <c r="C951" s="135"/>
      <c r="D951" s="135"/>
      <c r="E951" s="135"/>
      <c r="F951" s="135"/>
      <c r="G951" s="135"/>
      <c r="H951" s="135"/>
      <c r="I951" s="135"/>
      <c r="J951" s="135"/>
      <c r="K951" s="135"/>
      <c r="L951" s="135"/>
      <c r="M951" s="135"/>
      <c r="N951" s="135"/>
      <c r="O951" s="135"/>
      <c r="P951" s="135"/>
      <c r="Q951" s="135"/>
      <c r="R951" s="135"/>
      <c r="S951" s="135"/>
      <c r="T951" s="135"/>
      <c r="U951" s="135"/>
      <c r="V951" s="135"/>
      <c r="W951" s="135"/>
      <c r="X951" s="135"/>
      <c r="Y951" s="135"/>
      <c r="Z951" s="135"/>
      <c r="AA951" s="135"/>
      <c r="AB951" s="135"/>
      <c r="AC951" s="135"/>
      <c r="AD951" s="135"/>
      <c r="AE951" s="135"/>
      <c r="AF951" s="135"/>
    </row>
    <row r="952">
      <c r="A952" s="135"/>
      <c r="B952" s="135"/>
      <c r="C952" s="135"/>
      <c r="D952" s="135"/>
      <c r="E952" s="135"/>
      <c r="F952" s="135"/>
      <c r="G952" s="135"/>
      <c r="H952" s="135"/>
      <c r="I952" s="135"/>
      <c r="J952" s="135"/>
      <c r="K952" s="135"/>
      <c r="L952" s="135"/>
      <c r="M952" s="135"/>
      <c r="N952" s="135"/>
      <c r="O952" s="135"/>
      <c r="P952" s="135"/>
      <c r="Q952" s="135"/>
      <c r="R952" s="135"/>
      <c r="S952" s="135"/>
      <c r="T952" s="135"/>
      <c r="U952" s="135"/>
      <c r="V952" s="135"/>
      <c r="W952" s="135"/>
      <c r="X952" s="135"/>
      <c r="Y952" s="135"/>
      <c r="Z952" s="135"/>
      <c r="AA952" s="135"/>
      <c r="AB952" s="135"/>
      <c r="AC952" s="135"/>
      <c r="AD952" s="135"/>
      <c r="AE952" s="135"/>
      <c r="AF952" s="135"/>
    </row>
    <row r="953">
      <c r="A953" s="135"/>
      <c r="B953" s="135"/>
      <c r="C953" s="135"/>
      <c r="D953" s="135"/>
      <c r="E953" s="135"/>
      <c r="F953" s="135"/>
      <c r="G953" s="135"/>
      <c r="H953" s="135"/>
      <c r="I953" s="135"/>
      <c r="J953" s="135"/>
      <c r="K953" s="135"/>
      <c r="L953" s="135"/>
      <c r="M953" s="135"/>
      <c r="N953" s="135"/>
      <c r="O953" s="135"/>
      <c r="P953" s="135"/>
      <c r="Q953" s="135"/>
      <c r="R953" s="135"/>
      <c r="S953" s="135"/>
      <c r="T953" s="135"/>
      <c r="U953" s="135"/>
      <c r="V953" s="135"/>
      <c r="W953" s="135"/>
      <c r="X953" s="135"/>
      <c r="Y953" s="135"/>
      <c r="Z953" s="135"/>
      <c r="AA953" s="135"/>
      <c r="AB953" s="135"/>
      <c r="AC953" s="135"/>
      <c r="AD953" s="135"/>
      <c r="AE953" s="135"/>
      <c r="AF953" s="135"/>
    </row>
    <row r="954">
      <c r="A954" s="135"/>
      <c r="B954" s="135"/>
      <c r="C954" s="135"/>
      <c r="D954" s="135"/>
      <c r="E954" s="135"/>
      <c r="F954" s="135"/>
      <c r="G954" s="135"/>
      <c r="H954" s="135"/>
      <c r="I954" s="135"/>
      <c r="J954" s="135"/>
      <c r="K954" s="135"/>
      <c r="L954" s="135"/>
      <c r="M954" s="135"/>
      <c r="N954" s="135"/>
      <c r="O954" s="135"/>
      <c r="P954" s="135"/>
      <c r="Q954" s="135"/>
      <c r="R954" s="135"/>
      <c r="S954" s="135"/>
      <c r="T954" s="135"/>
      <c r="U954" s="135"/>
      <c r="V954" s="135"/>
      <c r="W954" s="135"/>
      <c r="X954" s="135"/>
      <c r="Y954" s="135"/>
      <c r="Z954" s="135"/>
      <c r="AA954" s="135"/>
      <c r="AB954" s="135"/>
      <c r="AC954" s="135"/>
      <c r="AD954" s="135"/>
      <c r="AE954" s="135"/>
      <c r="AF954" s="135"/>
    </row>
    <row r="955">
      <c r="A955" s="135"/>
      <c r="B955" s="135"/>
      <c r="C955" s="135"/>
      <c r="D955" s="135"/>
      <c r="E955" s="135"/>
      <c r="F955" s="135"/>
      <c r="G955" s="135"/>
      <c r="H955" s="135"/>
      <c r="I955" s="135"/>
      <c r="J955" s="135"/>
      <c r="K955" s="135"/>
      <c r="L955" s="135"/>
      <c r="M955" s="135"/>
      <c r="N955" s="135"/>
      <c r="O955" s="135"/>
      <c r="P955" s="135"/>
      <c r="Q955" s="135"/>
      <c r="R955" s="135"/>
      <c r="S955" s="135"/>
      <c r="T955" s="135"/>
      <c r="U955" s="135"/>
      <c r="V955" s="135"/>
      <c r="W955" s="135"/>
      <c r="X955" s="135"/>
      <c r="Y955" s="135"/>
      <c r="Z955" s="135"/>
      <c r="AA955" s="135"/>
      <c r="AB955" s="135"/>
      <c r="AC955" s="135"/>
      <c r="AD955" s="135"/>
      <c r="AE955" s="135"/>
      <c r="AF955" s="135"/>
    </row>
    <row r="956">
      <c r="A956" s="135"/>
      <c r="B956" s="135"/>
      <c r="C956" s="135"/>
      <c r="D956" s="135"/>
      <c r="E956" s="135"/>
      <c r="F956" s="135"/>
      <c r="G956" s="135"/>
      <c r="H956" s="135"/>
      <c r="I956" s="135"/>
      <c r="J956" s="135"/>
      <c r="K956" s="135"/>
      <c r="L956" s="135"/>
      <c r="M956" s="135"/>
      <c r="N956" s="135"/>
      <c r="O956" s="135"/>
      <c r="P956" s="135"/>
      <c r="Q956" s="135"/>
      <c r="R956" s="135"/>
      <c r="S956" s="135"/>
      <c r="T956" s="135"/>
      <c r="U956" s="135"/>
      <c r="V956" s="135"/>
      <c r="W956" s="135"/>
      <c r="X956" s="135"/>
      <c r="Y956" s="135"/>
      <c r="Z956" s="135"/>
      <c r="AA956" s="135"/>
      <c r="AB956" s="135"/>
      <c r="AC956" s="135"/>
      <c r="AD956" s="135"/>
      <c r="AE956" s="135"/>
      <c r="AF956" s="135"/>
    </row>
    <row r="957">
      <c r="A957" s="135"/>
      <c r="B957" s="135"/>
      <c r="C957" s="135"/>
      <c r="D957" s="135"/>
      <c r="E957" s="135"/>
      <c r="F957" s="135"/>
      <c r="G957" s="135"/>
      <c r="H957" s="135"/>
      <c r="I957" s="135"/>
      <c r="J957" s="135"/>
      <c r="K957" s="135"/>
      <c r="L957" s="135"/>
      <c r="M957" s="135"/>
      <c r="N957" s="135"/>
      <c r="O957" s="135"/>
      <c r="P957" s="135"/>
      <c r="Q957" s="135"/>
      <c r="R957" s="135"/>
      <c r="S957" s="135"/>
      <c r="T957" s="135"/>
      <c r="U957" s="135"/>
      <c r="V957" s="135"/>
      <c r="W957" s="135"/>
      <c r="X957" s="135"/>
      <c r="Y957" s="135"/>
      <c r="Z957" s="135"/>
      <c r="AA957" s="135"/>
      <c r="AB957" s="135"/>
      <c r="AC957" s="135"/>
      <c r="AD957" s="135"/>
      <c r="AE957" s="135"/>
      <c r="AF957" s="135"/>
    </row>
    <row r="958">
      <c r="A958" s="135"/>
      <c r="B958" s="135"/>
      <c r="C958" s="135"/>
      <c r="D958" s="135"/>
      <c r="E958" s="135"/>
      <c r="F958" s="135"/>
      <c r="G958" s="135"/>
      <c r="H958" s="135"/>
      <c r="I958" s="135"/>
      <c r="J958" s="135"/>
      <c r="K958" s="135"/>
      <c r="L958" s="135"/>
      <c r="M958" s="135"/>
      <c r="N958" s="135"/>
      <c r="O958" s="135"/>
      <c r="P958" s="135"/>
      <c r="Q958" s="135"/>
      <c r="R958" s="135"/>
      <c r="S958" s="135"/>
      <c r="T958" s="135"/>
      <c r="U958" s="135"/>
      <c r="V958" s="135"/>
      <c r="W958" s="135"/>
      <c r="X958" s="135"/>
      <c r="Y958" s="135"/>
      <c r="Z958" s="135"/>
      <c r="AA958" s="135"/>
      <c r="AB958" s="135"/>
      <c r="AC958" s="135"/>
      <c r="AD958" s="135"/>
      <c r="AE958" s="135"/>
      <c r="AF958" s="135"/>
    </row>
    <row r="959">
      <c r="A959" s="135"/>
      <c r="B959" s="135"/>
      <c r="C959" s="135"/>
      <c r="D959" s="135"/>
      <c r="E959" s="135"/>
      <c r="F959" s="135"/>
      <c r="G959" s="135"/>
      <c r="H959" s="135"/>
      <c r="I959" s="135"/>
      <c r="J959" s="135"/>
      <c r="K959" s="135"/>
      <c r="L959" s="135"/>
      <c r="M959" s="135"/>
      <c r="N959" s="135"/>
      <c r="O959" s="135"/>
      <c r="P959" s="135"/>
      <c r="Q959" s="135"/>
      <c r="R959" s="135"/>
      <c r="S959" s="135"/>
      <c r="T959" s="135"/>
      <c r="U959" s="135"/>
      <c r="V959" s="135"/>
      <c r="W959" s="135"/>
      <c r="X959" s="135"/>
      <c r="Y959" s="135"/>
      <c r="Z959" s="135"/>
      <c r="AA959" s="135"/>
      <c r="AB959" s="135"/>
      <c r="AC959" s="135"/>
      <c r="AD959" s="135"/>
      <c r="AE959" s="135"/>
      <c r="AF959" s="135"/>
    </row>
    <row r="960">
      <c r="A960" s="135"/>
      <c r="B960" s="135"/>
      <c r="C960" s="135"/>
      <c r="D960" s="135"/>
      <c r="E960" s="135"/>
      <c r="F960" s="135"/>
      <c r="G960" s="135"/>
      <c r="H960" s="135"/>
      <c r="I960" s="135"/>
      <c r="J960" s="135"/>
      <c r="K960" s="135"/>
      <c r="L960" s="135"/>
      <c r="M960" s="135"/>
      <c r="N960" s="135"/>
      <c r="O960" s="135"/>
      <c r="P960" s="135"/>
      <c r="Q960" s="135"/>
      <c r="R960" s="135"/>
      <c r="S960" s="135"/>
      <c r="T960" s="135"/>
      <c r="U960" s="135"/>
      <c r="V960" s="135"/>
      <c r="W960" s="135"/>
      <c r="X960" s="135"/>
      <c r="Y960" s="135"/>
      <c r="Z960" s="135"/>
      <c r="AA960" s="135"/>
      <c r="AB960" s="135"/>
      <c r="AC960" s="135"/>
      <c r="AD960" s="135"/>
      <c r="AE960" s="135"/>
      <c r="AF960" s="135"/>
    </row>
    <row r="961">
      <c r="A961" s="135"/>
      <c r="B961" s="135"/>
      <c r="C961" s="135"/>
      <c r="D961" s="135"/>
      <c r="E961" s="135"/>
      <c r="F961" s="135"/>
      <c r="G961" s="135"/>
      <c r="H961" s="135"/>
      <c r="I961" s="135"/>
      <c r="J961" s="135"/>
      <c r="K961" s="135"/>
      <c r="L961" s="135"/>
      <c r="M961" s="135"/>
      <c r="N961" s="135"/>
      <c r="O961" s="135"/>
      <c r="P961" s="135"/>
      <c r="Q961" s="135"/>
      <c r="R961" s="135"/>
      <c r="S961" s="135"/>
      <c r="T961" s="135"/>
      <c r="U961" s="135"/>
      <c r="V961" s="135"/>
      <c r="W961" s="135"/>
      <c r="X961" s="135"/>
      <c r="Y961" s="135"/>
      <c r="Z961" s="135"/>
      <c r="AA961" s="135"/>
      <c r="AB961" s="135"/>
      <c r="AC961" s="135"/>
      <c r="AD961" s="135"/>
      <c r="AE961" s="135"/>
      <c r="AF961" s="135"/>
    </row>
    <row r="962">
      <c r="A962" s="135"/>
      <c r="B962" s="135"/>
      <c r="C962" s="135"/>
      <c r="D962" s="135"/>
      <c r="E962" s="135"/>
      <c r="F962" s="135"/>
      <c r="G962" s="135"/>
      <c r="H962" s="135"/>
      <c r="I962" s="135"/>
      <c r="J962" s="135"/>
      <c r="K962" s="135"/>
      <c r="L962" s="135"/>
      <c r="M962" s="135"/>
      <c r="N962" s="135"/>
      <c r="O962" s="135"/>
      <c r="P962" s="135"/>
      <c r="Q962" s="135"/>
      <c r="R962" s="135"/>
      <c r="S962" s="135"/>
      <c r="T962" s="135"/>
      <c r="U962" s="135"/>
      <c r="V962" s="135"/>
      <c r="W962" s="135"/>
      <c r="X962" s="135"/>
      <c r="Y962" s="135"/>
      <c r="Z962" s="135"/>
      <c r="AA962" s="135"/>
      <c r="AB962" s="135"/>
      <c r="AC962" s="135"/>
      <c r="AD962" s="135"/>
      <c r="AE962" s="135"/>
      <c r="AF962" s="135"/>
    </row>
    <row r="963">
      <c r="A963" s="135"/>
      <c r="B963" s="135"/>
      <c r="C963" s="135"/>
      <c r="D963" s="135"/>
      <c r="E963" s="135"/>
      <c r="F963" s="135"/>
      <c r="G963" s="135"/>
      <c r="H963" s="135"/>
      <c r="I963" s="135"/>
      <c r="J963" s="135"/>
      <c r="K963" s="135"/>
      <c r="L963" s="135"/>
      <c r="M963" s="135"/>
      <c r="N963" s="135"/>
      <c r="O963" s="135"/>
      <c r="P963" s="135"/>
      <c r="Q963" s="135"/>
      <c r="R963" s="135"/>
      <c r="S963" s="135"/>
      <c r="T963" s="135"/>
      <c r="U963" s="135"/>
      <c r="V963" s="135"/>
      <c r="W963" s="135"/>
      <c r="X963" s="135"/>
      <c r="Y963" s="135"/>
      <c r="Z963" s="135"/>
      <c r="AA963" s="135"/>
      <c r="AB963" s="135"/>
      <c r="AC963" s="135"/>
      <c r="AD963" s="135"/>
      <c r="AE963" s="135"/>
      <c r="AF963" s="135"/>
    </row>
    <row r="964">
      <c r="A964" s="135"/>
      <c r="B964" s="135"/>
      <c r="C964" s="135"/>
      <c r="D964" s="135"/>
      <c r="E964" s="135"/>
      <c r="F964" s="135"/>
      <c r="G964" s="135"/>
      <c r="H964" s="135"/>
      <c r="I964" s="135"/>
      <c r="J964" s="135"/>
      <c r="K964" s="135"/>
      <c r="L964" s="135"/>
      <c r="M964" s="135"/>
      <c r="N964" s="135"/>
      <c r="O964" s="135"/>
      <c r="P964" s="135"/>
      <c r="Q964" s="135"/>
      <c r="R964" s="135"/>
      <c r="S964" s="135"/>
      <c r="T964" s="135"/>
      <c r="U964" s="135"/>
      <c r="V964" s="135"/>
      <c r="W964" s="135"/>
      <c r="X964" s="135"/>
      <c r="Y964" s="135"/>
      <c r="Z964" s="135"/>
      <c r="AA964" s="135"/>
      <c r="AB964" s="135"/>
      <c r="AC964" s="135"/>
      <c r="AD964" s="135"/>
      <c r="AE964" s="135"/>
      <c r="AF964" s="135"/>
    </row>
    <row r="965">
      <c r="A965" s="135"/>
      <c r="B965" s="135"/>
      <c r="C965" s="135"/>
      <c r="D965" s="135"/>
      <c r="E965" s="135"/>
      <c r="F965" s="135"/>
      <c r="G965" s="135"/>
      <c r="H965" s="135"/>
      <c r="I965" s="135"/>
      <c r="J965" s="135"/>
      <c r="K965" s="135"/>
      <c r="L965" s="135"/>
      <c r="M965" s="135"/>
      <c r="N965" s="135"/>
      <c r="O965" s="135"/>
      <c r="P965" s="135"/>
      <c r="Q965" s="135"/>
      <c r="R965" s="135"/>
      <c r="S965" s="135"/>
      <c r="T965" s="135"/>
      <c r="U965" s="135"/>
      <c r="V965" s="135"/>
      <c r="W965" s="135"/>
      <c r="X965" s="135"/>
      <c r="Y965" s="135"/>
      <c r="Z965" s="135"/>
      <c r="AA965" s="135"/>
      <c r="AB965" s="135"/>
      <c r="AC965" s="135"/>
      <c r="AD965" s="135"/>
      <c r="AE965" s="135"/>
      <c r="AF965" s="135"/>
    </row>
    <row r="966">
      <c r="A966" s="135"/>
      <c r="B966" s="135"/>
      <c r="C966" s="135"/>
      <c r="D966" s="135"/>
      <c r="E966" s="135"/>
      <c r="F966" s="135"/>
      <c r="G966" s="135"/>
      <c r="H966" s="135"/>
      <c r="I966" s="135"/>
      <c r="J966" s="135"/>
      <c r="K966" s="135"/>
      <c r="L966" s="135"/>
      <c r="M966" s="135"/>
      <c r="N966" s="135"/>
      <c r="O966" s="135"/>
      <c r="P966" s="135"/>
      <c r="Q966" s="135"/>
      <c r="R966" s="135"/>
      <c r="S966" s="135"/>
      <c r="T966" s="135"/>
      <c r="U966" s="135"/>
      <c r="V966" s="135"/>
      <c r="W966" s="135"/>
      <c r="X966" s="135"/>
      <c r="Y966" s="135"/>
      <c r="Z966" s="135"/>
      <c r="AA966" s="135"/>
      <c r="AB966" s="135"/>
      <c r="AC966" s="135"/>
      <c r="AD966" s="135"/>
      <c r="AE966" s="135"/>
      <c r="AF966" s="135"/>
    </row>
    <row r="967">
      <c r="A967" s="135"/>
      <c r="B967" s="135"/>
      <c r="C967" s="135"/>
      <c r="D967" s="135"/>
      <c r="E967" s="135"/>
      <c r="F967" s="135"/>
      <c r="G967" s="135"/>
      <c r="H967" s="135"/>
      <c r="I967" s="135"/>
      <c r="J967" s="135"/>
      <c r="K967" s="135"/>
      <c r="L967" s="135"/>
      <c r="M967" s="135"/>
      <c r="N967" s="135"/>
      <c r="O967" s="135"/>
      <c r="P967" s="135"/>
      <c r="Q967" s="135"/>
      <c r="R967" s="135"/>
      <c r="S967" s="135"/>
      <c r="T967" s="135"/>
      <c r="U967" s="135"/>
      <c r="V967" s="135"/>
      <c r="W967" s="135"/>
      <c r="X967" s="135"/>
      <c r="Y967" s="135"/>
      <c r="Z967" s="135"/>
      <c r="AA967" s="135"/>
      <c r="AB967" s="135"/>
      <c r="AC967" s="135"/>
      <c r="AD967" s="135"/>
      <c r="AE967" s="135"/>
      <c r="AF967" s="135"/>
    </row>
    <row r="968">
      <c r="A968" s="135"/>
      <c r="B968" s="135"/>
      <c r="C968" s="135"/>
      <c r="D968" s="135"/>
      <c r="E968" s="135"/>
      <c r="F968" s="135"/>
      <c r="G968" s="135"/>
      <c r="H968" s="135"/>
      <c r="I968" s="135"/>
      <c r="J968" s="135"/>
      <c r="K968" s="135"/>
      <c r="L968" s="135"/>
      <c r="M968" s="135"/>
      <c r="N968" s="135"/>
      <c r="O968" s="135"/>
      <c r="P968" s="135"/>
      <c r="Q968" s="135"/>
      <c r="R968" s="135"/>
      <c r="S968" s="135"/>
      <c r="T968" s="135"/>
      <c r="U968" s="135"/>
      <c r="V968" s="135"/>
      <c r="W968" s="135"/>
      <c r="X968" s="135"/>
      <c r="Y968" s="135"/>
      <c r="Z968" s="135"/>
      <c r="AA968" s="135"/>
      <c r="AB968" s="135"/>
      <c r="AC968" s="135"/>
      <c r="AD968" s="135"/>
      <c r="AE968" s="135"/>
      <c r="AF968" s="135"/>
    </row>
    <row r="969">
      <c r="A969" s="135"/>
      <c r="B969" s="135"/>
      <c r="C969" s="135"/>
      <c r="D969" s="135"/>
      <c r="E969" s="135"/>
      <c r="F969" s="135"/>
      <c r="G969" s="135"/>
      <c r="H969" s="135"/>
      <c r="I969" s="135"/>
      <c r="J969" s="135"/>
      <c r="K969" s="135"/>
      <c r="L969" s="135"/>
      <c r="M969" s="135"/>
      <c r="N969" s="135"/>
      <c r="O969" s="135"/>
      <c r="P969" s="135"/>
      <c r="Q969" s="135"/>
      <c r="R969" s="135"/>
      <c r="S969" s="135"/>
      <c r="T969" s="135"/>
      <c r="U969" s="135"/>
      <c r="V969" s="135"/>
      <c r="W969" s="135"/>
      <c r="X969" s="135"/>
      <c r="Y969" s="135"/>
      <c r="Z969" s="135"/>
      <c r="AA969" s="135"/>
      <c r="AB969" s="135"/>
      <c r="AC969" s="135"/>
      <c r="AD969" s="135"/>
      <c r="AE969" s="135"/>
      <c r="AF969" s="135"/>
    </row>
    <row r="970">
      <c r="A970" s="135"/>
      <c r="B970" s="135"/>
      <c r="C970" s="135"/>
      <c r="D970" s="135"/>
      <c r="E970" s="135"/>
      <c r="F970" s="135"/>
      <c r="G970" s="135"/>
      <c r="H970" s="135"/>
      <c r="I970" s="135"/>
      <c r="J970" s="135"/>
      <c r="K970" s="135"/>
      <c r="L970" s="135"/>
      <c r="M970" s="135"/>
      <c r="N970" s="135"/>
      <c r="O970" s="135"/>
      <c r="P970" s="135"/>
      <c r="Q970" s="135"/>
      <c r="R970" s="135"/>
      <c r="S970" s="135"/>
      <c r="T970" s="135"/>
      <c r="U970" s="135"/>
      <c r="V970" s="135"/>
      <c r="W970" s="135"/>
      <c r="X970" s="135"/>
      <c r="Y970" s="135"/>
      <c r="Z970" s="135"/>
      <c r="AA970" s="135"/>
      <c r="AB970" s="135"/>
      <c r="AC970" s="135"/>
      <c r="AD970" s="135"/>
      <c r="AE970" s="135"/>
      <c r="AF970" s="135"/>
    </row>
    <row r="971">
      <c r="A971" s="135"/>
      <c r="B971" s="135"/>
      <c r="C971" s="135"/>
      <c r="D971" s="135"/>
      <c r="E971" s="135"/>
      <c r="F971" s="135"/>
      <c r="G971" s="135"/>
      <c r="H971" s="135"/>
      <c r="I971" s="135"/>
      <c r="J971" s="135"/>
      <c r="K971" s="135"/>
      <c r="L971" s="135"/>
      <c r="M971" s="135"/>
      <c r="N971" s="135"/>
      <c r="O971" s="135"/>
      <c r="P971" s="135"/>
      <c r="Q971" s="135"/>
      <c r="R971" s="135"/>
      <c r="S971" s="135"/>
      <c r="T971" s="135"/>
      <c r="U971" s="135"/>
      <c r="V971" s="135"/>
      <c r="W971" s="135"/>
      <c r="X971" s="135"/>
      <c r="Y971" s="135"/>
      <c r="Z971" s="135"/>
      <c r="AA971" s="135"/>
      <c r="AB971" s="135"/>
      <c r="AC971" s="135"/>
      <c r="AD971" s="135"/>
      <c r="AE971" s="135"/>
      <c r="AF971" s="135"/>
    </row>
    <row r="972">
      <c r="A972" s="135"/>
      <c r="B972" s="135"/>
      <c r="C972" s="135"/>
      <c r="D972" s="135"/>
      <c r="E972" s="135"/>
      <c r="F972" s="135"/>
      <c r="G972" s="135"/>
      <c r="H972" s="135"/>
      <c r="I972" s="135"/>
      <c r="J972" s="135"/>
      <c r="K972" s="135"/>
      <c r="L972" s="135"/>
      <c r="M972" s="135"/>
      <c r="N972" s="135"/>
      <c r="O972" s="135"/>
      <c r="P972" s="135"/>
      <c r="Q972" s="135"/>
      <c r="R972" s="135"/>
      <c r="S972" s="135"/>
      <c r="T972" s="135"/>
      <c r="U972" s="135"/>
      <c r="V972" s="135"/>
      <c r="W972" s="135"/>
      <c r="X972" s="135"/>
      <c r="Y972" s="135"/>
      <c r="Z972" s="135"/>
      <c r="AA972" s="135"/>
      <c r="AB972" s="135"/>
      <c r="AC972" s="135"/>
      <c r="AD972" s="135"/>
      <c r="AE972" s="135"/>
      <c r="AF972" s="135"/>
    </row>
    <row r="973">
      <c r="A973" s="135"/>
      <c r="B973" s="135"/>
      <c r="C973" s="135"/>
      <c r="D973" s="135"/>
      <c r="E973" s="135"/>
      <c r="F973" s="135"/>
      <c r="G973" s="135"/>
      <c r="H973" s="135"/>
      <c r="I973" s="135"/>
      <c r="J973" s="135"/>
      <c r="K973" s="135"/>
      <c r="L973" s="135"/>
      <c r="M973" s="135"/>
      <c r="N973" s="135"/>
      <c r="O973" s="135"/>
      <c r="P973" s="135"/>
      <c r="Q973" s="135"/>
      <c r="R973" s="135"/>
      <c r="S973" s="135"/>
      <c r="T973" s="135"/>
      <c r="U973" s="135"/>
      <c r="V973" s="135"/>
      <c r="W973" s="135"/>
      <c r="X973" s="135"/>
      <c r="Y973" s="135"/>
      <c r="Z973" s="135"/>
      <c r="AA973" s="135"/>
      <c r="AB973" s="135"/>
      <c r="AC973" s="135"/>
      <c r="AD973" s="135"/>
      <c r="AE973" s="135"/>
      <c r="AF973" s="135"/>
    </row>
    <row r="974">
      <c r="A974" s="135"/>
      <c r="B974" s="135"/>
      <c r="C974" s="135"/>
      <c r="D974" s="135"/>
      <c r="E974" s="135"/>
      <c r="F974" s="135"/>
      <c r="G974" s="135"/>
      <c r="H974" s="135"/>
      <c r="I974" s="135"/>
      <c r="J974" s="135"/>
      <c r="K974" s="135"/>
      <c r="L974" s="135"/>
      <c r="M974" s="135"/>
      <c r="N974" s="135"/>
      <c r="O974" s="135"/>
      <c r="P974" s="135"/>
      <c r="Q974" s="135"/>
      <c r="R974" s="135"/>
      <c r="S974" s="135"/>
      <c r="T974" s="135"/>
      <c r="U974" s="135"/>
      <c r="V974" s="135"/>
      <c r="W974" s="135"/>
      <c r="X974" s="135"/>
      <c r="Y974" s="135"/>
      <c r="Z974" s="135"/>
      <c r="AA974" s="135"/>
      <c r="AB974" s="135"/>
      <c r="AC974" s="135"/>
      <c r="AD974" s="135"/>
      <c r="AE974" s="135"/>
      <c r="AF974" s="135"/>
    </row>
    <row r="975">
      <c r="A975" s="135"/>
      <c r="B975" s="135"/>
      <c r="C975" s="135"/>
      <c r="D975" s="135"/>
      <c r="E975" s="135"/>
      <c r="F975" s="135"/>
      <c r="G975" s="135"/>
      <c r="H975" s="135"/>
      <c r="I975" s="135"/>
      <c r="J975" s="135"/>
      <c r="K975" s="135"/>
      <c r="L975" s="135"/>
      <c r="M975" s="135"/>
      <c r="N975" s="135"/>
      <c r="O975" s="135"/>
      <c r="P975" s="135"/>
      <c r="Q975" s="135"/>
      <c r="R975" s="135"/>
      <c r="S975" s="135"/>
      <c r="T975" s="135"/>
      <c r="U975" s="135"/>
      <c r="V975" s="135"/>
      <c r="W975" s="135"/>
      <c r="X975" s="135"/>
      <c r="Y975" s="135"/>
      <c r="Z975" s="135"/>
      <c r="AA975" s="135"/>
      <c r="AB975" s="135"/>
      <c r="AC975" s="135"/>
      <c r="AD975" s="135"/>
      <c r="AE975" s="135"/>
      <c r="AF975" s="135"/>
    </row>
    <row r="976">
      <c r="A976" s="135"/>
      <c r="B976" s="135"/>
      <c r="C976" s="135"/>
      <c r="D976" s="135"/>
      <c r="E976" s="135"/>
      <c r="F976" s="135"/>
      <c r="G976" s="135"/>
      <c r="H976" s="135"/>
      <c r="I976" s="135"/>
      <c r="J976" s="135"/>
      <c r="K976" s="135"/>
      <c r="L976" s="135"/>
      <c r="M976" s="135"/>
      <c r="N976" s="135"/>
      <c r="O976" s="135"/>
      <c r="P976" s="135"/>
      <c r="Q976" s="135"/>
      <c r="R976" s="135"/>
      <c r="S976" s="135"/>
      <c r="T976" s="135"/>
      <c r="U976" s="135"/>
      <c r="V976" s="135"/>
      <c r="W976" s="135"/>
      <c r="X976" s="135"/>
      <c r="Y976" s="135"/>
      <c r="Z976" s="135"/>
      <c r="AA976" s="135"/>
      <c r="AB976" s="135"/>
      <c r="AC976" s="135"/>
      <c r="AD976" s="135"/>
      <c r="AE976" s="135"/>
      <c r="AF976" s="135"/>
    </row>
    <row r="977">
      <c r="A977" s="135"/>
      <c r="B977" s="135"/>
      <c r="C977" s="135"/>
      <c r="D977" s="135"/>
      <c r="E977" s="135"/>
      <c r="F977" s="135"/>
      <c r="G977" s="135"/>
      <c r="H977" s="135"/>
      <c r="I977" s="135"/>
      <c r="J977" s="135"/>
      <c r="K977" s="135"/>
      <c r="L977" s="135"/>
      <c r="M977" s="135"/>
      <c r="N977" s="135"/>
      <c r="O977" s="135"/>
      <c r="P977" s="135"/>
      <c r="Q977" s="135"/>
      <c r="R977" s="135"/>
      <c r="S977" s="135"/>
      <c r="T977" s="135"/>
      <c r="U977" s="135"/>
      <c r="V977" s="135"/>
      <c r="W977" s="135"/>
      <c r="X977" s="135"/>
      <c r="Y977" s="135"/>
      <c r="Z977" s="135"/>
      <c r="AA977" s="135"/>
      <c r="AB977" s="135"/>
      <c r="AC977" s="135"/>
      <c r="AD977" s="135"/>
      <c r="AE977" s="135"/>
      <c r="AF977" s="135"/>
    </row>
    <row r="978">
      <c r="A978" s="135"/>
      <c r="B978" s="135"/>
      <c r="C978" s="135"/>
      <c r="D978" s="135"/>
      <c r="E978" s="135"/>
      <c r="F978" s="135"/>
      <c r="G978" s="135"/>
      <c r="H978" s="135"/>
      <c r="I978" s="135"/>
      <c r="J978" s="135"/>
      <c r="K978" s="135"/>
      <c r="L978" s="135"/>
      <c r="M978" s="135"/>
      <c r="N978" s="135"/>
      <c r="O978" s="135"/>
      <c r="P978" s="135"/>
      <c r="Q978" s="135"/>
      <c r="R978" s="135"/>
      <c r="S978" s="135"/>
      <c r="T978" s="135"/>
      <c r="U978" s="135"/>
      <c r="V978" s="135"/>
      <c r="W978" s="135"/>
      <c r="X978" s="135"/>
      <c r="Y978" s="135"/>
      <c r="Z978" s="135"/>
      <c r="AA978" s="135"/>
      <c r="AB978" s="135"/>
      <c r="AC978" s="135"/>
      <c r="AD978" s="135"/>
      <c r="AE978" s="135"/>
      <c r="AF978" s="135"/>
    </row>
    <row r="979">
      <c r="A979" s="135"/>
      <c r="B979" s="135"/>
      <c r="C979" s="135"/>
      <c r="D979" s="135"/>
      <c r="E979" s="135"/>
      <c r="F979" s="135"/>
      <c r="G979" s="135"/>
      <c r="H979" s="135"/>
      <c r="I979" s="135"/>
      <c r="J979" s="135"/>
      <c r="K979" s="135"/>
      <c r="L979" s="135"/>
      <c r="M979" s="135"/>
      <c r="N979" s="135"/>
      <c r="O979" s="135"/>
      <c r="P979" s="135"/>
      <c r="Q979" s="135"/>
      <c r="R979" s="135"/>
      <c r="S979" s="135"/>
      <c r="T979" s="135"/>
      <c r="U979" s="135"/>
      <c r="V979" s="135"/>
      <c r="W979" s="135"/>
      <c r="X979" s="135"/>
      <c r="Y979" s="135"/>
      <c r="Z979" s="135"/>
      <c r="AA979" s="135"/>
      <c r="AB979" s="135"/>
      <c r="AC979" s="135"/>
      <c r="AD979" s="135"/>
      <c r="AE979" s="135"/>
      <c r="AF979" s="135"/>
    </row>
    <row r="980">
      <c r="A980" s="135"/>
      <c r="B980" s="135"/>
      <c r="C980" s="135"/>
      <c r="D980" s="135"/>
      <c r="E980" s="135"/>
      <c r="F980" s="135"/>
      <c r="G980" s="135"/>
      <c r="H980" s="135"/>
      <c r="I980" s="135"/>
      <c r="J980" s="135"/>
      <c r="K980" s="135"/>
      <c r="L980" s="135"/>
      <c r="M980" s="135"/>
      <c r="N980" s="135"/>
      <c r="O980" s="135"/>
      <c r="P980" s="135"/>
      <c r="Q980" s="135"/>
      <c r="R980" s="135"/>
      <c r="S980" s="135"/>
      <c r="T980" s="135"/>
      <c r="U980" s="135"/>
      <c r="V980" s="135"/>
      <c r="W980" s="135"/>
      <c r="X980" s="135"/>
      <c r="Y980" s="135"/>
      <c r="Z980" s="135"/>
      <c r="AA980" s="135"/>
      <c r="AB980" s="135"/>
      <c r="AC980" s="135"/>
      <c r="AD980" s="135"/>
      <c r="AE980" s="135"/>
      <c r="AF980" s="135"/>
    </row>
    <row r="981">
      <c r="A981" s="135"/>
      <c r="B981" s="135"/>
      <c r="C981" s="135"/>
      <c r="D981" s="135"/>
      <c r="E981" s="135"/>
      <c r="F981" s="135"/>
      <c r="G981" s="135"/>
      <c r="H981" s="135"/>
      <c r="I981" s="135"/>
      <c r="J981" s="135"/>
      <c r="K981" s="135"/>
      <c r="L981" s="135"/>
      <c r="M981" s="135"/>
      <c r="N981" s="135"/>
      <c r="O981" s="135"/>
      <c r="P981" s="135"/>
      <c r="Q981" s="135"/>
      <c r="R981" s="135"/>
      <c r="S981" s="135"/>
      <c r="T981" s="135"/>
      <c r="U981" s="135"/>
      <c r="V981" s="135"/>
      <c r="W981" s="135"/>
      <c r="X981" s="135"/>
      <c r="Y981" s="135"/>
      <c r="Z981" s="135"/>
      <c r="AA981" s="135"/>
      <c r="AB981" s="135"/>
      <c r="AC981" s="135"/>
      <c r="AD981" s="135"/>
      <c r="AE981" s="135"/>
      <c r="AF981" s="135"/>
    </row>
    <row r="982">
      <c r="A982" s="135"/>
      <c r="B982" s="135"/>
      <c r="C982" s="135"/>
      <c r="D982" s="135"/>
      <c r="E982" s="135"/>
      <c r="F982" s="135"/>
      <c r="G982" s="135"/>
      <c r="H982" s="135"/>
      <c r="I982" s="135"/>
      <c r="J982" s="135"/>
      <c r="K982" s="135"/>
      <c r="L982" s="135"/>
      <c r="M982" s="135"/>
      <c r="N982" s="135"/>
      <c r="O982" s="135"/>
      <c r="P982" s="135"/>
      <c r="Q982" s="135"/>
      <c r="R982" s="135"/>
      <c r="S982" s="135"/>
      <c r="T982" s="135"/>
      <c r="U982" s="135"/>
      <c r="V982" s="135"/>
      <c r="W982" s="135"/>
      <c r="X982" s="135"/>
      <c r="Y982" s="135"/>
      <c r="Z982" s="135"/>
      <c r="AA982" s="135"/>
      <c r="AB982" s="135"/>
      <c r="AC982" s="135"/>
      <c r="AD982" s="135"/>
      <c r="AE982" s="135"/>
      <c r="AF982" s="135"/>
    </row>
    <row r="983">
      <c r="A983" s="135"/>
      <c r="B983" s="135"/>
      <c r="C983" s="135"/>
      <c r="D983" s="135"/>
      <c r="E983" s="135"/>
      <c r="F983" s="135"/>
      <c r="G983" s="135"/>
      <c r="H983" s="135"/>
      <c r="I983" s="135"/>
      <c r="J983" s="135"/>
      <c r="K983" s="135"/>
      <c r="L983" s="135"/>
      <c r="M983" s="135"/>
      <c r="N983" s="135"/>
      <c r="O983" s="135"/>
      <c r="P983" s="135"/>
      <c r="Q983" s="135"/>
      <c r="R983" s="135"/>
      <c r="S983" s="135"/>
      <c r="T983" s="135"/>
      <c r="U983" s="135"/>
      <c r="V983" s="135"/>
      <c r="W983" s="135"/>
      <c r="X983" s="135"/>
      <c r="Y983" s="135"/>
      <c r="Z983" s="135"/>
      <c r="AA983" s="135"/>
      <c r="AB983" s="135"/>
      <c r="AC983" s="135"/>
      <c r="AD983" s="135"/>
      <c r="AE983" s="135"/>
      <c r="AF983" s="135"/>
    </row>
    <row r="984">
      <c r="A984" s="135"/>
      <c r="B984" s="135"/>
      <c r="C984" s="135"/>
      <c r="D984" s="135"/>
      <c r="E984" s="135"/>
      <c r="F984" s="135"/>
      <c r="G984" s="135"/>
      <c r="H984" s="135"/>
      <c r="I984" s="135"/>
      <c r="J984" s="135"/>
      <c r="K984" s="135"/>
      <c r="L984" s="135"/>
      <c r="M984" s="135"/>
      <c r="N984" s="135"/>
      <c r="O984" s="135"/>
      <c r="P984" s="135"/>
      <c r="Q984" s="135"/>
      <c r="R984" s="135"/>
      <c r="S984" s="135"/>
      <c r="T984" s="135"/>
      <c r="U984" s="135"/>
      <c r="V984" s="135"/>
      <c r="W984" s="135"/>
      <c r="X984" s="135"/>
      <c r="Y984" s="135"/>
      <c r="Z984" s="135"/>
      <c r="AA984" s="135"/>
      <c r="AB984" s="135"/>
      <c r="AC984" s="135"/>
      <c r="AD984" s="135"/>
      <c r="AE984" s="135"/>
      <c r="AF984" s="135"/>
    </row>
    <row r="985">
      <c r="A985" s="135"/>
      <c r="B985" s="135"/>
      <c r="C985" s="135"/>
      <c r="D985" s="135"/>
      <c r="E985" s="135"/>
      <c r="F985" s="135"/>
      <c r="G985" s="135"/>
      <c r="H985" s="135"/>
      <c r="I985" s="135"/>
      <c r="J985" s="135"/>
      <c r="K985" s="135"/>
      <c r="L985" s="135"/>
      <c r="M985" s="135"/>
      <c r="N985" s="135"/>
      <c r="O985" s="135"/>
      <c r="P985" s="135"/>
      <c r="Q985" s="135"/>
      <c r="R985" s="135"/>
      <c r="S985" s="135"/>
      <c r="T985" s="135"/>
      <c r="U985" s="135"/>
      <c r="V985" s="135"/>
      <c r="W985" s="135"/>
      <c r="X985" s="135"/>
      <c r="Y985" s="135"/>
      <c r="Z985" s="135"/>
      <c r="AA985" s="135"/>
      <c r="AB985" s="135"/>
      <c r="AC985" s="135"/>
      <c r="AD985" s="135"/>
      <c r="AE985" s="135"/>
      <c r="AF985" s="135"/>
    </row>
    <row r="986">
      <c r="A986" s="135"/>
      <c r="B986" s="135"/>
      <c r="C986" s="135"/>
      <c r="D986" s="135"/>
      <c r="E986" s="135"/>
      <c r="F986" s="135"/>
      <c r="G986" s="135"/>
      <c r="H986" s="135"/>
      <c r="I986" s="135"/>
      <c r="J986" s="135"/>
      <c r="K986" s="135"/>
      <c r="L986" s="135"/>
      <c r="M986" s="135"/>
      <c r="N986" s="135"/>
      <c r="O986" s="135"/>
      <c r="P986" s="135"/>
      <c r="Q986" s="135"/>
      <c r="R986" s="135"/>
      <c r="S986" s="135"/>
      <c r="T986" s="135"/>
      <c r="U986" s="135"/>
      <c r="V986" s="135"/>
      <c r="W986" s="135"/>
      <c r="X986" s="135"/>
      <c r="Y986" s="135"/>
      <c r="Z986" s="135"/>
      <c r="AA986" s="135"/>
      <c r="AB986" s="135"/>
      <c r="AC986" s="135"/>
      <c r="AD986" s="135"/>
      <c r="AE986" s="135"/>
      <c r="AF986" s="135"/>
    </row>
    <row r="987">
      <c r="A987" s="135"/>
      <c r="B987" s="135"/>
      <c r="C987" s="135"/>
      <c r="D987" s="135"/>
      <c r="E987" s="135"/>
      <c r="F987" s="135"/>
      <c r="G987" s="135"/>
      <c r="H987" s="135"/>
      <c r="I987" s="135"/>
      <c r="J987" s="135"/>
      <c r="K987" s="135"/>
      <c r="L987" s="135"/>
      <c r="M987" s="135"/>
      <c r="N987" s="135"/>
      <c r="O987" s="135"/>
      <c r="P987" s="135"/>
      <c r="Q987" s="135"/>
      <c r="R987" s="135"/>
      <c r="S987" s="135"/>
      <c r="T987" s="135"/>
      <c r="U987" s="135"/>
      <c r="V987" s="135"/>
      <c r="W987" s="135"/>
      <c r="X987" s="135"/>
      <c r="Y987" s="135"/>
      <c r="Z987" s="135"/>
      <c r="AA987" s="135"/>
      <c r="AB987" s="135"/>
      <c r="AC987" s="135"/>
      <c r="AD987" s="135"/>
      <c r="AE987" s="135"/>
      <c r="AF987" s="135"/>
    </row>
    <row r="988">
      <c r="A988" s="135"/>
      <c r="B988" s="135"/>
      <c r="C988" s="135"/>
      <c r="D988" s="135"/>
      <c r="E988" s="135"/>
      <c r="F988" s="135"/>
      <c r="G988" s="135"/>
      <c r="H988" s="135"/>
      <c r="I988" s="135"/>
      <c r="J988" s="135"/>
      <c r="K988" s="135"/>
      <c r="L988" s="135"/>
      <c r="M988" s="135"/>
      <c r="N988" s="135"/>
      <c r="O988" s="135"/>
      <c r="P988" s="135"/>
      <c r="Q988" s="135"/>
      <c r="R988" s="135"/>
      <c r="S988" s="135"/>
      <c r="T988" s="135"/>
      <c r="U988" s="135"/>
      <c r="V988" s="135"/>
      <c r="W988" s="135"/>
      <c r="X988" s="135"/>
      <c r="Y988" s="135"/>
      <c r="Z988" s="135"/>
      <c r="AA988" s="135"/>
      <c r="AB988" s="135"/>
      <c r="AC988" s="135"/>
      <c r="AD988" s="135"/>
      <c r="AE988" s="135"/>
      <c r="AF988" s="135"/>
    </row>
    <row r="989">
      <c r="A989" s="135"/>
      <c r="B989" s="135"/>
      <c r="C989" s="135"/>
      <c r="D989" s="135"/>
      <c r="E989" s="135"/>
      <c r="F989" s="135"/>
      <c r="G989" s="135"/>
      <c r="H989" s="135"/>
      <c r="I989" s="135"/>
      <c r="J989" s="135"/>
      <c r="K989" s="135"/>
      <c r="L989" s="135"/>
      <c r="M989" s="135"/>
      <c r="N989" s="135"/>
      <c r="O989" s="135"/>
      <c r="P989" s="135"/>
      <c r="Q989" s="135"/>
      <c r="R989" s="135"/>
      <c r="S989" s="135"/>
      <c r="T989" s="135"/>
      <c r="U989" s="135"/>
      <c r="V989" s="135"/>
      <c r="W989" s="135"/>
      <c r="X989" s="135"/>
      <c r="Y989" s="135"/>
      <c r="Z989" s="135"/>
      <c r="AA989" s="135"/>
      <c r="AB989" s="135"/>
      <c r="AC989" s="135"/>
      <c r="AD989" s="135"/>
      <c r="AE989" s="135"/>
      <c r="AF989" s="135"/>
    </row>
    <row r="990">
      <c r="A990" s="135"/>
      <c r="B990" s="135"/>
      <c r="C990" s="135"/>
      <c r="D990" s="135"/>
      <c r="E990" s="135"/>
      <c r="F990" s="135"/>
      <c r="G990" s="135"/>
      <c r="H990" s="135"/>
      <c r="I990" s="135"/>
      <c r="J990" s="135"/>
      <c r="K990" s="135"/>
      <c r="L990" s="135"/>
      <c r="M990" s="135"/>
      <c r="N990" s="135"/>
      <c r="O990" s="135"/>
      <c r="P990" s="135"/>
      <c r="Q990" s="135"/>
      <c r="R990" s="135"/>
      <c r="S990" s="135"/>
      <c r="T990" s="135"/>
      <c r="U990" s="135"/>
      <c r="V990" s="135"/>
      <c r="W990" s="135"/>
      <c r="X990" s="135"/>
      <c r="Y990" s="135"/>
      <c r="Z990" s="135"/>
      <c r="AA990" s="135"/>
      <c r="AB990" s="135"/>
      <c r="AC990" s="135"/>
      <c r="AD990" s="135"/>
      <c r="AE990" s="135"/>
      <c r="AF990" s="135"/>
    </row>
    <row r="991">
      <c r="A991" s="135"/>
      <c r="B991" s="135"/>
      <c r="C991" s="135"/>
      <c r="D991" s="135"/>
      <c r="E991" s="135"/>
      <c r="F991" s="135"/>
      <c r="G991" s="135"/>
      <c r="H991" s="135"/>
      <c r="I991" s="135"/>
      <c r="J991" s="135"/>
      <c r="K991" s="135"/>
      <c r="L991" s="135"/>
      <c r="M991" s="135"/>
      <c r="N991" s="135"/>
      <c r="O991" s="135"/>
      <c r="P991" s="135"/>
      <c r="Q991" s="135"/>
      <c r="R991" s="135"/>
      <c r="S991" s="135"/>
      <c r="T991" s="135"/>
      <c r="U991" s="135"/>
      <c r="V991" s="135"/>
      <c r="W991" s="135"/>
      <c r="X991" s="135"/>
      <c r="Y991" s="135"/>
      <c r="Z991" s="135"/>
      <c r="AA991" s="135"/>
      <c r="AB991" s="135"/>
      <c r="AC991" s="135"/>
      <c r="AD991" s="135"/>
      <c r="AE991" s="135"/>
      <c r="AF991" s="135"/>
    </row>
    <row r="992">
      <c r="A992" s="135"/>
      <c r="B992" s="135"/>
      <c r="C992" s="135"/>
      <c r="D992" s="135"/>
      <c r="E992" s="135"/>
      <c r="F992" s="135"/>
      <c r="G992" s="135"/>
      <c r="H992" s="135"/>
      <c r="I992" s="135"/>
      <c r="J992" s="135"/>
      <c r="K992" s="135"/>
      <c r="L992" s="135"/>
      <c r="M992" s="135"/>
      <c r="N992" s="135"/>
      <c r="O992" s="135"/>
      <c r="P992" s="135"/>
      <c r="Q992" s="135"/>
      <c r="R992" s="135"/>
      <c r="S992" s="135"/>
      <c r="T992" s="135"/>
      <c r="U992" s="135"/>
      <c r="V992" s="135"/>
      <c r="W992" s="135"/>
      <c r="X992" s="135"/>
      <c r="Y992" s="135"/>
      <c r="Z992" s="135"/>
      <c r="AA992" s="135"/>
      <c r="AB992" s="135"/>
      <c r="AC992" s="135"/>
      <c r="AD992" s="135"/>
      <c r="AE992" s="135"/>
      <c r="AF992" s="135"/>
    </row>
    <row r="993">
      <c r="A993" s="135"/>
      <c r="B993" s="135"/>
      <c r="C993" s="135"/>
      <c r="D993" s="135"/>
      <c r="E993" s="135"/>
      <c r="F993" s="135"/>
      <c r="G993" s="135"/>
      <c r="H993" s="135"/>
      <c r="I993" s="135"/>
      <c r="J993" s="135"/>
      <c r="K993" s="135"/>
      <c r="L993" s="135"/>
      <c r="M993" s="135"/>
      <c r="N993" s="135"/>
      <c r="O993" s="135"/>
      <c r="P993" s="135"/>
      <c r="Q993" s="135"/>
      <c r="R993" s="135"/>
      <c r="S993" s="135"/>
      <c r="T993" s="135"/>
      <c r="U993" s="135"/>
      <c r="V993" s="135"/>
      <c r="W993" s="135"/>
      <c r="X993" s="135"/>
      <c r="Y993" s="135"/>
      <c r="Z993" s="135"/>
      <c r="AA993" s="135"/>
      <c r="AB993" s="135"/>
      <c r="AC993" s="135"/>
      <c r="AD993" s="135"/>
      <c r="AE993" s="135"/>
      <c r="AF993" s="135"/>
    </row>
    <row r="994">
      <c r="A994" s="135"/>
      <c r="B994" s="135"/>
      <c r="C994" s="135"/>
      <c r="D994" s="135"/>
      <c r="E994" s="135"/>
      <c r="F994" s="135"/>
      <c r="G994" s="135"/>
      <c r="H994" s="135"/>
      <c r="I994" s="135"/>
      <c r="J994" s="135"/>
      <c r="K994" s="135"/>
      <c r="L994" s="135"/>
      <c r="M994" s="135"/>
      <c r="N994" s="135"/>
      <c r="O994" s="135"/>
      <c r="P994" s="135"/>
      <c r="Q994" s="135"/>
      <c r="R994" s="135"/>
      <c r="S994" s="135"/>
      <c r="T994" s="135"/>
      <c r="U994" s="135"/>
      <c r="V994" s="135"/>
      <c r="W994" s="135"/>
      <c r="X994" s="135"/>
      <c r="Y994" s="135"/>
      <c r="Z994" s="135"/>
      <c r="AA994" s="135"/>
      <c r="AB994" s="135"/>
      <c r="AC994" s="135"/>
      <c r="AD994" s="135"/>
      <c r="AE994" s="135"/>
      <c r="AF994" s="135"/>
    </row>
    <row r="995">
      <c r="A995" s="135"/>
      <c r="B995" s="135"/>
      <c r="C995" s="135"/>
      <c r="D995" s="135"/>
      <c r="E995" s="135"/>
      <c r="F995" s="135"/>
      <c r="G995" s="135"/>
      <c r="H995" s="135"/>
      <c r="I995" s="135"/>
      <c r="J995" s="135"/>
      <c r="K995" s="135"/>
      <c r="L995" s="135"/>
      <c r="M995" s="135"/>
      <c r="N995" s="135"/>
      <c r="O995" s="135"/>
      <c r="P995" s="135"/>
      <c r="Q995" s="135"/>
      <c r="R995" s="135"/>
      <c r="S995" s="135"/>
      <c r="T995" s="135"/>
      <c r="U995" s="135"/>
      <c r="V995" s="135"/>
      <c r="W995" s="135"/>
      <c r="X995" s="135"/>
      <c r="Y995" s="135"/>
      <c r="Z995" s="135"/>
      <c r="AA995" s="135"/>
      <c r="AB995" s="135"/>
      <c r="AC995" s="135"/>
      <c r="AD995" s="135"/>
      <c r="AE995" s="135"/>
      <c r="AF995" s="135"/>
    </row>
    <row r="996">
      <c r="A996" s="135"/>
      <c r="B996" s="135"/>
      <c r="C996" s="135"/>
      <c r="D996" s="135"/>
      <c r="E996" s="135"/>
      <c r="F996" s="135"/>
      <c r="G996" s="135"/>
      <c r="H996" s="135"/>
      <c r="I996" s="135"/>
      <c r="J996" s="135"/>
      <c r="K996" s="135"/>
      <c r="L996" s="135"/>
      <c r="M996" s="135"/>
      <c r="N996" s="135"/>
      <c r="O996" s="135"/>
      <c r="P996" s="135"/>
      <c r="Q996" s="135"/>
      <c r="R996" s="135"/>
      <c r="S996" s="135"/>
      <c r="T996" s="135"/>
      <c r="U996" s="135"/>
      <c r="V996" s="135"/>
      <c r="W996" s="135"/>
      <c r="X996" s="135"/>
      <c r="Y996" s="135"/>
      <c r="Z996" s="135"/>
      <c r="AA996" s="135"/>
      <c r="AB996" s="135"/>
      <c r="AC996" s="135"/>
      <c r="AD996" s="135"/>
      <c r="AE996" s="135"/>
      <c r="AF996" s="135"/>
    </row>
    <row r="997">
      <c r="A997" s="135"/>
      <c r="B997" s="135"/>
      <c r="C997" s="135"/>
      <c r="D997" s="135"/>
      <c r="E997" s="135"/>
      <c r="F997" s="135"/>
      <c r="G997" s="135"/>
      <c r="H997" s="135"/>
      <c r="I997" s="135"/>
      <c r="J997" s="135"/>
      <c r="K997" s="135"/>
      <c r="L997" s="135"/>
      <c r="M997" s="135"/>
      <c r="N997" s="135"/>
      <c r="O997" s="135"/>
      <c r="P997" s="135"/>
      <c r="Q997" s="135"/>
      <c r="R997" s="135"/>
      <c r="S997" s="135"/>
      <c r="T997" s="135"/>
      <c r="U997" s="135"/>
      <c r="V997" s="135"/>
      <c r="W997" s="135"/>
      <c r="X997" s="135"/>
      <c r="Y997" s="135"/>
      <c r="Z997" s="135"/>
      <c r="AA997" s="135"/>
      <c r="AB997" s="135"/>
      <c r="AC997" s="135"/>
      <c r="AD997" s="135"/>
      <c r="AE997" s="135"/>
      <c r="AF997" s="135"/>
    </row>
    <row r="998">
      <c r="A998" s="135"/>
      <c r="B998" s="135"/>
      <c r="C998" s="135"/>
      <c r="D998" s="135"/>
      <c r="E998" s="135"/>
      <c r="F998" s="135"/>
      <c r="G998" s="135"/>
      <c r="H998" s="135"/>
      <c r="I998" s="135"/>
      <c r="J998" s="135"/>
      <c r="K998" s="135"/>
      <c r="L998" s="135"/>
      <c r="M998" s="135"/>
      <c r="N998" s="135"/>
      <c r="O998" s="135"/>
      <c r="P998" s="135"/>
      <c r="Q998" s="135"/>
      <c r="R998" s="135"/>
      <c r="S998" s="135"/>
      <c r="T998" s="135"/>
      <c r="U998" s="135"/>
      <c r="V998" s="135"/>
      <c r="W998" s="135"/>
      <c r="X998" s="135"/>
      <c r="Y998" s="135"/>
      <c r="Z998" s="135"/>
      <c r="AA998" s="135"/>
      <c r="AB998" s="135"/>
      <c r="AC998" s="135"/>
      <c r="AD998" s="135"/>
      <c r="AE998" s="135"/>
      <c r="AF998" s="135"/>
    </row>
    <row r="999">
      <c r="A999" s="135"/>
      <c r="B999" s="135"/>
      <c r="C999" s="135"/>
      <c r="D999" s="135"/>
      <c r="E999" s="135"/>
      <c r="F999" s="135"/>
      <c r="G999" s="135"/>
      <c r="H999" s="135"/>
      <c r="I999" s="135"/>
      <c r="J999" s="135"/>
      <c r="K999" s="135"/>
      <c r="L999" s="135"/>
      <c r="M999" s="135"/>
      <c r="N999" s="135"/>
      <c r="O999" s="135"/>
      <c r="P999" s="135"/>
      <c r="Q999" s="135"/>
      <c r="R999" s="135"/>
      <c r="S999" s="135"/>
      <c r="T999" s="135"/>
      <c r="U999" s="135"/>
      <c r="V999" s="135"/>
      <c r="W999" s="135"/>
      <c r="X999" s="135"/>
      <c r="Y999" s="135"/>
      <c r="Z999" s="135"/>
      <c r="AA999" s="135"/>
      <c r="AB999" s="135"/>
      <c r="AC999" s="135"/>
      <c r="AD999" s="135"/>
      <c r="AE999" s="135"/>
      <c r="AF999" s="135"/>
    </row>
    <row r="1000">
      <c r="A1000" s="135"/>
      <c r="B1000" s="135"/>
      <c r="C1000" s="135"/>
      <c r="D1000" s="135"/>
      <c r="E1000" s="135"/>
      <c r="F1000" s="135"/>
      <c r="G1000" s="135"/>
      <c r="H1000" s="135"/>
      <c r="I1000" s="135"/>
      <c r="J1000" s="135"/>
      <c r="K1000" s="135"/>
      <c r="L1000" s="135"/>
      <c r="M1000" s="135"/>
      <c r="N1000" s="135"/>
      <c r="O1000" s="135"/>
      <c r="P1000" s="135"/>
      <c r="Q1000" s="135"/>
      <c r="R1000" s="135"/>
      <c r="S1000" s="135"/>
      <c r="T1000" s="135"/>
      <c r="U1000" s="135"/>
      <c r="V1000" s="135"/>
      <c r="W1000" s="135"/>
      <c r="X1000" s="135"/>
      <c r="Y1000" s="135"/>
      <c r="Z1000" s="135"/>
      <c r="AA1000" s="135"/>
      <c r="AB1000" s="135"/>
      <c r="AC1000" s="135"/>
      <c r="AD1000" s="135"/>
      <c r="AE1000" s="135"/>
      <c r="AF1000" s="135"/>
    </row>
  </sheetData>
  <drawing r:id="rId1"/>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3" t="s">
        <v>8786</v>
      </c>
      <c r="B1" s="12" t="s">
        <v>8343</v>
      </c>
      <c r="C1" s="13" t="s">
        <v>8811</v>
      </c>
    </row>
    <row r="2">
      <c r="A2" s="13" t="s">
        <v>8798</v>
      </c>
      <c r="B2" s="158" t="s">
        <v>8348</v>
      </c>
      <c r="C2" s="13">
        <v>95.0</v>
      </c>
    </row>
    <row r="3">
      <c r="A3" s="13" t="s">
        <v>8798</v>
      </c>
      <c r="B3" s="158" t="s">
        <v>8348</v>
      </c>
      <c r="C3" s="13">
        <v>100.0</v>
      </c>
    </row>
    <row r="4">
      <c r="A4" s="13" t="s">
        <v>8807</v>
      </c>
      <c r="B4" s="158" t="s">
        <v>8352</v>
      </c>
    </row>
    <row r="5">
      <c r="B5" s="28"/>
    </row>
    <row r="6">
      <c r="B6" s="28"/>
    </row>
    <row r="7">
      <c r="B7" s="28"/>
    </row>
    <row r="8">
      <c r="B8" s="28"/>
    </row>
    <row r="9">
      <c r="B9" s="28"/>
    </row>
    <row r="10">
      <c r="B10" s="28"/>
    </row>
    <row r="11">
      <c r="B11" s="28"/>
    </row>
    <row r="12">
      <c r="B12" s="28"/>
    </row>
    <row r="13">
      <c r="B13" s="28"/>
    </row>
    <row r="14">
      <c r="B14" s="28"/>
    </row>
    <row r="15">
      <c r="B15" s="28"/>
    </row>
    <row r="16">
      <c r="B16" s="28"/>
    </row>
    <row r="17">
      <c r="B17" s="28"/>
    </row>
    <row r="18">
      <c r="B18" s="28"/>
    </row>
    <row r="19">
      <c r="B19" s="28"/>
    </row>
    <row r="20">
      <c r="B20" s="28"/>
    </row>
    <row r="21">
      <c r="B21" s="28"/>
    </row>
    <row r="22">
      <c r="B22" s="28"/>
    </row>
    <row r="23">
      <c r="B23" s="28"/>
    </row>
    <row r="24">
      <c r="B24" s="28"/>
    </row>
    <row r="25">
      <c r="B25" s="28"/>
    </row>
    <row r="26">
      <c r="B26" s="28"/>
    </row>
    <row r="27">
      <c r="B27" s="28"/>
    </row>
    <row r="28">
      <c r="B28" s="28"/>
    </row>
    <row r="29">
      <c r="B29" s="28"/>
    </row>
    <row r="30">
      <c r="B30" s="28"/>
    </row>
    <row r="31">
      <c r="B31" s="28"/>
    </row>
    <row r="32">
      <c r="B32" s="28"/>
    </row>
    <row r="33">
      <c r="B33" s="28"/>
    </row>
    <row r="34">
      <c r="B34" s="28"/>
    </row>
    <row r="35">
      <c r="B35" s="28"/>
    </row>
    <row r="36">
      <c r="B36" s="28"/>
    </row>
    <row r="37">
      <c r="B37" s="28"/>
    </row>
    <row r="38">
      <c r="B38" s="28"/>
    </row>
    <row r="39">
      <c r="B39" s="28"/>
    </row>
    <row r="40">
      <c r="B40" s="28"/>
    </row>
    <row r="41">
      <c r="B41" s="28"/>
    </row>
    <row r="42">
      <c r="B42" s="28"/>
    </row>
    <row r="43">
      <c r="B43" s="28"/>
    </row>
    <row r="44">
      <c r="B44" s="28"/>
    </row>
    <row r="45">
      <c r="B45" s="28"/>
    </row>
    <row r="46">
      <c r="B46" s="28"/>
    </row>
    <row r="47">
      <c r="B47" s="28"/>
    </row>
    <row r="48">
      <c r="B48" s="28"/>
    </row>
    <row r="49">
      <c r="B49" s="28"/>
    </row>
    <row r="50">
      <c r="B50" s="28"/>
    </row>
    <row r="51">
      <c r="B51" s="28"/>
    </row>
    <row r="52">
      <c r="B52" s="28"/>
    </row>
    <row r="53">
      <c r="B53" s="28"/>
    </row>
    <row r="54">
      <c r="B54" s="28"/>
    </row>
    <row r="55">
      <c r="B55" s="28"/>
    </row>
    <row r="56">
      <c r="B56" s="28"/>
    </row>
    <row r="57">
      <c r="B57" s="28"/>
    </row>
    <row r="58">
      <c r="B58" s="28"/>
    </row>
    <row r="59">
      <c r="B59" s="28"/>
    </row>
    <row r="60">
      <c r="B60" s="28"/>
    </row>
    <row r="61">
      <c r="B61" s="28"/>
    </row>
    <row r="62">
      <c r="B62" s="28"/>
    </row>
    <row r="63">
      <c r="B63" s="28"/>
    </row>
    <row r="64">
      <c r="B64" s="28"/>
    </row>
    <row r="65">
      <c r="B65" s="28"/>
    </row>
    <row r="66">
      <c r="B66" s="28"/>
    </row>
    <row r="67">
      <c r="B67" s="28"/>
    </row>
    <row r="68">
      <c r="B68" s="28"/>
    </row>
    <row r="69">
      <c r="B69" s="28"/>
    </row>
    <row r="70">
      <c r="B70" s="28"/>
    </row>
    <row r="71">
      <c r="B71" s="28"/>
    </row>
    <row r="72">
      <c r="B72" s="28"/>
    </row>
    <row r="73">
      <c r="B73" s="28"/>
    </row>
    <row r="74">
      <c r="B74" s="28"/>
    </row>
    <row r="75">
      <c r="B75" s="28"/>
    </row>
    <row r="76">
      <c r="B76" s="28"/>
    </row>
    <row r="77">
      <c r="B77" s="28"/>
    </row>
    <row r="78">
      <c r="B78" s="28"/>
    </row>
    <row r="79">
      <c r="B79" s="28"/>
    </row>
    <row r="80">
      <c r="B80" s="28"/>
    </row>
    <row r="81">
      <c r="B81" s="28"/>
    </row>
    <row r="82">
      <c r="B82" s="28"/>
    </row>
    <row r="83">
      <c r="B83" s="28"/>
    </row>
    <row r="84">
      <c r="B84" s="28"/>
    </row>
    <row r="85">
      <c r="B85" s="28"/>
    </row>
    <row r="86">
      <c r="B86" s="28"/>
    </row>
    <row r="87">
      <c r="B87" s="28"/>
    </row>
    <row r="88">
      <c r="B88" s="28"/>
    </row>
    <row r="89">
      <c r="B89" s="28"/>
    </row>
    <row r="90">
      <c r="B90" s="28"/>
    </row>
    <row r="91">
      <c r="B91" s="28"/>
    </row>
    <row r="92">
      <c r="B92" s="28"/>
    </row>
    <row r="93">
      <c r="B93" s="28"/>
    </row>
    <row r="94">
      <c r="B94" s="28"/>
    </row>
    <row r="95">
      <c r="B95" s="28"/>
    </row>
    <row r="96">
      <c r="B96" s="28"/>
    </row>
    <row r="97">
      <c r="B97" s="28"/>
    </row>
    <row r="98">
      <c r="B98" s="28"/>
    </row>
    <row r="99">
      <c r="B99" s="28"/>
    </row>
    <row r="100">
      <c r="B100" s="28"/>
    </row>
    <row r="101">
      <c r="B101" s="28"/>
    </row>
    <row r="102">
      <c r="B102" s="28"/>
    </row>
    <row r="103">
      <c r="B103" s="28"/>
    </row>
    <row r="104">
      <c r="B104" s="28"/>
    </row>
    <row r="105">
      <c r="B105" s="28"/>
    </row>
    <row r="106">
      <c r="B106" s="28"/>
    </row>
    <row r="107">
      <c r="B107" s="28"/>
    </row>
    <row r="108">
      <c r="B108" s="28"/>
    </row>
    <row r="109">
      <c r="B109" s="28"/>
    </row>
    <row r="110">
      <c r="B110" s="28"/>
    </row>
    <row r="111">
      <c r="B111" s="28"/>
    </row>
    <row r="112">
      <c r="B112" s="28"/>
    </row>
    <row r="113">
      <c r="B113" s="28"/>
    </row>
    <row r="114">
      <c r="B114" s="28"/>
    </row>
    <row r="115">
      <c r="B115" s="28"/>
    </row>
    <row r="116">
      <c r="B116" s="28"/>
    </row>
    <row r="117">
      <c r="B117" s="28"/>
    </row>
    <row r="118">
      <c r="B118" s="28"/>
    </row>
    <row r="119">
      <c r="B119" s="28"/>
    </row>
    <row r="120">
      <c r="B120" s="28"/>
    </row>
    <row r="121">
      <c r="B121" s="28"/>
    </row>
    <row r="122">
      <c r="B122" s="28"/>
    </row>
    <row r="123">
      <c r="B123" s="28"/>
    </row>
    <row r="124">
      <c r="B124" s="28"/>
    </row>
    <row r="125">
      <c r="B125" s="28"/>
    </row>
    <row r="126">
      <c r="B126" s="28"/>
    </row>
    <row r="127">
      <c r="B127" s="28"/>
    </row>
    <row r="128">
      <c r="B128" s="28"/>
    </row>
    <row r="129">
      <c r="B129" s="28"/>
    </row>
    <row r="130">
      <c r="B130" s="28"/>
    </row>
    <row r="131">
      <c r="B131" s="28"/>
    </row>
    <row r="132">
      <c r="B132" s="28"/>
    </row>
    <row r="133">
      <c r="B133" s="28"/>
    </row>
    <row r="134">
      <c r="B134" s="28"/>
    </row>
    <row r="135">
      <c r="B135" s="28"/>
    </row>
    <row r="136">
      <c r="B136" s="28"/>
    </row>
    <row r="137">
      <c r="B137" s="28"/>
    </row>
    <row r="138">
      <c r="B138" s="28"/>
    </row>
    <row r="139">
      <c r="B139" s="28"/>
    </row>
    <row r="140">
      <c r="B140" s="28"/>
    </row>
    <row r="141">
      <c r="B141" s="28"/>
    </row>
    <row r="142">
      <c r="B142" s="28"/>
    </row>
    <row r="143">
      <c r="B143" s="28"/>
    </row>
    <row r="144">
      <c r="B144" s="28"/>
    </row>
    <row r="145">
      <c r="B145" s="28"/>
    </row>
    <row r="146">
      <c r="B146" s="28"/>
    </row>
    <row r="147">
      <c r="B147" s="28"/>
    </row>
    <row r="148">
      <c r="B148" s="28"/>
    </row>
    <row r="149">
      <c r="B149" s="28"/>
    </row>
    <row r="150">
      <c r="B150" s="28"/>
    </row>
    <row r="151">
      <c r="B151" s="28"/>
    </row>
    <row r="152">
      <c r="B152" s="28"/>
    </row>
    <row r="153">
      <c r="B153" s="28"/>
    </row>
    <row r="154">
      <c r="B154" s="28"/>
    </row>
    <row r="155">
      <c r="B155" s="28"/>
    </row>
    <row r="156">
      <c r="B156" s="28"/>
    </row>
    <row r="157">
      <c r="B157" s="28"/>
    </row>
    <row r="158">
      <c r="B158" s="28"/>
    </row>
    <row r="159">
      <c r="B159" s="28"/>
    </row>
    <row r="160">
      <c r="B160" s="28"/>
    </row>
    <row r="161">
      <c r="B161" s="28"/>
    </row>
    <row r="162">
      <c r="B162" s="28"/>
    </row>
    <row r="163">
      <c r="B163" s="28"/>
    </row>
    <row r="164">
      <c r="B164" s="28"/>
    </row>
    <row r="165">
      <c r="B165" s="28"/>
    </row>
    <row r="166">
      <c r="B166" s="28"/>
    </row>
    <row r="167">
      <c r="B167" s="28"/>
    </row>
    <row r="168">
      <c r="B168" s="28"/>
    </row>
    <row r="169">
      <c r="B169" s="28"/>
    </row>
    <row r="170">
      <c r="B170" s="28"/>
    </row>
    <row r="171">
      <c r="B171" s="28"/>
    </row>
    <row r="172">
      <c r="B172" s="28"/>
    </row>
    <row r="173">
      <c r="B173" s="28"/>
    </row>
    <row r="174">
      <c r="B174" s="28"/>
    </row>
    <row r="175">
      <c r="B175" s="28"/>
    </row>
    <row r="176">
      <c r="B176" s="28"/>
    </row>
    <row r="177">
      <c r="B177" s="28"/>
    </row>
    <row r="178">
      <c r="B178" s="28"/>
    </row>
    <row r="179">
      <c r="B179" s="28"/>
    </row>
    <row r="180">
      <c r="B180" s="28"/>
    </row>
    <row r="181">
      <c r="B181" s="28"/>
    </row>
    <row r="182">
      <c r="B182" s="28"/>
    </row>
    <row r="183">
      <c r="B183" s="28"/>
    </row>
    <row r="184">
      <c r="B184" s="28"/>
    </row>
    <row r="185">
      <c r="B185" s="28"/>
    </row>
    <row r="186">
      <c r="B186" s="28"/>
    </row>
    <row r="187">
      <c r="B187" s="28"/>
    </row>
    <row r="188">
      <c r="B188" s="28"/>
    </row>
    <row r="189">
      <c r="B189" s="28"/>
    </row>
    <row r="190">
      <c r="B190" s="28"/>
    </row>
    <row r="191">
      <c r="B191" s="28"/>
    </row>
    <row r="192">
      <c r="B192" s="28"/>
    </row>
    <row r="193">
      <c r="B193" s="28"/>
    </row>
    <row r="194">
      <c r="B194" s="28"/>
    </row>
    <row r="195">
      <c r="B195" s="28"/>
    </row>
    <row r="196">
      <c r="B196" s="28"/>
    </row>
    <row r="197">
      <c r="B197" s="28"/>
    </row>
    <row r="198">
      <c r="B198" s="28"/>
    </row>
    <row r="199">
      <c r="B199" s="28"/>
    </row>
    <row r="200">
      <c r="B200" s="28"/>
    </row>
    <row r="201">
      <c r="B201" s="28"/>
    </row>
    <row r="202">
      <c r="B202" s="28"/>
    </row>
    <row r="203">
      <c r="B203" s="28"/>
    </row>
    <row r="204">
      <c r="B204" s="28"/>
    </row>
    <row r="205">
      <c r="B205" s="28"/>
    </row>
    <row r="206">
      <c r="B206" s="28"/>
    </row>
    <row r="207">
      <c r="B207" s="28"/>
    </row>
    <row r="208">
      <c r="B208" s="28"/>
    </row>
    <row r="209">
      <c r="B209" s="28"/>
    </row>
    <row r="210">
      <c r="B210" s="28"/>
    </row>
    <row r="211">
      <c r="B211" s="28"/>
    </row>
    <row r="212">
      <c r="B212" s="28"/>
    </row>
    <row r="213">
      <c r="B213" s="28"/>
    </row>
    <row r="214">
      <c r="B214" s="28"/>
    </row>
    <row r="215">
      <c r="B215" s="28"/>
    </row>
    <row r="216">
      <c r="B216" s="28"/>
    </row>
    <row r="217">
      <c r="B217" s="28"/>
    </row>
    <row r="218">
      <c r="B218" s="28"/>
    </row>
    <row r="219">
      <c r="B219" s="28"/>
    </row>
    <row r="220">
      <c r="B220" s="28"/>
    </row>
    <row r="221">
      <c r="B221" s="28"/>
    </row>
    <row r="222">
      <c r="B222" s="28"/>
    </row>
    <row r="223">
      <c r="B223" s="28"/>
    </row>
    <row r="224">
      <c r="B224" s="28"/>
    </row>
    <row r="225">
      <c r="B225" s="28"/>
    </row>
    <row r="226">
      <c r="B226" s="28"/>
    </row>
    <row r="227">
      <c r="B227" s="28"/>
    </row>
    <row r="228">
      <c r="B228" s="28"/>
    </row>
    <row r="229">
      <c r="B229" s="28"/>
    </row>
    <row r="230">
      <c r="B230" s="28"/>
    </row>
    <row r="231">
      <c r="B231" s="28"/>
    </row>
    <row r="232">
      <c r="B232" s="28"/>
    </row>
    <row r="233">
      <c r="B233" s="28"/>
    </row>
    <row r="234">
      <c r="B234" s="28"/>
    </row>
    <row r="235">
      <c r="B235" s="28"/>
    </row>
    <row r="236">
      <c r="B236" s="28"/>
    </row>
    <row r="237">
      <c r="B237" s="28"/>
    </row>
    <row r="238">
      <c r="B238" s="28"/>
    </row>
    <row r="239">
      <c r="B239" s="28"/>
    </row>
    <row r="240">
      <c r="B240" s="28"/>
    </row>
    <row r="241">
      <c r="B241" s="28"/>
    </row>
    <row r="242">
      <c r="B242" s="28"/>
    </row>
    <row r="243">
      <c r="B243" s="28"/>
    </row>
    <row r="244">
      <c r="B244" s="28"/>
    </row>
    <row r="245">
      <c r="B245" s="28"/>
    </row>
    <row r="246">
      <c r="B246" s="28"/>
    </row>
    <row r="247">
      <c r="B247" s="28"/>
    </row>
    <row r="248">
      <c r="B248" s="28"/>
    </row>
    <row r="249">
      <c r="B249" s="28"/>
    </row>
    <row r="250">
      <c r="B250" s="28"/>
    </row>
    <row r="251">
      <c r="B251" s="28"/>
    </row>
    <row r="252">
      <c r="B252" s="28"/>
    </row>
    <row r="253">
      <c r="B253" s="28"/>
    </row>
    <row r="254">
      <c r="B254" s="28"/>
    </row>
    <row r="255">
      <c r="B255" s="28"/>
    </row>
    <row r="256">
      <c r="B256" s="28"/>
    </row>
    <row r="257">
      <c r="B257" s="28"/>
    </row>
    <row r="258">
      <c r="B258" s="28"/>
    </row>
    <row r="259">
      <c r="B259" s="28"/>
    </row>
    <row r="260">
      <c r="B260" s="28"/>
    </row>
    <row r="261">
      <c r="B261" s="28"/>
    </row>
    <row r="262">
      <c r="B262" s="28"/>
    </row>
    <row r="263">
      <c r="B263" s="28"/>
    </row>
    <row r="264">
      <c r="B264" s="28"/>
    </row>
    <row r="265">
      <c r="B265" s="28"/>
    </row>
    <row r="266">
      <c r="B266" s="28"/>
    </row>
    <row r="267">
      <c r="B267" s="28"/>
    </row>
    <row r="268">
      <c r="B268" s="28"/>
    </row>
    <row r="269">
      <c r="B269" s="28"/>
    </row>
    <row r="270">
      <c r="B270" s="28"/>
    </row>
    <row r="271">
      <c r="B271" s="28"/>
    </row>
    <row r="272">
      <c r="B272" s="28"/>
    </row>
    <row r="273">
      <c r="B273" s="28"/>
    </row>
    <row r="274">
      <c r="B274" s="28"/>
    </row>
    <row r="275">
      <c r="B275" s="28"/>
    </row>
    <row r="276">
      <c r="B276" s="28"/>
    </row>
    <row r="277">
      <c r="B277" s="28"/>
    </row>
    <row r="278">
      <c r="B278" s="28"/>
    </row>
    <row r="279">
      <c r="B279" s="28"/>
    </row>
    <row r="280">
      <c r="B280" s="28"/>
    </row>
    <row r="281">
      <c r="B281" s="28"/>
    </row>
    <row r="282">
      <c r="B282" s="28"/>
    </row>
    <row r="283">
      <c r="B283" s="28"/>
    </row>
    <row r="284">
      <c r="B284" s="28"/>
    </row>
    <row r="285">
      <c r="B285" s="28"/>
    </row>
    <row r="286">
      <c r="B286" s="28"/>
    </row>
    <row r="287">
      <c r="B287" s="28"/>
    </row>
    <row r="288">
      <c r="B288" s="28"/>
    </row>
    <row r="289">
      <c r="B289" s="28"/>
    </row>
    <row r="290">
      <c r="B290" s="28"/>
    </row>
    <row r="291">
      <c r="B291" s="28"/>
    </row>
    <row r="292">
      <c r="B292" s="28"/>
    </row>
    <row r="293">
      <c r="B293" s="28"/>
    </row>
    <row r="294">
      <c r="B294" s="28"/>
    </row>
    <row r="295">
      <c r="B295" s="28"/>
    </row>
    <row r="296">
      <c r="B296" s="28"/>
    </row>
    <row r="297">
      <c r="B297" s="28"/>
    </row>
    <row r="298">
      <c r="B298" s="28"/>
    </row>
    <row r="299">
      <c r="B299" s="28"/>
    </row>
    <row r="300">
      <c r="B300" s="28"/>
    </row>
    <row r="301">
      <c r="B301" s="28"/>
    </row>
    <row r="302">
      <c r="B302" s="28"/>
    </row>
    <row r="303">
      <c r="B303" s="28"/>
    </row>
    <row r="304">
      <c r="B304" s="28"/>
    </row>
    <row r="305">
      <c r="B305" s="28"/>
    </row>
    <row r="306">
      <c r="B306" s="28"/>
    </row>
    <row r="307">
      <c r="B307" s="28"/>
    </row>
    <row r="308">
      <c r="B308" s="28"/>
    </row>
    <row r="309">
      <c r="B309" s="28"/>
    </row>
    <row r="310">
      <c r="B310" s="28"/>
    </row>
    <row r="311">
      <c r="B311" s="28"/>
    </row>
    <row r="312">
      <c r="B312" s="28"/>
    </row>
    <row r="313">
      <c r="B313" s="28"/>
    </row>
    <row r="314">
      <c r="B314" s="28"/>
    </row>
    <row r="315">
      <c r="B315" s="28"/>
    </row>
    <row r="316">
      <c r="B316" s="28"/>
    </row>
    <row r="317">
      <c r="B317" s="28"/>
    </row>
    <row r="318">
      <c r="B318" s="28"/>
    </row>
    <row r="319">
      <c r="B319" s="28"/>
    </row>
    <row r="320">
      <c r="B320" s="28"/>
    </row>
    <row r="321">
      <c r="B321" s="28"/>
    </row>
    <row r="322">
      <c r="B322" s="28"/>
    </row>
    <row r="323">
      <c r="B323" s="28"/>
    </row>
    <row r="324">
      <c r="B324" s="28"/>
    </row>
    <row r="325">
      <c r="B325" s="28"/>
    </row>
    <row r="326">
      <c r="B326" s="28"/>
    </row>
    <row r="327">
      <c r="B327" s="28"/>
    </row>
    <row r="328">
      <c r="B328" s="28"/>
    </row>
    <row r="329">
      <c r="B329" s="28"/>
    </row>
    <row r="330">
      <c r="B330" s="28"/>
    </row>
    <row r="331">
      <c r="B331" s="28"/>
    </row>
    <row r="332">
      <c r="B332" s="28"/>
    </row>
    <row r="333">
      <c r="B333" s="28"/>
    </row>
    <row r="334">
      <c r="B334" s="28"/>
    </row>
    <row r="335">
      <c r="B335" s="28"/>
    </row>
    <row r="336">
      <c r="B336" s="28"/>
    </row>
    <row r="337">
      <c r="B337" s="28"/>
    </row>
    <row r="338">
      <c r="B338" s="28"/>
    </row>
    <row r="339">
      <c r="B339" s="28"/>
    </row>
    <row r="340">
      <c r="B340" s="28"/>
    </row>
    <row r="341">
      <c r="B341" s="28"/>
    </row>
    <row r="342">
      <c r="B342" s="28"/>
    </row>
    <row r="343">
      <c r="B343" s="28"/>
    </row>
    <row r="344">
      <c r="B344" s="28"/>
    </row>
    <row r="345">
      <c r="B345" s="28"/>
    </row>
    <row r="346">
      <c r="B346" s="28"/>
    </row>
    <row r="347">
      <c r="B347" s="28"/>
    </row>
    <row r="348">
      <c r="B348" s="28"/>
    </row>
    <row r="349">
      <c r="B349" s="28"/>
    </row>
    <row r="350">
      <c r="B350" s="28"/>
    </row>
    <row r="351">
      <c r="B351" s="28"/>
    </row>
    <row r="352">
      <c r="B352" s="28"/>
    </row>
    <row r="353">
      <c r="B353" s="28"/>
    </row>
    <row r="354">
      <c r="B354" s="28"/>
    </row>
    <row r="355">
      <c r="B355" s="28"/>
    </row>
    <row r="356">
      <c r="B356" s="28"/>
    </row>
    <row r="357">
      <c r="B357" s="28"/>
    </row>
    <row r="358">
      <c r="B358" s="28"/>
    </row>
    <row r="359">
      <c r="B359" s="28"/>
    </row>
    <row r="360">
      <c r="B360" s="28"/>
    </row>
    <row r="361">
      <c r="B361" s="28"/>
    </row>
    <row r="362">
      <c r="B362" s="28"/>
    </row>
    <row r="363">
      <c r="B363" s="28"/>
    </row>
    <row r="364">
      <c r="B364" s="28"/>
    </row>
    <row r="365">
      <c r="B365" s="28"/>
    </row>
    <row r="366">
      <c r="B366" s="28"/>
    </row>
    <row r="367">
      <c r="B367" s="28"/>
    </row>
    <row r="368">
      <c r="B368" s="28"/>
    </row>
    <row r="369">
      <c r="B369" s="28"/>
    </row>
    <row r="370">
      <c r="B370" s="28"/>
    </row>
    <row r="371">
      <c r="B371" s="28"/>
    </row>
    <row r="372">
      <c r="B372" s="28"/>
    </row>
    <row r="373">
      <c r="B373" s="28"/>
    </row>
    <row r="374">
      <c r="B374" s="28"/>
    </row>
    <row r="375">
      <c r="B375" s="28"/>
    </row>
    <row r="376">
      <c r="B376" s="28"/>
    </row>
    <row r="377">
      <c r="B377" s="28"/>
    </row>
    <row r="378">
      <c r="B378" s="28"/>
    </row>
    <row r="379">
      <c r="B379" s="28"/>
    </row>
    <row r="380">
      <c r="B380" s="28"/>
    </row>
    <row r="381">
      <c r="B381" s="28"/>
    </row>
    <row r="382">
      <c r="B382" s="28"/>
    </row>
    <row r="383">
      <c r="B383" s="28"/>
    </row>
    <row r="384">
      <c r="B384" s="28"/>
    </row>
    <row r="385">
      <c r="B385" s="28"/>
    </row>
    <row r="386">
      <c r="B386" s="28"/>
    </row>
    <row r="387">
      <c r="B387" s="28"/>
    </row>
    <row r="388">
      <c r="B388" s="28"/>
    </row>
    <row r="389">
      <c r="B389" s="28"/>
    </row>
    <row r="390">
      <c r="B390" s="28"/>
    </row>
    <row r="391">
      <c r="B391" s="28"/>
    </row>
    <row r="392">
      <c r="B392" s="28"/>
    </row>
    <row r="393">
      <c r="B393" s="28"/>
    </row>
    <row r="394">
      <c r="B394" s="28"/>
    </row>
    <row r="395">
      <c r="B395" s="28"/>
    </row>
    <row r="396">
      <c r="B396" s="28"/>
    </row>
    <row r="397">
      <c r="B397" s="28"/>
    </row>
    <row r="398">
      <c r="B398" s="28"/>
    </row>
    <row r="399">
      <c r="B399" s="28"/>
    </row>
    <row r="400">
      <c r="B400" s="28"/>
    </row>
    <row r="401">
      <c r="B401" s="28"/>
    </row>
    <row r="402">
      <c r="B402" s="28"/>
    </row>
    <row r="403">
      <c r="B403" s="28"/>
    </row>
    <row r="404">
      <c r="B404" s="28"/>
    </row>
    <row r="405">
      <c r="B405" s="28"/>
    </row>
    <row r="406">
      <c r="B406" s="28"/>
    </row>
    <row r="407">
      <c r="B407" s="28"/>
    </row>
    <row r="408">
      <c r="B408" s="28"/>
    </row>
    <row r="409">
      <c r="B409" s="28"/>
    </row>
    <row r="410">
      <c r="B410" s="28"/>
    </row>
    <row r="411">
      <c r="B411" s="28"/>
    </row>
    <row r="412">
      <c r="B412" s="28"/>
    </row>
    <row r="413">
      <c r="B413" s="28"/>
    </row>
    <row r="414">
      <c r="B414" s="28"/>
    </row>
    <row r="415">
      <c r="B415" s="28"/>
    </row>
    <row r="416">
      <c r="B416" s="28"/>
    </row>
    <row r="417">
      <c r="B417" s="28"/>
    </row>
    <row r="418">
      <c r="B418" s="28"/>
    </row>
    <row r="419">
      <c r="B419" s="28"/>
    </row>
    <row r="420">
      <c r="B420" s="28"/>
    </row>
    <row r="421">
      <c r="B421" s="28"/>
    </row>
    <row r="422">
      <c r="B422" s="28"/>
    </row>
    <row r="423">
      <c r="B423" s="28"/>
    </row>
    <row r="424">
      <c r="B424" s="28"/>
    </row>
    <row r="425">
      <c r="B425" s="28"/>
    </row>
    <row r="426">
      <c r="B426" s="28"/>
    </row>
    <row r="427">
      <c r="B427" s="28"/>
    </row>
    <row r="428">
      <c r="B428" s="28"/>
    </row>
    <row r="429">
      <c r="B429" s="28"/>
    </row>
    <row r="430">
      <c r="B430" s="28"/>
    </row>
    <row r="431">
      <c r="B431" s="28"/>
    </row>
    <row r="432">
      <c r="B432" s="28"/>
    </row>
    <row r="433">
      <c r="B433" s="28"/>
    </row>
    <row r="434">
      <c r="B434" s="28"/>
    </row>
    <row r="435">
      <c r="B435" s="28"/>
    </row>
    <row r="436">
      <c r="B436" s="28"/>
    </row>
    <row r="437">
      <c r="B437" s="28"/>
    </row>
    <row r="438">
      <c r="B438" s="28"/>
    </row>
    <row r="439">
      <c r="B439" s="28"/>
    </row>
    <row r="440">
      <c r="B440" s="28"/>
    </row>
    <row r="441">
      <c r="B441" s="28"/>
    </row>
    <row r="442">
      <c r="B442" s="28"/>
    </row>
    <row r="443">
      <c r="B443" s="28"/>
    </row>
    <row r="444">
      <c r="B444" s="28"/>
    </row>
    <row r="445">
      <c r="B445" s="28"/>
    </row>
    <row r="446">
      <c r="B446" s="28"/>
    </row>
    <row r="447">
      <c r="B447" s="28"/>
    </row>
    <row r="448">
      <c r="B448" s="28"/>
    </row>
    <row r="449">
      <c r="B449" s="28"/>
    </row>
    <row r="450">
      <c r="B450" s="28"/>
    </row>
    <row r="451">
      <c r="B451" s="28"/>
    </row>
    <row r="452">
      <c r="B452" s="28"/>
    </row>
    <row r="453">
      <c r="B453" s="28"/>
    </row>
    <row r="454">
      <c r="B454" s="28"/>
    </row>
    <row r="455">
      <c r="B455" s="28"/>
    </row>
    <row r="456">
      <c r="B456" s="28"/>
    </row>
    <row r="457">
      <c r="B457" s="28"/>
    </row>
    <row r="458">
      <c r="B458" s="28"/>
    </row>
    <row r="459">
      <c r="B459" s="28"/>
    </row>
    <row r="460">
      <c r="B460" s="28"/>
    </row>
    <row r="461">
      <c r="B461" s="28"/>
    </row>
    <row r="462">
      <c r="B462" s="28"/>
    </row>
    <row r="463">
      <c r="B463" s="28"/>
    </row>
    <row r="464">
      <c r="B464" s="28"/>
    </row>
    <row r="465">
      <c r="B465" s="28"/>
    </row>
    <row r="466">
      <c r="B466" s="28"/>
    </row>
    <row r="467">
      <c r="B467" s="28"/>
    </row>
    <row r="468">
      <c r="B468" s="28"/>
    </row>
    <row r="469">
      <c r="B469" s="28"/>
    </row>
    <row r="470">
      <c r="B470" s="28"/>
    </row>
    <row r="471">
      <c r="B471" s="28"/>
    </row>
    <row r="472">
      <c r="B472" s="28"/>
    </row>
    <row r="473">
      <c r="B473" s="28"/>
    </row>
    <row r="474">
      <c r="B474" s="28"/>
    </row>
    <row r="475">
      <c r="B475" s="28"/>
    </row>
    <row r="476">
      <c r="B476" s="28"/>
    </row>
    <row r="477">
      <c r="B477" s="28"/>
    </row>
    <row r="478">
      <c r="B478" s="28"/>
    </row>
    <row r="479">
      <c r="B479" s="28"/>
    </row>
    <row r="480">
      <c r="B480" s="28"/>
    </row>
    <row r="481">
      <c r="B481" s="28"/>
    </row>
    <row r="482">
      <c r="B482" s="28"/>
    </row>
    <row r="483">
      <c r="B483" s="28"/>
    </row>
    <row r="484">
      <c r="B484" s="28"/>
    </row>
    <row r="485">
      <c r="B485" s="28"/>
    </row>
    <row r="486">
      <c r="B486" s="28"/>
    </row>
    <row r="487">
      <c r="B487" s="28"/>
    </row>
    <row r="488">
      <c r="B488" s="28"/>
    </row>
    <row r="489">
      <c r="B489" s="28"/>
    </row>
    <row r="490">
      <c r="B490" s="28"/>
    </row>
    <row r="491">
      <c r="B491" s="28"/>
    </row>
    <row r="492">
      <c r="B492" s="28"/>
    </row>
    <row r="493">
      <c r="B493" s="28"/>
    </row>
    <row r="494">
      <c r="B494" s="28"/>
    </row>
    <row r="495">
      <c r="B495" s="28"/>
    </row>
    <row r="496">
      <c r="B496" s="28"/>
    </row>
    <row r="497">
      <c r="B497" s="28"/>
    </row>
    <row r="498">
      <c r="B498" s="28"/>
    </row>
    <row r="499">
      <c r="B499" s="28"/>
    </row>
    <row r="500">
      <c r="B500" s="28"/>
    </row>
    <row r="501">
      <c r="B501" s="28"/>
    </row>
    <row r="502">
      <c r="B502" s="28"/>
    </row>
    <row r="503">
      <c r="B503" s="28"/>
    </row>
    <row r="504">
      <c r="B504" s="28"/>
    </row>
    <row r="505">
      <c r="B505" s="28"/>
    </row>
    <row r="506">
      <c r="B506" s="28"/>
    </row>
    <row r="507">
      <c r="B507" s="28"/>
    </row>
    <row r="508">
      <c r="B508" s="28"/>
    </row>
    <row r="509">
      <c r="B509" s="28"/>
    </row>
    <row r="510">
      <c r="B510" s="28"/>
    </row>
    <row r="511">
      <c r="B511" s="28"/>
    </row>
    <row r="512">
      <c r="B512" s="28"/>
    </row>
    <row r="513">
      <c r="B513" s="28"/>
    </row>
    <row r="514">
      <c r="B514" s="28"/>
    </row>
    <row r="515">
      <c r="B515" s="28"/>
    </row>
    <row r="516">
      <c r="B516" s="28"/>
    </row>
    <row r="517">
      <c r="B517" s="28"/>
    </row>
    <row r="518">
      <c r="B518" s="28"/>
    </row>
    <row r="519">
      <c r="B519" s="28"/>
    </row>
    <row r="520">
      <c r="B520" s="28"/>
    </row>
    <row r="521">
      <c r="B521" s="28"/>
    </row>
    <row r="522">
      <c r="B522" s="28"/>
    </row>
    <row r="523">
      <c r="B523" s="28"/>
    </row>
    <row r="524">
      <c r="B524" s="28"/>
    </row>
    <row r="525">
      <c r="B525" s="28"/>
    </row>
    <row r="526">
      <c r="B526" s="28"/>
    </row>
    <row r="527">
      <c r="B527" s="28"/>
    </row>
    <row r="528">
      <c r="B528" s="28"/>
    </row>
    <row r="529">
      <c r="B529" s="28"/>
    </row>
    <row r="530">
      <c r="B530" s="28"/>
    </row>
    <row r="531">
      <c r="B531" s="28"/>
    </row>
    <row r="532">
      <c r="B532" s="28"/>
    </row>
    <row r="533">
      <c r="B533" s="28"/>
    </row>
    <row r="534">
      <c r="B534" s="28"/>
    </row>
    <row r="535">
      <c r="B535" s="28"/>
    </row>
    <row r="536">
      <c r="B536" s="28"/>
    </row>
    <row r="537">
      <c r="B537" s="28"/>
    </row>
    <row r="538">
      <c r="B538" s="28"/>
    </row>
    <row r="539">
      <c r="B539" s="28"/>
    </row>
    <row r="540">
      <c r="B540" s="28"/>
    </row>
    <row r="541">
      <c r="B541" s="28"/>
    </row>
    <row r="542">
      <c r="B542" s="28"/>
    </row>
    <row r="543">
      <c r="B543" s="28"/>
    </row>
    <row r="544">
      <c r="B544" s="28"/>
    </row>
    <row r="545">
      <c r="B545" s="28"/>
    </row>
    <row r="546">
      <c r="B546" s="28"/>
    </row>
    <row r="547">
      <c r="B547" s="28"/>
    </row>
    <row r="548">
      <c r="B548" s="28"/>
    </row>
    <row r="549">
      <c r="B549" s="28"/>
    </row>
    <row r="550">
      <c r="B550" s="28"/>
    </row>
    <row r="551">
      <c r="B551" s="28"/>
    </row>
    <row r="552">
      <c r="B552" s="28"/>
    </row>
    <row r="553">
      <c r="B553" s="28"/>
    </row>
    <row r="554">
      <c r="B554" s="28"/>
    </row>
    <row r="555">
      <c r="B555" s="28"/>
    </row>
    <row r="556">
      <c r="B556" s="28"/>
    </row>
    <row r="557">
      <c r="B557" s="28"/>
    </row>
    <row r="558">
      <c r="B558" s="28"/>
    </row>
    <row r="559">
      <c r="B559" s="28"/>
    </row>
    <row r="560">
      <c r="B560" s="28"/>
    </row>
    <row r="561">
      <c r="B561" s="28"/>
    </row>
    <row r="562">
      <c r="B562" s="28"/>
    </row>
    <row r="563">
      <c r="B563" s="28"/>
    </row>
    <row r="564">
      <c r="B564" s="28"/>
    </row>
    <row r="565">
      <c r="B565" s="28"/>
    </row>
    <row r="566">
      <c r="B566" s="28"/>
    </row>
    <row r="567">
      <c r="B567" s="28"/>
    </row>
    <row r="568">
      <c r="B568" s="28"/>
    </row>
    <row r="569">
      <c r="B569" s="28"/>
    </row>
    <row r="570">
      <c r="B570" s="28"/>
    </row>
    <row r="571">
      <c r="B571" s="28"/>
    </row>
    <row r="572">
      <c r="B572" s="28"/>
    </row>
    <row r="573">
      <c r="B573" s="28"/>
    </row>
    <row r="574">
      <c r="B574" s="28"/>
    </row>
    <row r="575">
      <c r="B575" s="28"/>
    </row>
    <row r="576">
      <c r="B576" s="28"/>
    </row>
    <row r="577">
      <c r="B577" s="28"/>
    </row>
    <row r="578">
      <c r="B578" s="28"/>
    </row>
    <row r="579">
      <c r="B579" s="28"/>
    </row>
    <row r="580">
      <c r="B580" s="28"/>
    </row>
    <row r="581">
      <c r="B581" s="28"/>
    </row>
    <row r="582">
      <c r="B582" s="28"/>
    </row>
    <row r="583">
      <c r="B583" s="28"/>
    </row>
    <row r="584">
      <c r="B584" s="28"/>
    </row>
    <row r="585">
      <c r="B585" s="28"/>
    </row>
    <row r="586">
      <c r="B586" s="28"/>
    </row>
    <row r="587">
      <c r="B587" s="28"/>
    </row>
    <row r="588">
      <c r="B588" s="28"/>
    </row>
    <row r="589">
      <c r="B589" s="28"/>
    </row>
    <row r="590">
      <c r="B590" s="28"/>
    </row>
    <row r="591">
      <c r="B591" s="28"/>
    </row>
    <row r="592">
      <c r="B592" s="28"/>
    </row>
    <row r="593">
      <c r="B593" s="28"/>
    </row>
    <row r="594">
      <c r="B594" s="28"/>
    </row>
    <row r="595">
      <c r="B595" s="28"/>
    </row>
    <row r="596">
      <c r="B596" s="28"/>
    </row>
    <row r="597">
      <c r="B597" s="28"/>
    </row>
    <row r="598">
      <c r="B598" s="28"/>
    </row>
    <row r="599">
      <c r="B599" s="28"/>
    </row>
    <row r="600">
      <c r="B600" s="28"/>
    </row>
    <row r="601">
      <c r="B601" s="28"/>
    </row>
    <row r="602">
      <c r="B602" s="28"/>
    </row>
    <row r="603">
      <c r="B603" s="28"/>
    </row>
    <row r="604">
      <c r="B604" s="28"/>
    </row>
    <row r="605">
      <c r="B605" s="28"/>
    </row>
    <row r="606">
      <c r="B606" s="28"/>
    </row>
    <row r="607">
      <c r="B607" s="28"/>
    </row>
    <row r="608">
      <c r="B608" s="28"/>
    </row>
    <row r="609">
      <c r="B609" s="28"/>
    </row>
    <row r="610">
      <c r="B610" s="28"/>
    </row>
    <row r="611">
      <c r="B611" s="28"/>
    </row>
    <row r="612">
      <c r="B612" s="28"/>
    </row>
    <row r="613">
      <c r="B613" s="28"/>
    </row>
    <row r="614">
      <c r="B614" s="28"/>
    </row>
    <row r="615">
      <c r="B615" s="28"/>
    </row>
    <row r="616">
      <c r="B616" s="28"/>
    </row>
    <row r="617">
      <c r="B617" s="28"/>
    </row>
    <row r="618">
      <c r="B618" s="28"/>
    </row>
    <row r="619">
      <c r="B619" s="28"/>
    </row>
    <row r="620">
      <c r="B620" s="28"/>
    </row>
    <row r="621">
      <c r="B621" s="28"/>
    </row>
    <row r="622">
      <c r="B622" s="28"/>
    </row>
    <row r="623">
      <c r="B623" s="28"/>
    </row>
    <row r="624">
      <c r="B624" s="28"/>
    </row>
    <row r="625">
      <c r="B625" s="28"/>
    </row>
    <row r="626">
      <c r="B626" s="28"/>
    </row>
    <row r="627">
      <c r="B627" s="28"/>
    </row>
    <row r="628">
      <c r="B628" s="28"/>
    </row>
    <row r="629">
      <c r="B629" s="28"/>
    </row>
    <row r="630">
      <c r="B630" s="28"/>
    </row>
    <row r="631">
      <c r="B631" s="28"/>
    </row>
    <row r="632">
      <c r="B632" s="28"/>
    </row>
    <row r="633">
      <c r="B633" s="28"/>
    </row>
    <row r="634">
      <c r="B634" s="28"/>
    </row>
    <row r="635">
      <c r="B635" s="28"/>
    </row>
    <row r="636">
      <c r="B636" s="28"/>
    </row>
    <row r="637">
      <c r="B637" s="28"/>
    </row>
    <row r="638">
      <c r="B638" s="28"/>
    </row>
    <row r="639">
      <c r="B639" s="28"/>
    </row>
    <row r="640">
      <c r="B640" s="28"/>
    </row>
    <row r="641">
      <c r="B641" s="28"/>
    </row>
    <row r="642">
      <c r="B642" s="28"/>
    </row>
    <row r="643">
      <c r="B643" s="28"/>
    </row>
    <row r="644">
      <c r="B644" s="28"/>
    </row>
    <row r="645">
      <c r="B645" s="28"/>
    </row>
    <row r="646">
      <c r="B646" s="28"/>
    </row>
    <row r="647">
      <c r="B647" s="28"/>
    </row>
    <row r="648">
      <c r="B648" s="28"/>
    </row>
    <row r="649">
      <c r="B649" s="28"/>
    </row>
    <row r="650">
      <c r="B650" s="28"/>
    </row>
    <row r="651">
      <c r="B651" s="28"/>
    </row>
    <row r="652">
      <c r="B652" s="28"/>
    </row>
    <row r="653">
      <c r="B653" s="28"/>
    </row>
    <row r="654">
      <c r="B654" s="28"/>
    </row>
    <row r="655">
      <c r="B655" s="28"/>
    </row>
    <row r="656">
      <c r="B656" s="28"/>
    </row>
    <row r="657">
      <c r="B657" s="28"/>
    </row>
    <row r="658">
      <c r="B658" s="28"/>
    </row>
    <row r="659">
      <c r="B659" s="28"/>
    </row>
    <row r="660">
      <c r="B660" s="28"/>
    </row>
    <row r="661">
      <c r="B661" s="28"/>
    </row>
    <row r="662">
      <c r="B662" s="28"/>
    </row>
    <row r="663">
      <c r="B663" s="28"/>
    </row>
    <row r="664">
      <c r="B664" s="28"/>
    </row>
    <row r="665">
      <c r="B665" s="28"/>
    </row>
    <row r="666">
      <c r="B666" s="28"/>
    </row>
    <row r="667">
      <c r="B667" s="28"/>
    </row>
    <row r="668">
      <c r="B668" s="28"/>
    </row>
    <row r="669">
      <c r="B669" s="28"/>
    </row>
    <row r="670">
      <c r="B670" s="28"/>
    </row>
    <row r="671">
      <c r="B671" s="28"/>
    </row>
    <row r="672">
      <c r="B672" s="28"/>
    </row>
    <row r="673">
      <c r="B673" s="28"/>
    </row>
    <row r="674">
      <c r="B674" s="28"/>
    </row>
    <row r="675">
      <c r="B675" s="28"/>
    </row>
    <row r="676">
      <c r="B676" s="28"/>
    </row>
    <row r="677">
      <c r="B677" s="28"/>
    </row>
    <row r="678">
      <c r="B678" s="28"/>
    </row>
    <row r="679">
      <c r="B679" s="28"/>
    </row>
    <row r="680">
      <c r="B680" s="28"/>
    </row>
    <row r="681">
      <c r="B681" s="28"/>
    </row>
    <row r="682">
      <c r="B682" s="28"/>
    </row>
    <row r="683">
      <c r="B683" s="28"/>
    </row>
    <row r="684">
      <c r="B684" s="28"/>
    </row>
    <row r="685">
      <c r="B685" s="28"/>
    </row>
    <row r="686">
      <c r="B686" s="28"/>
    </row>
    <row r="687">
      <c r="B687" s="28"/>
    </row>
    <row r="688">
      <c r="B688" s="28"/>
    </row>
    <row r="689">
      <c r="B689" s="28"/>
    </row>
    <row r="690">
      <c r="B690" s="28"/>
    </row>
    <row r="691">
      <c r="B691" s="28"/>
    </row>
    <row r="692">
      <c r="B692" s="28"/>
    </row>
    <row r="693">
      <c r="B693" s="28"/>
    </row>
    <row r="694">
      <c r="B694" s="28"/>
    </row>
    <row r="695">
      <c r="B695" s="28"/>
    </row>
    <row r="696">
      <c r="B696" s="28"/>
    </row>
    <row r="697">
      <c r="B697" s="28"/>
    </row>
    <row r="698">
      <c r="B698" s="28"/>
    </row>
    <row r="699">
      <c r="B699" s="28"/>
    </row>
    <row r="700">
      <c r="B700" s="28"/>
    </row>
    <row r="701">
      <c r="B701" s="28"/>
    </row>
    <row r="702">
      <c r="B702" s="28"/>
    </row>
    <row r="703">
      <c r="B703" s="28"/>
    </row>
    <row r="704">
      <c r="B704" s="28"/>
    </row>
    <row r="705">
      <c r="B705" s="28"/>
    </row>
    <row r="706">
      <c r="B706" s="28"/>
    </row>
    <row r="707">
      <c r="B707" s="28"/>
    </row>
    <row r="708">
      <c r="B708" s="28"/>
    </row>
    <row r="709">
      <c r="B709" s="28"/>
    </row>
    <row r="710">
      <c r="B710" s="28"/>
    </row>
    <row r="711">
      <c r="B711" s="28"/>
    </row>
    <row r="712">
      <c r="B712" s="28"/>
    </row>
    <row r="713">
      <c r="B713" s="28"/>
    </row>
    <row r="714">
      <c r="B714" s="28"/>
    </row>
    <row r="715">
      <c r="B715" s="28"/>
    </row>
    <row r="716">
      <c r="B716" s="28"/>
    </row>
    <row r="717">
      <c r="B717" s="28"/>
    </row>
    <row r="718">
      <c r="B718" s="28"/>
    </row>
    <row r="719">
      <c r="B719" s="28"/>
    </row>
    <row r="720">
      <c r="B720" s="28"/>
    </row>
    <row r="721">
      <c r="B721" s="28"/>
    </row>
    <row r="722">
      <c r="B722" s="28"/>
    </row>
    <row r="723">
      <c r="B723" s="28"/>
    </row>
    <row r="724">
      <c r="B724" s="28"/>
    </row>
    <row r="725">
      <c r="B725" s="28"/>
    </row>
    <row r="726">
      <c r="B726" s="28"/>
    </row>
    <row r="727">
      <c r="B727" s="28"/>
    </row>
    <row r="728">
      <c r="B728" s="28"/>
    </row>
    <row r="729">
      <c r="B729" s="28"/>
    </row>
    <row r="730">
      <c r="B730" s="28"/>
    </row>
    <row r="731">
      <c r="B731" s="28"/>
    </row>
    <row r="732">
      <c r="B732" s="28"/>
    </row>
    <row r="733">
      <c r="B733" s="28"/>
    </row>
    <row r="734">
      <c r="B734" s="28"/>
    </row>
    <row r="735">
      <c r="B735" s="28"/>
    </row>
    <row r="736">
      <c r="B736" s="28"/>
    </row>
    <row r="737">
      <c r="B737" s="28"/>
    </row>
    <row r="738">
      <c r="B738" s="28"/>
    </row>
    <row r="739">
      <c r="B739" s="28"/>
    </row>
    <row r="740">
      <c r="B740" s="28"/>
    </row>
    <row r="741">
      <c r="B741" s="28"/>
    </row>
    <row r="742">
      <c r="B742" s="28"/>
    </row>
    <row r="743">
      <c r="B743" s="28"/>
    </row>
    <row r="744">
      <c r="B744" s="28"/>
    </row>
    <row r="745">
      <c r="B745" s="28"/>
    </row>
    <row r="746">
      <c r="B746" s="28"/>
    </row>
    <row r="747">
      <c r="B747" s="28"/>
    </row>
    <row r="748">
      <c r="B748" s="28"/>
    </row>
    <row r="749">
      <c r="B749" s="28"/>
    </row>
    <row r="750">
      <c r="B750" s="28"/>
    </row>
    <row r="751">
      <c r="B751" s="28"/>
    </row>
    <row r="752">
      <c r="B752" s="28"/>
    </row>
    <row r="753">
      <c r="B753" s="28"/>
    </row>
    <row r="754">
      <c r="B754" s="28"/>
    </row>
    <row r="755">
      <c r="B755" s="28"/>
    </row>
    <row r="756">
      <c r="B756" s="28"/>
    </row>
    <row r="757">
      <c r="B757" s="28"/>
    </row>
    <row r="758">
      <c r="B758" s="28"/>
    </row>
    <row r="759">
      <c r="B759" s="28"/>
    </row>
    <row r="760">
      <c r="B760" s="28"/>
    </row>
    <row r="761">
      <c r="B761" s="28"/>
    </row>
    <row r="762">
      <c r="B762" s="28"/>
    </row>
    <row r="763">
      <c r="B763" s="28"/>
    </row>
    <row r="764">
      <c r="B764" s="28"/>
    </row>
    <row r="765">
      <c r="B765" s="28"/>
    </row>
    <row r="766">
      <c r="B766" s="28"/>
    </row>
    <row r="767">
      <c r="B767" s="28"/>
    </row>
    <row r="768">
      <c r="B768" s="28"/>
    </row>
    <row r="769">
      <c r="B769" s="28"/>
    </row>
    <row r="770">
      <c r="B770" s="28"/>
    </row>
    <row r="771">
      <c r="B771" s="28"/>
    </row>
    <row r="772">
      <c r="B772" s="28"/>
    </row>
    <row r="773">
      <c r="B773" s="28"/>
    </row>
    <row r="774">
      <c r="B774" s="28"/>
    </row>
    <row r="775">
      <c r="B775" s="28"/>
    </row>
    <row r="776">
      <c r="B776" s="28"/>
    </row>
    <row r="777">
      <c r="B777" s="28"/>
    </row>
    <row r="778">
      <c r="B778" s="28"/>
    </row>
    <row r="779">
      <c r="B779" s="28"/>
    </row>
    <row r="780">
      <c r="B780" s="28"/>
    </row>
    <row r="781">
      <c r="B781" s="28"/>
    </row>
    <row r="782">
      <c r="B782" s="28"/>
    </row>
    <row r="783">
      <c r="B783" s="28"/>
    </row>
    <row r="784">
      <c r="B784" s="28"/>
    </row>
    <row r="785">
      <c r="B785" s="28"/>
    </row>
    <row r="786">
      <c r="B786" s="28"/>
    </row>
    <row r="787">
      <c r="B787" s="28"/>
    </row>
    <row r="788">
      <c r="B788" s="28"/>
    </row>
    <row r="789">
      <c r="B789" s="28"/>
    </row>
    <row r="790">
      <c r="B790" s="28"/>
    </row>
    <row r="791">
      <c r="B791" s="28"/>
    </row>
    <row r="792">
      <c r="B792" s="28"/>
    </row>
    <row r="793">
      <c r="B793" s="28"/>
    </row>
    <row r="794">
      <c r="B794" s="28"/>
    </row>
    <row r="795">
      <c r="B795" s="28"/>
    </row>
    <row r="796">
      <c r="B796" s="28"/>
    </row>
    <row r="797">
      <c r="B797" s="28"/>
    </row>
    <row r="798">
      <c r="B798" s="28"/>
    </row>
    <row r="799">
      <c r="B799" s="28"/>
    </row>
    <row r="800">
      <c r="B800" s="28"/>
    </row>
    <row r="801">
      <c r="B801" s="28"/>
    </row>
    <row r="802">
      <c r="B802" s="28"/>
    </row>
    <row r="803">
      <c r="B803" s="28"/>
    </row>
    <row r="804">
      <c r="B804" s="28"/>
    </row>
    <row r="805">
      <c r="B805" s="28"/>
    </row>
    <row r="806">
      <c r="B806" s="28"/>
    </row>
    <row r="807">
      <c r="B807" s="28"/>
    </row>
    <row r="808">
      <c r="B808" s="28"/>
    </row>
    <row r="809">
      <c r="B809" s="28"/>
    </row>
    <row r="810">
      <c r="B810" s="28"/>
    </row>
    <row r="811">
      <c r="B811" s="28"/>
    </row>
    <row r="812">
      <c r="B812" s="28"/>
    </row>
    <row r="813">
      <c r="B813" s="28"/>
    </row>
    <row r="814">
      <c r="B814" s="28"/>
    </row>
    <row r="815">
      <c r="B815" s="28"/>
    </row>
    <row r="816">
      <c r="B816" s="28"/>
    </row>
    <row r="817">
      <c r="B817" s="28"/>
    </row>
    <row r="818">
      <c r="B818" s="28"/>
    </row>
    <row r="819">
      <c r="B819" s="28"/>
    </row>
    <row r="820">
      <c r="B820" s="28"/>
    </row>
    <row r="821">
      <c r="B821" s="28"/>
    </row>
    <row r="822">
      <c r="B822" s="28"/>
    </row>
    <row r="823">
      <c r="B823" s="28"/>
    </row>
    <row r="824">
      <c r="B824" s="28"/>
    </row>
    <row r="825">
      <c r="B825" s="28"/>
    </row>
    <row r="826">
      <c r="B826" s="28"/>
    </row>
    <row r="827">
      <c r="B827" s="28"/>
    </row>
    <row r="828">
      <c r="B828" s="28"/>
    </row>
    <row r="829">
      <c r="B829" s="28"/>
    </row>
    <row r="830">
      <c r="B830" s="28"/>
    </row>
    <row r="831">
      <c r="B831" s="28"/>
    </row>
    <row r="832">
      <c r="B832" s="28"/>
    </row>
    <row r="833">
      <c r="B833" s="28"/>
    </row>
    <row r="834">
      <c r="B834" s="28"/>
    </row>
    <row r="835">
      <c r="B835" s="28"/>
    </row>
    <row r="836">
      <c r="B836" s="28"/>
    </row>
    <row r="837">
      <c r="B837" s="28"/>
    </row>
    <row r="838">
      <c r="B838" s="28"/>
    </row>
    <row r="839">
      <c r="B839" s="28"/>
    </row>
    <row r="840">
      <c r="B840" s="28"/>
    </row>
    <row r="841">
      <c r="B841" s="28"/>
    </row>
    <row r="842">
      <c r="B842" s="28"/>
    </row>
    <row r="843">
      <c r="B843" s="28"/>
    </row>
    <row r="844">
      <c r="B844" s="28"/>
    </row>
    <row r="845">
      <c r="B845" s="28"/>
    </row>
    <row r="846">
      <c r="B846" s="28"/>
    </row>
    <row r="847">
      <c r="B847" s="28"/>
    </row>
    <row r="848">
      <c r="B848" s="28"/>
    </row>
    <row r="849">
      <c r="B849" s="28"/>
    </row>
    <row r="850">
      <c r="B850" s="28"/>
    </row>
    <row r="851">
      <c r="B851" s="28"/>
    </row>
    <row r="852">
      <c r="B852" s="28"/>
    </row>
    <row r="853">
      <c r="B853" s="28"/>
    </row>
    <row r="854">
      <c r="B854" s="28"/>
    </row>
    <row r="855">
      <c r="B855" s="28"/>
    </row>
    <row r="856">
      <c r="B856" s="28"/>
    </row>
    <row r="857">
      <c r="B857" s="28"/>
    </row>
    <row r="858">
      <c r="B858" s="28"/>
    </row>
    <row r="859">
      <c r="B859" s="28"/>
    </row>
    <row r="860">
      <c r="B860" s="28"/>
    </row>
    <row r="861">
      <c r="B861" s="28"/>
    </row>
    <row r="862">
      <c r="B862" s="28"/>
    </row>
    <row r="863">
      <c r="B863" s="28"/>
    </row>
    <row r="864">
      <c r="B864" s="28"/>
    </row>
    <row r="865">
      <c r="B865" s="28"/>
    </row>
    <row r="866">
      <c r="B866" s="28"/>
    </row>
    <row r="867">
      <c r="B867" s="28"/>
    </row>
    <row r="868">
      <c r="B868" s="28"/>
    </row>
    <row r="869">
      <c r="B869" s="28"/>
    </row>
    <row r="870">
      <c r="B870" s="28"/>
    </row>
    <row r="871">
      <c r="B871" s="28"/>
    </row>
    <row r="872">
      <c r="B872" s="28"/>
    </row>
    <row r="873">
      <c r="B873" s="28"/>
    </row>
    <row r="874">
      <c r="B874" s="28"/>
    </row>
    <row r="875">
      <c r="B875" s="28"/>
    </row>
    <row r="876">
      <c r="B876" s="28"/>
    </row>
    <row r="877">
      <c r="B877" s="28"/>
    </row>
    <row r="878">
      <c r="B878" s="28"/>
    </row>
    <row r="879">
      <c r="B879" s="28"/>
    </row>
    <row r="880">
      <c r="B880" s="28"/>
    </row>
    <row r="881">
      <c r="B881" s="28"/>
    </row>
    <row r="882">
      <c r="B882" s="28"/>
    </row>
    <row r="883">
      <c r="B883" s="28"/>
    </row>
    <row r="884">
      <c r="B884" s="28"/>
    </row>
    <row r="885">
      <c r="B885" s="28"/>
    </row>
    <row r="886">
      <c r="B886" s="28"/>
    </row>
    <row r="887">
      <c r="B887" s="28"/>
    </row>
    <row r="888">
      <c r="B888" s="28"/>
    </row>
    <row r="889">
      <c r="B889" s="28"/>
    </row>
    <row r="890">
      <c r="B890" s="28"/>
    </row>
    <row r="891">
      <c r="B891" s="28"/>
    </row>
    <row r="892">
      <c r="B892" s="28"/>
    </row>
    <row r="893">
      <c r="B893" s="28"/>
    </row>
    <row r="894">
      <c r="B894" s="28"/>
    </row>
    <row r="895">
      <c r="B895" s="28"/>
    </row>
    <row r="896">
      <c r="B896" s="28"/>
    </row>
    <row r="897">
      <c r="B897" s="28"/>
    </row>
    <row r="898">
      <c r="B898" s="28"/>
    </row>
    <row r="899">
      <c r="B899" s="28"/>
    </row>
    <row r="900">
      <c r="B900" s="28"/>
    </row>
    <row r="901">
      <c r="B901" s="28"/>
    </row>
    <row r="902">
      <c r="B902" s="28"/>
    </row>
    <row r="903">
      <c r="B903" s="28"/>
    </row>
    <row r="904">
      <c r="B904" s="28"/>
    </row>
    <row r="905">
      <c r="B905" s="28"/>
    </row>
    <row r="906">
      <c r="B906" s="28"/>
    </row>
    <row r="907">
      <c r="B907" s="28"/>
    </row>
    <row r="908">
      <c r="B908" s="28"/>
    </row>
    <row r="909">
      <c r="B909" s="28"/>
    </row>
    <row r="910">
      <c r="B910" s="28"/>
    </row>
    <row r="911">
      <c r="B911" s="28"/>
    </row>
    <row r="912">
      <c r="B912" s="28"/>
    </row>
    <row r="913">
      <c r="B913" s="28"/>
    </row>
    <row r="914">
      <c r="B914" s="28"/>
    </row>
    <row r="915">
      <c r="B915" s="28"/>
    </row>
    <row r="916">
      <c r="B916" s="28"/>
    </row>
    <row r="917">
      <c r="B917" s="28"/>
    </row>
    <row r="918">
      <c r="B918" s="28"/>
    </row>
    <row r="919">
      <c r="B919" s="28"/>
    </row>
    <row r="920">
      <c r="B920" s="28"/>
    </row>
    <row r="921">
      <c r="B921" s="28"/>
    </row>
    <row r="922">
      <c r="B922" s="28"/>
    </row>
    <row r="923">
      <c r="B923" s="28"/>
    </row>
    <row r="924">
      <c r="B924" s="28"/>
    </row>
    <row r="925">
      <c r="B925" s="28"/>
    </row>
    <row r="926">
      <c r="B926" s="28"/>
    </row>
    <row r="927">
      <c r="B927" s="28"/>
    </row>
    <row r="928">
      <c r="B928" s="28"/>
    </row>
    <row r="929">
      <c r="B929" s="28"/>
    </row>
    <row r="930">
      <c r="B930" s="28"/>
    </row>
    <row r="931">
      <c r="B931" s="28"/>
    </row>
    <row r="932">
      <c r="B932" s="28"/>
    </row>
    <row r="933">
      <c r="B933" s="28"/>
    </row>
    <row r="934">
      <c r="B934" s="28"/>
    </row>
    <row r="935">
      <c r="B935" s="28"/>
    </row>
    <row r="936">
      <c r="B936" s="28"/>
    </row>
    <row r="937">
      <c r="B937" s="28"/>
    </row>
    <row r="938">
      <c r="B938" s="28"/>
    </row>
    <row r="939">
      <c r="B939" s="28"/>
    </row>
    <row r="940">
      <c r="B940" s="28"/>
    </row>
    <row r="941">
      <c r="B941" s="28"/>
    </row>
    <row r="942">
      <c r="B942" s="28"/>
    </row>
    <row r="943">
      <c r="B943" s="28"/>
    </row>
    <row r="944">
      <c r="B944" s="28"/>
    </row>
    <row r="945">
      <c r="B945" s="28"/>
    </row>
    <row r="946">
      <c r="B946" s="28"/>
    </row>
    <row r="947">
      <c r="B947" s="28"/>
    </row>
    <row r="948">
      <c r="B948" s="28"/>
    </row>
    <row r="949">
      <c r="B949" s="28"/>
    </row>
    <row r="950">
      <c r="B950" s="28"/>
    </row>
    <row r="951">
      <c r="B951" s="28"/>
    </row>
    <row r="952">
      <c r="B952" s="28"/>
    </row>
    <row r="953">
      <c r="B953" s="28"/>
    </row>
    <row r="954">
      <c r="B954" s="28"/>
    </row>
    <row r="955">
      <c r="B955" s="28"/>
    </row>
    <row r="956">
      <c r="B956" s="28"/>
    </row>
    <row r="957">
      <c r="B957" s="28"/>
    </row>
    <row r="958">
      <c r="B958" s="28"/>
    </row>
    <row r="959">
      <c r="B959" s="28"/>
    </row>
    <row r="960">
      <c r="B960" s="28"/>
    </row>
    <row r="961">
      <c r="B961" s="28"/>
    </row>
    <row r="962">
      <c r="B962" s="28"/>
    </row>
    <row r="963">
      <c r="B963" s="28"/>
    </row>
    <row r="964">
      <c r="B964" s="28"/>
    </row>
    <row r="965">
      <c r="B965" s="28"/>
    </row>
    <row r="966">
      <c r="B966" s="28"/>
    </row>
    <row r="967">
      <c r="B967" s="28"/>
    </row>
    <row r="968">
      <c r="B968" s="28"/>
    </row>
    <row r="969">
      <c r="B969" s="28"/>
    </row>
    <row r="970">
      <c r="B970" s="28"/>
    </row>
    <row r="971">
      <c r="B971" s="28"/>
    </row>
    <row r="972">
      <c r="B972" s="28"/>
    </row>
    <row r="973">
      <c r="B973" s="28"/>
    </row>
    <row r="974">
      <c r="B974" s="28"/>
    </row>
    <row r="975">
      <c r="B975" s="28"/>
    </row>
    <row r="976">
      <c r="B976" s="28"/>
    </row>
    <row r="977">
      <c r="B977" s="28"/>
    </row>
    <row r="978">
      <c r="B978" s="28"/>
    </row>
    <row r="979">
      <c r="B979" s="28"/>
    </row>
    <row r="980">
      <c r="B980" s="28"/>
    </row>
    <row r="981">
      <c r="B981" s="28"/>
    </row>
    <row r="982">
      <c r="B982" s="28"/>
    </row>
    <row r="983">
      <c r="B983" s="28"/>
    </row>
    <row r="984">
      <c r="B984" s="28"/>
    </row>
    <row r="985">
      <c r="B985" s="28"/>
    </row>
    <row r="986">
      <c r="B986" s="28"/>
    </row>
    <row r="987">
      <c r="B987" s="28"/>
    </row>
    <row r="988">
      <c r="B988" s="28"/>
    </row>
    <row r="989">
      <c r="B989" s="28"/>
    </row>
    <row r="990">
      <c r="B990" s="28"/>
    </row>
    <row r="991">
      <c r="B991" s="28"/>
    </row>
    <row r="992">
      <c r="B992" s="28"/>
    </row>
    <row r="993">
      <c r="B993" s="28"/>
    </row>
    <row r="994">
      <c r="B994" s="28"/>
    </row>
    <row r="995">
      <c r="B995" s="28"/>
    </row>
    <row r="996">
      <c r="B996" s="28"/>
    </row>
    <row r="997">
      <c r="B997" s="28"/>
    </row>
    <row r="998">
      <c r="B998" s="28"/>
    </row>
    <row r="999">
      <c r="B999" s="28"/>
    </row>
    <row r="1000">
      <c r="B1000" s="28"/>
    </row>
  </sheetData>
  <drawing r:id="rId1"/>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3" t="s">
        <v>8812</v>
      </c>
    </row>
    <row r="2">
      <c r="A2" s="13" t="s">
        <v>8813</v>
      </c>
    </row>
    <row r="3">
      <c r="A3" s="13" t="s">
        <v>8814</v>
      </c>
    </row>
    <row r="4">
      <c r="A4" s="13" t="s">
        <v>8815</v>
      </c>
    </row>
    <row r="5">
      <c r="A5" s="13" t="s">
        <v>8816</v>
      </c>
    </row>
    <row r="6">
      <c r="A6" s="13" t="s">
        <v>8817</v>
      </c>
    </row>
  </sheetData>
  <drawing r:id="rId1"/>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6.88"/>
    <col customWidth="1" min="2" max="2" width="22.5"/>
    <col customWidth="1" min="3" max="3" width="40.0"/>
  </cols>
  <sheetData>
    <row r="1">
      <c r="A1" s="68" t="s">
        <v>5662</v>
      </c>
      <c r="B1" s="9" t="s">
        <v>5663</v>
      </c>
      <c r="C1" s="9" t="s">
        <v>5664</v>
      </c>
      <c r="D1" s="211" t="s">
        <v>8818</v>
      </c>
      <c r="E1" s="212" t="s">
        <v>8819</v>
      </c>
      <c r="F1" s="70"/>
      <c r="G1" s="70"/>
      <c r="H1" s="70"/>
      <c r="I1" s="70"/>
      <c r="J1" s="70"/>
      <c r="K1" s="70"/>
      <c r="L1" s="70"/>
      <c r="M1" s="70"/>
      <c r="N1" s="70"/>
      <c r="O1" s="70"/>
      <c r="P1" s="70"/>
      <c r="Q1" s="70"/>
      <c r="R1" s="70"/>
      <c r="S1" s="70"/>
      <c r="T1" s="70"/>
      <c r="U1" s="70"/>
      <c r="V1" s="70"/>
      <c r="W1" s="70"/>
      <c r="X1" s="70"/>
      <c r="Y1" s="70"/>
      <c r="Z1" s="70"/>
      <c r="AA1" s="70"/>
    </row>
    <row r="2" hidden="1">
      <c r="A2" s="11" t="s">
        <v>8820</v>
      </c>
      <c r="B2" s="20" t="s">
        <v>8821</v>
      </c>
      <c r="C2" s="20" t="s">
        <v>8822</v>
      </c>
      <c r="D2" s="15" t="s">
        <v>8823</v>
      </c>
      <c r="E2" s="90">
        <v>34133.0</v>
      </c>
    </row>
    <row r="3" hidden="1">
      <c r="A3" s="11" t="s">
        <v>8820</v>
      </c>
      <c r="B3" s="20" t="s">
        <v>8824</v>
      </c>
      <c r="C3" s="20" t="s">
        <v>8825</v>
      </c>
      <c r="D3" s="15" t="s">
        <v>8823</v>
      </c>
      <c r="E3" s="90">
        <v>34143.0</v>
      </c>
    </row>
    <row r="4" hidden="1">
      <c r="A4" s="11" t="s">
        <v>8820</v>
      </c>
      <c r="B4" s="20" t="s">
        <v>8826</v>
      </c>
      <c r="C4" s="20" t="s">
        <v>8827</v>
      </c>
      <c r="D4" s="15" t="s">
        <v>8828</v>
      </c>
      <c r="E4" s="90">
        <v>341326.0</v>
      </c>
    </row>
    <row r="5" hidden="1">
      <c r="A5" s="11" t="s">
        <v>8820</v>
      </c>
      <c r="B5" s="20" t="s">
        <v>8829</v>
      </c>
      <c r="C5" s="20" t="s">
        <v>8830</v>
      </c>
      <c r="D5" s="15" t="s">
        <v>8823</v>
      </c>
      <c r="E5" s="90">
        <v>5301126.0</v>
      </c>
    </row>
    <row r="6" hidden="1">
      <c r="A6" s="11" t="s">
        <v>8820</v>
      </c>
      <c r="B6" s="20" t="s">
        <v>8831</v>
      </c>
      <c r="C6" s="20" t="s">
        <v>8832</v>
      </c>
      <c r="D6" s="15" t="s">
        <v>8828</v>
      </c>
      <c r="E6" s="90">
        <v>5301526.0</v>
      </c>
    </row>
    <row r="7" hidden="1">
      <c r="A7" s="11" t="s">
        <v>8820</v>
      </c>
      <c r="B7" s="20" t="s">
        <v>8833</v>
      </c>
      <c r="C7" s="20" t="s">
        <v>8834</v>
      </c>
      <c r="D7" s="15" t="s">
        <v>8828</v>
      </c>
      <c r="E7" s="90">
        <v>5301626.0</v>
      </c>
    </row>
    <row r="8" hidden="1">
      <c r="A8" s="11" t="s">
        <v>8820</v>
      </c>
      <c r="B8" s="20" t="s">
        <v>8835</v>
      </c>
      <c r="C8" s="20" t="s">
        <v>8836</v>
      </c>
      <c r="D8" s="15" t="s">
        <v>8828</v>
      </c>
      <c r="E8" s="90">
        <v>5301826.0</v>
      </c>
    </row>
    <row r="9" hidden="1">
      <c r="A9" s="11" t="s">
        <v>8820</v>
      </c>
      <c r="B9" s="20" t="s">
        <v>8837</v>
      </c>
      <c r="C9" s="20" t="s">
        <v>8838</v>
      </c>
      <c r="D9" s="15" t="s">
        <v>8828</v>
      </c>
      <c r="E9" s="90">
        <v>5347026.0</v>
      </c>
    </row>
    <row r="10" hidden="1">
      <c r="A10" s="11" t="s">
        <v>8820</v>
      </c>
      <c r="B10" s="20" t="s">
        <v>8839</v>
      </c>
      <c r="C10" s="20" t="s">
        <v>8840</v>
      </c>
      <c r="D10" s="15" t="s">
        <v>8828</v>
      </c>
      <c r="E10" s="90" t="s">
        <v>8841</v>
      </c>
    </row>
    <row r="11" hidden="1">
      <c r="A11" s="11" t="s">
        <v>8820</v>
      </c>
      <c r="B11" s="20" t="s">
        <v>8842</v>
      </c>
      <c r="C11" s="20" t="s">
        <v>8843</v>
      </c>
      <c r="D11" s="15" t="s">
        <v>8828</v>
      </c>
      <c r="E11" s="90" t="s">
        <v>8844</v>
      </c>
    </row>
    <row r="12" hidden="1">
      <c r="A12" s="11" t="s">
        <v>8820</v>
      </c>
      <c r="B12" s="20" t="s">
        <v>8845</v>
      </c>
      <c r="C12" s="20" t="s">
        <v>8846</v>
      </c>
      <c r="D12" s="15" t="s">
        <v>8828</v>
      </c>
      <c r="E12" s="90" t="s">
        <v>8847</v>
      </c>
    </row>
    <row r="13" hidden="1">
      <c r="A13" s="11" t="s">
        <v>8820</v>
      </c>
      <c r="B13" s="20" t="s">
        <v>8848</v>
      </c>
      <c r="C13" s="20" t="s">
        <v>8849</v>
      </c>
      <c r="D13" s="15" t="s">
        <v>8828</v>
      </c>
      <c r="E13" s="90" t="s">
        <v>8850</v>
      </c>
    </row>
    <row r="14" hidden="1">
      <c r="A14" s="11" t="s">
        <v>8820</v>
      </c>
      <c r="B14" s="20" t="s">
        <v>8851</v>
      </c>
      <c r="C14" s="20" t="s">
        <v>8852</v>
      </c>
      <c r="D14" s="15" t="s">
        <v>8828</v>
      </c>
      <c r="E14" s="90" t="s">
        <v>8853</v>
      </c>
    </row>
    <row r="15" hidden="1">
      <c r="A15" s="11" t="s">
        <v>8820</v>
      </c>
      <c r="B15" s="20" t="s">
        <v>8854</v>
      </c>
      <c r="C15" s="20" t="s">
        <v>8855</v>
      </c>
      <c r="D15" s="15" t="s">
        <v>8828</v>
      </c>
      <c r="E15" s="90" t="s">
        <v>8856</v>
      </c>
    </row>
    <row r="16" hidden="1">
      <c r="A16" s="11" t="s">
        <v>8820</v>
      </c>
      <c r="B16" s="20" t="s">
        <v>8857</v>
      </c>
      <c r="C16" s="20" t="s">
        <v>8858</v>
      </c>
      <c r="D16" s="15" t="s">
        <v>8828</v>
      </c>
      <c r="E16" s="90" t="s">
        <v>8859</v>
      </c>
    </row>
    <row r="17" hidden="1">
      <c r="A17" s="11" t="s">
        <v>8820</v>
      </c>
      <c r="B17" s="20" t="s">
        <v>8860</v>
      </c>
      <c r="C17" s="20" t="s">
        <v>8861</v>
      </c>
      <c r="D17" s="15" t="s">
        <v>8823</v>
      </c>
      <c r="E17" s="90" t="s">
        <v>8862</v>
      </c>
    </row>
    <row r="18" hidden="1">
      <c r="A18" s="11" t="s">
        <v>8820</v>
      </c>
      <c r="B18" s="20" t="s">
        <v>8863</v>
      </c>
      <c r="C18" s="20" t="s">
        <v>8864</v>
      </c>
      <c r="D18" s="15" t="s">
        <v>8823</v>
      </c>
      <c r="E18" s="90" t="s">
        <v>8865</v>
      </c>
    </row>
    <row r="19" hidden="1">
      <c r="A19" s="11" t="s">
        <v>8820</v>
      </c>
      <c r="B19" s="20" t="s">
        <v>8866</v>
      </c>
      <c r="C19" s="20" t="s">
        <v>8867</v>
      </c>
      <c r="D19" s="15" t="s">
        <v>8828</v>
      </c>
      <c r="E19" s="90" t="s">
        <v>8868</v>
      </c>
    </row>
    <row r="20" hidden="1">
      <c r="A20" s="11" t="s">
        <v>8820</v>
      </c>
      <c r="B20" s="20" t="s">
        <v>8869</v>
      </c>
      <c r="C20" s="20" t="s">
        <v>8870</v>
      </c>
      <c r="D20" s="15" t="s">
        <v>8828</v>
      </c>
      <c r="E20" s="90" t="s">
        <v>8871</v>
      </c>
    </row>
    <row r="21" hidden="1">
      <c r="A21" s="11" t="s">
        <v>8820</v>
      </c>
      <c r="B21" s="20" t="s">
        <v>8872</v>
      </c>
      <c r="C21" s="20" t="s">
        <v>8873</v>
      </c>
      <c r="D21" s="15" t="s">
        <v>8828</v>
      </c>
      <c r="E21" s="90" t="s">
        <v>8874</v>
      </c>
    </row>
    <row r="22" hidden="1">
      <c r="A22" s="11" t="s">
        <v>8820</v>
      </c>
      <c r="B22" s="20" t="s">
        <v>8875</v>
      </c>
      <c r="C22" s="20" t="s">
        <v>8876</v>
      </c>
      <c r="D22" s="15" t="s">
        <v>8828</v>
      </c>
      <c r="E22" s="90" t="s">
        <v>8877</v>
      </c>
    </row>
    <row r="23" hidden="1">
      <c r="A23" s="11" t="s">
        <v>8820</v>
      </c>
      <c r="B23" s="20" t="s">
        <v>8878</v>
      </c>
      <c r="C23" s="20" t="s">
        <v>8879</v>
      </c>
      <c r="D23" s="15" t="s">
        <v>8828</v>
      </c>
      <c r="E23" s="90" t="s">
        <v>8880</v>
      </c>
    </row>
    <row r="24" hidden="1">
      <c r="A24" s="11" t="s">
        <v>8820</v>
      </c>
      <c r="B24" s="20" t="s">
        <v>8881</v>
      </c>
      <c r="C24" s="20" t="s">
        <v>8882</v>
      </c>
      <c r="D24" s="15" t="s">
        <v>8828</v>
      </c>
      <c r="E24" s="90" t="s">
        <v>8883</v>
      </c>
    </row>
    <row r="25" hidden="1">
      <c r="A25" s="11" t="s">
        <v>8820</v>
      </c>
      <c r="B25" s="20" t="s">
        <v>8884</v>
      </c>
      <c r="C25" s="20" t="s">
        <v>8885</v>
      </c>
      <c r="D25" s="15" t="s">
        <v>8823</v>
      </c>
      <c r="E25" s="90" t="s">
        <v>8886</v>
      </c>
    </row>
    <row r="26" hidden="1">
      <c r="A26" s="11" t="s">
        <v>8820</v>
      </c>
      <c r="B26" s="20" t="s">
        <v>8887</v>
      </c>
      <c r="C26" s="20" t="s">
        <v>8888</v>
      </c>
      <c r="D26" s="15" t="s">
        <v>8823</v>
      </c>
      <c r="E26" s="90" t="s">
        <v>8889</v>
      </c>
    </row>
    <row r="27" hidden="1">
      <c r="A27" s="11" t="s">
        <v>8820</v>
      </c>
      <c r="B27" s="20" t="s">
        <v>8890</v>
      </c>
      <c r="C27" s="20" t="s">
        <v>8891</v>
      </c>
      <c r="D27" s="15" t="s">
        <v>8823</v>
      </c>
      <c r="E27" s="90" t="s">
        <v>8892</v>
      </c>
    </row>
    <row r="28" hidden="1">
      <c r="A28" s="11" t="s">
        <v>8820</v>
      </c>
      <c r="B28" s="20" t="s">
        <v>8893</v>
      </c>
      <c r="C28" s="20" t="s">
        <v>8894</v>
      </c>
      <c r="D28" s="15" t="s">
        <v>8823</v>
      </c>
      <c r="E28" s="90" t="s">
        <v>8895</v>
      </c>
    </row>
    <row r="29" hidden="1">
      <c r="A29" s="11" t="s">
        <v>8820</v>
      </c>
      <c r="B29" s="20" t="s">
        <v>8896</v>
      </c>
      <c r="C29" s="20" t="s">
        <v>8897</v>
      </c>
      <c r="D29" s="15" t="s">
        <v>8828</v>
      </c>
      <c r="E29" s="90" t="s">
        <v>8898</v>
      </c>
    </row>
    <row r="30" hidden="1">
      <c r="A30" s="11" t="s">
        <v>8820</v>
      </c>
      <c r="B30" s="20" t="s">
        <v>8899</v>
      </c>
      <c r="C30" s="20" t="s">
        <v>8900</v>
      </c>
      <c r="D30" s="15" t="s">
        <v>8828</v>
      </c>
      <c r="E30" s="90" t="s">
        <v>8901</v>
      </c>
    </row>
    <row r="31" hidden="1">
      <c r="A31" s="11" t="s">
        <v>8820</v>
      </c>
      <c r="B31" s="20" t="s">
        <v>8902</v>
      </c>
      <c r="C31" s="20" t="s">
        <v>8903</v>
      </c>
      <c r="D31" s="15" t="s">
        <v>8828</v>
      </c>
      <c r="E31" s="90" t="s">
        <v>8904</v>
      </c>
    </row>
    <row r="32" hidden="1">
      <c r="A32" s="11" t="s">
        <v>8820</v>
      </c>
      <c r="B32" s="20" t="s">
        <v>8905</v>
      </c>
      <c r="C32" s="20" t="s">
        <v>8906</v>
      </c>
      <c r="D32" s="15" t="s">
        <v>8828</v>
      </c>
      <c r="E32" s="90" t="s">
        <v>8907</v>
      </c>
    </row>
    <row r="33" hidden="1">
      <c r="A33" s="11" t="s">
        <v>8820</v>
      </c>
      <c r="B33" s="20" t="s">
        <v>8908</v>
      </c>
      <c r="C33" s="20" t="s">
        <v>8909</v>
      </c>
      <c r="D33" s="15" t="s">
        <v>8828</v>
      </c>
      <c r="E33" s="90" t="s">
        <v>8910</v>
      </c>
    </row>
    <row r="34" hidden="1">
      <c r="A34" s="11" t="s">
        <v>8820</v>
      </c>
      <c r="B34" s="20" t="s">
        <v>8911</v>
      </c>
      <c r="C34" s="20" t="s">
        <v>8912</v>
      </c>
      <c r="D34" s="15" t="s">
        <v>8828</v>
      </c>
      <c r="E34" s="90" t="s">
        <v>8913</v>
      </c>
    </row>
    <row r="35" hidden="1">
      <c r="A35" s="11" t="s">
        <v>8820</v>
      </c>
      <c r="B35" s="20" t="s">
        <v>8914</v>
      </c>
      <c r="C35" s="20" t="s">
        <v>8915</v>
      </c>
      <c r="D35" s="15" t="s">
        <v>8828</v>
      </c>
      <c r="E35" s="90" t="s">
        <v>8916</v>
      </c>
    </row>
    <row r="36" hidden="1">
      <c r="A36" s="11" t="s">
        <v>8820</v>
      </c>
      <c r="B36" s="20" t="s">
        <v>8917</v>
      </c>
      <c r="C36" s="20" t="s">
        <v>8918</v>
      </c>
      <c r="D36" s="15" t="s">
        <v>8823</v>
      </c>
      <c r="E36" s="90" t="s">
        <v>8919</v>
      </c>
    </row>
    <row r="37" hidden="1">
      <c r="A37" s="11" t="s">
        <v>8820</v>
      </c>
      <c r="B37" s="20" t="s">
        <v>8920</v>
      </c>
      <c r="C37" s="20" t="s">
        <v>8921</v>
      </c>
      <c r="D37" s="15" t="s">
        <v>8823</v>
      </c>
      <c r="E37" s="90" t="s">
        <v>8922</v>
      </c>
    </row>
    <row r="38" hidden="1">
      <c r="A38" s="11" t="s">
        <v>8820</v>
      </c>
      <c r="B38" s="20" t="s">
        <v>8923</v>
      </c>
      <c r="C38" s="20" t="s">
        <v>8924</v>
      </c>
      <c r="D38" s="15" t="s">
        <v>8823</v>
      </c>
      <c r="E38" s="90" t="s">
        <v>8925</v>
      </c>
    </row>
    <row r="39" hidden="1">
      <c r="A39" s="11" t="s">
        <v>8820</v>
      </c>
      <c r="B39" s="20" t="s">
        <v>8926</v>
      </c>
      <c r="C39" s="20" t="s">
        <v>8927</v>
      </c>
      <c r="D39" s="15" t="s">
        <v>8823</v>
      </c>
      <c r="E39" s="90" t="s">
        <v>8928</v>
      </c>
    </row>
    <row r="40" hidden="1">
      <c r="A40" s="11" t="s">
        <v>6862</v>
      </c>
      <c r="B40" s="13" t="s">
        <v>8929</v>
      </c>
      <c r="C40" s="20" t="s">
        <v>6865</v>
      </c>
      <c r="D40" s="15" t="s">
        <v>8383</v>
      </c>
      <c r="F40" s="13"/>
      <c r="G40" s="13" t="s">
        <v>5674</v>
      </c>
    </row>
    <row r="41" hidden="1">
      <c r="A41" s="11" t="s">
        <v>6862</v>
      </c>
      <c r="B41" s="13" t="s">
        <v>8930</v>
      </c>
      <c r="C41" s="20" t="s">
        <v>6866</v>
      </c>
      <c r="D41" s="15" t="s">
        <v>8383</v>
      </c>
      <c r="F41" s="13"/>
      <c r="G41" s="13" t="s">
        <v>5674</v>
      </c>
    </row>
    <row r="42" hidden="1">
      <c r="A42" s="11" t="s">
        <v>6862</v>
      </c>
      <c r="B42" s="13" t="s">
        <v>8931</v>
      </c>
      <c r="C42" s="20" t="s">
        <v>6867</v>
      </c>
      <c r="D42" s="15" t="s">
        <v>8383</v>
      </c>
      <c r="F42" s="13"/>
      <c r="G42" s="13" t="s">
        <v>5674</v>
      </c>
    </row>
    <row r="43" hidden="1">
      <c r="A43" s="11" t="s">
        <v>6862</v>
      </c>
      <c r="B43" s="13" t="s">
        <v>8932</v>
      </c>
      <c r="C43" s="20" t="s">
        <v>6868</v>
      </c>
      <c r="D43" s="15" t="s">
        <v>8383</v>
      </c>
      <c r="F43" s="13"/>
      <c r="G43" s="13" t="s">
        <v>5674</v>
      </c>
    </row>
    <row r="44" hidden="1">
      <c r="A44" s="11" t="s">
        <v>6862</v>
      </c>
      <c r="B44" s="13" t="s">
        <v>8933</v>
      </c>
      <c r="C44" s="20" t="s">
        <v>6869</v>
      </c>
      <c r="D44" s="15" t="s">
        <v>8383</v>
      </c>
      <c r="F44" s="13"/>
      <c r="G44" s="13" t="s">
        <v>5674</v>
      </c>
    </row>
    <row r="45" hidden="1">
      <c r="A45" s="11" t="s">
        <v>6862</v>
      </c>
      <c r="B45" s="13" t="s">
        <v>8934</v>
      </c>
      <c r="C45" s="20" t="s">
        <v>6870</v>
      </c>
      <c r="D45" s="15" t="s">
        <v>8383</v>
      </c>
      <c r="F45" s="13"/>
      <c r="G45" s="13" t="s">
        <v>5674</v>
      </c>
    </row>
    <row r="46" hidden="1">
      <c r="A46" s="11" t="s">
        <v>6862</v>
      </c>
      <c r="B46" s="13" t="s">
        <v>8935</v>
      </c>
      <c r="C46" s="20" t="s">
        <v>6872</v>
      </c>
      <c r="D46" s="15" t="s">
        <v>8383</v>
      </c>
      <c r="F46" s="13"/>
      <c r="G46" s="13" t="s">
        <v>5674</v>
      </c>
    </row>
    <row r="47" hidden="1">
      <c r="A47" s="11" t="s">
        <v>6862</v>
      </c>
      <c r="B47" s="13" t="s">
        <v>8936</v>
      </c>
      <c r="C47" s="20" t="s">
        <v>6873</v>
      </c>
      <c r="D47" s="15" t="s">
        <v>8383</v>
      </c>
      <c r="F47" s="13"/>
      <c r="G47" s="13" t="s">
        <v>5674</v>
      </c>
    </row>
    <row r="48" hidden="1">
      <c r="A48" s="11" t="s">
        <v>6862</v>
      </c>
      <c r="B48" s="13" t="s">
        <v>8937</v>
      </c>
      <c r="C48" s="20" t="s">
        <v>6874</v>
      </c>
      <c r="D48" s="15" t="s">
        <v>8383</v>
      </c>
      <c r="F48" s="13"/>
      <c r="G48" s="13" t="s">
        <v>5674</v>
      </c>
    </row>
    <row r="49" hidden="1">
      <c r="A49" s="11" t="s">
        <v>6862</v>
      </c>
      <c r="B49" s="13" t="s">
        <v>8938</v>
      </c>
      <c r="C49" s="20" t="s">
        <v>6875</v>
      </c>
      <c r="D49" s="15" t="s">
        <v>8383</v>
      </c>
      <c r="F49" s="13"/>
      <c r="G49" s="13" t="s">
        <v>5674</v>
      </c>
    </row>
    <row r="50" hidden="1">
      <c r="A50" s="11" t="s">
        <v>6862</v>
      </c>
      <c r="B50" s="13" t="s">
        <v>8939</v>
      </c>
      <c r="C50" s="13" t="s">
        <v>6876</v>
      </c>
      <c r="D50" s="15" t="s">
        <v>8383</v>
      </c>
      <c r="F50" s="13"/>
      <c r="G50" s="13" t="s">
        <v>5674</v>
      </c>
    </row>
    <row r="51" hidden="1">
      <c r="A51" s="11" t="s">
        <v>6862</v>
      </c>
      <c r="B51" s="13" t="s">
        <v>8940</v>
      </c>
      <c r="C51" s="20" t="s">
        <v>6877</v>
      </c>
      <c r="D51" s="15" t="s">
        <v>8383</v>
      </c>
      <c r="F51" s="13"/>
      <c r="G51" s="13" t="s">
        <v>5674</v>
      </c>
    </row>
    <row r="52" hidden="1">
      <c r="A52" s="11" t="s">
        <v>6862</v>
      </c>
      <c r="B52" s="13" t="s">
        <v>8941</v>
      </c>
      <c r="C52" s="20" t="s">
        <v>6878</v>
      </c>
      <c r="D52" s="15" t="s">
        <v>8383</v>
      </c>
      <c r="F52" s="13"/>
      <c r="G52" s="13" t="s">
        <v>5674</v>
      </c>
    </row>
    <row r="53" hidden="1">
      <c r="A53" s="11" t="s">
        <v>6862</v>
      </c>
      <c r="B53" s="13" t="s">
        <v>8942</v>
      </c>
      <c r="C53" s="20" t="s">
        <v>6879</v>
      </c>
      <c r="D53" s="15" t="s">
        <v>8383</v>
      </c>
      <c r="F53" s="13"/>
      <c r="G53" s="13" t="s">
        <v>5674</v>
      </c>
    </row>
    <row r="54" hidden="1">
      <c r="A54" s="11" t="s">
        <v>6862</v>
      </c>
      <c r="B54" s="13" t="s">
        <v>8943</v>
      </c>
      <c r="C54" s="20" t="s">
        <v>6880</v>
      </c>
      <c r="D54" s="15" t="s">
        <v>8383</v>
      </c>
      <c r="F54" s="13"/>
      <c r="G54" s="13" t="s">
        <v>5674</v>
      </c>
    </row>
    <row r="55" hidden="1">
      <c r="A55" s="11" t="s">
        <v>6862</v>
      </c>
      <c r="B55" s="13" t="s">
        <v>8944</v>
      </c>
      <c r="C55" s="20" t="s">
        <v>6881</v>
      </c>
      <c r="D55" s="15" t="s">
        <v>8383</v>
      </c>
      <c r="F55" s="13"/>
      <c r="G55" s="13" t="s">
        <v>5674</v>
      </c>
    </row>
    <row r="56" hidden="1">
      <c r="A56" s="11" t="s">
        <v>6862</v>
      </c>
      <c r="B56" s="13" t="s">
        <v>8945</v>
      </c>
      <c r="C56" s="20" t="s">
        <v>6882</v>
      </c>
      <c r="D56" s="15" t="s">
        <v>8383</v>
      </c>
      <c r="F56" s="13"/>
      <c r="G56" s="13" t="s">
        <v>5674</v>
      </c>
    </row>
    <row r="57" hidden="1">
      <c r="A57" s="11" t="s">
        <v>6862</v>
      </c>
      <c r="B57" s="13" t="s">
        <v>8946</v>
      </c>
      <c r="C57" s="20" t="s">
        <v>6883</v>
      </c>
      <c r="D57" s="15" t="s">
        <v>8383</v>
      </c>
      <c r="F57" s="13"/>
      <c r="G57" s="13" t="s">
        <v>5674</v>
      </c>
    </row>
    <row r="58" hidden="1">
      <c r="A58" s="11" t="s">
        <v>6862</v>
      </c>
      <c r="B58" s="13" t="s">
        <v>8947</v>
      </c>
      <c r="C58" s="20" t="s">
        <v>6884</v>
      </c>
      <c r="D58" s="15" t="s">
        <v>8383</v>
      </c>
      <c r="F58" s="13"/>
      <c r="G58" s="13" t="s">
        <v>5674</v>
      </c>
    </row>
    <row r="59" hidden="1">
      <c r="A59" s="11" t="s">
        <v>6862</v>
      </c>
      <c r="B59" s="13" t="s">
        <v>8948</v>
      </c>
      <c r="C59" s="20" t="s">
        <v>6885</v>
      </c>
      <c r="D59" s="15" t="s">
        <v>8383</v>
      </c>
      <c r="F59" s="13"/>
      <c r="G59" s="13" t="s">
        <v>5674</v>
      </c>
    </row>
    <row r="60" hidden="1">
      <c r="A60" s="11" t="s">
        <v>6862</v>
      </c>
      <c r="B60" s="13" t="s">
        <v>8949</v>
      </c>
      <c r="C60" s="20" t="s">
        <v>6886</v>
      </c>
      <c r="D60" s="15" t="s">
        <v>8383</v>
      </c>
      <c r="F60" s="13"/>
      <c r="G60" s="13" t="s">
        <v>5674</v>
      </c>
    </row>
    <row r="61" hidden="1">
      <c r="A61" s="11" t="s">
        <v>6862</v>
      </c>
      <c r="B61" s="13" t="s">
        <v>8950</v>
      </c>
      <c r="C61" s="20" t="s">
        <v>6887</v>
      </c>
      <c r="D61" s="15" t="s">
        <v>8383</v>
      </c>
      <c r="F61" s="13"/>
      <c r="G61" s="13" t="s">
        <v>5674</v>
      </c>
    </row>
    <row r="62" hidden="1">
      <c r="A62" s="11" t="s">
        <v>6862</v>
      </c>
      <c r="B62" s="13" t="s">
        <v>8951</v>
      </c>
      <c r="C62" s="20" t="s">
        <v>6888</v>
      </c>
      <c r="D62" s="15" t="s">
        <v>8383</v>
      </c>
      <c r="F62" s="13"/>
      <c r="G62" s="13" t="s">
        <v>5674</v>
      </c>
    </row>
    <row r="63" hidden="1">
      <c r="A63" s="11" t="s">
        <v>6862</v>
      </c>
      <c r="B63" s="13" t="s">
        <v>8952</v>
      </c>
      <c r="C63" s="20" t="s">
        <v>6889</v>
      </c>
      <c r="D63" s="15" t="s">
        <v>8383</v>
      </c>
      <c r="F63" s="13"/>
      <c r="G63" s="13" t="s">
        <v>5674</v>
      </c>
    </row>
    <row r="64" hidden="1">
      <c r="A64" s="11" t="s">
        <v>6862</v>
      </c>
      <c r="B64" s="13" t="s">
        <v>8953</v>
      </c>
      <c r="C64" s="20" t="s">
        <v>6890</v>
      </c>
      <c r="D64" s="15" t="s">
        <v>8383</v>
      </c>
      <c r="F64" s="13"/>
      <c r="G64" s="13" t="s">
        <v>5674</v>
      </c>
    </row>
    <row r="65" hidden="1">
      <c r="A65" s="11" t="s">
        <v>6862</v>
      </c>
      <c r="B65" s="13" t="s">
        <v>8954</v>
      </c>
      <c r="C65" s="20" t="s">
        <v>8955</v>
      </c>
      <c r="D65" s="15" t="s">
        <v>8383</v>
      </c>
    </row>
    <row r="66" hidden="1">
      <c r="A66" s="11" t="s">
        <v>6862</v>
      </c>
      <c r="B66" s="13" t="s">
        <v>8956</v>
      </c>
      <c r="C66" s="20" t="s">
        <v>8957</v>
      </c>
      <c r="D66" s="15" t="s">
        <v>8383</v>
      </c>
    </row>
    <row r="67" hidden="1">
      <c r="A67" s="11" t="s">
        <v>6862</v>
      </c>
      <c r="B67" s="13" t="s">
        <v>8958</v>
      </c>
      <c r="C67" s="20" t="s">
        <v>8959</v>
      </c>
      <c r="D67" s="15" t="s">
        <v>8383</v>
      </c>
    </row>
    <row r="68" hidden="1">
      <c r="A68" s="11" t="s">
        <v>6862</v>
      </c>
      <c r="B68" s="13" t="s">
        <v>8960</v>
      </c>
      <c r="C68" s="20" t="s">
        <v>8961</v>
      </c>
      <c r="D68" s="15" t="s">
        <v>8383</v>
      </c>
    </row>
    <row r="69" hidden="1">
      <c r="A69" s="11" t="s">
        <v>6862</v>
      </c>
      <c r="B69" s="13" t="s">
        <v>8962</v>
      </c>
      <c r="C69" s="20" t="s">
        <v>8963</v>
      </c>
      <c r="D69" s="15" t="s">
        <v>8383</v>
      </c>
    </row>
    <row r="70" hidden="1">
      <c r="A70" s="11" t="s">
        <v>6862</v>
      </c>
      <c r="B70" s="13" t="s">
        <v>8964</v>
      </c>
      <c r="C70" s="13" t="s">
        <v>8965</v>
      </c>
      <c r="D70" s="15" t="s">
        <v>8383</v>
      </c>
    </row>
    <row r="71" hidden="1">
      <c r="A71" s="11" t="s">
        <v>6862</v>
      </c>
      <c r="B71" s="13" t="s">
        <v>8966</v>
      </c>
      <c r="C71" s="20" t="s">
        <v>8967</v>
      </c>
      <c r="D71" s="15" t="s">
        <v>8383</v>
      </c>
    </row>
    <row r="72" hidden="1">
      <c r="A72" s="11" t="s">
        <v>6862</v>
      </c>
      <c r="B72" s="13" t="s">
        <v>8968</v>
      </c>
      <c r="C72" s="20" t="s">
        <v>8969</v>
      </c>
      <c r="D72" s="15" t="s">
        <v>8383</v>
      </c>
    </row>
    <row r="73" hidden="1">
      <c r="A73" s="11" t="s">
        <v>6862</v>
      </c>
      <c r="B73" s="13" t="s">
        <v>8970</v>
      </c>
      <c r="C73" s="20" t="s">
        <v>8971</v>
      </c>
      <c r="D73" s="15" t="s">
        <v>8383</v>
      </c>
    </row>
    <row r="74" hidden="1">
      <c r="A74" s="11" t="s">
        <v>6862</v>
      </c>
      <c r="B74" s="13" t="s">
        <v>8972</v>
      </c>
      <c r="C74" s="20" t="s">
        <v>8973</v>
      </c>
      <c r="D74" s="15" t="s">
        <v>8383</v>
      </c>
    </row>
    <row r="75" hidden="1">
      <c r="A75" s="11" t="s">
        <v>6862</v>
      </c>
      <c r="B75" s="13" t="s">
        <v>8974</v>
      </c>
      <c r="C75" s="20" t="s">
        <v>8975</v>
      </c>
      <c r="D75" s="15" t="s">
        <v>8383</v>
      </c>
    </row>
    <row r="76" hidden="1">
      <c r="A76" s="11" t="s">
        <v>6862</v>
      </c>
      <c r="B76" s="13" t="s">
        <v>8976</v>
      </c>
      <c r="C76" s="20" t="s">
        <v>8977</v>
      </c>
      <c r="D76" s="15" t="s">
        <v>8383</v>
      </c>
    </row>
    <row r="77" hidden="1">
      <c r="A77" s="11" t="s">
        <v>6862</v>
      </c>
      <c r="B77" s="13" t="s">
        <v>8978</v>
      </c>
      <c r="C77" s="20" t="s">
        <v>8979</v>
      </c>
      <c r="D77" s="15" t="s">
        <v>8383</v>
      </c>
    </row>
    <row r="78" hidden="1">
      <c r="A78" s="11" t="s">
        <v>6862</v>
      </c>
      <c r="B78" s="13" t="s">
        <v>8980</v>
      </c>
      <c r="C78" s="20" t="s">
        <v>8981</v>
      </c>
      <c r="D78" s="15" t="s">
        <v>8383</v>
      </c>
    </row>
    <row r="79" hidden="1">
      <c r="A79" s="11" t="s">
        <v>6862</v>
      </c>
      <c r="B79" s="13" t="s">
        <v>8982</v>
      </c>
      <c r="C79" s="20" t="s">
        <v>8983</v>
      </c>
      <c r="D79" s="15" t="s">
        <v>8383</v>
      </c>
    </row>
    <row r="80" hidden="1">
      <c r="A80" s="11" t="s">
        <v>6862</v>
      </c>
      <c r="B80" s="13" t="s">
        <v>8984</v>
      </c>
      <c r="C80" s="20" t="s">
        <v>8985</v>
      </c>
      <c r="D80" s="15" t="s">
        <v>8383</v>
      </c>
    </row>
    <row r="81" hidden="1">
      <c r="A81" s="11" t="s">
        <v>8986</v>
      </c>
      <c r="B81" s="15" t="s">
        <v>8987</v>
      </c>
      <c r="C81" s="20" t="s">
        <v>8988</v>
      </c>
      <c r="D81" s="15" t="s">
        <v>8387</v>
      </c>
      <c r="F81" s="13"/>
      <c r="G81" s="13" t="s">
        <v>5674</v>
      </c>
      <c r="H81" s="73"/>
      <c r="J81" s="73"/>
    </row>
    <row r="82" hidden="1">
      <c r="A82" s="11" t="s">
        <v>8986</v>
      </c>
      <c r="B82" s="15" t="s">
        <v>8989</v>
      </c>
      <c r="C82" s="20" t="s">
        <v>8990</v>
      </c>
      <c r="D82" s="15" t="s">
        <v>8387</v>
      </c>
      <c r="F82" s="13"/>
      <c r="G82" s="13" t="s">
        <v>5674</v>
      </c>
      <c r="H82" s="73"/>
      <c r="J82" s="73"/>
    </row>
    <row r="83" hidden="1">
      <c r="A83" s="11" t="s">
        <v>8986</v>
      </c>
      <c r="B83" s="15" t="s">
        <v>8991</v>
      </c>
      <c r="C83" s="20" t="s">
        <v>8992</v>
      </c>
      <c r="D83" s="15" t="s">
        <v>8387</v>
      </c>
      <c r="F83" s="13"/>
      <c r="G83" s="13" t="s">
        <v>5674</v>
      </c>
      <c r="H83" s="73"/>
      <c r="J83" s="73"/>
    </row>
    <row r="84" hidden="1">
      <c r="A84" s="11" t="s">
        <v>8986</v>
      </c>
      <c r="B84" s="15" t="s">
        <v>8993</v>
      </c>
      <c r="C84" s="20" t="s">
        <v>8994</v>
      </c>
      <c r="D84" s="15" t="s">
        <v>8387</v>
      </c>
      <c r="F84" s="13"/>
      <c r="G84" s="13" t="s">
        <v>5674</v>
      </c>
      <c r="H84" s="73"/>
      <c r="J84" s="73"/>
    </row>
    <row r="85" hidden="1">
      <c r="A85" s="11" t="s">
        <v>8986</v>
      </c>
      <c r="B85" s="15" t="s">
        <v>8995</v>
      </c>
      <c r="C85" s="20" t="s">
        <v>8996</v>
      </c>
      <c r="D85" s="15" t="s">
        <v>8387</v>
      </c>
      <c r="F85" s="13"/>
      <c r="G85" s="13" t="s">
        <v>5674</v>
      </c>
      <c r="H85" s="73"/>
      <c r="J85" s="73"/>
    </row>
    <row r="86" hidden="1">
      <c r="A86" s="11" t="s">
        <v>8986</v>
      </c>
      <c r="B86" s="15" t="s">
        <v>8997</v>
      </c>
      <c r="C86" s="20" t="s">
        <v>8998</v>
      </c>
      <c r="D86" s="15" t="s">
        <v>8387</v>
      </c>
      <c r="F86" s="13"/>
      <c r="G86" s="13" t="s">
        <v>5674</v>
      </c>
      <c r="H86" s="73"/>
      <c r="J86" s="73"/>
    </row>
    <row r="87" hidden="1">
      <c r="A87" s="11" t="s">
        <v>8986</v>
      </c>
      <c r="B87" s="15" t="s">
        <v>8999</v>
      </c>
      <c r="C87" s="20" t="s">
        <v>9000</v>
      </c>
      <c r="D87" s="15" t="s">
        <v>8387</v>
      </c>
      <c r="F87" s="13"/>
      <c r="G87" s="13" t="s">
        <v>5674</v>
      </c>
      <c r="H87" s="73"/>
      <c r="J87" s="73"/>
    </row>
    <row r="88" hidden="1">
      <c r="A88" s="11" t="s">
        <v>8986</v>
      </c>
      <c r="B88" s="15" t="s">
        <v>9001</v>
      </c>
      <c r="C88" s="20" t="s">
        <v>9002</v>
      </c>
      <c r="D88" s="15" t="s">
        <v>8387</v>
      </c>
      <c r="F88" s="13"/>
      <c r="G88" s="13" t="s">
        <v>5674</v>
      </c>
      <c r="H88" s="73"/>
      <c r="J88" s="73"/>
    </row>
    <row r="89" hidden="1">
      <c r="A89" s="11" t="s">
        <v>8986</v>
      </c>
      <c r="B89" s="15" t="s">
        <v>9003</v>
      </c>
      <c r="C89" s="20" t="s">
        <v>9004</v>
      </c>
      <c r="D89" s="15" t="s">
        <v>8387</v>
      </c>
      <c r="F89" s="13"/>
      <c r="G89" s="13" t="s">
        <v>5674</v>
      </c>
      <c r="H89" s="73"/>
      <c r="J89" s="73"/>
    </row>
    <row r="90" hidden="1">
      <c r="A90" s="11" t="s">
        <v>8986</v>
      </c>
      <c r="B90" s="15" t="s">
        <v>9005</v>
      </c>
      <c r="C90" s="20" t="s">
        <v>9006</v>
      </c>
      <c r="D90" s="15" t="s">
        <v>8387</v>
      </c>
      <c r="F90" s="13"/>
      <c r="G90" s="13" t="s">
        <v>5674</v>
      </c>
      <c r="H90" s="73"/>
      <c r="J90" s="73"/>
    </row>
    <row r="91" hidden="1">
      <c r="A91" s="11" t="s">
        <v>8986</v>
      </c>
      <c r="B91" s="15" t="s">
        <v>9007</v>
      </c>
      <c r="C91" s="20" t="s">
        <v>9008</v>
      </c>
      <c r="D91" s="15" t="s">
        <v>8387</v>
      </c>
      <c r="F91" s="13"/>
      <c r="G91" s="13" t="s">
        <v>5674</v>
      </c>
      <c r="H91" s="73"/>
      <c r="J91" s="73"/>
    </row>
    <row r="92" hidden="1">
      <c r="A92" s="11" t="s">
        <v>8986</v>
      </c>
      <c r="B92" s="15" t="s">
        <v>9009</v>
      </c>
      <c r="C92" s="20" t="s">
        <v>9010</v>
      </c>
      <c r="D92" s="15" t="s">
        <v>8387</v>
      </c>
      <c r="F92" s="13"/>
      <c r="G92" s="13" t="s">
        <v>5674</v>
      </c>
      <c r="H92" s="73"/>
      <c r="J92" s="73"/>
    </row>
    <row r="93" hidden="1">
      <c r="A93" s="11" t="s">
        <v>8986</v>
      </c>
      <c r="B93" s="15" t="s">
        <v>9011</v>
      </c>
      <c r="C93" s="20" t="s">
        <v>9012</v>
      </c>
      <c r="D93" s="15" t="s">
        <v>8387</v>
      </c>
      <c r="F93" s="13"/>
      <c r="G93" s="13" t="s">
        <v>5674</v>
      </c>
      <c r="H93" s="73"/>
      <c r="J93" s="73"/>
    </row>
    <row r="94" hidden="1">
      <c r="A94" s="11" t="s">
        <v>8986</v>
      </c>
      <c r="B94" s="15" t="s">
        <v>9013</v>
      </c>
      <c r="C94" s="20" t="s">
        <v>9014</v>
      </c>
      <c r="D94" s="15" t="s">
        <v>8387</v>
      </c>
      <c r="F94" s="13"/>
      <c r="G94" s="13" t="s">
        <v>5674</v>
      </c>
      <c r="H94" s="73"/>
      <c r="J94" s="73"/>
    </row>
    <row r="95" hidden="1">
      <c r="A95" s="11" t="s">
        <v>8986</v>
      </c>
      <c r="B95" s="10" t="s">
        <v>9015</v>
      </c>
      <c r="C95" s="13" t="s">
        <v>9016</v>
      </c>
      <c r="D95" s="15" t="s">
        <v>8387</v>
      </c>
      <c r="F95" s="13"/>
      <c r="G95" s="13" t="s">
        <v>5674</v>
      </c>
      <c r="H95" s="73"/>
      <c r="J95" s="73"/>
    </row>
    <row r="96" hidden="1">
      <c r="A96" s="11" t="s">
        <v>8986</v>
      </c>
      <c r="B96" s="15" t="s">
        <v>9017</v>
      </c>
      <c r="C96" s="20" t="s">
        <v>9018</v>
      </c>
      <c r="D96" s="15" t="s">
        <v>8387</v>
      </c>
      <c r="F96" s="13"/>
      <c r="G96" s="13" t="s">
        <v>5674</v>
      </c>
      <c r="H96" s="73"/>
      <c r="J96" s="73"/>
    </row>
    <row r="97" hidden="1">
      <c r="A97" s="11" t="s">
        <v>8986</v>
      </c>
      <c r="B97" s="15" t="s">
        <v>9019</v>
      </c>
      <c r="C97" s="20" t="s">
        <v>9020</v>
      </c>
      <c r="D97" s="15" t="s">
        <v>8387</v>
      </c>
      <c r="F97" s="13"/>
      <c r="G97" s="13" t="s">
        <v>5674</v>
      </c>
      <c r="H97" s="73"/>
      <c r="J97" s="73"/>
    </row>
    <row r="98" hidden="1">
      <c r="A98" s="11" t="s">
        <v>8986</v>
      </c>
      <c r="B98" s="15" t="s">
        <v>9021</v>
      </c>
      <c r="C98" s="20" t="s">
        <v>9022</v>
      </c>
      <c r="D98" s="15" t="s">
        <v>8387</v>
      </c>
      <c r="F98" s="13"/>
      <c r="G98" s="13" t="s">
        <v>5674</v>
      </c>
      <c r="H98" s="73"/>
      <c r="J98" s="73"/>
    </row>
    <row r="99" hidden="1">
      <c r="A99" s="11" t="s">
        <v>8986</v>
      </c>
      <c r="B99" s="15" t="s">
        <v>9023</v>
      </c>
      <c r="C99" s="20" t="s">
        <v>9024</v>
      </c>
      <c r="D99" s="15" t="s">
        <v>8387</v>
      </c>
      <c r="F99" s="13"/>
      <c r="G99" s="13" t="s">
        <v>5674</v>
      </c>
      <c r="H99" s="73"/>
      <c r="J99" s="73"/>
    </row>
    <row r="100" hidden="1">
      <c r="A100" s="11" t="s">
        <v>8986</v>
      </c>
      <c r="B100" s="15" t="s">
        <v>9025</v>
      </c>
      <c r="C100" s="20" t="s">
        <v>9026</v>
      </c>
      <c r="D100" s="15" t="s">
        <v>8387</v>
      </c>
      <c r="F100" s="13"/>
      <c r="G100" s="13" t="s">
        <v>5674</v>
      </c>
      <c r="H100" s="73"/>
      <c r="J100" s="73"/>
    </row>
    <row r="101" hidden="1">
      <c r="A101" s="11" t="s">
        <v>8986</v>
      </c>
      <c r="B101" s="15" t="s">
        <v>9027</v>
      </c>
      <c r="C101" s="20" t="s">
        <v>9028</v>
      </c>
      <c r="D101" s="15" t="s">
        <v>8387</v>
      </c>
      <c r="F101" s="13"/>
      <c r="G101" s="13" t="s">
        <v>5674</v>
      </c>
      <c r="H101" s="73"/>
      <c r="J101" s="73"/>
    </row>
    <row r="102" hidden="1">
      <c r="A102" s="11" t="s">
        <v>8986</v>
      </c>
      <c r="B102" s="15" t="s">
        <v>9029</v>
      </c>
      <c r="C102" s="20" t="s">
        <v>9030</v>
      </c>
      <c r="D102" s="15" t="s">
        <v>8387</v>
      </c>
      <c r="F102" s="13"/>
      <c r="G102" s="13" t="s">
        <v>5674</v>
      </c>
      <c r="H102" s="73"/>
      <c r="J102" s="73"/>
    </row>
    <row r="103" hidden="1">
      <c r="A103" s="11" t="s">
        <v>8986</v>
      </c>
      <c r="B103" s="15" t="s">
        <v>9031</v>
      </c>
      <c r="C103" s="20" t="s">
        <v>9032</v>
      </c>
      <c r="D103" s="15" t="s">
        <v>8387</v>
      </c>
      <c r="F103" s="13"/>
      <c r="G103" s="13" t="s">
        <v>5674</v>
      </c>
      <c r="H103" s="73"/>
      <c r="J103" s="73"/>
    </row>
    <row r="104" hidden="1">
      <c r="A104" s="11" t="s">
        <v>8986</v>
      </c>
      <c r="B104" s="15" t="s">
        <v>9033</v>
      </c>
      <c r="C104" s="20" t="s">
        <v>9034</v>
      </c>
      <c r="D104" s="15" t="s">
        <v>8387</v>
      </c>
      <c r="F104" s="13"/>
      <c r="G104" s="13" t="s">
        <v>5674</v>
      </c>
      <c r="H104" s="73"/>
      <c r="J104" s="73"/>
    </row>
    <row r="105" hidden="1">
      <c r="A105" s="11" t="s">
        <v>8986</v>
      </c>
      <c r="B105" s="15" t="s">
        <v>9035</v>
      </c>
      <c r="C105" s="20" t="s">
        <v>9036</v>
      </c>
      <c r="D105" s="15" t="s">
        <v>8387</v>
      </c>
      <c r="F105" s="13"/>
      <c r="G105" s="13" t="s">
        <v>5674</v>
      </c>
      <c r="H105" s="73"/>
      <c r="J105" s="73"/>
    </row>
    <row r="106" hidden="1">
      <c r="A106" s="11" t="s">
        <v>8986</v>
      </c>
      <c r="B106" s="15" t="s">
        <v>8956</v>
      </c>
      <c r="C106" s="20" t="s">
        <v>9037</v>
      </c>
      <c r="D106" s="15" t="s">
        <v>8387</v>
      </c>
    </row>
    <row r="107" hidden="1">
      <c r="A107" s="11" t="s">
        <v>8986</v>
      </c>
      <c r="B107" s="15" t="s">
        <v>9038</v>
      </c>
      <c r="C107" s="20" t="s">
        <v>9039</v>
      </c>
      <c r="D107" s="15" t="s">
        <v>8387</v>
      </c>
    </row>
    <row r="108" hidden="1">
      <c r="A108" s="11" t="s">
        <v>8986</v>
      </c>
      <c r="B108" s="15" t="s">
        <v>8958</v>
      </c>
      <c r="C108" s="20" t="s">
        <v>9040</v>
      </c>
      <c r="D108" s="15" t="s">
        <v>8387</v>
      </c>
    </row>
    <row r="109" hidden="1">
      <c r="A109" s="11" t="s">
        <v>8986</v>
      </c>
      <c r="B109" s="15" t="s">
        <v>9041</v>
      </c>
      <c r="C109" s="20" t="s">
        <v>9042</v>
      </c>
      <c r="D109" s="15" t="s">
        <v>8387</v>
      </c>
    </row>
    <row r="110" hidden="1">
      <c r="A110" s="11" t="s">
        <v>8986</v>
      </c>
      <c r="B110" s="15" t="s">
        <v>8960</v>
      </c>
      <c r="C110" s="20" t="s">
        <v>9043</v>
      </c>
      <c r="D110" s="15" t="s">
        <v>8387</v>
      </c>
    </row>
    <row r="111" hidden="1">
      <c r="A111" s="11" t="s">
        <v>8986</v>
      </c>
      <c r="B111" s="15" t="s">
        <v>9044</v>
      </c>
      <c r="C111" s="20" t="s">
        <v>9045</v>
      </c>
      <c r="D111" s="15" t="s">
        <v>8387</v>
      </c>
    </row>
    <row r="112" hidden="1">
      <c r="A112" s="11" t="s">
        <v>8986</v>
      </c>
      <c r="B112" s="10" t="s">
        <v>8964</v>
      </c>
      <c r="C112" s="13" t="s">
        <v>9046</v>
      </c>
      <c r="D112" s="15" t="s">
        <v>8387</v>
      </c>
    </row>
    <row r="113" hidden="1">
      <c r="A113" s="11" t="s">
        <v>8986</v>
      </c>
      <c r="B113" s="15" t="s">
        <v>8966</v>
      </c>
      <c r="C113" s="20" t="s">
        <v>9047</v>
      </c>
      <c r="D113" s="15" t="s">
        <v>8387</v>
      </c>
    </row>
    <row r="114" hidden="1">
      <c r="A114" s="11" t="s">
        <v>8986</v>
      </c>
      <c r="B114" s="15" t="s">
        <v>8968</v>
      </c>
      <c r="C114" s="20" t="s">
        <v>9048</v>
      </c>
      <c r="D114" s="15" t="s">
        <v>8387</v>
      </c>
    </row>
    <row r="115" hidden="1">
      <c r="A115" s="11" t="s">
        <v>8986</v>
      </c>
      <c r="B115" s="15" t="s">
        <v>8970</v>
      </c>
      <c r="C115" s="20" t="s">
        <v>9049</v>
      </c>
      <c r="D115" s="15" t="s">
        <v>8387</v>
      </c>
    </row>
    <row r="116" hidden="1">
      <c r="A116" s="11" t="s">
        <v>8986</v>
      </c>
      <c r="B116" s="15" t="s">
        <v>9050</v>
      </c>
      <c r="C116" s="20" t="s">
        <v>9051</v>
      </c>
      <c r="D116" s="15" t="s">
        <v>8387</v>
      </c>
    </row>
    <row r="117" hidden="1">
      <c r="A117" s="11" t="s">
        <v>8986</v>
      </c>
      <c r="B117" s="15" t="s">
        <v>8972</v>
      </c>
      <c r="C117" s="20" t="s">
        <v>9052</v>
      </c>
      <c r="D117" s="15" t="s">
        <v>8387</v>
      </c>
    </row>
    <row r="118" hidden="1">
      <c r="A118" s="11" t="s">
        <v>8986</v>
      </c>
      <c r="B118" s="15" t="s">
        <v>8976</v>
      </c>
      <c r="C118" s="20" t="s">
        <v>9053</v>
      </c>
      <c r="D118" s="15" t="s">
        <v>8387</v>
      </c>
    </row>
    <row r="119" hidden="1">
      <c r="A119" s="11" t="s">
        <v>8986</v>
      </c>
      <c r="B119" s="15" t="s">
        <v>8980</v>
      </c>
      <c r="C119" s="20" t="s">
        <v>9054</v>
      </c>
      <c r="D119" s="15" t="s">
        <v>8387</v>
      </c>
    </row>
    <row r="120" hidden="1">
      <c r="A120" s="11" t="s">
        <v>8986</v>
      </c>
      <c r="B120" s="15" t="s">
        <v>9055</v>
      </c>
      <c r="C120" s="20" t="s">
        <v>9056</v>
      </c>
      <c r="D120" s="15" t="s">
        <v>8387</v>
      </c>
    </row>
    <row r="121" hidden="1">
      <c r="A121" s="11" t="s">
        <v>8986</v>
      </c>
      <c r="B121" s="15" t="s">
        <v>8984</v>
      </c>
      <c r="C121" s="20" t="s">
        <v>9057</v>
      </c>
      <c r="D121" s="15" t="s">
        <v>8387</v>
      </c>
    </row>
    <row r="122" hidden="1">
      <c r="A122" s="12" t="s">
        <v>6796</v>
      </c>
      <c r="B122" s="10" t="s">
        <v>9058</v>
      </c>
      <c r="C122" s="20" t="s">
        <v>6798</v>
      </c>
      <c r="D122" s="15" t="s">
        <v>5767</v>
      </c>
      <c r="F122" s="13"/>
      <c r="G122" s="13" t="s">
        <v>5674</v>
      </c>
    </row>
    <row r="123" hidden="1">
      <c r="A123" s="12" t="s">
        <v>6796</v>
      </c>
      <c r="B123" s="10" t="s">
        <v>9059</v>
      </c>
      <c r="C123" s="20" t="s">
        <v>6799</v>
      </c>
      <c r="D123" s="15" t="s">
        <v>5767</v>
      </c>
      <c r="F123" s="13"/>
      <c r="G123" s="13" t="s">
        <v>5674</v>
      </c>
    </row>
    <row r="124" hidden="1">
      <c r="A124" s="12" t="s">
        <v>6796</v>
      </c>
      <c r="B124" s="10" t="s">
        <v>9060</v>
      </c>
      <c r="C124" s="20" t="s">
        <v>6800</v>
      </c>
      <c r="D124" s="15" t="s">
        <v>5767</v>
      </c>
      <c r="F124" s="13"/>
      <c r="G124" s="13" t="s">
        <v>5674</v>
      </c>
    </row>
    <row r="125" hidden="1">
      <c r="A125" s="12" t="s">
        <v>6796</v>
      </c>
      <c r="B125" s="10" t="s">
        <v>9061</v>
      </c>
      <c r="C125" s="20" t="s">
        <v>6802</v>
      </c>
      <c r="D125" s="15" t="s">
        <v>5767</v>
      </c>
      <c r="F125" s="13"/>
      <c r="G125" s="13" t="s">
        <v>5674</v>
      </c>
    </row>
    <row r="126" hidden="1">
      <c r="A126" s="12" t="s">
        <v>6796</v>
      </c>
      <c r="B126" s="10" t="s">
        <v>9062</v>
      </c>
      <c r="C126" s="20" t="s">
        <v>6803</v>
      </c>
      <c r="D126" s="15" t="s">
        <v>5767</v>
      </c>
      <c r="F126" s="13"/>
      <c r="G126" s="13" t="s">
        <v>5674</v>
      </c>
    </row>
    <row r="127" hidden="1">
      <c r="A127" s="12" t="s">
        <v>6796</v>
      </c>
      <c r="B127" s="10" t="s">
        <v>9063</v>
      </c>
      <c r="C127" s="20" t="s">
        <v>6804</v>
      </c>
      <c r="D127" s="15" t="s">
        <v>5767</v>
      </c>
      <c r="F127" s="13"/>
      <c r="G127" s="13" t="s">
        <v>5674</v>
      </c>
    </row>
    <row r="128" hidden="1">
      <c r="A128" s="12" t="s">
        <v>6796</v>
      </c>
      <c r="B128" s="10" t="s">
        <v>9064</v>
      </c>
      <c r="C128" s="20" t="s">
        <v>6805</v>
      </c>
      <c r="D128" s="15" t="s">
        <v>5767</v>
      </c>
      <c r="F128" s="13"/>
      <c r="G128" s="13" t="s">
        <v>5674</v>
      </c>
    </row>
    <row r="129" hidden="1">
      <c r="A129" s="12" t="s">
        <v>6796</v>
      </c>
      <c r="B129" s="10" t="s">
        <v>9065</v>
      </c>
      <c r="C129" s="20" t="s">
        <v>6808</v>
      </c>
      <c r="D129" s="15" t="s">
        <v>5767</v>
      </c>
      <c r="F129" s="13"/>
      <c r="G129" s="13" t="s">
        <v>5674</v>
      </c>
    </row>
    <row r="130" hidden="1">
      <c r="A130" s="12" t="s">
        <v>6796</v>
      </c>
      <c r="B130" s="10" t="s">
        <v>9066</v>
      </c>
      <c r="C130" s="20" t="s">
        <v>6809</v>
      </c>
      <c r="D130" s="15" t="s">
        <v>5767</v>
      </c>
      <c r="F130" s="13"/>
      <c r="G130" s="13" t="s">
        <v>5674</v>
      </c>
    </row>
    <row r="131" hidden="1">
      <c r="A131" s="12" t="s">
        <v>6796</v>
      </c>
      <c r="B131" s="10" t="s">
        <v>9067</v>
      </c>
      <c r="C131" s="20" t="s">
        <v>6810</v>
      </c>
      <c r="D131" s="15" t="s">
        <v>5767</v>
      </c>
      <c r="F131" s="13"/>
      <c r="G131" s="13" t="s">
        <v>5674</v>
      </c>
    </row>
    <row r="132" hidden="1">
      <c r="A132" s="12" t="s">
        <v>6796</v>
      </c>
      <c r="B132" s="10" t="s">
        <v>9068</v>
      </c>
      <c r="C132" s="20" t="s">
        <v>6811</v>
      </c>
      <c r="D132" s="15" t="s">
        <v>5767</v>
      </c>
      <c r="F132" s="13"/>
      <c r="G132" s="13" t="s">
        <v>5674</v>
      </c>
    </row>
    <row r="133" hidden="1">
      <c r="A133" s="12" t="s">
        <v>6796</v>
      </c>
      <c r="B133" s="10" t="s">
        <v>9069</v>
      </c>
      <c r="C133" s="13" t="s">
        <v>6812</v>
      </c>
      <c r="D133" s="15" t="s">
        <v>5767</v>
      </c>
      <c r="F133" s="13"/>
      <c r="G133" s="13" t="s">
        <v>5674</v>
      </c>
    </row>
    <row r="134" hidden="1">
      <c r="A134" s="12" t="s">
        <v>6796</v>
      </c>
      <c r="B134" s="10" t="s">
        <v>9070</v>
      </c>
      <c r="C134" s="20" t="s">
        <v>6813</v>
      </c>
      <c r="D134" s="15" t="s">
        <v>5767</v>
      </c>
      <c r="F134" s="13"/>
      <c r="G134" s="13" t="s">
        <v>5674</v>
      </c>
    </row>
    <row r="135" hidden="1">
      <c r="A135" s="12" t="s">
        <v>6796</v>
      </c>
      <c r="B135" s="10" t="s">
        <v>9071</v>
      </c>
      <c r="C135" s="20" t="s">
        <v>6814</v>
      </c>
      <c r="D135" s="15" t="s">
        <v>5767</v>
      </c>
      <c r="F135" s="13"/>
      <c r="G135" s="13" t="s">
        <v>5674</v>
      </c>
    </row>
    <row r="136" hidden="1">
      <c r="A136" s="12" t="s">
        <v>6796</v>
      </c>
      <c r="B136" s="10" t="s">
        <v>9072</v>
      </c>
      <c r="C136" s="20" t="s">
        <v>6815</v>
      </c>
      <c r="D136" s="15" t="s">
        <v>5767</v>
      </c>
      <c r="F136" s="13"/>
      <c r="G136" s="13" t="s">
        <v>5674</v>
      </c>
    </row>
    <row r="137" hidden="1">
      <c r="A137" s="12" t="s">
        <v>6796</v>
      </c>
      <c r="B137" s="10" t="s">
        <v>9073</v>
      </c>
      <c r="C137" s="20" t="s">
        <v>6816</v>
      </c>
      <c r="D137" s="15" t="s">
        <v>5767</v>
      </c>
      <c r="F137" s="13"/>
      <c r="G137" s="13" t="s">
        <v>5674</v>
      </c>
    </row>
    <row r="138" hidden="1">
      <c r="A138" s="12" t="s">
        <v>6796</v>
      </c>
      <c r="B138" s="10" t="s">
        <v>9074</v>
      </c>
      <c r="C138" s="20" t="s">
        <v>6817</v>
      </c>
      <c r="D138" s="15" t="s">
        <v>5767</v>
      </c>
      <c r="F138" s="13"/>
      <c r="G138" s="13" t="s">
        <v>5674</v>
      </c>
    </row>
    <row r="139" hidden="1">
      <c r="A139" s="12" t="s">
        <v>6796</v>
      </c>
      <c r="B139" s="10" t="s">
        <v>9075</v>
      </c>
      <c r="C139" s="20" t="s">
        <v>6818</v>
      </c>
      <c r="D139" s="15" t="s">
        <v>5767</v>
      </c>
      <c r="F139" s="13"/>
      <c r="G139" s="13" t="s">
        <v>5674</v>
      </c>
    </row>
    <row r="140" hidden="1">
      <c r="A140" s="12" t="s">
        <v>6796</v>
      </c>
      <c r="B140" s="10" t="s">
        <v>9076</v>
      </c>
      <c r="C140" s="20" t="s">
        <v>6819</v>
      </c>
      <c r="D140" s="15" t="s">
        <v>5767</v>
      </c>
      <c r="F140" s="13"/>
      <c r="G140" s="13" t="s">
        <v>5674</v>
      </c>
    </row>
    <row r="141" hidden="1">
      <c r="A141" s="12" t="s">
        <v>6796</v>
      </c>
      <c r="B141" s="10" t="s">
        <v>9077</v>
      </c>
      <c r="C141" s="20" t="s">
        <v>6820</v>
      </c>
      <c r="D141" s="15" t="s">
        <v>5767</v>
      </c>
      <c r="F141" s="13"/>
      <c r="G141" s="13" t="s">
        <v>5674</v>
      </c>
    </row>
    <row r="142" hidden="1">
      <c r="A142" s="12" t="s">
        <v>6796</v>
      </c>
      <c r="B142" s="10" t="s">
        <v>9078</v>
      </c>
      <c r="C142" s="20" t="s">
        <v>6821</v>
      </c>
      <c r="D142" s="15" t="s">
        <v>5767</v>
      </c>
      <c r="F142" s="13"/>
      <c r="G142" s="13" t="s">
        <v>5674</v>
      </c>
    </row>
    <row r="143" hidden="1">
      <c r="A143" s="12" t="s">
        <v>6796</v>
      </c>
      <c r="B143" s="10" t="s">
        <v>9079</v>
      </c>
      <c r="C143" s="20" t="s">
        <v>6822</v>
      </c>
      <c r="D143" s="15" t="s">
        <v>5767</v>
      </c>
      <c r="F143" s="13"/>
      <c r="G143" s="13" t="s">
        <v>5674</v>
      </c>
    </row>
    <row r="144" hidden="1">
      <c r="A144" s="12" t="s">
        <v>6796</v>
      </c>
      <c r="B144" s="10" t="s">
        <v>9080</v>
      </c>
      <c r="C144" s="13" t="s">
        <v>6823</v>
      </c>
      <c r="D144" s="15" t="s">
        <v>5767</v>
      </c>
      <c r="F144" s="13"/>
      <c r="G144" s="13" t="s">
        <v>5674</v>
      </c>
    </row>
    <row r="145" hidden="1">
      <c r="A145" s="12" t="s">
        <v>6796</v>
      </c>
      <c r="B145" s="10" t="s">
        <v>9081</v>
      </c>
      <c r="C145" s="20" t="s">
        <v>6824</v>
      </c>
      <c r="D145" s="15" t="s">
        <v>5767</v>
      </c>
      <c r="F145" s="13"/>
      <c r="G145" s="13" t="s">
        <v>5674</v>
      </c>
    </row>
    <row r="146" hidden="1">
      <c r="A146" s="12" t="s">
        <v>6796</v>
      </c>
      <c r="B146" s="10" t="s">
        <v>9082</v>
      </c>
      <c r="C146" s="20" t="s">
        <v>6825</v>
      </c>
      <c r="D146" s="15" t="s">
        <v>5767</v>
      </c>
      <c r="F146" s="13"/>
      <c r="G146" s="13" t="s">
        <v>5674</v>
      </c>
    </row>
    <row r="147" hidden="1">
      <c r="A147" s="12" t="s">
        <v>6796</v>
      </c>
      <c r="B147" s="15" t="s">
        <v>8956</v>
      </c>
      <c r="C147" s="20" t="s">
        <v>9083</v>
      </c>
      <c r="D147" s="15" t="s">
        <v>5767</v>
      </c>
    </row>
    <row r="148" hidden="1">
      <c r="A148" s="12" t="s">
        <v>6796</v>
      </c>
      <c r="B148" s="15" t="s">
        <v>9084</v>
      </c>
      <c r="C148" s="20" t="s">
        <v>9085</v>
      </c>
      <c r="D148" s="15" t="s">
        <v>5767</v>
      </c>
    </row>
    <row r="149" hidden="1">
      <c r="A149" s="12" t="s">
        <v>6796</v>
      </c>
      <c r="B149" s="15" t="s">
        <v>9086</v>
      </c>
      <c r="C149" s="20" t="s">
        <v>9087</v>
      </c>
      <c r="D149" s="15" t="s">
        <v>5767</v>
      </c>
    </row>
    <row r="150" hidden="1">
      <c r="A150" s="12" t="s">
        <v>6796</v>
      </c>
      <c r="B150" s="15" t="s">
        <v>9088</v>
      </c>
      <c r="C150" s="20" t="s">
        <v>9089</v>
      </c>
      <c r="D150" s="15" t="s">
        <v>5767</v>
      </c>
    </row>
    <row r="151" hidden="1">
      <c r="A151" s="12" t="s">
        <v>6796</v>
      </c>
      <c r="B151" s="15" t="s">
        <v>9041</v>
      </c>
      <c r="C151" s="20" t="s">
        <v>9090</v>
      </c>
      <c r="D151" s="15" t="s">
        <v>5767</v>
      </c>
    </row>
    <row r="152" hidden="1">
      <c r="A152" s="12" t="s">
        <v>6796</v>
      </c>
      <c r="B152" s="15" t="s">
        <v>8960</v>
      </c>
      <c r="C152" s="20" t="s">
        <v>9091</v>
      </c>
      <c r="D152" s="15" t="s">
        <v>5767</v>
      </c>
    </row>
    <row r="153" hidden="1">
      <c r="A153" s="12" t="s">
        <v>6796</v>
      </c>
      <c r="B153" s="15" t="s">
        <v>9092</v>
      </c>
      <c r="C153" s="20" t="s">
        <v>9093</v>
      </c>
      <c r="D153" s="15" t="s">
        <v>5767</v>
      </c>
    </row>
    <row r="154" hidden="1">
      <c r="A154" s="12" t="s">
        <v>6796</v>
      </c>
      <c r="B154" s="15" t="s">
        <v>8962</v>
      </c>
      <c r="C154" s="20" t="s">
        <v>9094</v>
      </c>
      <c r="D154" s="15" t="s">
        <v>5767</v>
      </c>
    </row>
    <row r="155" hidden="1">
      <c r="A155" s="12" t="s">
        <v>6796</v>
      </c>
      <c r="B155" s="15" t="s">
        <v>8966</v>
      </c>
      <c r="C155" s="20" t="s">
        <v>9095</v>
      </c>
      <c r="D155" s="15" t="s">
        <v>5767</v>
      </c>
    </row>
    <row r="156" hidden="1">
      <c r="A156" s="12" t="s">
        <v>6796</v>
      </c>
      <c r="B156" s="15" t="s">
        <v>8968</v>
      </c>
      <c r="C156" s="20" t="s">
        <v>9096</v>
      </c>
      <c r="D156" s="15" t="s">
        <v>5767</v>
      </c>
    </row>
    <row r="157" hidden="1">
      <c r="A157" s="12" t="s">
        <v>6796</v>
      </c>
      <c r="B157" s="15" t="s">
        <v>8970</v>
      </c>
      <c r="C157" s="20" t="s">
        <v>9097</v>
      </c>
      <c r="D157" s="15" t="s">
        <v>5767</v>
      </c>
    </row>
    <row r="158" hidden="1">
      <c r="A158" s="12" t="s">
        <v>6796</v>
      </c>
      <c r="B158" s="15" t="s">
        <v>8976</v>
      </c>
      <c r="C158" s="20" t="s">
        <v>9098</v>
      </c>
      <c r="D158" s="15" t="s">
        <v>5767</v>
      </c>
    </row>
    <row r="159" hidden="1">
      <c r="A159" s="12" t="s">
        <v>6796</v>
      </c>
      <c r="B159" s="15" t="s">
        <v>8978</v>
      </c>
      <c r="C159" s="20" t="s">
        <v>9099</v>
      </c>
      <c r="D159" s="15" t="s">
        <v>5767</v>
      </c>
    </row>
    <row r="160" hidden="1">
      <c r="A160" s="12" t="s">
        <v>6796</v>
      </c>
      <c r="B160" s="15" t="s">
        <v>8980</v>
      </c>
      <c r="C160" s="20" t="s">
        <v>9100</v>
      </c>
      <c r="D160" s="15" t="s">
        <v>5767</v>
      </c>
    </row>
    <row r="161" hidden="1">
      <c r="A161" s="12" t="s">
        <v>6796</v>
      </c>
      <c r="B161" s="15" t="s">
        <v>8982</v>
      </c>
      <c r="C161" s="20" t="s">
        <v>9101</v>
      </c>
      <c r="D161" s="15" t="s">
        <v>5767</v>
      </c>
    </row>
    <row r="162" hidden="1">
      <c r="A162" s="12" t="s">
        <v>6796</v>
      </c>
      <c r="B162" s="15" t="s">
        <v>9102</v>
      </c>
      <c r="C162" s="20" t="s">
        <v>9103</v>
      </c>
      <c r="D162" s="15" t="s">
        <v>5767</v>
      </c>
    </row>
    <row r="163" hidden="1">
      <c r="A163" s="12" t="s">
        <v>6893</v>
      </c>
      <c r="B163" s="15" t="s">
        <v>8987</v>
      </c>
      <c r="C163" s="20" t="s">
        <v>6894</v>
      </c>
      <c r="D163" s="15" t="s">
        <v>8389</v>
      </c>
      <c r="F163" s="13"/>
      <c r="G163" s="13" t="s">
        <v>5674</v>
      </c>
      <c r="H163" s="73"/>
      <c r="J163" s="73"/>
    </row>
    <row r="164" hidden="1">
      <c r="A164" s="12" t="s">
        <v>6893</v>
      </c>
      <c r="B164" s="15" t="s">
        <v>8989</v>
      </c>
      <c r="C164" s="20" t="s">
        <v>6895</v>
      </c>
      <c r="D164" s="15" t="s">
        <v>8389</v>
      </c>
      <c r="F164" s="13"/>
      <c r="G164" s="13" t="s">
        <v>5674</v>
      </c>
      <c r="H164" s="73"/>
      <c r="J164" s="73"/>
    </row>
    <row r="165" hidden="1">
      <c r="A165" s="12" t="s">
        <v>6893</v>
      </c>
      <c r="B165" s="15" t="s">
        <v>8991</v>
      </c>
      <c r="C165" s="20" t="s">
        <v>6896</v>
      </c>
      <c r="D165" s="15" t="s">
        <v>8389</v>
      </c>
      <c r="F165" s="13"/>
      <c r="G165" s="13" t="s">
        <v>5674</v>
      </c>
      <c r="H165" s="73"/>
      <c r="J165" s="73"/>
    </row>
    <row r="166" hidden="1">
      <c r="A166" s="12" t="s">
        <v>6893</v>
      </c>
      <c r="B166" s="15" t="s">
        <v>8993</v>
      </c>
      <c r="C166" s="20" t="s">
        <v>6897</v>
      </c>
      <c r="D166" s="15" t="s">
        <v>8389</v>
      </c>
      <c r="F166" s="13"/>
      <c r="G166" s="13" t="s">
        <v>5674</v>
      </c>
      <c r="H166" s="73"/>
      <c r="J166" s="73"/>
    </row>
    <row r="167" hidden="1">
      <c r="A167" s="12" t="s">
        <v>6893</v>
      </c>
      <c r="B167" s="15" t="s">
        <v>8995</v>
      </c>
      <c r="C167" s="20" t="s">
        <v>6898</v>
      </c>
      <c r="D167" s="15" t="s">
        <v>8389</v>
      </c>
      <c r="F167" s="13"/>
      <c r="G167" s="13" t="s">
        <v>5674</v>
      </c>
      <c r="H167" s="73"/>
      <c r="J167" s="73"/>
    </row>
    <row r="168" hidden="1">
      <c r="A168" s="12" t="s">
        <v>6893</v>
      </c>
      <c r="B168" s="15" t="s">
        <v>8997</v>
      </c>
      <c r="C168" s="20" t="s">
        <v>6899</v>
      </c>
      <c r="D168" s="15" t="s">
        <v>8389</v>
      </c>
      <c r="F168" s="13"/>
      <c r="G168" s="13" t="s">
        <v>5674</v>
      </c>
      <c r="H168" s="73"/>
      <c r="J168" s="73"/>
    </row>
    <row r="169" hidden="1">
      <c r="A169" s="12" t="s">
        <v>6893</v>
      </c>
      <c r="B169" s="15" t="s">
        <v>8999</v>
      </c>
      <c r="C169" s="20" t="s">
        <v>6900</v>
      </c>
      <c r="D169" s="15" t="s">
        <v>8389</v>
      </c>
      <c r="F169" s="13"/>
      <c r="G169" s="13" t="s">
        <v>5674</v>
      </c>
      <c r="H169" s="73"/>
      <c r="J169" s="73"/>
    </row>
    <row r="170" hidden="1">
      <c r="A170" s="12" t="s">
        <v>6893</v>
      </c>
      <c r="B170" s="15" t="s">
        <v>9001</v>
      </c>
      <c r="C170" s="20" t="s">
        <v>6901</v>
      </c>
      <c r="D170" s="15" t="s">
        <v>8389</v>
      </c>
      <c r="F170" s="13"/>
      <c r="G170" s="13" t="s">
        <v>5674</v>
      </c>
      <c r="H170" s="73"/>
      <c r="J170" s="73"/>
    </row>
    <row r="171" hidden="1">
      <c r="A171" s="12" t="s">
        <v>6893</v>
      </c>
      <c r="B171" s="15" t="s">
        <v>9003</v>
      </c>
      <c r="C171" s="20" t="s">
        <v>6902</v>
      </c>
      <c r="D171" s="15" t="s">
        <v>8389</v>
      </c>
      <c r="F171" s="13"/>
      <c r="G171" s="13" t="s">
        <v>5674</v>
      </c>
      <c r="H171" s="73"/>
      <c r="J171" s="73"/>
    </row>
    <row r="172" hidden="1">
      <c r="A172" s="12" t="s">
        <v>6893</v>
      </c>
      <c r="B172" s="15" t="s">
        <v>9005</v>
      </c>
      <c r="C172" s="20" t="s">
        <v>6903</v>
      </c>
      <c r="D172" s="15" t="s">
        <v>8389</v>
      </c>
      <c r="F172" s="13"/>
      <c r="G172" s="13" t="s">
        <v>5674</v>
      </c>
      <c r="H172" s="73"/>
      <c r="J172" s="73"/>
    </row>
    <row r="173" hidden="1">
      <c r="A173" s="12" t="s">
        <v>6893</v>
      </c>
      <c r="B173" s="15" t="s">
        <v>9104</v>
      </c>
      <c r="C173" s="20" t="s">
        <v>6904</v>
      </c>
      <c r="D173" s="15" t="s">
        <v>8389</v>
      </c>
      <c r="F173" s="13"/>
      <c r="G173" s="13" t="s">
        <v>5674</v>
      </c>
      <c r="H173" s="73"/>
      <c r="J173" s="73"/>
    </row>
    <row r="174" hidden="1">
      <c r="A174" s="12" t="s">
        <v>6893</v>
      </c>
      <c r="B174" s="15" t="s">
        <v>9009</v>
      </c>
      <c r="C174" s="20" t="s">
        <v>6905</v>
      </c>
      <c r="D174" s="15" t="s">
        <v>8389</v>
      </c>
      <c r="F174" s="13"/>
      <c r="G174" s="13" t="s">
        <v>5674</v>
      </c>
      <c r="H174" s="73"/>
      <c r="J174" s="73"/>
    </row>
    <row r="175" hidden="1">
      <c r="A175" s="12" t="s">
        <v>6893</v>
      </c>
      <c r="B175" s="15" t="s">
        <v>9011</v>
      </c>
      <c r="C175" s="20" t="s">
        <v>6906</v>
      </c>
      <c r="D175" s="15" t="s">
        <v>8389</v>
      </c>
      <c r="F175" s="13"/>
      <c r="G175" s="13" t="s">
        <v>5674</v>
      </c>
      <c r="H175" s="73"/>
      <c r="J175" s="73"/>
    </row>
    <row r="176" hidden="1">
      <c r="A176" s="12" t="s">
        <v>6893</v>
      </c>
      <c r="B176" s="15" t="s">
        <v>9013</v>
      </c>
      <c r="C176" s="20" t="s">
        <v>6907</v>
      </c>
      <c r="D176" s="15" t="s">
        <v>8389</v>
      </c>
      <c r="F176" s="13"/>
      <c r="G176" s="13" t="s">
        <v>5674</v>
      </c>
      <c r="H176" s="73"/>
      <c r="J176" s="73"/>
    </row>
    <row r="177" hidden="1">
      <c r="A177" s="12" t="s">
        <v>6893</v>
      </c>
      <c r="B177" s="15" t="s">
        <v>9105</v>
      </c>
      <c r="C177" s="20" t="s">
        <v>6908</v>
      </c>
      <c r="D177" s="15" t="s">
        <v>8389</v>
      </c>
      <c r="F177" s="13"/>
      <c r="G177" s="13" t="s">
        <v>5674</v>
      </c>
      <c r="H177" s="73"/>
      <c r="J177" s="73"/>
    </row>
    <row r="178" hidden="1">
      <c r="A178" s="12" t="s">
        <v>6893</v>
      </c>
      <c r="B178" s="15" t="s">
        <v>9017</v>
      </c>
      <c r="C178" s="20" t="s">
        <v>6909</v>
      </c>
      <c r="D178" s="15" t="s">
        <v>8389</v>
      </c>
      <c r="F178" s="13"/>
      <c r="G178" s="13" t="s">
        <v>5674</v>
      </c>
      <c r="H178" s="73"/>
      <c r="J178" s="73"/>
    </row>
    <row r="179" hidden="1">
      <c r="A179" s="12" t="s">
        <v>6893</v>
      </c>
      <c r="B179" s="15" t="s">
        <v>9019</v>
      </c>
      <c r="C179" s="20" t="s">
        <v>6910</v>
      </c>
      <c r="D179" s="15" t="s">
        <v>8389</v>
      </c>
      <c r="F179" s="13"/>
      <c r="G179" s="13" t="s">
        <v>5674</v>
      </c>
      <c r="H179" s="73"/>
      <c r="J179" s="73"/>
    </row>
    <row r="180" hidden="1">
      <c r="A180" s="12" t="s">
        <v>6893</v>
      </c>
      <c r="B180" s="15" t="s">
        <v>9021</v>
      </c>
      <c r="C180" s="20" t="s">
        <v>6911</v>
      </c>
      <c r="D180" s="15" t="s">
        <v>8389</v>
      </c>
      <c r="F180" s="13"/>
      <c r="G180" s="13" t="s">
        <v>5674</v>
      </c>
      <c r="H180" s="73"/>
      <c r="J180" s="73"/>
    </row>
    <row r="181" hidden="1">
      <c r="A181" s="12" t="s">
        <v>6893</v>
      </c>
      <c r="B181" s="15" t="s">
        <v>9023</v>
      </c>
      <c r="C181" s="20" t="s">
        <v>6912</v>
      </c>
      <c r="D181" s="15" t="s">
        <v>8389</v>
      </c>
      <c r="F181" s="13"/>
      <c r="G181" s="13" t="s">
        <v>5674</v>
      </c>
      <c r="H181" s="73"/>
      <c r="J181" s="73"/>
    </row>
    <row r="182" hidden="1">
      <c r="A182" s="12" t="s">
        <v>6893</v>
      </c>
      <c r="B182" s="15" t="s">
        <v>9025</v>
      </c>
      <c r="C182" s="20" t="s">
        <v>6914</v>
      </c>
      <c r="D182" s="15" t="s">
        <v>8389</v>
      </c>
      <c r="F182" s="13"/>
      <c r="G182" s="13" t="s">
        <v>5674</v>
      </c>
      <c r="H182" s="73"/>
      <c r="J182" s="73"/>
    </row>
    <row r="183" hidden="1">
      <c r="A183" s="12" t="s">
        <v>6893</v>
      </c>
      <c r="B183" s="15" t="s">
        <v>9027</v>
      </c>
      <c r="C183" s="20" t="s">
        <v>6915</v>
      </c>
      <c r="D183" s="15" t="s">
        <v>8389</v>
      </c>
      <c r="F183" s="13"/>
      <c r="G183" s="13" t="s">
        <v>5674</v>
      </c>
      <c r="H183" s="73"/>
      <c r="J183" s="73"/>
    </row>
    <row r="184" hidden="1">
      <c r="A184" s="12" t="s">
        <v>6893</v>
      </c>
      <c r="B184" s="15" t="s">
        <v>9029</v>
      </c>
      <c r="C184" s="20" t="s">
        <v>6916</v>
      </c>
      <c r="D184" s="15" t="s">
        <v>8389</v>
      </c>
      <c r="F184" s="13"/>
      <c r="G184" s="13" t="s">
        <v>5674</v>
      </c>
      <c r="H184" s="73"/>
      <c r="J184" s="73"/>
    </row>
    <row r="185" hidden="1">
      <c r="A185" s="12" t="s">
        <v>6893</v>
      </c>
      <c r="B185" s="15" t="s">
        <v>9031</v>
      </c>
      <c r="C185" s="20" t="s">
        <v>6917</v>
      </c>
      <c r="D185" s="15" t="s">
        <v>8389</v>
      </c>
      <c r="F185" s="13"/>
      <c r="G185" s="13" t="s">
        <v>5674</v>
      </c>
      <c r="H185" s="73"/>
      <c r="J185" s="73"/>
    </row>
    <row r="186" hidden="1">
      <c r="A186" s="12" t="s">
        <v>6893</v>
      </c>
      <c r="B186" s="15" t="s">
        <v>9033</v>
      </c>
      <c r="C186" s="20" t="s">
        <v>6918</v>
      </c>
      <c r="D186" s="15" t="s">
        <v>8389</v>
      </c>
      <c r="F186" s="13"/>
      <c r="G186" s="13" t="s">
        <v>5674</v>
      </c>
      <c r="H186" s="73"/>
      <c r="J186" s="73"/>
    </row>
    <row r="187" hidden="1">
      <c r="A187" s="12" t="s">
        <v>6893</v>
      </c>
      <c r="B187" s="15" t="s">
        <v>9035</v>
      </c>
      <c r="C187" s="20" t="s">
        <v>6919</v>
      </c>
      <c r="D187" s="15" t="s">
        <v>8389</v>
      </c>
      <c r="F187" s="13"/>
      <c r="G187" s="13" t="s">
        <v>5674</v>
      </c>
      <c r="H187" s="73"/>
      <c r="J187" s="73"/>
    </row>
    <row r="188" hidden="1">
      <c r="A188" s="12" t="s">
        <v>6893</v>
      </c>
      <c r="B188" s="15" t="s">
        <v>9038</v>
      </c>
      <c r="C188" s="20" t="s">
        <v>9106</v>
      </c>
      <c r="D188" s="15" t="s">
        <v>8389</v>
      </c>
    </row>
    <row r="189" hidden="1">
      <c r="A189" s="12" t="s">
        <v>6893</v>
      </c>
      <c r="B189" s="15" t="s">
        <v>9107</v>
      </c>
      <c r="C189" s="20" t="s">
        <v>9108</v>
      </c>
      <c r="D189" s="15" t="s">
        <v>8389</v>
      </c>
    </row>
    <row r="190" hidden="1">
      <c r="A190" s="12" t="s">
        <v>6893</v>
      </c>
      <c r="B190" s="15" t="s">
        <v>9109</v>
      </c>
      <c r="C190" s="20" t="s">
        <v>9110</v>
      </c>
      <c r="D190" s="15" t="s">
        <v>8389</v>
      </c>
    </row>
    <row r="191" hidden="1">
      <c r="A191" s="12" t="s">
        <v>6893</v>
      </c>
      <c r="B191" s="15" t="s">
        <v>9044</v>
      </c>
      <c r="C191" s="20" t="s">
        <v>9111</v>
      </c>
      <c r="D191" s="15" t="s">
        <v>8389</v>
      </c>
    </row>
    <row r="192" hidden="1">
      <c r="A192" s="12" t="s">
        <v>6893</v>
      </c>
      <c r="B192" s="15" t="s">
        <v>9112</v>
      </c>
      <c r="C192" s="20" t="s">
        <v>9113</v>
      </c>
      <c r="D192" s="15" t="s">
        <v>8389</v>
      </c>
    </row>
    <row r="193" hidden="1">
      <c r="A193" s="12" t="s">
        <v>6893</v>
      </c>
      <c r="B193" s="15" t="s">
        <v>9114</v>
      </c>
      <c r="C193" s="20" t="s">
        <v>9115</v>
      </c>
      <c r="D193" s="15" t="s">
        <v>8389</v>
      </c>
    </row>
    <row r="194" hidden="1">
      <c r="A194" s="12" t="s">
        <v>6893</v>
      </c>
      <c r="B194" s="15" t="s">
        <v>9116</v>
      </c>
      <c r="C194" s="20" t="s">
        <v>9117</v>
      </c>
      <c r="D194" s="15" t="s">
        <v>8389</v>
      </c>
    </row>
    <row r="195" hidden="1">
      <c r="A195" s="12" t="s">
        <v>6893</v>
      </c>
      <c r="B195" s="15" t="s">
        <v>9118</v>
      </c>
      <c r="C195" s="20" t="s">
        <v>9119</v>
      </c>
      <c r="D195" s="15" t="s">
        <v>8389</v>
      </c>
    </row>
    <row r="196" hidden="1">
      <c r="A196" s="12" t="s">
        <v>6893</v>
      </c>
      <c r="B196" s="15" t="s">
        <v>8968</v>
      </c>
      <c r="C196" s="20" t="s">
        <v>9120</v>
      </c>
      <c r="D196" s="15" t="s">
        <v>8389</v>
      </c>
    </row>
    <row r="197" hidden="1">
      <c r="A197" s="12" t="s">
        <v>6893</v>
      </c>
      <c r="B197" s="15" t="s">
        <v>8972</v>
      </c>
      <c r="C197" s="20" t="s">
        <v>9121</v>
      </c>
      <c r="D197" s="15" t="s">
        <v>8389</v>
      </c>
    </row>
    <row r="198" hidden="1">
      <c r="A198" s="12" t="s">
        <v>6893</v>
      </c>
      <c r="B198" s="15" t="s">
        <v>8980</v>
      </c>
      <c r="C198" s="20" t="s">
        <v>9122</v>
      </c>
      <c r="D198" s="15" t="s">
        <v>8389</v>
      </c>
    </row>
    <row r="199" hidden="1">
      <c r="A199" s="12" t="s">
        <v>6893</v>
      </c>
      <c r="B199" s="15" t="s">
        <v>9123</v>
      </c>
      <c r="C199" s="20" t="s">
        <v>9124</v>
      </c>
      <c r="D199" s="15" t="s">
        <v>8389</v>
      </c>
    </row>
    <row r="200" hidden="1">
      <c r="A200" s="12" t="s">
        <v>6893</v>
      </c>
      <c r="B200" s="15" t="s">
        <v>9125</v>
      </c>
      <c r="C200" s="20" t="s">
        <v>9126</v>
      </c>
      <c r="D200" s="15" t="s">
        <v>8389</v>
      </c>
    </row>
    <row r="201" hidden="1">
      <c r="A201" s="12" t="s">
        <v>6893</v>
      </c>
      <c r="B201" s="10" t="s">
        <v>9127</v>
      </c>
      <c r="C201" s="13" t="s">
        <v>9128</v>
      </c>
      <c r="D201" s="15" t="s">
        <v>8389</v>
      </c>
    </row>
    <row r="202" hidden="1">
      <c r="A202" s="12" t="s">
        <v>6893</v>
      </c>
      <c r="B202" s="15" t="s">
        <v>9129</v>
      </c>
      <c r="C202" s="20" t="s">
        <v>9130</v>
      </c>
      <c r="D202" s="15" t="s">
        <v>8389</v>
      </c>
    </row>
    <row r="203" hidden="1">
      <c r="A203" s="12" t="s">
        <v>6893</v>
      </c>
      <c r="B203" s="15" t="s">
        <v>9131</v>
      </c>
      <c r="C203" s="20" t="s">
        <v>9132</v>
      </c>
      <c r="D203" s="15" t="s">
        <v>8389</v>
      </c>
    </row>
    <row r="204" hidden="1">
      <c r="A204" s="12" t="s">
        <v>6893</v>
      </c>
      <c r="B204" s="15" t="s">
        <v>9133</v>
      </c>
      <c r="C204" s="20" t="s">
        <v>9134</v>
      </c>
      <c r="D204" s="15" t="s">
        <v>8389</v>
      </c>
    </row>
    <row r="205" hidden="1">
      <c r="A205" s="12" t="s">
        <v>6836</v>
      </c>
      <c r="B205" s="15" t="s">
        <v>8987</v>
      </c>
      <c r="C205" s="20" t="s">
        <v>6837</v>
      </c>
      <c r="D205" s="15" t="s">
        <v>8391</v>
      </c>
      <c r="E205" s="73"/>
      <c r="F205" s="13"/>
      <c r="G205" s="13" t="s">
        <v>5674</v>
      </c>
      <c r="H205" s="73"/>
    </row>
    <row r="206" hidden="1">
      <c r="A206" s="12" t="s">
        <v>6836</v>
      </c>
      <c r="B206" s="15" t="s">
        <v>8991</v>
      </c>
      <c r="C206" s="20" t="s">
        <v>6840</v>
      </c>
      <c r="D206" s="15" t="s">
        <v>8391</v>
      </c>
      <c r="E206" s="73"/>
      <c r="F206" s="13"/>
      <c r="G206" s="13" t="s">
        <v>5674</v>
      </c>
      <c r="H206" s="73"/>
    </row>
    <row r="207" hidden="1">
      <c r="A207" s="12" t="s">
        <v>6836</v>
      </c>
      <c r="B207" s="15" t="s">
        <v>8993</v>
      </c>
      <c r="C207" s="20" t="s">
        <v>6841</v>
      </c>
      <c r="D207" s="15" t="s">
        <v>8391</v>
      </c>
      <c r="E207" s="73"/>
      <c r="F207" s="13"/>
      <c r="G207" s="13" t="s">
        <v>5674</v>
      </c>
      <c r="H207" s="73"/>
    </row>
    <row r="208" hidden="1">
      <c r="A208" s="12" t="s">
        <v>6836</v>
      </c>
      <c r="B208" s="15" t="s">
        <v>8995</v>
      </c>
      <c r="C208" s="20" t="s">
        <v>6842</v>
      </c>
      <c r="D208" s="15" t="s">
        <v>8391</v>
      </c>
      <c r="E208" s="73"/>
      <c r="F208" s="13"/>
      <c r="G208" s="13" t="s">
        <v>5674</v>
      </c>
      <c r="H208" s="73"/>
    </row>
    <row r="209" hidden="1">
      <c r="A209" s="12" t="s">
        <v>6836</v>
      </c>
      <c r="B209" s="15" t="s">
        <v>8997</v>
      </c>
      <c r="C209" s="20" t="s">
        <v>6843</v>
      </c>
      <c r="D209" s="15" t="s">
        <v>8391</v>
      </c>
      <c r="E209" s="73"/>
      <c r="F209" s="13"/>
      <c r="G209" s="13" t="s">
        <v>5674</v>
      </c>
      <c r="H209" s="73"/>
    </row>
    <row r="210" hidden="1">
      <c r="A210" s="12" t="s">
        <v>6836</v>
      </c>
      <c r="B210" s="15" t="s">
        <v>8999</v>
      </c>
      <c r="C210" s="20" t="s">
        <v>6844</v>
      </c>
      <c r="D210" s="15" t="s">
        <v>8391</v>
      </c>
      <c r="E210" s="73"/>
      <c r="F210" s="13"/>
      <c r="G210" s="13" t="s">
        <v>5674</v>
      </c>
      <c r="H210" s="73"/>
    </row>
    <row r="211" hidden="1">
      <c r="A211" s="12" t="s">
        <v>6836</v>
      </c>
      <c r="B211" s="15" t="s">
        <v>9001</v>
      </c>
      <c r="C211" s="20" t="s">
        <v>6845</v>
      </c>
      <c r="D211" s="15" t="s">
        <v>8391</v>
      </c>
      <c r="E211" s="73"/>
      <c r="F211" s="13"/>
      <c r="G211" s="13" t="s">
        <v>5674</v>
      </c>
      <c r="H211" s="73"/>
    </row>
    <row r="212" hidden="1">
      <c r="A212" s="12" t="s">
        <v>6836</v>
      </c>
      <c r="B212" s="15" t="s">
        <v>9003</v>
      </c>
      <c r="C212" s="20" t="s">
        <v>6846</v>
      </c>
      <c r="D212" s="15" t="s">
        <v>8391</v>
      </c>
      <c r="E212" s="73"/>
      <c r="F212" s="13"/>
      <c r="G212" s="13" t="s">
        <v>5674</v>
      </c>
      <c r="H212" s="73"/>
    </row>
    <row r="213" hidden="1">
      <c r="A213" s="12" t="s">
        <v>6836</v>
      </c>
      <c r="B213" s="15" t="s">
        <v>9135</v>
      </c>
      <c r="C213" s="20" t="s">
        <v>9136</v>
      </c>
      <c r="D213" s="15" t="s">
        <v>8391</v>
      </c>
      <c r="E213" s="73"/>
      <c r="F213" s="13"/>
      <c r="G213" s="13" t="s">
        <v>5674</v>
      </c>
      <c r="H213" s="73"/>
    </row>
    <row r="214" hidden="1">
      <c r="A214" s="12" t="s">
        <v>6836</v>
      </c>
      <c r="B214" s="15" t="s">
        <v>9005</v>
      </c>
      <c r="C214" s="20" t="s">
        <v>6847</v>
      </c>
      <c r="D214" s="15" t="s">
        <v>8391</v>
      </c>
      <c r="E214" s="73"/>
      <c r="F214" s="13"/>
      <c r="G214" s="13" t="s">
        <v>5674</v>
      </c>
      <c r="H214" s="73"/>
    </row>
    <row r="215" hidden="1">
      <c r="A215" s="12" t="s">
        <v>6836</v>
      </c>
      <c r="B215" s="15" t="s">
        <v>9104</v>
      </c>
      <c r="C215" s="20" t="s">
        <v>6848</v>
      </c>
      <c r="D215" s="15" t="s">
        <v>8391</v>
      </c>
      <c r="E215" s="73"/>
      <c r="F215" s="13"/>
      <c r="G215" s="13" t="s">
        <v>5674</v>
      </c>
      <c r="H215" s="73"/>
    </row>
    <row r="216" hidden="1">
      <c r="A216" s="12" t="s">
        <v>6836</v>
      </c>
      <c r="B216" s="15" t="s">
        <v>9011</v>
      </c>
      <c r="C216" s="20" t="s">
        <v>6849</v>
      </c>
      <c r="D216" s="15" t="s">
        <v>8391</v>
      </c>
      <c r="E216" s="73"/>
      <c r="F216" s="13"/>
      <c r="G216" s="13" t="s">
        <v>5674</v>
      </c>
      <c r="H216" s="73"/>
    </row>
    <row r="217" hidden="1">
      <c r="A217" s="12" t="s">
        <v>6836</v>
      </c>
      <c r="B217" s="15" t="s">
        <v>9013</v>
      </c>
      <c r="C217" s="20" t="s">
        <v>6850</v>
      </c>
      <c r="D217" s="15" t="s">
        <v>8391</v>
      </c>
      <c r="E217" s="73"/>
      <c r="F217" s="13"/>
      <c r="G217" s="13" t="s">
        <v>5674</v>
      </c>
      <c r="H217" s="73"/>
    </row>
    <row r="218" hidden="1">
      <c r="A218" s="12" t="s">
        <v>6836</v>
      </c>
      <c r="B218" s="15" t="s">
        <v>9137</v>
      </c>
      <c r="C218" s="20" t="s">
        <v>6851</v>
      </c>
      <c r="D218" s="15" t="s">
        <v>8391</v>
      </c>
      <c r="E218" s="73"/>
      <c r="F218" s="13"/>
      <c r="G218" s="13" t="s">
        <v>5674</v>
      </c>
      <c r="H218" s="73"/>
    </row>
    <row r="219" hidden="1">
      <c r="A219" s="12" t="s">
        <v>6836</v>
      </c>
      <c r="B219" s="15" t="s">
        <v>9017</v>
      </c>
      <c r="C219" s="20" t="s">
        <v>6852</v>
      </c>
      <c r="D219" s="15" t="s">
        <v>8391</v>
      </c>
      <c r="E219" s="73"/>
      <c r="F219" s="13"/>
      <c r="G219" s="13" t="s">
        <v>5674</v>
      </c>
      <c r="H219" s="73"/>
    </row>
    <row r="220" hidden="1">
      <c r="A220" s="12" t="s">
        <v>6836</v>
      </c>
      <c r="B220" s="15" t="s">
        <v>9019</v>
      </c>
      <c r="C220" s="20" t="s">
        <v>6853</v>
      </c>
      <c r="D220" s="15" t="s">
        <v>8391</v>
      </c>
      <c r="E220" s="73"/>
      <c r="F220" s="13"/>
      <c r="G220" s="13" t="s">
        <v>5674</v>
      </c>
      <c r="H220" s="73"/>
    </row>
    <row r="221" hidden="1">
      <c r="A221" s="12" t="s">
        <v>6836</v>
      </c>
      <c r="B221" s="15" t="s">
        <v>9021</v>
      </c>
      <c r="C221" s="20" t="s">
        <v>6854</v>
      </c>
      <c r="D221" s="15" t="s">
        <v>8391</v>
      </c>
      <c r="E221" s="73"/>
      <c r="F221" s="13"/>
      <c r="G221" s="13" t="s">
        <v>5674</v>
      </c>
      <c r="H221" s="73"/>
    </row>
    <row r="222" hidden="1">
      <c r="A222" s="12" t="s">
        <v>6836</v>
      </c>
      <c r="B222" s="15" t="s">
        <v>9023</v>
      </c>
      <c r="C222" s="20" t="s">
        <v>6855</v>
      </c>
      <c r="D222" s="15" t="s">
        <v>8391</v>
      </c>
      <c r="E222" s="73"/>
      <c r="F222" s="13"/>
      <c r="G222" s="13" t="s">
        <v>5674</v>
      </c>
      <c r="H222" s="73"/>
    </row>
    <row r="223" hidden="1">
      <c r="A223" s="12" t="s">
        <v>6836</v>
      </c>
      <c r="B223" s="15" t="s">
        <v>9025</v>
      </c>
      <c r="C223" s="20" t="s">
        <v>6856</v>
      </c>
      <c r="D223" s="15" t="s">
        <v>8391</v>
      </c>
      <c r="E223" s="73"/>
      <c r="F223" s="13"/>
      <c r="G223" s="13" t="s">
        <v>5674</v>
      </c>
      <c r="H223" s="73"/>
    </row>
    <row r="224" hidden="1">
      <c r="A224" s="12" t="s">
        <v>6836</v>
      </c>
      <c r="B224" s="15" t="s">
        <v>9027</v>
      </c>
      <c r="C224" s="20" t="s">
        <v>6857</v>
      </c>
      <c r="D224" s="15" t="s">
        <v>8391</v>
      </c>
      <c r="E224" s="73"/>
      <c r="F224" s="13"/>
      <c r="G224" s="13" t="s">
        <v>5674</v>
      </c>
      <c r="H224" s="73"/>
    </row>
    <row r="225" hidden="1">
      <c r="A225" s="12" t="s">
        <v>6836</v>
      </c>
      <c r="B225" s="15" t="s">
        <v>9029</v>
      </c>
      <c r="C225" s="20" t="s">
        <v>6858</v>
      </c>
      <c r="D225" s="15" t="s">
        <v>8391</v>
      </c>
      <c r="E225" s="73"/>
      <c r="F225" s="13"/>
      <c r="G225" s="13" t="s">
        <v>5674</v>
      </c>
      <c r="H225" s="73"/>
    </row>
    <row r="226" hidden="1">
      <c r="A226" s="12" t="s">
        <v>6836</v>
      </c>
      <c r="B226" s="15" t="s">
        <v>9031</v>
      </c>
      <c r="C226" s="20" t="s">
        <v>6859</v>
      </c>
      <c r="D226" s="15" t="s">
        <v>8391</v>
      </c>
      <c r="E226" s="73"/>
      <c r="F226" s="13"/>
      <c r="G226" s="13" t="s">
        <v>5674</v>
      </c>
      <c r="H226" s="73"/>
    </row>
    <row r="227" hidden="1">
      <c r="A227" s="12" t="s">
        <v>6836</v>
      </c>
      <c r="B227" s="15" t="s">
        <v>9033</v>
      </c>
      <c r="C227" s="20" t="s">
        <v>6860</v>
      </c>
      <c r="D227" s="15" t="s">
        <v>8391</v>
      </c>
      <c r="E227" s="73"/>
      <c r="F227" s="13"/>
      <c r="G227" s="13" t="s">
        <v>5674</v>
      </c>
      <c r="H227" s="73"/>
    </row>
    <row r="228" hidden="1">
      <c r="A228" s="12" t="s">
        <v>6836</v>
      </c>
      <c r="B228" s="15" t="s">
        <v>9035</v>
      </c>
      <c r="C228" s="20" t="s">
        <v>6861</v>
      </c>
      <c r="D228" s="15" t="s">
        <v>8391</v>
      </c>
      <c r="E228" s="73"/>
      <c r="F228" s="13"/>
      <c r="G228" s="13" t="s">
        <v>5674</v>
      </c>
      <c r="H228" s="73"/>
    </row>
    <row r="229" hidden="1">
      <c r="A229" s="12">
        <v>6.0</v>
      </c>
      <c r="B229" s="15" t="s">
        <v>9138</v>
      </c>
      <c r="C229" s="20" t="s">
        <v>9139</v>
      </c>
      <c r="D229" s="15" t="s">
        <v>8777</v>
      </c>
    </row>
    <row r="230" hidden="1">
      <c r="A230" s="12">
        <v>7.0</v>
      </c>
      <c r="B230" s="15" t="s">
        <v>9138</v>
      </c>
      <c r="C230" s="20" t="s">
        <v>9140</v>
      </c>
      <c r="D230" s="15" t="s">
        <v>8390</v>
      </c>
    </row>
    <row r="231" hidden="1">
      <c r="A231" s="12" t="s">
        <v>8505</v>
      </c>
      <c r="B231" s="15" t="s">
        <v>8929</v>
      </c>
      <c r="C231" s="20" t="s">
        <v>9141</v>
      </c>
      <c r="D231" s="15" t="s">
        <v>8386</v>
      </c>
    </row>
    <row r="232" hidden="1">
      <c r="A232" s="12" t="s">
        <v>8505</v>
      </c>
      <c r="B232" s="15" t="s">
        <v>8930</v>
      </c>
      <c r="C232" s="20" t="s">
        <v>9142</v>
      </c>
      <c r="D232" s="15" t="s">
        <v>8386</v>
      </c>
    </row>
    <row r="233" hidden="1">
      <c r="A233" s="12" t="s">
        <v>8505</v>
      </c>
      <c r="B233" s="15" t="s">
        <v>8931</v>
      </c>
      <c r="C233" s="20" t="s">
        <v>9143</v>
      </c>
      <c r="D233" s="15" t="s">
        <v>8386</v>
      </c>
    </row>
    <row r="234" hidden="1">
      <c r="A234" s="12" t="s">
        <v>8505</v>
      </c>
      <c r="B234" s="15" t="s">
        <v>8932</v>
      </c>
      <c r="C234" s="20" t="s">
        <v>9144</v>
      </c>
      <c r="D234" s="15" t="s">
        <v>8386</v>
      </c>
    </row>
    <row r="235" hidden="1">
      <c r="A235" s="12" t="s">
        <v>8505</v>
      </c>
      <c r="B235" s="15" t="s">
        <v>8933</v>
      </c>
      <c r="C235" s="20" t="s">
        <v>9145</v>
      </c>
      <c r="D235" s="15" t="s">
        <v>8386</v>
      </c>
    </row>
    <row r="236" hidden="1">
      <c r="A236" s="12" t="s">
        <v>8505</v>
      </c>
      <c r="B236" s="15" t="s">
        <v>8934</v>
      </c>
      <c r="C236" s="20" t="s">
        <v>9146</v>
      </c>
      <c r="D236" s="15" t="s">
        <v>8386</v>
      </c>
    </row>
    <row r="237" hidden="1">
      <c r="A237" s="12" t="s">
        <v>8505</v>
      </c>
      <c r="B237" s="15" t="s">
        <v>8935</v>
      </c>
      <c r="C237" s="20" t="s">
        <v>9147</v>
      </c>
      <c r="D237" s="15" t="s">
        <v>8386</v>
      </c>
    </row>
    <row r="238" hidden="1">
      <c r="A238" s="12" t="s">
        <v>8505</v>
      </c>
      <c r="B238" s="15" t="s">
        <v>8936</v>
      </c>
      <c r="C238" s="20" t="s">
        <v>9148</v>
      </c>
      <c r="D238" s="15" t="s">
        <v>8386</v>
      </c>
    </row>
    <row r="239" hidden="1">
      <c r="A239" s="12" t="s">
        <v>8505</v>
      </c>
      <c r="B239" s="15" t="s">
        <v>8937</v>
      </c>
      <c r="C239" s="20" t="s">
        <v>9149</v>
      </c>
      <c r="D239" s="15" t="s">
        <v>8386</v>
      </c>
    </row>
    <row r="240" hidden="1">
      <c r="A240" s="12" t="s">
        <v>8505</v>
      </c>
      <c r="B240" s="15" t="s">
        <v>8938</v>
      </c>
      <c r="C240" s="20" t="s">
        <v>9150</v>
      </c>
      <c r="D240" s="15" t="s">
        <v>8386</v>
      </c>
    </row>
    <row r="241" hidden="1">
      <c r="A241" s="12" t="s">
        <v>8505</v>
      </c>
      <c r="B241" s="15" t="s">
        <v>9151</v>
      </c>
      <c r="C241" s="20" t="s">
        <v>9152</v>
      </c>
      <c r="D241" s="15" t="s">
        <v>8386</v>
      </c>
    </row>
    <row r="242" hidden="1">
      <c r="A242" s="12" t="s">
        <v>8505</v>
      </c>
      <c r="B242" s="15" t="s">
        <v>8940</v>
      </c>
      <c r="C242" s="20" t="s">
        <v>9153</v>
      </c>
      <c r="D242" s="15" t="s">
        <v>8386</v>
      </c>
    </row>
    <row r="243" hidden="1">
      <c r="A243" s="12" t="s">
        <v>8505</v>
      </c>
      <c r="B243" s="15" t="s">
        <v>8941</v>
      </c>
      <c r="C243" s="20" t="s">
        <v>9154</v>
      </c>
      <c r="D243" s="15" t="s">
        <v>8386</v>
      </c>
    </row>
    <row r="244" hidden="1">
      <c r="A244" s="12" t="s">
        <v>8505</v>
      </c>
      <c r="B244" s="15" t="s">
        <v>8942</v>
      </c>
      <c r="C244" s="20" t="s">
        <v>9155</v>
      </c>
      <c r="D244" s="15" t="s">
        <v>8386</v>
      </c>
    </row>
    <row r="245" hidden="1">
      <c r="A245" s="12" t="s">
        <v>8505</v>
      </c>
      <c r="B245" s="15" t="s">
        <v>8943</v>
      </c>
      <c r="C245" s="20" t="s">
        <v>9156</v>
      </c>
      <c r="D245" s="15" t="s">
        <v>8386</v>
      </c>
    </row>
    <row r="246" hidden="1">
      <c r="A246" s="12" t="s">
        <v>8505</v>
      </c>
      <c r="B246" s="15" t="s">
        <v>8944</v>
      </c>
      <c r="C246" s="20" t="s">
        <v>9157</v>
      </c>
      <c r="D246" s="15" t="s">
        <v>8386</v>
      </c>
    </row>
    <row r="247" hidden="1">
      <c r="A247" s="12" t="s">
        <v>8505</v>
      </c>
      <c r="B247" s="15" t="s">
        <v>8945</v>
      </c>
      <c r="C247" s="20" t="s">
        <v>9158</v>
      </c>
      <c r="D247" s="15" t="s">
        <v>8386</v>
      </c>
    </row>
    <row r="248" hidden="1">
      <c r="A248" s="12" t="s">
        <v>8505</v>
      </c>
      <c r="B248" s="15" t="s">
        <v>8946</v>
      </c>
      <c r="C248" s="20" t="s">
        <v>9159</v>
      </c>
      <c r="D248" s="15" t="s">
        <v>8386</v>
      </c>
    </row>
    <row r="249" hidden="1">
      <c r="A249" s="12" t="s">
        <v>8505</v>
      </c>
      <c r="B249" s="15" t="s">
        <v>8947</v>
      </c>
      <c r="C249" s="20" t="s">
        <v>9160</v>
      </c>
      <c r="D249" s="15" t="s">
        <v>8386</v>
      </c>
    </row>
    <row r="250" hidden="1">
      <c r="A250" s="12" t="s">
        <v>8505</v>
      </c>
      <c r="B250" s="15" t="s">
        <v>8948</v>
      </c>
      <c r="C250" s="20" t="s">
        <v>9161</v>
      </c>
      <c r="D250" s="15" t="s">
        <v>8386</v>
      </c>
    </row>
    <row r="251" hidden="1">
      <c r="A251" s="12" t="s">
        <v>8505</v>
      </c>
      <c r="B251" s="15" t="s">
        <v>8949</v>
      </c>
      <c r="C251" s="20" t="s">
        <v>9162</v>
      </c>
      <c r="D251" s="15" t="s">
        <v>8386</v>
      </c>
    </row>
    <row r="252" hidden="1">
      <c r="A252" s="12" t="s">
        <v>8505</v>
      </c>
      <c r="B252" s="15" t="s">
        <v>8950</v>
      </c>
      <c r="C252" s="20" t="s">
        <v>9163</v>
      </c>
      <c r="D252" s="15" t="s">
        <v>8386</v>
      </c>
    </row>
    <row r="253" hidden="1">
      <c r="A253" s="12" t="s">
        <v>8505</v>
      </c>
      <c r="B253" s="15" t="s">
        <v>8951</v>
      </c>
      <c r="C253" s="20" t="s">
        <v>9164</v>
      </c>
      <c r="D253" s="15" t="s">
        <v>8386</v>
      </c>
    </row>
    <row r="254" hidden="1">
      <c r="A254" s="12" t="s">
        <v>8505</v>
      </c>
      <c r="B254" s="15" t="s">
        <v>8952</v>
      </c>
      <c r="C254" s="20" t="s">
        <v>9165</v>
      </c>
      <c r="D254" s="15" t="s">
        <v>8386</v>
      </c>
    </row>
    <row r="255" hidden="1">
      <c r="A255" s="12" t="s">
        <v>8505</v>
      </c>
      <c r="B255" s="15" t="s">
        <v>8953</v>
      </c>
      <c r="C255" s="20" t="s">
        <v>9166</v>
      </c>
      <c r="D255" s="15" t="s">
        <v>8386</v>
      </c>
    </row>
    <row r="256" hidden="1">
      <c r="A256" s="12" t="s">
        <v>8505</v>
      </c>
      <c r="B256" s="15" t="s">
        <v>8956</v>
      </c>
      <c r="C256" s="20" t="s">
        <v>9167</v>
      </c>
      <c r="D256" s="15" t="s">
        <v>8386</v>
      </c>
    </row>
    <row r="257" hidden="1">
      <c r="A257" s="12" t="s">
        <v>8505</v>
      </c>
      <c r="B257" s="15" t="s">
        <v>9084</v>
      </c>
      <c r="C257" s="20" t="s">
        <v>9168</v>
      </c>
      <c r="D257" s="15" t="s">
        <v>8386</v>
      </c>
    </row>
    <row r="258" hidden="1">
      <c r="A258" s="12" t="s">
        <v>8505</v>
      </c>
      <c r="B258" s="15" t="s">
        <v>9086</v>
      </c>
      <c r="C258" s="20" t="s">
        <v>9169</v>
      </c>
      <c r="D258" s="15" t="s">
        <v>8386</v>
      </c>
    </row>
    <row r="259" hidden="1">
      <c r="A259" s="12" t="s">
        <v>8505</v>
      </c>
      <c r="B259" s="15" t="s">
        <v>9088</v>
      </c>
      <c r="C259" s="20" t="s">
        <v>9170</v>
      </c>
      <c r="D259" s="15" t="s">
        <v>8386</v>
      </c>
    </row>
    <row r="260" hidden="1">
      <c r="A260" s="12" t="s">
        <v>8505</v>
      </c>
      <c r="B260" s="15" t="s">
        <v>9041</v>
      </c>
      <c r="C260" s="20" t="s">
        <v>9171</v>
      </c>
      <c r="D260" s="15" t="s">
        <v>8386</v>
      </c>
    </row>
    <row r="261" hidden="1">
      <c r="A261" s="12" t="s">
        <v>8505</v>
      </c>
      <c r="B261" s="15" t="s">
        <v>8960</v>
      </c>
      <c r="C261" s="20" t="s">
        <v>9172</v>
      </c>
      <c r="D261" s="15" t="s">
        <v>8386</v>
      </c>
    </row>
    <row r="262" hidden="1">
      <c r="A262" s="12" t="s">
        <v>8505</v>
      </c>
      <c r="B262" s="15" t="s">
        <v>9092</v>
      </c>
      <c r="C262" s="20" t="s">
        <v>9173</v>
      </c>
      <c r="D262" s="15" t="s">
        <v>8386</v>
      </c>
    </row>
    <row r="263" hidden="1">
      <c r="A263" s="12" t="s">
        <v>8505</v>
      </c>
      <c r="B263" s="15" t="s">
        <v>8962</v>
      </c>
      <c r="C263" s="20" t="s">
        <v>9174</v>
      </c>
      <c r="D263" s="15" t="s">
        <v>8386</v>
      </c>
    </row>
    <row r="264" hidden="1">
      <c r="A264" s="12" t="s">
        <v>8505</v>
      </c>
      <c r="B264" s="15" t="s">
        <v>8966</v>
      </c>
      <c r="C264" s="20" t="s">
        <v>9175</v>
      </c>
      <c r="D264" s="15" t="s">
        <v>8386</v>
      </c>
    </row>
    <row r="265" hidden="1">
      <c r="A265" s="12" t="s">
        <v>8505</v>
      </c>
      <c r="B265" s="15" t="s">
        <v>8968</v>
      </c>
      <c r="C265" s="20" t="s">
        <v>9176</v>
      </c>
      <c r="D265" s="15" t="s">
        <v>8386</v>
      </c>
    </row>
    <row r="266" hidden="1">
      <c r="A266" s="12" t="s">
        <v>8505</v>
      </c>
      <c r="B266" s="15" t="s">
        <v>8970</v>
      </c>
      <c r="C266" s="20" t="s">
        <v>9177</v>
      </c>
      <c r="D266" s="15" t="s">
        <v>8386</v>
      </c>
    </row>
    <row r="267" hidden="1">
      <c r="A267" s="12" t="s">
        <v>8505</v>
      </c>
      <c r="B267" s="15" t="s">
        <v>8976</v>
      </c>
      <c r="C267" s="20" t="s">
        <v>9178</v>
      </c>
      <c r="D267" s="15" t="s">
        <v>8386</v>
      </c>
    </row>
    <row r="268" hidden="1">
      <c r="A268" s="12" t="s">
        <v>8505</v>
      </c>
      <c r="B268" s="15" t="s">
        <v>8978</v>
      </c>
      <c r="C268" s="20" t="s">
        <v>9179</v>
      </c>
      <c r="D268" s="15" t="s">
        <v>8386</v>
      </c>
    </row>
    <row r="269" hidden="1">
      <c r="A269" s="12" t="s">
        <v>8505</v>
      </c>
      <c r="B269" s="15" t="s">
        <v>8980</v>
      </c>
      <c r="C269" s="20" t="s">
        <v>9180</v>
      </c>
      <c r="D269" s="15" t="s">
        <v>8386</v>
      </c>
    </row>
    <row r="270" hidden="1">
      <c r="A270" s="12" t="s">
        <v>8505</v>
      </c>
      <c r="B270" s="15" t="s">
        <v>8982</v>
      </c>
      <c r="C270" s="20" t="s">
        <v>9181</v>
      </c>
      <c r="D270" s="15" t="s">
        <v>8386</v>
      </c>
    </row>
    <row r="271" hidden="1">
      <c r="A271" s="12" t="s">
        <v>8505</v>
      </c>
      <c r="B271" s="15" t="s">
        <v>9102</v>
      </c>
      <c r="C271" s="20" t="s">
        <v>9182</v>
      </c>
      <c r="D271" s="15" t="s">
        <v>8386</v>
      </c>
    </row>
    <row r="272" hidden="1">
      <c r="A272" s="12">
        <v>9.0</v>
      </c>
      <c r="B272" s="15" t="s">
        <v>9138</v>
      </c>
      <c r="C272" s="20" t="s">
        <v>9183</v>
      </c>
      <c r="D272" s="15" t="s">
        <v>8392</v>
      </c>
    </row>
    <row r="273" hidden="1">
      <c r="A273" s="12" t="s">
        <v>9184</v>
      </c>
      <c r="B273" s="15" t="s">
        <v>8929</v>
      </c>
      <c r="C273" s="20" t="s">
        <v>9185</v>
      </c>
      <c r="D273" s="15" t="s">
        <v>8778</v>
      </c>
    </row>
    <row r="274" hidden="1">
      <c r="A274" s="12" t="s">
        <v>9184</v>
      </c>
      <c r="B274" s="15" t="s">
        <v>8930</v>
      </c>
      <c r="C274" s="20" t="s">
        <v>9186</v>
      </c>
      <c r="D274" s="15" t="s">
        <v>8778</v>
      </c>
    </row>
    <row r="275" hidden="1">
      <c r="A275" s="12" t="s">
        <v>9184</v>
      </c>
      <c r="B275" s="15" t="s">
        <v>8931</v>
      </c>
      <c r="C275" s="20" t="s">
        <v>9187</v>
      </c>
      <c r="D275" s="15" t="s">
        <v>8778</v>
      </c>
    </row>
    <row r="276" hidden="1">
      <c r="A276" s="12" t="s">
        <v>9184</v>
      </c>
      <c r="B276" s="15" t="s">
        <v>8932</v>
      </c>
      <c r="C276" s="20" t="s">
        <v>9188</v>
      </c>
      <c r="D276" s="15" t="s">
        <v>8778</v>
      </c>
    </row>
    <row r="277" hidden="1">
      <c r="A277" s="12" t="s">
        <v>9184</v>
      </c>
      <c r="B277" s="15" t="s">
        <v>8933</v>
      </c>
      <c r="C277" s="20" t="s">
        <v>9189</v>
      </c>
      <c r="D277" s="15" t="s">
        <v>8778</v>
      </c>
    </row>
    <row r="278" hidden="1">
      <c r="A278" s="12" t="s">
        <v>9184</v>
      </c>
      <c r="B278" s="15" t="s">
        <v>8934</v>
      </c>
      <c r="C278" s="20" t="s">
        <v>9190</v>
      </c>
      <c r="D278" s="15" t="s">
        <v>8778</v>
      </c>
    </row>
    <row r="279" hidden="1">
      <c r="A279" s="12" t="s">
        <v>9184</v>
      </c>
      <c r="B279" s="15" t="s">
        <v>8935</v>
      </c>
      <c r="C279" s="20" t="s">
        <v>9191</v>
      </c>
      <c r="D279" s="15" t="s">
        <v>8778</v>
      </c>
    </row>
    <row r="280" hidden="1">
      <c r="A280" s="12" t="s">
        <v>9184</v>
      </c>
      <c r="B280" s="15" t="s">
        <v>8936</v>
      </c>
      <c r="C280" s="20" t="s">
        <v>9192</v>
      </c>
      <c r="D280" s="15" t="s">
        <v>8778</v>
      </c>
    </row>
    <row r="281" hidden="1">
      <c r="A281" s="12" t="s">
        <v>9184</v>
      </c>
      <c r="B281" s="15" t="s">
        <v>8937</v>
      </c>
      <c r="C281" s="20" t="s">
        <v>9193</v>
      </c>
      <c r="D281" s="15" t="s">
        <v>8778</v>
      </c>
    </row>
    <row r="282" hidden="1">
      <c r="A282" s="12" t="s">
        <v>9184</v>
      </c>
      <c r="B282" s="15" t="s">
        <v>8938</v>
      </c>
      <c r="C282" s="20" t="s">
        <v>9194</v>
      </c>
      <c r="D282" s="15" t="s">
        <v>8778</v>
      </c>
    </row>
    <row r="283" hidden="1">
      <c r="A283" s="12" t="s">
        <v>9184</v>
      </c>
      <c r="B283" s="15" t="s">
        <v>9151</v>
      </c>
      <c r="C283" s="20" t="s">
        <v>9195</v>
      </c>
      <c r="D283" s="15" t="s">
        <v>8778</v>
      </c>
    </row>
    <row r="284" hidden="1">
      <c r="A284" s="12" t="s">
        <v>9184</v>
      </c>
      <c r="B284" s="15" t="s">
        <v>8940</v>
      </c>
      <c r="C284" s="20" t="s">
        <v>9196</v>
      </c>
      <c r="D284" s="15" t="s">
        <v>8778</v>
      </c>
    </row>
    <row r="285" hidden="1">
      <c r="A285" s="12" t="s">
        <v>9184</v>
      </c>
      <c r="B285" s="15" t="s">
        <v>8941</v>
      </c>
      <c r="C285" s="20" t="s">
        <v>9197</v>
      </c>
      <c r="D285" s="15" t="s">
        <v>8778</v>
      </c>
    </row>
    <row r="286" hidden="1">
      <c r="A286" s="12" t="s">
        <v>9184</v>
      </c>
      <c r="B286" s="15" t="s">
        <v>8942</v>
      </c>
      <c r="C286" s="20" t="s">
        <v>9198</v>
      </c>
      <c r="D286" s="15" t="s">
        <v>8778</v>
      </c>
    </row>
    <row r="287" hidden="1">
      <c r="A287" s="12" t="s">
        <v>9184</v>
      </c>
      <c r="B287" s="15" t="s">
        <v>8943</v>
      </c>
      <c r="C287" s="20" t="s">
        <v>9199</v>
      </c>
      <c r="D287" s="15" t="s">
        <v>8778</v>
      </c>
    </row>
    <row r="288" hidden="1">
      <c r="A288" s="12" t="s">
        <v>9184</v>
      </c>
      <c r="B288" s="15" t="s">
        <v>8944</v>
      </c>
      <c r="C288" s="20" t="s">
        <v>9200</v>
      </c>
      <c r="D288" s="15" t="s">
        <v>8778</v>
      </c>
    </row>
    <row r="289" hidden="1">
      <c r="A289" s="12" t="s">
        <v>9184</v>
      </c>
      <c r="B289" s="15" t="s">
        <v>8945</v>
      </c>
      <c r="C289" s="20" t="s">
        <v>9201</v>
      </c>
      <c r="D289" s="15" t="s">
        <v>8778</v>
      </c>
    </row>
    <row r="290" hidden="1">
      <c r="A290" s="12" t="s">
        <v>9184</v>
      </c>
      <c r="B290" s="15" t="s">
        <v>8946</v>
      </c>
      <c r="C290" s="20" t="s">
        <v>9202</v>
      </c>
      <c r="D290" s="15" t="s">
        <v>8778</v>
      </c>
    </row>
    <row r="291" hidden="1">
      <c r="A291" s="12" t="s">
        <v>9184</v>
      </c>
      <c r="B291" s="15" t="s">
        <v>8947</v>
      </c>
      <c r="C291" s="20" t="s">
        <v>9203</v>
      </c>
      <c r="D291" s="15" t="s">
        <v>8778</v>
      </c>
    </row>
    <row r="292" hidden="1">
      <c r="A292" s="12" t="s">
        <v>9184</v>
      </c>
      <c r="B292" s="15" t="s">
        <v>8948</v>
      </c>
      <c r="C292" s="20" t="s">
        <v>9204</v>
      </c>
      <c r="D292" s="15" t="s">
        <v>8778</v>
      </c>
    </row>
    <row r="293" hidden="1">
      <c r="A293" s="12" t="s">
        <v>9184</v>
      </c>
      <c r="B293" s="15" t="s">
        <v>8949</v>
      </c>
      <c r="C293" s="20" t="s">
        <v>9205</v>
      </c>
      <c r="D293" s="15" t="s">
        <v>8778</v>
      </c>
    </row>
    <row r="294" hidden="1">
      <c r="A294" s="12" t="s">
        <v>9184</v>
      </c>
      <c r="B294" s="15" t="s">
        <v>8950</v>
      </c>
      <c r="C294" s="20" t="s">
        <v>9206</v>
      </c>
      <c r="D294" s="15" t="s">
        <v>8778</v>
      </c>
    </row>
    <row r="295" hidden="1">
      <c r="A295" s="12" t="s">
        <v>9184</v>
      </c>
      <c r="B295" s="15" t="s">
        <v>8951</v>
      </c>
      <c r="C295" s="20" t="s">
        <v>9207</v>
      </c>
      <c r="D295" s="15" t="s">
        <v>8778</v>
      </c>
    </row>
    <row r="296" hidden="1">
      <c r="A296" s="12" t="s">
        <v>9184</v>
      </c>
      <c r="B296" s="15" t="s">
        <v>8952</v>
      </c>
      <c r="C296" s="20" t="s">
        <v>9208</v>
      </c>
      <c r="D296" s="15" t="s">
        <v>8778</v>
      </c>
    </row>
    <row r="297" hidden="1">
      <c r="A297" s="12" t="s">
        <v>9184</v>
      </c>
      <c r="B297" s="15" t="s">
        <v>8953</v>
      </c>
      <c r="C297" s="20" t="s">
        <v>9209</v>
      </c>
      <c r="D297" s="15" t="s">
        <v>8778</v>
      </c>
    </row>
    <row r="298" hidden="1">
      <c r="A298" s="12" t="s">
        <v>9184</v>
      </c>
      <c r="B298" s="15" t="s">
        <v>8954</v>
      </c>
      <c r="C298" s="20" t="s">
        <v>9210</v>
      </c>
      <c r="D298" s="15" t="s">
        <v>8778</v>
      </c>
    </row>
    <row r="299" hidden="1">
      <c r="A299" s="12">
        <v>11.0</v>
      </c>
      <c r="B299" s="15" t="s">
        <v>9138</v>
      </c>
      <c r="C299" s="20" t="s">
        <v>9211</v>
      </c>
      <c r="D299" s="15" t="s">
        <v>8388</v>
      </c>
    </row>
    <row r="300" hidden="1">
      <c r="A300" s="12">
        <v>12.0</v>
      </c>
      <c r="B300" s="15" t="s">
        <v>9138</v>
      </c>
      <c r="C300" s="20" t="s">
        <v>9212</v>
      </c>
      <c r="D300" s="15" t="s">
        <v>8779</v>
      </c>
    </row>
    <row r="301" hidden="1">
      <c r="A301" s="12" t="s">
        <v>9213</v>
      </c>
      <c r="B301" s="15" t="s">
        <v>8929</v>
      </c>
      <c r="C301" s="20" t="s">
        <v>9214</v>
      </c>
      <c r="D301" s="15" t="s">
        <v>8385</v>
      </c>
    </row>
    <row r="302" hidden="1">
      <c r="A302" s="12" t="s">
        <v>9213</v>
      </c>
      <c r="B302" s="15" t="s">
        <v>8930</v>
      </c>
      <c r="C302" s="20" t="s">
        <v>9215</v>
      </c>
      <c r="D302" s="15" t="s">
        <v>8385</v>
      </c>
    </row>
    <row r="303" hidden="1">
      <c r="A303" s="12" t="s">
        <v>9213</v>
      </c>
      <c r="B303" s="15" t="s">
        <v>8931</v>
      </c>
      <c r="C303" s="20" t="s">
        <v>9216</v>
      </c>
      <c r="D303" s="15" t="s">
        <v>8385</v>
      </c>
    </row>
    <row r="304" hidden="1">
      <c r="A304" s="12" t="s">
        <v>9213</v>
      </c>
      <c r="B304" s="15" t="s">
        <v>8932</v>
      </c>
      <c r="C304" s="20" t="s">
        <v>9217</v>
      </c>
      <c r="D304" s="15" t="s">
        <v>8385</v>
      </c>
    </row>
    <row r="305" hidden="1">
      <c r="A305" s="12" t="s">
        <v>9213</v>
      </c>
      <c r="B305" s="15" t="s">
        <v>8933</v>
      </c>
      <c r="C305" s="20" t="s">
        <v>9218</v>
      </c>
      <c r="D305" s="15" t="s">
        <v>8385</v>
      </c>
    </row>
    <row r="306" hidden="1">
      <c r="A306" s="12" t="s">
        <v>9213</v>
      </c>
      <c r="B306" s="15" t="s">
        <v>8934</v>
      </c>
      <c r="C306" s="20" t="s">
        <v>9219</v>
      </c>
      <c r="D306" s="15" t="s">
        <v>8385</v>
      </c>
    </row>
    <row r="307" hidden="1">
      <c r="A307" s="12" t="s">
        <v>9213</v>
      </c>
      <c r="B307" s="15" t="s">
        <v>8935</v>
      </c>
      <c r="C307" s="20" t="s">
        <v>9220</v>
      </c>
      <c r="D307" s="15" t="s">
        <v>8385</v>
      </c>
    </row>
    <row r="308" hidden="1">
      <c r="A308" s="12" t="s">
        <v>9213</v>
      </c>
      <c r="B308" s="15" t="s">
        <v>8936</v>
      </c>
      <c r="C308" s="20" t="s">
        <v>9221</v>
      </c>
      <c r="D308" s="15" t="s">
        <v>8385</v>
      </c>
    </row>
    <row r="309" hidden="1">
      <c r="A309" s="12" t="s">
        <v>9213</v>
      </c>
      <c r="B309" s="15" t="s">
        <v>8937</v>
      </c>
      <c r="C309" s="20" t="s">
        <v>9222</v>
      </c>
      <c r="D309" s="15" t="s">
        <v>8385</v>
      </c>
    </row>
    <row r="310" hidden="1">
      <c r="A310" s="12" t="s">
        <v>9213</v>
      </c>
      <c r="B310" s="15" t="s">
        <v>8938</v>
      </c>
      <c r="C310" s="20" t="s">
        <v>9223</v>
      </c>
      <c r="D310" s="15" t="s">
        <v>8385</v>
      </c>
    </row>
    <row r="311" hidden="1">
      <c r="A311" s="12" t="s">
        <v>9213</v>
      </c>
      <c r="B311" s="15" t="s">
        <v>9151</v>
      </c>
      <c r="C311" s="20" t="s">
        <v>9224</v>
      </c>
      <c r="D311" s="15" t="s">
        <v>8385</v>
      </c>
    </row>
    <row r="312" hidden="1">
      <c r="A312" s="12" t="s">
        <v>9213</v>
      </c>
      <c r="B312" s="15" t="s">
        <v>8940</v>
      </c>
      <c r="C312" s="20" t="s">
        <v>9225</v>
      </c>
      <c r="D312" s="15" t="s">
        <v>8385</v>
      </c>
    </row>
    <row r="313" hidden="1">
      <c r="A313" s="12" t="s">
        <v>9213</v>
      </c>
      <c r="B313" s="15" t="s">
        <v>8941</v>
      </c>
      <c r="C313" s="20" t="s">
        <v>9226</v>
      </c>
      <c r="D313" s="15" t="s">
        <v>8385</v>
      </c>
    </row>
    <row r="314" hidden="1">
      <c r="A314" s="12" t="s">
        <v>9213</v>
      </c>
      <c r="B314" s="15" t="s">
        <v>8942</v>
      </c>
      <c r="C314" s="20" t="s">
        <v>9227</v>
      </c>
      <c r="D314" s="15" t="s">
        <v>8385</v>
      </c>
    </row>
    <row r="315" hidden="1">
      <c r="A315" s="12" t="s">
        <v>9213</v>
      </c>
      <c r="B315" s="15" t="s">
        <v>8943</v>
      </c>
      <c r="C315" s="20" t="s">
        <v>9228</v>
      </c>
      <c r="D315" s="15" t="s">
        <v>8385</v>
      </c>
    </row>
    <row r="316" hidden="1">
      <c r="A316" s="12" t="s">
        <v>9213</v>
      </c>
      <c r="B316" s="15" t="s">
        <v>8944</v>
      </c>
      <c r="C316" s="20" t="s">
        <v>9229</v>
      </c>
      <c r="D316" s="15" t="s">
        <v>8385</v>
      </c>
    </row>
    <row r="317" hidden="1">
      <c r="A317" s="12" t="s">
        <v>9213</v>
      </c>
      <c r="B317" s="15" t="s">
        <v>8945</v>
      </c>
      <c r="C317" s="20" t="s">
        <v>9230</v>
      </c>
      <c r="D317" s="15" t="s">
        <v>8385</v>
      </c>
    </row>
    <row r="318" hidden="1">
      <c r="A318" s="12" t="s">
        <v>9213</v>
      </c>
      <c r="B318" s="15" t="s">
        <v>8946</v>
      </c>
      <c r="C318" s="20" t="s">
        <v>9231</v>
      </c>
      <c r="D318" s="15" t="s">
        <v>8385</v>
      </c>
    </row>
    <row r="319" hidden="1">
      <c r="A319" s="12" t="s">
        <v>9213</v>
      </c>
      <c r="B319" s="15" t="s">
        <v>8947</v>
      </c>
      <c r="C319" s="20" t="s">
        <v>9232</v>
      </c>
      <c r="D319" s="15" t="s">
        <v>8385</v>
      </c>
    </row>
    <row r="320" hidden="1">
      <c r="A320" s="12" t="s">
        <v>9213</v>
      </c>
      <c r="B320" s="15" t="s">
        <v>8948</v>
      </c>
      <c r="C320" s="20" t="s">
        <v>9233</v>
      </c>
      <c r="D320" s="15" t="s">
        <v>8385</v>
      </c>
    </row>
    <row r="321" hidden="1">
      <c r="A321" s="12" t="s">
        <v>9213</v>
      </c>
      <c r="B321" s="15" t="s">
        <v>8949</v>
      </c>
      <c r="C321" s="20" t="s">
        <v>9234</v>
      </c>
      <c r="D321" s="15" t="s">
        <v>8385</v>
      </c>
    </row>
    <row r="322" hidden="1">
      <c r="A322" s="12" t="s">
        <v>9213</v>
      </c>
      <c r="B322" s="15" t="s">
        <v>8950</v>
      </c>
      <c r="C322" s="20" t="s">
        <v>9235</v>
      </c>
      <c r="D322" s="15" t="s">
        <v>8385</v>
      </c>
    </row>
    <row r="323" hidden="1">
      <c r="A323" s="12" t="s">
        <v>9213</v>
      </c>
      <c r="B323" s="15" t="s">
        <v>8951</v>
      </c>
      <c r="C323" s="20" t="s">
        <v>9236</v>
      </c>
      <c r="D323" s="15" t="s">
        <v>8385</v>
      </c>
    </row>
    <row r="324" hidden="1">
      <c r="A324" s="12" t="s">
        <v>9213</v>
      </c>
      <c r="B324" s="15" t="s">
        <v>8952</v>
      </c>
      <c r="C324" s="20" t="s">
        <v>9237</v>
      </c>
      <c r="D324" s="15" t="s">
        <v>8385</v>
      </c>
    </row>
    <row r="325" hidden="1">
      <c r="A325" s="12" t="s">
        <v>9213</v>
      </c>
      <c r="B325" s="15" t="s">
        <v>8953</v>
      </c>
      <c r="C325" s="20" t="s">
        <v>9238</v>
      </c>
      <c r="D325" s="15" t="s">
        <v>8385</v>
      </c>
    </row>
    <row r="326" hidden="1">
      <c r="A326" s="12" t="s">
        <v>9213</v>
      </c>
      <c r="B326" s="15" t="s">
        <v>9038</v>
      </c>
      <c r="C326" s="20" t="s">
        <v>9239</v>
      </c>
      <c r="D326" s="15" t="s">
        <v>8385</v>
      </c>
    </row>
    <row r="327" hidden="1">
      <c r="A327" s="12" t="s">
        <v>9213</v>
      </c>
      <c r="B327" s="15" t="s">
        <v>9107</v>
      </c>
      <c r="C327" s="20" t="s">
        <v>9240</v>
      </c>
      <c r="D327" s="15" t="s">
        <v>8385</v>
      </c>
    </row>
    <row r="328" hidden="1">
      <c r="A328" s="12" t="s">
        <v>9213</v>
      </c>
      <c r="B328" s="15" t="s">
        <v>9109</v>
      </c>
      <c r="C328" s="20" t="s">
        <v>9241</v>
      </c>
      <c r="D328" s="15" t="s">
        <v>8385</v>
      </c>
    </row>
    <row r="329" hidden="1">
      <c r="A329" s="12" t="s">
        <v>9213</v>
      </c>
      <c r="B329" s="15" t="s">
        <v>9044</v>
      </c>
      <c r="C329" s="20" t="s">
        <v>9242</v>
      </c>
      <c r="D329" s="15" t="s">
        <v>8385</v>
      </c>
    </row>
    <row r="330" hidden="1">
      <c r="A330" s="12" t="s">
        <v>9213</v>
      </c>
      <c r="B330" s="15" t="s">
        <v>9112</v>
      </c>
      <c r="C330" s="20" t="s">
        <v>9243</v>
      </c>
      <c r="D330" s="15" t="s">
        <v>8385</v>
      </c>
    </row>
    <row r="331" hidden="1">
      <c r="A331" s="12" t="s">
        <v>9213</v>
      </c>
      <c r="B331" s="15" t="s">
        <v>9114</v>
      </c>
      <c r="C331" s="20" t="s">
        <v>9244</v>
      </c>
      <c r="D331" s="15" t="s">
        <v>8385</v>
      </c>
    </row>
    <row r="332" hidden="1">
      <c r="A332" s="12" t="s">
        <v>9213</v>
      </c>
      <c r="B332" s="15" t="s">
        <v>9116</v>
      </c>
      <c r="C332" s="20" t="s">
        <v>9245</v>
      </c>
      <c r="D332" s="15" t="s">
        <v>8385</v>
      </c>
    </row>
    <row r="333" hidden="1">
      <c r="A333" s="12" t="s">
        <v>9213</v>
      </c>
      <c r="B333" s="15" t="s">
        <v>9118</v>
      </c>
      <c r="C333" s="20" t="s">
        <v>9246</v>
      </c>
      <c r="D333" s="15" t="s">
        <v>8385</v>
      </c>
    </row>
    <row r="334" hidden="1">
      <c r="A334" s="12" t="s">
        <v>9213</v>
      </c>
      <c r="B334" s="15" t="s">
        <v>8968</v>
      </c>
      <c r="C334" s="20" t="s">
        <v>9247</v>
      </c>
      <c r="D334" s="15" t="s">
        <v>8385</v>
      </c>
    </row>
    <row r="335" hidden="1">
      <c r="A335" s="12" t="s">
        <v>9213</v>
      </c>
      <c r="B335" s="15" t="s">
        <v>8972</v>
      </c>
      <c r="C335" s="20" t="s">
        <v>9248</v>
      </c>
      <c r="D335" s="15" t="s">
        <v>8385</v>
      </c>
    </row>
    <row r="336" hidden="1">
      <c r="A336" s="12" t="s">
        <v>9213</v>
      </c>
      <c r="B336" s="15" t="s">
        <v>8980</v>
      </c>
      <c r="C336" s="20" t="s">
        <v>9249</v>
      </c>
      <c r="D336" s="15" t="s">
        <v>8385</v>
      </c>
    </row>
    <row r="337" hidden="1">
      <c r="A337" s="12" t="s">
        <v>9213</v>
      </c>
      <c r="B337" s="15" t="s">
        <v>9123</v>
      </c>
      <c r="C337" s="20" t="s">
        <v>9250</v>
      </c>
      <c r="D337" s="15" t="s">
        <v>8385</v>
      </c>
    </row>
    <row r="338" hidden="1">
      <c r="A338" s="12" t="s">
        <v>9213</v>
      </c>
      <c r="B338" s="15" t="s">
        <v>9125</v>
      </c>
      <c r="C338" s="20" t="s">
        <v>9251</v>
      </c>
      <c r="D338" s="15" t="s">
        <v>8385</v>
      </c>
    </row>
    <row r="339" hidden="1">
      <c r="A339" s="12" t="s">
        <v>9213</v>
      </c>
      <c r="B339" s="10" t="s">
        <v>9127</v>
      </c>
      <c r="C339" s="13" t="s">
        <v>9252</v>
      </c>
      <c r="D339" s="15" t="s">
        <v>8385</v>
      </c>
    </row>
    <row r="340" hidden="1">
      <c r="A340" s="12" t="s">
        <v>9213</v>
      </c>
      <c r="B340" s="15" t="s">
        <v>9129</v>
      </c>
      <c r="C340" s="20" t="s">
        <v>9253</v>
      </c>
      <c r="D340" s="15" t="s">
        <v>8385</v>
      </c>
    </row>
    <row r="341" hidden="1">
      <c r="A341" s="12" t="s">
        <v>9213</v>
      </c>
      <c r="B341" s="15" t="s">
        <v>9131</v>
      </c>
      <c r="C341" s="20" t="s">
        <v>9254</v>
      </c>
      <c r="D341" s="15" t="s">
        <v>8385</v>
      </c>
    </row>
    <row r="342" hidden="1">
      <c r="A342" s="12" t="s">
        <v>9213</v>
      </c>
      <c r="B342" s="15" t="s">
        <v>9133</v>
      </c>
      <c r="C342" s="20" t="s">
        <v>9255</v>
      </c>
      <c r="D342" s="15" t="s">
        <v>8385</v>
      </c>
    </row>
    <row r="343" hidden="1">
      <c r="A343" s="12">
        <v>14.0</v>
      </c>
      <c r="B343" s="15" t="s">
        <v>9138</v>
      </c>
      <c r="C343" s="20" t="s">
        <v>9256</v>
      </c>
      <c r="D343" s="15" t="s">
        <v>8782</v>
      </c>
    </row>
    <row r="344" hidden="1">
      <c r="A344" s="12">
        <v>15.0</v>
      </c>
      <c r="B344" s="15" t="s">
        <v>9138</v>
      </c>
      <c r="C344" s="20" t="s">
        <v>9257</v>
      </c>
      <c r="D344" s="15" t="s">
        <v>8783</v>
      </c>
    </row>
    <row r="345" hidden="1">
      <c r="A345" s="12">
        <v>16.0</v>
      </c>
      <c r="B345" s="15" t="s">
        <v>9138</v>
      </c>
      <c r="C345" s="20" t="s">
        <v>9258</v>
      </c>
      <c r="D345" s="15" t="s">
        <v>9259</v>
      </c>
    </row>
    <row r="346" hidden="1">
      <c r="A346" s="11" t="s">
        <v>9260</v>
      </c>
      <c r="B346" s="15" t="s">
        <v>5790</v>
      </c>
      <c r="C346" s="20" t="s">
        <v>9261</v>
      </c>
      <c r="D346" s="15" t="s">
        <v>6113</v>
      </c>
    </row>
    <row r="347" hidden="1">
      <c r="A347" s="11" t="s">
        <v>9260</v>
      </c>
      <c r="B347" s="15" t="s">
        <v>9262</v>
      </c>
      <c r="C347" s="20" t="s">
        <v>9263</v>
      </c>
      <c r="D347" s="15" t="s">
        <v>6113</v>
      </c>
    </row>
    <row r="348" hidden="1">
      <c r="A348" s="11" t="s">
        <v>9260</v>
      </c>
      <c r="B348" s="15" t="s">
        <v>6114</v>
      </c>
      <c r="C348" s="20" t="s">
        <v>9264</v>
      </c>
      <c r="D348" s="15" t="s">
        <v>6113</v>
      </c>
    </row>
    <row r="349" hidden="1">
      <c r="A349" s="11" t="s">
        <v>9260</v>
      </c>
      <c r="B349" s="15" t="s">
        <v>6116</v>
      </c>
      <c r="C349" s="20" t="s">
        <v>9265</v>
      </c>
      <c r="D349" s="15" t="s">
        <v>6113</v>
      </c>
    </row>
    <row r="350" hidden="1">
      <c r="A350" s="11" t="s">
        <v>9260</v>
      </c>
      <c r="B350" s="15" t="s">
        <v>9266</v>
      </c>
      <c r="C350" s="20" t="s">
        <v>9267</v>
      </c>
      <c r="D350" s="15" t="s">
        <v>6113</v>
      </c>
    </row>
    <row r="351" hidden="1">
      <c r="A351" s="11" t="s">
        <v>9260</v>
      </c>
      <c r="B351" s="15" t="s">
        <v>6118</v>
      </c>
      <c r="C351" s="20" t="s">
        <v>9268</v>
      </c>
      <c r="D351" s="15" t="s">
        <v>6113</v>
      </c>
    </row>
    <row r="352" hidden="1">
      <c r="A352" s="11" t="s">
        <v>9260</v>
      </c>
      <c r="B352" s="15" t="s">
        <v>6120</v>
      </c>
      <c r="C352" s="20" t="s">
        <v>9269</v>
      </c>
      <c r="D352" s="15" t="s">
        <v>6113</v>
      </c>
    </row>
    <row r="353" hidden="1">
      <c r="A353" s="11" t="s">
        <v>9260</v>
      </c>
      <c r="B353" s="15" t="s">
        <v>6122</v>
      </c>
      <c r="C353" s="20" t="s">
        <v>9270</v>
      </c>
      <c r="D353" s="15" t="s">
        <v>6113</v>
      </c>
    </row>
    <row r="354" hidden="1">
      <c r="A354" s="11" t="s">
        <v>9260</v>
      </c>
      <c r="B354" s="15" t="s">
        <v>6124</v>
      </c>
      <c r="C354" s="20" t="s">
        <v>9271</v>
      </c>
      <c r="D354" s="15" t="s">
        <v>6113</v>
      </c>
    </row>
    <row r="355" hidden="1">
      <c r="A355" s="11" t="s">
        <v>9260</v>
      </c>
      <c r="B355" s="15" t="s">
        <v>5812</v>
      </c>
      <c r="C355" s="20" t="s">
        <v>9272</v>
      </c>
      <c r="D355" s="15" t="s">
        <v>6113</v>
      </c>
    </row>
    <row r="356" hidden="1">
      <c r="A356" s="11" t="s">
        <v>9260</v>
      </c>
      <c r="B356" s="15" t="s">
        <v>6130</v>
      </c>
      <c r="C356" s="20" t="s">
        <v>9273</v>
      </c>
      <c r="D356" s="15" t="s">
        <v>6113</v>
      </c>
    </row>
    <row r="357" hidden="1">
      <c r="A357" s="11" t="s">
        <v>9260</v>
      </c>
      <c r="B357" s="15" t="s">
        <v>6133</v>
      </c>
      <c r="C357" s="20" t="s">
        <v>9274</v>
      </c>
      <c r="D357" s="15" t="s">
        <v>6113</v>
      </c>
    </row>
    <row r="358" hidden="1">
      <c r="A358" s="11" t="s">
        <v>9260</v>
      </c>
      <c r="B358" s="15" t="s">
        <v>6135</v>
      </c>
      <c r="C358" s="20" t="s">
        <v>9275</v>
      </c>
      <c r="D358" s="15" t="s">
        <v>6113</v>
      </c>
    </row>
    <row r="359" hidden="1">
      <c r="A359" s="11" t="s">
        <v>9260</v>
      </c>
      <c r="B359" s="15" t="s">
        <v>6137</v>
      </c>
      <c r="C359" s="20" t="s">
        <v>9276</v>
      </c>
      <c r="D359" s="15" t="s">
        <v>6113</v>
      </c>
    </row>
    <row r="360" hidden="1">
      <c r="A360" s="11" t="s">
        <v>9260</v>
      </c>
      <c r="B360" s="15" t="s">
        <v>6139</v>
      </c>
      <c r="C360" s="20" t="s">
        <v>9277</v>
      </c>
      <c r="D360" s="15" t="s">
        <v>6113</v>
      </c>
    </row>
    <row r="361" hidden="1">
      <c r="A361" s="11" t="s">
        <v>9260</v>
      </c>
      <c r="B361" s="15" t="s">
        <v>9278</v>
      </c>
      <c r="C361" s="20" t="s">
        <v>9279</v>
      </c>
      <c r="D361" s="15" t="s">
        <v>6113</v>
      </c>
    </row>
    <row r="362" hidden="1">
      <c r="A362" s="11" t="s">
        <v>9280</v>
      </c>
      <c r="B362" s="15" t="s">
        <v>6054</v>
      </c>
      <c r="C362" s="20" t="s">
        <v>9281</v>
      </c>
      <c r="D362" s="15" t="s">
        <v>6056</v>
      </c>
    </row>
    <row r="363" hidden="1">
      <c r="A363" s="11" t="s">
        <v>9280</v>
      </c>
      <c r="B363" s="15" t="s">
        <v>6057</v>
      </c>
      <c r="C363" s="20" t="s">
        <v>9282</v>
      </c>
      <c r="D363" s="15" t="s">
        <v>6056</v>
      </c>
    </row>
    <row r="364" hidden="1">
      <c r="A364" s="11" t="s">
        <v>9280</v>
      </c>
      <c r="B364" s="15" t="s">
        <v>6059</v>
      </c>
      <c r="C364" s="20" t="s">
        <v>9283</v>
      </c>
      <c r="D364" s="15" t="s">
        <v>6056</v>
      </c>
    </row>
    <row r="365" hidden="1">
      <c r="A365" s="11" t="s">
        <v>9280</v>
      </c>
      <c r="B365" s="15" t="s">
        <v>6061</v>
      </c>
      <c r="C365" s="20" t="s">
        <v>9284</v>
      </c>
      <c r="D365" s="15" t="s">
        <v>6056</v>
      </c>
    </row>
    <row r="366" hidden="1">
      <c r="A366" s="11" t="s">
        <v>9280</v>
      </c>
      <c r="B366" s="15" t="s">
        <v>6063</v>
      </c>
      <c r="C366" s="20" t="s">
        <v>9285</v>
      </c>
      <c r="D366" s="15" t="s">
        <v>6056</v>
      </c>
    </row>
    <row r="367" hidden="1">
      <c r="A367" s="11" t="s">
        <v>9280</v>
      </c>
      <c r="B367" s="15" t="s">
        <v>6065</v>
      </c>
      <c r="C367" s="20" t="s">
        <v>9286</v>
      </c>
      <c r="D367" s="15" t="s">
        <v>6056</v>
      </c>
    </row>
    <row r="368" hidden="1">
      <c r="A368" s="11" t="s">
        <v>9287</v>
      </c>
      <c r="B368" s="15" t="s">
        <v>9288</v>
      </c>
      <c r="C368" s="20" t="s">
        <v>9289</v>
      </c>
      <c r="D368" s="15" t="s">
        <v>6036</v>
      </c>
    </row>
    <row r="369" hidden="1">
      <c r="A369" s="11" t="s">
        <v>9287</v>
      </c>
      <c r="B369" s="15" t="s">
        <v>5794</v>
      </c>
      <c r="C369" s="20" t="s">
        <v>9290</v>
      </c>
      <c r="D369" s="15" t="s">
        <v>6036</v>
      </c>
    </row>
    <row r="370" hidden="1">
      <c r="A370" s="11" t="s">
        <v>9287</v>
      </c>
      <c r="B370" s="15" t="s">
        <v>5799</v>
      </c>
      <c r="C370" s="20" t="s">
        <v>9291</v>
      </c>
      <c r="D370" s="15" t="s">
        <v>6036</v>
      </c>
    </row>
    <row r="371" hidden="1">
      <c r="A371" s="11" t="s">
        <v>9287</v>
      </c>
      <c r="B371" s="15" t="s">
        <v>9292</v>
      </c>
      <c r="C371" s="20" t="s">
        <v>9293</v>
      </c>
      <c r="D371" s="15" t="s">
        <v>6036</v>
      </c>
    </row>
    <row r="372" hidden="1">
      <c r="A372" s="11" t="s">
        <v>9287</v>
      </c>
      <c r="B372" s="15" t="s">
        <v>5744</v>
      </c>
      <c r="C372" s="20" t="s">
        <v>9294</v>
      </c>
      <c r="D372" s="15" t="s">
        <v>6036</v>
      </c>
    </row>
    <row r="373" hidden="1">
      <c r="A373" s="11" t="s">
        <v>9287</v>
      </c>
      <c r="B373" s="15" t="s">
        <v>9295</v>
      </c>
      <c r="C373" s="20" t="s">
        <v>9296</v>
      </c>
      <c r="D373" s="15" t="s">
        <v>6036</v>
      </c>
    </row>
    <row r="374" hidden="1">
      <c r="A374" s="11" t="s">
        <v>9287</v>
      </c>
      <c r="B374" s="15" t="s">
        <v>9297</v>
      </c>
      <c r="C374" s="20" t="s">
        <v>9298</v>
      </c>
      <c r="D374" s="15" t="s">
        <v>6036</v>
      </c>
    </row>
    <row r="375" hidden="1">
      <c r="A375" s="11" t="s">
        <v>9287</v>
      </c>
      <c r="B375" s="15" t="s">
        <v>6480</v>
      </c>
      <c r="C375" s="20" t="s">
        <v>9299</v>
      </c>
      <c r="D375" s="15" t="s">
        <v>6036</v>
      </c>
    </row>
    <row r="376" hidden="1">
      <c r="A376" s="11" t="s">
        <v>9287</v>
      </c>
      <c r="B376" s="15" t="s">
        <v>9300</v>
      </c>
      <c r="C376" s="20" t="s">
        <v>9301</v>
      </c>
      <c r="D376" s="15" t="s">
        <v>6036</v>
      </c>
    </row>
    <row r="377">
      <c r="A377" s="11" t="s">
        <v>9302</v>
      </c>
      <c r="B377" s="15" t="s">
        <v>9303</v>
      </c>
      <c r="C377" s="20" t="s">
        <v>9304</v>
      </c>
      <c r="D377" s="15" t="s">
        <v>5994</v>
      </c>
      <c r="F377" s="96" t="s">
        <v>9302</v>
      </c>
      <c r="G377" s="96" t="s">
        <v>9305</v>
      </c>
    </row>
    <row r="378">
      <c r="A378" s="11" t="s">
        <v>9306</v>
      </c>
      <c r="B378" s="15" t="s">
        <v>9307</v>
      </c>
      <c r="C378" s="20" t="s">
        <v>9308</v>
      </c>
      <c r="D378" s="15" t="s">
        <v>5966</v>
      </c>
      <c r="F378" s="96" t="s">
        <v>9306</v>
      </c>
      <c r="G378" s="96" t="s">
        <v>9309</v>
      </c>
    </row>
    <row r="379">
      <c r="A379" s="11" t="s">
        <v>9306</v>
      </c>
      <c r="B379" s="15" t="s">
        <v>9310</v>
      </c>
      <c r="C379" s="20" t="s">
        <v>9311</v>
      </c>
      <c r="D379" s="15" t="s">
        <v>5966</v>
      </c>
      <c r="F379" s="96" t="s">
        <v>9306</v>
      </c>
      <c r="G379" s="96" t="s">
        <v>9312</v>
      </c>
    </row>
    <row r="380">
      <c r="A380" s="11" t="s">
        <v>9306</v>
      </c>
      <c r="B380" s="15" t="s">
        <v>9313</v>
      </c>
      <c r="C380" s="20" t="s">
        <v>9314</v>
      </c>
      <c r="D380" s="15" t="s">
        <v>5966</v>
      </c>
      <c r="F380" s="96" t="s">
        <v>9306</v>
      </c>
      <c r="G380" s="96" t="s">
        <v>9315</v>
      </c>
    </row>
    <row r="381">
      <c r="A381" s="11" t="s">
        <v>9316</v>
      </c>
      <c r="B381" s="15" t="s">
        <v>9317</v>
      </c>
      <c r="C381" s="20" t="s">
        <v>9318</v>
      </c>
      <c r="D381" s="15" t="s">
        <v>5817</v>
      </c>
      <c r="F381" s="96"/>
      <c r="G381" s="96"/>
    </row>
    <row r="382">
      <c r="A382" s="11" t="s">
        <v>9316</v>
      </c>
      <c r="B382" s="15" t="s">
        <v>9319</v>
      </c>
      <c r="C382" s="20" t="s">
        <v>9320</v>
      </c>
      <c r="D382" s="15" t="s">
        <v>5817</v>
      </c>
      <c r="F382" s="96"/>
      <c r="G382" s="96"/>
    </row>
    <row r="383">
      <c r="A383" s="11" t="s">
        <v>9316</v>
      </c>
      <c r="B383" s="15" t="s">
        <v>5820</v>
      </c>
      <c r="C383" s="20" t="s">
        <v>9321</v>
      </c>
      <c r="D383" s="15" t="s">
        <v>5817</v>
      </c>
      <c r="F383" s="96"/>
      <c r="G383" s="96"/>
    </row>
    <row r="384">
      <c r="A384" s="11" t="s">
        <v>9316</v>
      </c>
      <c r="B384" s="15" t="s">
        <v>9322</v>
      </c>
      <c r="C384" s="20" t="s">
        <v>9323</v>
      </c>
      <c r="D384" s="15" t="s">
        <v>5817</v>
      </c>
      <c r="F384" s="96"/>
      <c r="G384" s="96"/>
    </row>
    <row r="385">
      <c r="A385" s="11" t="s">
        <v>9316</v>
      </c>
      <c r="B385" s="15" t="s">
        <v>9324</v>
      </c>
      <c r="C385" s="20" t="s">
        <v>9325</v>
      </c>
      <c r="D385" s="15" t="s">
        <v>5817</v>
      </c>
      <c r="F385" s="96" t="s">
        <v>9316</v>
      </c>
      <c r="G385" s="96" t="s">
        <v>9326</v>
      </c>
    </row>
    <row r="386">
      <c r="A386" s="11" t="s">
        <v>9316</v>
      </c>
      <c r="B386" s="15" t="s">
        <v>9327</v>
      </c>
      <c r="C386" s="20" t="s">
        <v>9328</v>
      </c>
      <c r="D386" s="15" t="s">
        <v>5817</v>
      </c>
      <c r="F386" s="96" t="s">
        <v>9316</v>
      </c>
      <c r="G386" s="96" t="s">
        <v>9329</v>
      </c>
    </row>
    <row r="387">
      <c r="A387" s="11" t="s">
        <v>9306</v>
      </c>
      <c r="B387" s="15" t="s">
        <v>5964</v>
      </c>
      <c r="C387" s="20" t="s">
        <v>9330</v>
      </c>
      <c r="D387" s="15" t="s">
        <v>5966</v>
      </c>
      <c r="F387" s="96" t="s">
        <v>9306</v>
      </c>
      <c r="G387" s="96" t="s">
        <v>9331</v>
      </c>
    </row>
    <row r="388">
      <c r="A388" s="11" t="s">
        <v>9306</v>
      </c>
      <c r="B388" s="15" t="s">
        <v>5967</v>
      </c>
      <c r="C388" s="20" t="s">
        <v>9332</v>
      </c>
      <c r="D388" s="15" t="s">
        <v>5966</v>
      </c>
      <c r="F388" s="96" t="s">
        <v>9306</v>
      </c>
      <c r="G388" s="96" t="s">
        <v>9333</v>
      </c>
    </row>
    <row r="389">
      <c r="A389" s="11" t="s">
        <v>9306</v>
      </c>
      <c r="B389" s="15" t="s">
        <v>5969</v>
      </c>
      <c r="C389" s="20" t="s">
        <v>9334</v>
      </c>
      <c r="D389" s="15" t="s">
        <v>5966</v>
      </c>
      <c r="F389" s="96" t="s">
        <v>9306</v>
      </c>
      <c r="G389" s="96" t="s">
        <v>9335</v>
      </c>
    </row>
    <row r="390">
      <c r="A390" s="11" t="s">
        <v>9316</v>
      </c>
      <c r="B390" s="15" t="s">
        <v>5826</v>
      </c>
      <c r="C390" s="20" t="s">
        <v>9336</v>
      </c>
      <c r="D390" s="15" t="s">
        <v>5817</v>
      </c>
      <c r="F390" s="96"/>
      <c r="G390" s="96"/>
    </row>
    <row r="391">
      <c r="A391" s="11" t="s">
        <v>9316</v>
      </c>
      <c r="B391" s="15" t="s">
        <v>9337</v>
      </c>
      <c r="C391" s="20" t="s">
        <v>9338</v>
      </c>
      <c r="D391" s="15" t="s">
        <v>5817</v>
      </c>
      <c r="F391" s="96"/>
      <c r="G391" s="96"/>
    </row>
    <row r="392">
      <c r="A392" s="11" t="s">
        <v>9316</v>
      </c>
      <c r="B392" s="15" t="s">
        <v>5830</v>
      </c>
      <c r="C392" s="20" t="s">
        <v>9339</v>
      </c>
      <c r="D392" s="15" t="s">
        <v>5817</v>
      </c>
      <c r="F392" s="96" t="s">
        <v>9316</v>
      </c>
      <c r="G392" s="96" t="s">
        <v>9340</v>
      </c>
    </row>
    <row r="393">
      <c r="A393" s="11" t="s">
        <v>9341</v>
      </c>
      <c r="B393" s="15" t="s">
        <v>9342</v>
      </c>
      <c r="C393" s="20" t="s">
        <v>9343</v>
      </c>
      <c r="D393" s="15" t="s">
        <v>6015</v>
      </c>
      <c r="F393" s="96"/>
      <c r="G393" s="96"/>
    </row>
    <row r="394">
      <c r="A394" s="11" t="s">
        <v>9316</v>
      </c>
      <c r="B394" s="15" t="s">
        <v>9344</v>
      </c>
      <c r="C394" s="20" t="s">
        <v>9345</v>
      </c>
      <c r="D394" s="15" t="s">
        <v>5817</v>
      </c>
      <c r="F394" s="96"/>
      <c r="G394" s="96"/>
    </row>
    <row r="395">
      <c r="A395" s="11" t="s">
        <v>9316</v>
      </c>
      <c r="B395" s="15" t="s">
        <v>9346</v>
      </c>
      <c r="C395" s="20" t="s">
        <v>9347</v>
      </c>
      <c r="D395" s="15" t="s">
        <v>5817</v>
      </c>
      <c r="F395" s="96"/>
      <c r="G395" s="96"/>
    </row>
    <row r="396">
      <c r="A396" s="11" t="s">
        <v>9316</v>
      </c>
      <c r="B396" s="15" t="s">
        <v>5834</v>
      </c>
      <c r="C396" s="20" t="s">
        <v>9348</v>
      </c>
      <c r="D396" s="15" t="s">
        <v>5817</v>
      </c>
      <c r="F396" s="96"/>
      <c r="G396" s="96"/>
    </row>
    <row r="397">
      <c r="A397" s="11" t="s">
        <v>9316</v>
      </c>
      <c r="B397" s="15" t="s">
        <v>5836</v>
      </c>
      <c r="C397" s="20" t="s">
        <v>9349</v>
      </c>
      <c r="D397" s="15" t="s">
        <v>5817</v>
      </c>
      <c r="F397" s="96"/>
      <c r="G397" s="96"/>
    </row>
    <row r="398">
      <c r="A398" s="11" t="s">
        <v>9316</v>
      </c>
      <c r="B398" s="15" t="s">
        <v>9350</v>
      </c>
      <c r="C398" s="20" t="s">
        <v>9351</v>
      </c>
      <c r="D398" s="15" t="s">
        <v>5817</v>
      </c>
      <c r="F398" s="96"/>
      <c r="G398" s="96"/>
    </row>
    <row r="399">
      <c r="A399" s="11" t="s">
        <v>9306</v>
      </c>
      <c r="B399" s="15" t="s">
        <v>9352</v>
      </c>
      <c r="C399" s="20" t="s">
        <v>9353</v>
      </c>
      <c r="D399" s="15" t="s">
        <v>5966</v>
      </c>
      <c r="F399" s="96" t="s">
        <v>9306</v>
      </c>
      <c r="G399" s="96" t="s">
        <v>9354</v>
      </c>
    </row>
    <row r="400">
      <c r="A400" s="11" t="s">
        <v>9306</v>
      </c>
      <c r="B400" s="15" t="s">
        <v>9355</v>
      </c>
      <c r="C400" s="20" t="s">
        <v>9356</v>
      </c>
      <c r="D400" s="15" t="s">
        <v>5966</v>
      </c>
      <c r="F400" s="96" t="s">
        <v>9306</v>
      </c>
      <c r="G400" s="96" t="s">
        <v>9357</v>
      </c>
    </row>
    <row r="401">
      <c r="A401" s="11" t="s">
        <v>9316</v>
      </c>
      <c r="B401" s="15" t="s">
        <v>5838</v>
      </c>
      <c r="C401" s="20" t="s">
        <v>9358</v>
      </c>
      <c r="D401" s="15" t="s">
        <v>5817</v>
      </c>
      <c r="F401" s="96" t="s">
        <v>9316</v>
      </c>
      <c r="G401" s="96" t="s">
        <v>9359</v>
      </c>
    </row>
    <row r="402">
      <c r="A402" s="11" t="s">
        <v>9316</v>
      </c>
      <c r="B402" s="15" t="s">
        <v>5840</v>
      </c>
      <c r="C402" s="20" t="s">
        <v>9360</v>
      </c>
      <c r="D402" s="15" t="s">
        <v>5817</v>
      </c>
      <c r="F402" s="96" t="s">
        <v>9316</v>
      </c>
      <c r="G402" s="96" t="s">
        <v>9361</v>
      </c>
    </row>
    <row r="403">
      <c r="A403" s="11" t="s">
        <v>9316</v>
      </c>
      <c r="B403" s="15" t="s">
        <v>5842</v>
      </c>
      <c r="C403" s="20" t="s">
        <v>9362</v>
      </c>
      <c r="D403" s="15" t="s">
        <v>5817</v>
      </c>
      <c r="F403" s="96" t="s">
        <v>9316</v>
      </c>
      <c r="G403" s="96" t="s">
        <v>9363</v>
      </c>
    </row>
    <row r="404">
      <c r="A404" s="11" t="s">
        <v>9316</v>
      </c>
      <c r="B404" s="15" t="s">
        <v>9364</v>
      </c>
      <c r="C404" s="20" t="s">
        <v>9365</v>
      </c>
      <c r="D404" s="15" t="s">
        <v>5817</v>
      </c>
      <c r="F404" s="96" t="s">
        <v>9316</v>
      </c>
      <c r="G404" s="96" t="s">
        <v>9366</v>
      </c>
    </row>
    <row r="405">
      <c r="A405" s="11" t="s">
        <v>9316</v>
      </c>
      <c r="B405" s="15" t="s">
        <v>5848</v>
      </c>
      <c r="C405" s="20" t="s">
        <v>9367</v>
      </c>
      <c r="D405" s="15" t="s">
        <v>5817</v>
      </c>
      <c r="F405" s="96" t="s">
        <v>9316</v>
      </c>
      <c r="G405" s="96" t="s">
        <v>9368</v>
      </c>
    </row>
    <row r="406">
      <c r="A406" s="11" t="s">
        <v>9341</v>
      </c>
      <c r="B406" s="15" t="s">
        <v>9369</v>
      </c>
      <c r="C406" s="20" t="s">
        <v>9370</v>
      </c>
      <c r="D406" s="15" t="s">
        <v>6015</v>
      </c>
      <c r="F406" s="96"/>
      <c r="G406" s="96"/>
    </row>
    <row r="407">
      <c r="A407" s="11" t="s">
        <v>9316</v>
      </c>
      <c r="B407" s="15" t="s">
        <v>5850</v>
      </c>
      <c r="C407" s="20" t="s">
        <v>9371</v>
      </c>
      <c r="D407" s="15" t="s">
        <v>5817</v>
      </c>
      <c r="F407" s="96" t="s">
        <v>9316</v>
      </c>
      <c r="G407" s="96" t="s">
        <v>9372</v>
      </c>
    </row>
    <row r="408">
      <c r="A408" s="11" t="s">
        <v>9341</v>
      </c>
      <c r="B408" s="15" t="s">
        <v>9373</v>
      </c>
      <c r="C408" s="20" t="s">
        <v>9374</v>
      </c>
      <c r="D408" s="15" t="s">
        <v>6015</v>
      </c>
      <c r="F408" s="96"/>
      <c r="G408" s="96"/>
    </row>
    <row r="409">
      <c r="A409" s="11" t="s">
        <v>9316</v>
      </c>
      <c r="B409" s="15" t="s">
        <v>5852</v>
      </c>
      <c r="C409" s="20" t="s">
        <v>9375</v>
      </c>
      <c r="D409" s="15" t="s">
        <v>5817</v>
      </c>
      <c r="F409" s="96" t="s">
        <v>9316</v>
      </c>
      <c r="G409" s="96" t="s">
        <v>9376</v>
      </c>
    </row>
    <row r="410">
      <c r="A410" s="11" t="s">
        <v>9316</v>
      </c>
      <c r="B410" s="15" t="s">
        <v>5854</v>
      </c>
      <c r="C410" s="20" t="s">
        <v>9377</v>
      </c>
      <c r="D410" s="15" t="s">
        <v>5817</v>
      </c>
      <c r="F410" s="96" t="s">
        <v>9316</v>
      </c>
      <c r="G410" s="96" t="s">
        <v>9378</v>
      </c>
    </row>
    <row r="411">
      <c r="A411" s="11" t="s">
        <v>9316</v>
      </c>
      <c r="B411" s="15" t="s">
        <v>5856</v>
      </c>
      <c r="C411" s="20" t="s">
        <v>9379</v>
      </c>
      <c r="D411" s="15" t="s">
        <v>5817</v>
      </c>
      <c r="F411" s="96" t="s">
        <v>9316</v>
      </c>
      <c r="G411" s="96" t="s">
        <v>9380</v>
      </c>
    </row>
    <row r="412">
      <c r="A412" s="11" t="s">
        <v>9316</v>
      </c>
      <c r="B412" s="15" t="s">
        <v>5858</v>
      </c>
      <c r="C412" s="20" t="s">
        <v>9381</v>
      </c>
      <c r="D412" s="15" t="s">
        <v>5817</v>
      </c>
      <c r="F412" s="96" t="s">
        <v>9316</v>
      </c>
      <c r="G412" s="96" t="s">
        <v>9382</v>
      </c>
    </row>
    <row r="413">
      <c r="A413" s="11" t="s">
        <v>9341</v>
      </c>
      <c r="B413" s="15" t="s">
        <v>9383</v>
      </c>
      <c r="C413" s="20" t="s">
        <v>9384</v>
      </c>
      <c r="D413" s="15" t="s">
        <v>6015</v>
      </c>
      <c r="F413" s="96"/>
      <c r="G413" s="96"/>
    </row>
    <row r="414">
      <c r="A414" s="11" t="s">
        <v>9316</v>
      </c>
      <c r="B414" s="15" t="s">
        <v>9385</v>
      </c>
      <c r="C414" s="20" t="s">
        <v>9386</v>
      </c>
      <c r="D414" s="15" t="s">
        <v>5817</v>
      </c>
      <c r="F414" s="96" t="s">
        <v>9316</v>
      </c>
      <c r="G414" s="96" t="s">
        <v>9387</v>
      </c>
    </row>
    <row r="415">
      <c r="A415" s="11" t="s">
        <v>9316</v>
      </c>
      <c r="B415" s="15" t="s">
        <v>9388</v>
      </c>
      <c r="C415" s="20" t="s">
        <v>9389</v>
      </c>
      <c r="D415" s="15" t="s">
        <v>5817</v>
      </c>
      <c r="F415" s="96" t="s">
        <v>9316</v>
      </c>
      <c r="G415" s="96" t="s">
        <v>9390</v>
      </c>
    </row>
    <row r="416">
      <c r="A416" s="11" t="s">
        <v>9316</v>
      </c>
      <c r="B416" s="15" t="s">
        <v>5862</v>
      </c>
      <c r="C416" s="20" t="s">
        <v>9391</v>
      </c>
      <c r="D416" s="15" t="s">
        <v>5817</v>
      </c>
      <c r="F416" s="96" t="s">
        <v>9316</v>
      </c>
      <c r="G416" s="96" t="s">
        <v>9392</v>
      </c>
    </row>
    <row r="417">
      <c r="A417" s="11" t="s">
        <v>9316</v>
      </c>
      <c r="B417" s="15" t="s">
        <v>9393</v>
      </c>
      <c r="C417" s="20" t="s">
        <v>9394</v>
      </c>
      <c r="D417" s="15" t="s">
        <v>5817</v>
      </c>
      <c r="F417" s="96" t="s">
        <v>9316</v>
      </c>
      <c r="G417" s="96" t="s">
        <v>9395</v>
      </c>
    </row>
    <row r="418">
      <c r="A418" s="11" t="s">
        <v>9316</v>
      </c>
      <c r="B418" s="15" t="s">
        <v>5866</v>
      </c>
      <c r="C418" s="20" t="s">
        <v>9396</v>
      </c>
      <c r="D418" s="15" t="s">
        <v>5817</v>
      </c>
      <c r="F418" s="96" t="s">
        <v>9316</v>
      </c>
      <c r="G418" s="96" t="s">
        <v>9397</v>
      </c>
    </row>
    <row r="419">
      <c r="A419" s="11" t="s">
        <v>9316</v>
      </c>
      <c r="B419" s="15" t="s">
        <v>5868</v>
      </c>
      <c r="C419" s="20" t="s">
        <v>9398</v>
      </c>
      <c r="D419" s="15" t="s">
        <v>5817</v>
      </c>
      <c r="F419" s="96" t="s">
        <v>9316</v>
      </c>
      <c r="G419" s="96" t="s">
        <v>9399</v>
      </c>
    </row>
    <row r="420">
      <c r="A420" s="11" t="s">
        <v>9316</v>
      </c>
      <c r="B420" s="15" t="s">
        <v>9400</v>
      </c>
      <c r="C420" s="20" t="s">
        <v>9401</v>
      </c>
      <c r="D420" s="15" t="s">
        <v>5817</v>
      </c>
      <c r="F420" s="96"/>
      <c r="G420" s="96"/>
    </row>
    <row r="421">
      <c r="A421" s="11" t="s">
        <v>9316</v>
      </c>
      <c r="B421" s="15" t="s">
        <v>5870</v>
      </c>
      <c r="C421" s="20" t="s">
        <v>9402</v>
      </c>
      <c r="D421" s="15" t="s">
        <v>5817</v>
      </c>
      <c r="F421" s="96" t="s">
        <v>9316</v>
      </c>
      <c r="G421" s="96" t="s">
        <v>9403</v>
      </c>
    </row>
    <row r="422">
      <c r="A422" s="11" t="s">
        <v>9316</v>
      </c>
      <c r="B422" s="15" t="s">
        <v>5872</v>
      </c>
      <c r="C422" s="20" t="s">
        <v>9404</v>
      </c>
      <c r="D422" s="15" t="s">
        <v>5817</v>
      </c>
      <c r="F422" s="96" t="s">
        <v>9316</v>
      </c>
      <c r="G422" s="96" t="s">
        <v>9405</v>
      </c>
    </row>
    <row r="423">
      <c r="A423" s="11" t="s">
        <v>9316</v>
      </c>
      <c r="B423" s="15" t="s">
        <v>5876</v>
      </c>
      <c r="C423" s="20" t="s">
        <v>9406</v>
      </c>
      <c r="D423" s="15" t="s">
        <v>5817</v>
      </c>
      <c r="F423" s="96" t="s">
        <v>9316</v>
      </c>
      <c r="G423" s="96" t="s">
        <v>9407</v>
      </c>
    </row>
    <row r="424">
      <c r="A424" s="11" t="s">
        <v>9341</v>
      </c>
      <c r="B424" s="15" t="s">
        <v>9408</v>
      </c>
      <c r="C424" s="20" t="s">
        <v>9409</v>
      </c>
      <c r="D424" s="15" t="s">
        <v>6015</v>
      </c>
      <c r="F424" s="96"/>
      <c r="G424" s="96"/>
    </row>
    <row r="425">
      <c r="A425" s="11" t="s">
        <v>9306</v>
      </c>
      <c r="B425" s="15" t="s">
        <v>9410</v>
      </c>
      <c r="C425" s="20" t="s">
        <v>9411</v>
      </c>
      <c r="D425" s="15" t="s">
        <v>5966</v>
      </c>
      <c r="F425" s="96" t="s">
        <v>9306</v>
      </c>
      <c r="G425" s="96" t="s">
        <v>9412</v>
      </c>
    </row>
    <row r="426">
      <c r="A426" s="11" t="s">
        <v>9306</v>
      </c>
      <c r="B426" s="15" t="s">
        <v>9413</v>
      </c>
      <c r="C426" s="20" t="s">
        <v>9414</v>
      </c>
      <c r="D426" s="15" t="s">
        <v>5966</v>
      </c>
      <c r="F426" s="96" t="s">
        <v>9306</v>
      </c>
      <c r="G426" s="96" t="s">
        <v>9415</v>
      </c>
    </row>
    <row r="427">
      <c r="A427" s="11" t="s">
        <v>9316</v>
      </c>
      <c r="B427" s="15" t="s">
        <v>5878</v>
      </c>
      <c r="C427" s="20" t="s">
        <v>9416</v>
      </c>
      <c r="D427" s="15" t="s">
        <v>5817</v>
      </c>
      <c r="F427" s="96" t="s">
        <v>9316</v>
      </c>
      <c r="G427" s="96" t="s">
        <v>9417</v>
      </c>
    </row>
    <row r="428">
      <c r="A428" s="11" t="s">
        <v>9316</v>
      </c>
      <c r="B428" s="15" t="s">
        <v>9418</v>
      </c>
      <c r="C428" s="20" t="s">
        <v>9419</v>
      </c>
      <c r="D428" s="15" t="s">
        <v>5817</v>
      </c>
      <c r="F428" s="96"/>
      <c r="G428" s="96"/>
    </row>
    <row r="429">
      <c r="A429" s="11" t="s">
        <v>9316</v>
      </c>
      <c r="B429" s="15" t="s">
        <v>5882</v>
      </c>
      <c r="C429" s="20" t="s">
        <v>9420</v>
      </c>
      <c r="D429" s="15" t="s">
        <v>5817</v>
      </c>
      <c r="F429" s="96" t="s">
        <v>9316</v>
      </c>
      <c r="G429" s="96" t="s">
        <v>9421</v>
      </c>
    </row>
    <row r="430">
      <c r="A430" s="11" t="s">
        <v>9316</v>
      </c>
      <c r="B430" s="15" t="s">
        <v>5884</v>
      </c>
      <c r="C430" s="20" t="s">
        <v>9422</v>
      </c>
      <c r="D430" s="15" t="s">
        <v>5817</v>
      </c>
      <c r="F430" s="96" t="s">
        <v>9316</v>
      </c>
      <c r="G430" s="96" t="s">
        <v>9423</v>
      </c>
    </row>
    <row r="431">
      <c r="A431" s="11" t="s">
        <v>9316</v>
      </c>
      <c r="B431" s="15" t="s">
        <v>9424</v>
      </c>
      <c r="C431" s="20" t="s">
        <v>9425</v>
      </c>
      <c r="D431" s="15" t="s">
        <v>5817</v>
      </c>
      <c r="F431" s="96" t="s">
        <v>9316</v>
      </c>
      <c r="G431" s="96" t="s">
        <v>9426</v>
      </c>
    </row>
    <row r="432">
      <c r="A432" s="11" t="s">
        <v>9316</v>
      </c>
      <c r="B432" s="15" t="s">
        <v>5894</v>
      </c>
      <c r="C432" s="20" t="s">
        <v>9427</v>
      </c>
      <c r="D432" s="15" t="s">
        <v>5817</v>
      </c>
      <c r="F432" s="96" t="s">
        <v>9316</v>
      </c>
      <c r="G432" s="96" t="s">
        <v>9428</v>
      </c>
    </row>
    <row r="433">
      <c r="A433" s="11" t="s">
        <v>9341</v>
      </c>
      <c r="B433" s="15" t="s">
        <v>9429</v>
      </c>
      <c r="C433" s="20" t="s">
        <v>9430</v>
      </c>
      <c r="D433" s="15" t="s">
        <v>6015</v>
      </c>
      <c r="F433" s="96"/>
      <c r="G433" s="96"/>
    </row>
    <row r="434">
      <c r="A434" s="11" t="s">
        <v>9302</v>
      </c>
      <c r="B434" s="15" t="s">
        <v>5996</v>
      </c>
      <c r="C434" s="20" t="s">
        <v>9431</v>
      </c>
      <c r="D434" s="15" t="s">
        <v>5994</v>
      </c>
      <c r="F434" s="96" t="s">
        <v>9302</v>
      </c>
      <c r="G434" s="96" t="s">
        <v>9432</v>
      </c>
    </row>
    <row r="435">
      <c r="A435" s="11" t="s">
        <v>9302</v>
      </c>
      <c r="B435" s="15" t="s">
        <v>9433</v>
      </c>
      <c r="C435" s="20" t="s">
        <v>9434</v>
      </c>
      <c r="D435" s="15" t="s">
        <v>5994</v>
      </c>
      <c r="F435" s="96" t="s">
        <v>9302</v>
      </c>
      <c r="G435" s="96" t="s">
        <v>9435</v>
      </c>
    </row>
    <row r="436">
      <c r="A436" s="11" t="s">
        <v>9306</v>
      </c>
      <c r="B436" s="15" t="s">
        <v>9436</v>
      </c>
      <c r="C436" s="20" t="s">
        <v>9437</v>
      </c>
      <c r="D436" s="15" t="s">
        <v>5966</v>
      </c>
      <c r="F436" s="96" t="s">
        <v>9306</v>
      </c>
      <c r="G436" s="96" t="s">
        <v>9438</v>
      </c>
    </row>
    <row r="437">
      <c r="A437" s="11" t="s">
        <v>9306</v>
      </c>
      <c r="B437" s="15" t="s">
        <v>5973</v>
      </c>
      <c r="C437" s="20" t="s">
        <v>9439</v>
      </c>
      <c r="D437" s="15" t="s">
        <v>5966</v>
      </c>
      <c r="F437" s="96" t="s">
        <v>9306</v>
      </c>
      <c r="G437" s="96" t="s">
        <v>9440</v>
      </c>
    </row>
    <row r="438">
      <c r="A438" s="11" t="s">
        <v>9306</v>
      </c>
      <c r="B438" s="15" t="s">
        <v>5975</v>
      </c>
      <c r="C438" s="20" t="s">
        <v>9441</v>
      </c>
      <c r="D438" s="15" t="s">
        <v>5966</v>
      </c>
      <c r="F438" s="96" t="s">
        <v>9306</v>
      </c>
      <c r="G438" s="96" t="s">
        <v>9442</v>
      </c>
    </row>
    <row r="439">
      <c r="A439" s="11" t="s">
        <v>9306</v>
      </c>
      <c r="B439" s="15" t="s">
        <v>5977</v>
      </c>
      <c r="C439" s="20" t="s">
        <v>9443</v>
      </c>
      <c r="D439" s="15" t="s">
        <v>5966</v>
      </c>
      <c r="F439" s="96" t="s">
        <v>9306</v>
      </c>
      <c r="G439" s="96" t="s">
        <v>9444</v>
      </c>
    </row>
    <row r="440">
      <c r="A440" s="11" t="s">
        <v>9316</v>
      </c>
      <c r="B440" s="15" t="s">
        <v>9445</v>
      </c>
      <c r="C440" s="20" t="s">
        <v>9446</v>
      </c>
      <c r="D440" s="15" t="s">
        <v>5817</v>
      </c>
      <c r="F440" s="96" t="s">
        <v>9316</v>
      </c>
      <c r="G440" s="96" t="s">
        <v>9447</v>
      </c>
    </row>
    <row r="441">
      <c r="A441" s="11" t="s">
        <v>9316</v>
      </c>
      <c r="B441" s="15" t="s">
        <v>9448</v>
      </c>
      <c r="C441" s="20" t="s">
        <v>9449</v>
      </c>
      <c r="D441" s="15" t="s">
        <v>5817</v>
      </c>
      <c r="F441" s="96" t="s">
        <v>9316</v>
      </c>
      <c r="G441" s="96" t="s">
        <v>9450</v>
      </c>
    </row>
    <row r="442">
      <c r="A442" s="11" t="s">
        <v>9316</v>
      </c>
      <c r="B442" s="15" t="s">
        <v>9451</v>
      </c>
      <c r="C442" s="20" t="s">
        <v>9452</v>
      </c>
      <c r="D442" s="15" t="s">
        <v>5817</v>
      </c>
      <c r="F442" s="96" t="s">
        <v>9316</v>
      </c>
      <c r="G442" s="96" t="s">
        <v>9453</v>
      </c>
    </row>
    <row r="443">
      <c r="A443" s="11" t="s">
        <v>9316</v>
      </c>
      <c r="B443" s="15" t="s">
        <v>5900</v>
      </c>
      <c r="C443" s="20" t="s">
        <v>9454</v>
      </c>
      <c r="D443" s="15" t="s">
        <v>5817</v>
      </c>
      <c r="F443" s="96" t="s">
        <v>9316</v>
      </c>
      <c r="G443" s="96" t="s">
        <v>9455</v>
      </c>
    </row>
    <row r="444">
      <c r="A444" s="11" t="s">
        <v>9316</v>
      </c>
      <c r="B444" s="10" t="s">
        <v>9456</v>
      </c>
      <c r="C444" s="13" t="s">
        <v>9457</v>
      </c>
      <c r="D444" s="15" t="s">
        <v>5817</v>
      </c>
      <c r="F444" s="96"/>
      <c r="G444" s="96"/>
    </row>
    <row r="445">
      <c r="A445" s="11" t="s">
        <v>9316</v>
      </c>
      <c r="B445" s="15" t="s">
        <v>9458</v>
      </c>
      <c r="C445" s="20" t="s">
        <v>9459</v>
      </c>
      <c r="D445" s="15" t="s">
        <v>5817</v>
      </c>
      <c r="F445" s="96"/>
      <c r="G445" s="96"/>
    </row>
    <row r="446">
      <c r="A446" s="11" t="s">
        <v>9316</v>
      </c>
      <c r="B446" s="15" t="s">
        <v>9460</v>
      </c>
      <c r="C446" s="20" t="s">
        <v>9461</v>
      </c>
      <c r="D446" s="15" t="s">
        <v>5817</v>
      </c>
      <c r="F446" s="96"/>
      <c r="G446" s="96"/>
    </row>
    <row r="447">
      <c r="A447" s="11" t="s">
        <v>9316</v>
      </c>
      <c r="B447" s="15" t="s">
        <v>9462</v>
      </c>
      <c r="C447" s="20" t="s">
        <v>9463</v>
      </c>
      <c r="D447" s="15" t="s">
        <v>5817</v>
      </c>
      <c r="F447" s="96"/>
      <c r="G447" s="96"/>
    </row>
    <row r="448">
      <c r="A448" s="11" t="s">
        <v>9316</v>
      </c>
      <c r="B448" s="15" t="s">
        <v>9464</v>
      </c>
      <c r="C448" s="20" t="s">
        <v>9465</v>
      </c>
      <c r="D448" s="15" t="s">
        <v>5817</v>
      </c>
      <c r="F448" s="96"/>
      <c r="G448" s="96"/>
    </row>
    <row r="449">
      <c r="A449" s="11" t="s">
        <v>9302</v>
      </c>
      <c r="B449" s="15" t="s">
        <v>9466</v>
      </c>
      <c r="C449" s="20" t="s">
        <v>9467</v>
      </c>
      <c r="D449" s="15" t="s">
        <v>5994</v>
      </c>
      <c r="F449" s="96" t="s">
        <v>9302</v>
      </c>
      <c r="G449" s="96" t="s">
        <v>9468</v>
      </c>
    </row>
    <row r="450">
      <c r="A450" s="11" t="s">
        <v>9302</v>
      </c>
      <c r="B450" s="15" t="s">
        <v>9469</v>
      </c>
      <c r="C450" s="20" t="s">
        <v>9470</v>
      </c>
      <c r="D450" s="15" t="s">
        <v>5994</v>
      </c>
      <c r="F450" s="96" t="s">
        <v>9302</v>
      </c>
      <c r="G450" s="96" t="s">
        <v>9471</v>
      </c>
    </row>
    <row r="451">
      <c r="A451" s="11" t="s">
        <v>9302</v>
      </c>
      <c r="B451" s="15" t="s">
        <v>9472</v>
      </c>
      <c r="C451" s="20" t="s">
        <v>9473</v>
      </c>
      <c r="D451" s="15" t="s">
        <v>5994</v>
      </c>
      <c r="F451" s="96" t="s">
        <v>9302</v>
      </c>
      <c r="G451" s="96" t="s">
        <v>9474</v>
      </c>
    </row>
    <row r="452">
      <c r="A452" s="11" t="s">
        <v>9302</v>
      </c>
      <c r="B452" s="15" t="s">
        <v>9475</v>
      </c>
      <c r="C452" s="20" t="s">
        <v>9476</v>
      </c>
      <c r="D452" s="15" t="s">
        <v>5994</v>
      </c>
      <c r="F452" s="96" t="s">
        <v>9302</v>
      </c>
      <c r="G452" s="96" t="s">
        <v>9477</v>
      </c>
    </row>
    <row r="453">
      <c r="A453" s="11" t="s">
        <v>9302</v>
      </c>
      <c r="B453" s="15" t="s">
        <v>9478</v>
      </c>
      <c r="C453" s="20" t="s">
        <v>9479</v>
      </c>
      <c r="D453" s="15" t="s">
        <v>5994</v>
      </c>
      <c r="F453" s="96" t="s">
        <v>9302</v>
      </c>
      <c r="G453" s="96" t="s">
        <v>9480</v>
      </c>
    </row>
    <row r="454">
      <c r="A454" s="11" t="s">
        <v>9316</v>
      </c>
      <c r="B454" s="15" t="s">
        <v>9481</v>
      </c>
      <c r="C454" s="20" t="s">
        <v>9482</v>
      </c>
      <c r="D454" s="15" t="s">
        <v>5817</v>
      </c>
      <c r="F454" s="96" t="s">
        <v>9316</v>
      </c>
      <c r="G454" s="96" t="s">
        <v>9483</v>
      </c>
    </row>
    <row r="455">
      <c r="A455" s="11" t="s">
        <v>9316</v>
      </c>
      <c r="B455" s="15" t="s">
        <v>9484</v>
      </c>
      <c r="C455" s="20" t="s">
        <v>9485</v>
      </c>
      <c r="D455" s="15" t="s">
        <v>5817</v>
      </c>
      <c r="F455" s="96"/>
      <c r="G455" s="96"/>
    </row>
    <row r="456">
      <c r="A456" s="11" t="s">
        <v>9316</v>
      </c>
      <c r="B456" s="15" t="s">
        <v>5906</v>
      </c>
      <c r="C456" s="20" t="s">
        <v>9486</v>
      </c>
      <c r="D456" s="15" t="s">
        <v>5817</v>
      </c>
      <c r="F456" s="96" t="s">
        <v>9316</v>
      </c>
      <c r="G456" s="96" t="s">
        <v>9487</v>
      </c>
    </row>
    <row r="457">
      <c r="A457" s="11" t="s">
        <v>9306</v>
      </c>
      <c r="B457" s="15" t="s">
        <v>9488</v>
      </c>
      <c r="C457" s="20" t="s">
        <v>9489</v>
      </c>
      <c r="D457" s="15" t="s">
        <v>5966</v>
      </c>
      <c r="F457" s="96" t="s">
        <v>9306</v>
      </c>
      <c r="G457" s="96" t="s">
        <v>9490</v>
      </c>
    </row>
    <row r="458">
      <c r="A458" s="11" t="s">
        <v>9306</v>
      </c>
      <c r="B458" s="15" t="s">
        <v>9491</v>
      </c>
      <c r="C458" s="20" t="s">
        <v>9492</v>
      </c>
      <c r="D458" s="15" t="s">
        <v>5966</v>
      </c>
      <c r="F458" s="96" t="s">
        <v>9306</v>
      </c>
      <c r="G458" s="96" t="s">
        <v>9493</v>
      </c>
    </row>
    <row r="459">
      <c r="A459" s="11" t="s">
        <v>9316</v>
      </c>
      <c r="B459" s="15" t="s">
        <v>9494</v>
      </c>
      <c r="C459" s="20" t="s">
        <v>9495</v>
      </c>
      <c r="D459" s="15" t="s">
        <v>5817</v>
      </c>
      <c r="F459" s="96"/>
      <c r="G459" s="96"/>
    </row>
    <row r="460">
      <c r="A460" s="11" t="s">
        <v>9316</v>
      </c>
      <c r="B460" s="15" t="s">
        <v>9496</v>
      </c>
      <c r="C460" s="20" t="s">
        <v>9497</v>
      </c>
      <c r="D460" s="15" t="s">
        <v>5817</v>
      </c>
      <c r="F460" s="96"/>
      <c r="G460" s="96"/>
    </row>
    <row r="461">
      <c r="A461" s="11" t="s">
        <v>9316</v>
      </c>
      <c r="B461" s="15" t="s">
        <v>9498</v>
      </c>
      <c r="C461" s="20" t="s">
        <v>9499</v>
      </c>
      <c r="D461" s="15" t="s">
        <v>5817</v>
      </c>
      <c r="F461" s="96"/>
      <c r="G461" s="96"/>
    </row>
    <row r="462">
      <c r="A462" s="11" t="s">
        <v>9306</v>
      </c>
      <c r="B462" s="15" t="s">
        <v>5990</v>
      </c>
      <c r="C462" s="20" t="s">
        <v>9500</v>
      </c>
      <c r="D462" s="15" t="s">
        <v>5966</v>
      </c>
      <c r="F462" s="96" t="s">
        <v>9306</v>
      </c>
      <c r="G462" s="96" t="s">
        <v>9501</v>
      </c>
    </row>
    <row r="463">
      <c r="A463" s="11" t="s">
        <v>9316</v>
      </c>
      <c r="B463" s="15" t="s">
        <v>5918</v>
      </c>
      <c r="C463" s="20" t="s">
        <v>9502</v>
      </c>
      <c r="D463" s="15" t="s">
        <v>5817</v>
      </c>
      <c r="F463" s="96" t="s">
        <v>9316</v>
      </c>
      <c r="G463" s="96" t="s">
        <v>9503</v>
      </c>
    </row>
    <row r="464">
      <c r="A464" s="11" t="s">
        <v>9316</v>
      </c>
      <c r="B464" s="15" t="s">
        <v>9504</v>
      </c>
      <c r="C464" s="20" t="s">
        <v>9505</v>
      </c>
      <c r="D464" s="15" t="s">
        <v>5817</v>
      </c>
      <c r="F464" s="96" t="s">
        <v>9316</v>
      </c>
      <c r="G464" s="96" t="s">
        <v>9506</v>
      </c>
    </row>
    <row r="465">
      <c r="A465" s="11" t="s">
        <v>9316</v>
      </c>
      <c r="B465" s="15" t="s">
        <v>5920</v>
      </c>
      <c r="C465" s="20" t="s">
        <v>9507</v>
      </c>
      <c r="D465" s="15" t="s">
        <v>5817</v>
      </c>
      <c r="F465" s="96" t="s">
        <v>9316</v>
      </c>
      <c r="G465" s="96" t="s">
        <v>9508</v>
      </c>
    </row>
    <row r="466">
      <c r="A466" s="11" t="s">
        <v>9316</v>
      </c>
      <c r="B466" s="15" t="s">
        <v>5922</v>
      </c>
      <c r="C466" s="20" t="s">
        <v>9509</v>
      </c>
      <c r="D466" s="15" t="s">
        <v>5817</v>
      </c>
      <c r="F466" s="96"/>
      <c r="G466" s="96"/>
    </row>
    <row r="467">
      <c r="A467" s="11" t="s">
        <v>9316</v>
      </c>
      <c r="B467" s="15" t="s">
        <v>5924</v>
      </c>
      <c r="C467" s="20" t="s">
        <v>9510</v>
      </c>
      <c r="D467" s="15" t="s">
        <v>5817</v>
      </c>
      <c r="F467" s="96"/>
      <c r="G467" s="96"/>
    </row>
    <row r="468">
      <c r="A468" s="11" t="s">
        <v>9316</v>
      </c>
      <c r="B468" s="15" t="s">
        <v>5926</v>
      </c>
      <c r="C468" s="20" t="s">
        <v>9511</v>
      </c>
      <c r="D468" s="15" t="s">
        <v>5817</v>
      </c>
      <c r="F468" s="96"/>
      <c r="G468" s="96"/>
    </row>
    <row r="469">
      <c r="A469" s="11" t="s">
        <v>9316</v>
      </c>
      <c r="B469" s="15" t="s">
        <v>5928</v>
      </c>
      <c r="C469" s="20" t="s">
        <v>9512</v>
      </c>
      <c r="D469" s="15" t="s">
        <v>5817</v>
      </c>
      <c r="F469" s="96" t="s">
        <v>9316</v>
      </c>
      <c r="G469" s="96" t="s">
        <v>9513</v>
      </c>
    </row>
    <row r="470">
      <c r="A470" s="11" t="s">
        <v>9316</v>
      </c>
      <c r="B470" s="15" t="s">
        <v>9514</v>
      </c>
      <c r="C470" s="20" t="s">
        <v>9515</v>
      </c>
      <c r="D470" s="15" t="s">
        <v>5817</v>
      </c>
      <c r="F470" s="96"/>
      <c r="G470" s="96"/>
    </row>
    <row r="471">
      <c r="A471" s="11" t="s">
        <v>9316</v>
      </c>
      <c r="B471" s="15" t="s">
        <v>5933</v>
      </c>
      <c r="C471" s="20" t="s">
        <v>9516</v>
      </c>
      <c r="D471" s="15" t="s">
        <v>5817</v>
      </c>
      <c r="F471" s="96"/>
      <c r="G471" s="96"/>
    </row>
    <row r="472">
      <c r="A472" s="11" t="s">
        <v>9316</v>
      </c>
      <c r="B472" s="15" t="s">
        <v>9517</v>
      </c>
      <c r="C472" s="20" t="s">
        <v>9518</v>
      </c>
      <c r="D472" s="15" t="s">
        <v>5817</v>
      </c>
      <c r="F472" s="96"/>
      <c r="G472" s="96"/>
    </row>
    <row r="473">
      <c r="A473" s="11" t="s">
        <v>9316</v>
      </c>
      <c r="B473" s="15" t="s">
        <v>5939</v>
      </c>
      <c r="C473" s="20" t="s">
        <v>9519</v>
      </c>
      <c r="D473" s="15" t="s">
        <v>5817</v>
      </c>
      <c r="F473" s="96" t="s">
        <v>9316</v>
      </c>
      <c r="G473" s="96" t="s">
        <v>9520</v>
      </c>
    </row>
    <row r="474">
      <c r="A474" s="11" t="s">
        <v>9316</v>
      </c>
      <c r="B474" s="15" t="s">
        <v>5943</v>
      </c>
      <c r="C474" s="20" t="s">
        <v>9521</v>
      </c>
      <c r="D474" s="15" t="s">
        <v>5817</v>
      </c>
      <c r="F474" s="96" t="s">
        <v>9316</v>
      </c>
      <c r="G474" s="96" t="s">
        <v>9522</v>
      </c>
    </row>
    <row r="475">
      <c r="A475" s="11" t="s">
        <v>9316</v>
      </c>
      <c r="B475" s="15" t="s">
        <v>9523</v>
      </c>
      <c r="C475" s="20" t="s">
        <v>9524</v>
      </c>
      <c r="D475" s="15" t="s">
        <v>5817</v>
      </c>
      <c r="F475" s="96" t="s">
        <v>9316</v>
      </c>
      <c r="G475" s="96" t="s">
        <v>9525</v>
      </c>
    </row>
    <row r="476">
      <c r="A476" s="11" t="s">
        <v>9316</v>
      </c>
      <c r="B476" s="15" t="s">
        <v>5945</v>
      </c>
      <c r="C476" s="20" t="s">
        <v>9526</v>
      </c>
      <c r="D476" s="15" t="s">
        <v>5817</v>
      </c>
      <c r="F476" s="96" t="s">
        <v>9316</v>
      </c>
      <c r="G476" s="96" t="s">
        <v>9527</v>
      </c>
    </row>
    <row r="477">
      <c r="A477" s="11" t="s">
        <v>9316</v>
      </c>
      <c r="B477" s="15" t="s">
        <v>5947</v>
      </c>
      <c r="C477" s="20" t="s">
        <v>9528</v>
      </c>
      <c r="D477" s="15" t="s">
        <v>5817</v>
      </c>
      <c r="F477" s="96" t="s">
        <v>9316</v>
      </c>
      <c r="G477" s="96" t="s">
        <v>9529</v>
      </c>
    </row>
    <row r="478">
      <c r="A478" s="11" t="s">
        <v>9316</v>
      </c>
      <c r="B478" s="15" t="s">
        <v>5949</v>
      </c>
      <c r="C478" s="20" t="s">
        <v>9530</v>
      </c>
      <c r="D478" s="15" t="s">
        <v>5817</v>
      </c>
      <c r="F478" s="96" t="s">
        <v>9316</v>
      </c>
      <c r="G478" s="96" t="s">
        <v>9531</v>
      </c>
    </row>
    <row r="479">
      <c r="A479" s="11" t="s">
        <v>9316</v>
      </c>
      <c r="B479" s="15" t="s">
        <v>9532</v>
      </c>
      <c r="C479" s="20" t="s">
        <v>9533</v>
      </c>
      <c r="D479" s="15" t="s">
        <v>5817</v>
      </c>
      <c r="F479" s="96"/>
      <c r="G479" s="96"/>
    </row>
    <row r="480">
      <c r="A480" s="11" t="s">
        <v>9316</v>
      </c>
      <c r="B480" s="15" t="s">
        <v>9534</v>
      </c>
      <c r="C480" s="20" t="s">
        <v>9535</v>
      </c>
      <c r="D480" s="15" t="s">
        <v>5817</v>
      </c>
      <c r="F480" s="96" t="s">
        <v>9316</v>
      </c>
      <c r="G480" s="96" t="s">
        <v>9536</v>
      </c>
    </row>
    <row r="481">
      <c r="A481" s="11" t="s">
        <v>9316</v>
      </c>
      <c r="B481" s="15" t="s">
        <v>5953</v>
      </c>
      <c r="C481" s="20" t="s">
        <v>9537</v>
      </c>
      <c r="D481" s="15" t="s">
        <v>5817</v>
      </c>
    </row>
    <row r="482">
      <c r="A482" s="11" t="s">
        <v>9306</v>
      </c>
      <c r="B482" s="15" t="s">
        <v>5955</v>
      </c>
      <c r="C482" s="20" t="s">
        <v>9538</v>
      </c>
      <c r="D482" s="15" t="s">
        <v>5817</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1.88"/>
    <col customWidth="1" min="3" max="3" width="30.75"/>
    <col customWidth="1" min="4" max="4" width="36.88"/>
    <col customWidth="1" min="5" max="5" width="41.13"/>
    <col customWidth="1" min="6" max="6" width="41.38"/>
  </cols>
  <sheetData>
    <row r="1" hidden="1">
      <c r="A1" s="29">
        <v>1.0</v>
      </c>
      <c r="B1" s="29" t="s">
        <v>530</v>
      </c>
      <c r="C1" s="62"/>
      <c r="D1" s="62"/>
      <c r="E1" s="62"/>
      <c r="F1" s="62"/>
      <c r="G1" s="20" t="str">
        <f t="shared" ref="G1:G5595" si="1">B1 &amp; ", " &amp; C1&amp; ", " &amp; D1&amp; ", " &amp; E1 &amp; F1</f>
        <v>Animals &amp; Pet Supplies, , , </v>
      </c>
    </row>
    <row r="2" hidden="1">
      <c r="A2" s="29">
        <v>3237.0</v>
      </c>
      <c r="B2" s="29" t="s">
        <v>530</v>
      </c>
      <c r="C2" s="29" t="s">
        <v>531</v>
      </c>
      <c r="D2" s="62"/>
      <c r="E2" s="62"/>
      <c r="F2" s="62"/>
      <c r="G2" s="20" t="str">
        <f t="shared" si="1"/>
        <v>Animals &amp; Pet Supplies, Live Animals, , </v>
      </c>
    </row>
    <row r="3" hidden="1">
      <c r="A3" s="29">
        <v>2.0</v>
      </c>
      <c r="B3" s="29" t="s">
        <v>530</v>
      </c>
      <c r="C3" s="29" t="s">
        <v>532</v>
      </c>
      <c r="D3" s="62"/>
      <c r="E3" s="62"/>
      <c r="F3" s="62"/>
      <c r="G3" s="20" t="str">
        <f t="shared" si="1"/>
        <v>Animals &amp; Pet Supplies, Pet Supplies, , </v>
      </c>
    </row>
    <row r="4" hidden="1">
      <c r="A4" s="29">
        <v>3.0</v>
      </c>
      <c r="B4" s="29" t="s">
        <v>530</v>
      </c>
      <c r="C4" s="29" t="s">
        <v>532</v>
      </c>
      <c r="D4" s="29" t="s">
        <v>533</v>
      </c>
      <c r="E4" s="62"/>
      <c r="F4" s="62"/>
      <c r="G4" s="20" t="str">
        <f t="shared" si="1"/>
        <v>Animals &amp; Pet Supplies, Pet Supplies, Bird Supplies, </v>
      </c>
    </row>
    <row r="5" hidden="1">
      <c r="A5" s="29">
        <v>7385.0</v>
      </c>
      <c r="B5" s="29" t="s">
        <v>530</v>
      </c>
      <c r="C5" s="29" t="s">
        <v>532</v>
      </c>
      <c r="D5" s="29" t="s">
        <v>533</v>
      </c>
      <c r="E5" s="29" t="s">
        <v>534</v>
      </c>
      <c r="F5" s="62"/>
      <c r="G5" s="20" t="str">
        <f t="shared" si="1"/>
        <v>Animals &amp; Pet Supplies, Pet Supplies, Bird Supplies, Bird Cage Accessories</v>
      </c>
    </row>
    <row r="6" hidden="1">
      <c r="A6" s="29">
        <v>499954.0</v>
      </c>
      <c r="B6" s="29" t="s">
        <v>530</v>
      </c>
      <c r="C6" s="29" t="s">
        <v>532</v>
      </c>
      <c r="D6" s="29" t="s">
        <v>533</v>
      </c>
      <c r="E6" s="29" t="s">
        <v>534</v>
      </c>
      <c r="F6" s="29" t="s">
        <v>535</v>
      </c>
      <c r="G6" s="20" t="str">
        <f t="shared" si="1"/>
        <v>Animals &amp; Pet Supplies, Pet Supplies, Bird Supplies, Bird Cage AccessoriesBird Cage Bird Baths</v>
      </c>
    </row>
    <row r="7" hidden="1">
      <c r="A7" s="29">
        <v>7386.0</v>
      </c>
      <c r="B7" s="29" t="s">
        <v>530</v>
      </c>
      <c r="C7" s="29" t="s">
        <v>532</v>
      </c>
      <c r="D7" s="29" t="s">
        <v>533</v>
      </c>
      <c r="E7" s="29" t="s">
        <v>534</v>
      </c>
      <c r="F7" s="29" t="s">
        <v>536</v>
      </c>
      <c r="G7" s="20" t="str">
        <f t="shared" si="1"/>
        <v>Animals &amp; Pet Supplies, Pet Supplies, Bird Supplies, Bird Cage AccessoriesBird Cage Food &amp; Water Dishes</v>
      </c>
    </row>
    <row r="8" hidden="1">
      <c r="A8" s="29">
        <v>4989.0</v>
      </c>
      <c r="B8" s="29" t="s">
        <v>530</v>
      </c>
      <c r="C8" s="29" t="s">
        <v>532</v>
      </c>
      <c r="D8" s="29" t="s">
        <v>533</v>
      </c>
      <c r="E8" s="29" t="s">
        <v>537</v>
      </c>
      <c r="F8" s="62"/>
      <c r="G8" s="20" t="str">
        <f t="shared" si="1"/>
        <v>Animals &amp; Pet Supplies, Pet Supplies, Bird Supplies, Bird Cages &amp; Stands</v>
      </c>
    </row>
    <row r="9" hidden="1">
      <c r="A9" s="29">
        <v>4990.0</v>
      </c>
      <c r="B9" s="29" t="s">
        <v>530</v>
      </c>
      <c r="C9" s="29" t="s">
        <v>532</v>
      </c>
      <c r="D9" s="29" t="s">
        <v>533</v>
      </c>
      <c r="E9" s="29" t="s">
        <v>538</v>
      </c>
      <c r="F9" s="62"/>
      <c r="G9" s="20" t="str">
        <f t="shared" si="1"/>
        <v>Animals &amp; Pet Supplies, Pet Supplies, Bird Supplies, Bird Food</v>
      </c>
    </row>
    <row r="10" hidden="1">
      <c r="A10" s="29">
        <v>7398.0</v>
      </c>
      <c r="B10" s="29" t="s">
        <v>530</v>
      </c>
      <c r="C10" s="29" t="s">
        <v>532</v>
      </c>
      <c r="D10" s="29" t="s">
        <v>533</v>
      </c>
      <c r="E10" s="29" t="s">
        <v>539</v>
      </c>
      <c r="F10" s="62"/>
      <c r="G10" s="20" t="str">
        <f t="shared" si="1"/>
        <v>Animals &amp; Pet Supplies, Pet Supplies, Bird Supplies, Bird Gyms &amp; Playstands</v>
      </c>
    </row>
    <row r="11" hidden="1">
      <c r="A11" s="29">
        <v>4991.0</v>
      </c>
      <c r="B11" s="29" t="s">
        <v>530</v>
      </c>
      <c r="C11" s="29" t="s">
        <v>532</v>
      </c>
      <c r="D11" s="29" t="s">
        <v>533</v>
      </c>
      <c r="E11" s="29" t="s">
        <v>540</v>
      </c>
      <c r="F11" s="62"/>
      <c r="G11" s="20" t="str">
        <f t="shared" si="1"/>
        <v>Animals &amp; Pet Supplies, Pet Supplies, Bird Supplies, Bird Ladders &amp; Perches</v>
      </c>
    </row>
    <row r="12" hidden="1">
      <c r="A12" s="29">
        <v>4992.0</v>
      </c>
      <c r="B12" s="29" t="s">
        <v>530</v>
      </c>
      <c r="C12" s="29" t="s">
        <v>532</v>
      </c>
      <c r="D12" s="29" t="s">
        <v>533</v>
      </c>
      <c r="E12" s="29" t="s">
        <v>541</v>
      </c>
      <c r="F12" s="62"/>
      <c r="G12" s="20" t="str">
        <f t="shared" si="1"/>
        <v>Animals &amp; Pet Supplies, Pet Supplies, Bird Supplies, Bird Toys</v>
      </c>
    </row>
    <row r="13" hidden="1">
      <c r="A13" s="29">
        <v>4993.0</v>
      </c>
      <c r="B13" s="29" t="s">
        <v>530</v>
      </c>
      <c r="C13" s="29" t="s">
        <v>532</v>
      </c>
      <c r="D13" s="29" t="s">
        <v>533</v>
      </c>
      <c r="E13" s="29" t="s">
        <v>542</v>
      </c>
      <c r="F13" s="62"/>
      <c r="G13" s="20" t="str">
        <f t="shared" si="1"/>
        <v>Animals &amp; Pet Supplies, Pet Supplies, Bird Supplies, Bird Treats</v>
      </c>
    </row>
    <row r="14" hidden="1">
      <c r="A14" s="29">
        <v>4.0</v>
      </c>
      <c r="B14" s="29" t="s">
        <v>530</v>
      </c>
      <c r="C14" s="29" t="s">
        <v>532</v>
      </c>
      <c r="D14" s="29" t="s">
        <v>543</v>
      </c>
      <c r="E14" s="62"/>
      <c r="F14" s="62"/>
      <c r="G14" s="20" t="str">
        <f t="shared" si="1"/>
        <v>Animals &amp; Pet Supplies, Pet Supplies, Cat Supplies, </v>
      </c>
    </row>
    <row r="15" hidden="1">
      <c r="A15" s="29">
        <v>5082.0</v>
      </c>
      <c r="B15" s="29" t="s">
        <v>530</v>
      </c>
      <c r="C15" s="29" t="s">
        <v>532</v>
      </c>
      <c r="D15" s="29" t="s">
        <v>543</v>
      </c>
      <c r="E15" s="29" t="s">
        <v>544</v>
      </c>
      <c r="F15" s="62"/>
      <c r="G15" s="20" t="str">
        <f t="shared" si="1"/>
        <v>Animals &amp; Pet Supplies, Pet Supplies, Cat Supplies, Cat Apparel</v>
      </c>
    </row>
    <row r="16" hidden="1">
      <c r="A16" s="29">
        <v>4433.0</v>
      </c>
      <c r="B16" s="29" t="s">
        <v>530</v>
      </c>
      <c r="C16" s="29" t="s">
        <v>532</v>
      </c>
      <c r="D16" s="29" t="s">
        <v>543</v>
      </c>
      <c r="E16" s="29" t="s">
        <v>545</v>
      </c>
      <c r="F16" s="62"/>
      <c r="G16" s="20" t="str">
        <f t="shared" si="1"/>
        <v>Animals &amp; Pet Supplies, Pet Supplies, Cat Supplies, Cat Beds</v>
      </c>
    </row>
    <row r="17" hidden="1">
      <c r="A17" s="29">
        <v>3367.0</v>
      </c>
      <c r="B17" s="29" t="s">
        <v>530</v>
      </c>
      <c r="C17" s="29" t="s">
        <v>532</v>
      </c>
      <c r="D17" s="29" t="s">
        <v>543</v>
      </c>
      <c r="E17" s="29" t="s">
        <v>546</v>
      </c>
      <c r="F17" s="62"/>
      <c r="G17" s="20" t="str">
        <f t="shared" si="1"/>
        <v>Animals &amp; Pet Supplies, Pet Supplies, Cat Supplies, Cat Food</v>
      </c>
    </row>
    <row r="18" hidden="1">
      <c r="A18" s="29">
        <v>543684.0</v>
      </c>
      <c r="B18" s="29" t="s">
        <v>530</v>
      </c>
      <c r="C18" s="29" t="s">
        <v>532</v>
      </c>
      <c r="D18" s="29" t="s">
        <v>543</v>
      </c>
      <c r="E18" s="29" t="s">
        <v>546</v>
      </c>
      <c r="F18" s="29" t="s">
        <v>547</v>
      </c>
      <c r="G18" s="20" t="str">
        <f t="shared" si="1"/>
        <v>Animals &amp; Pet Supplies, Pet Supplies, Cat Supplies, Cat FoodNon-prescription Cat Food</v>
      </c>
    </row>
    <row r="19" hidden="1">
      <c r="A19" s="29">
        <v>543683.0</v>
      </c>
      <c r="B19" s="29" t="s">
        <v>530</v>
      </c>
      <c r="C19" s="29" t="s">
        <v>532</v>
      </c>
      <c r="D19" s="29" t="s">
        <v>543</v>
      </c>
      <c r="E19" s="29" t="s">
        <v>546</v>
      </c>
      <c r="F19" s="29" t="s">
        <v>548</v>
      </c>
      <c r="G19" s="20" t="str">
        <f t="shared" si="1"/>
        <v>Animals &amp; Pet Supplies, Pet Supplies, Cat Supplies, Cat FoodPrescription Cat Food</v>
      </c>
    </row>
    <row r="20" hidden="1">
      <c r="A20" s="29">
        <v>4997.0</v>
      </c>
      <c r="B20" s="29" t="s">
        <v>530</v>
      </c>
      <c r="C20" s="29" t="s">
        <v>532</v>
      </c>
      <c r="D20" s="29" t="s">
        <v>543</v>
      </c>
      <c r="E20" s="29" t="s">
        <v>549</v>
      </c>
      <c r="F20" s="62"/>
      <c r="G20" s="20" t="str">
        <f t="shared" si="1"/>
        <v>Animals &amp; Pet Supplies, Pet Supplies, Cat Supplies, Cat Furniture</v>
      </c>
    </row>
    <row r="21" hidden="1">
      <c r="A21" s="29">
        <v>500059.0</v>
      </c>
      <c r="B21" s="29" t="s">
        <v>530</v>
      </c>
      <c r="C21" s="29" t="s">
        <v>532</v>
      </c>
      <c r="D21" s="29" t="s">
        <v>543</v>
      </c>
      <c r="E21" s="29" t="s">
        <v>550</v>
      </c>
      <c r="F21" s="62"/>
      <c r="G21" s="20" t="str">
        <f t="shared" si="1"/>
        <v>Animals &amp; Pet Supplies, Pet Supplies, Cat Supplies, Cat Furniture Accessories</v>
      </c>
    </row>
    <row r="22" hidden="1">
      <c r="A22" s="29">
        <v>4999.0</v>
      </c>
      <c r="B22" s="29" t="s">
        <v>530</v>
      </c>
      <c r="C22" s="29" t="s">
        <v>532</v>
      </c>
      <c r="D22" s="29" t="s">
        <v>543</v>
      </c>
      <c r="E22" s="29" t="s">
        <v>551</v>
      </c>
      <c r="F22" s="62"/>
      <c r="G22" s="20" t="str">
        <f t="shared" si="1"/>
        <v>Animals &amp; Pet Supplies, Pet Supplies, Cat Supplies, Cat Litter</v>
      </c>
    </row>
    <row r="23" hidden="1">
      <c r="A23" s="29">
        <v>8069.0</v>
      </c>
      <c r="B23" s="29" t="s">
        <v>530</v>
      </c>
      <c r="C23" s="29" t="s">
        <v>532</v>
      </c>
      <c r="D23" s="29" t="s">
        <v>543</v>
      </c>
      <c r="E23" s="29" t="s">
        <v>552</v>
      </c>
      <c r="F23" s="62"/>
      <c r="G23" s="20" t="str">
        <f t="shared" si="1"/>
        <v>Animals &amp; Pet Supplies, Pet Supplies, Cat Supplies, Cat Litter Box Liners</v>
      </c>
    </row>
    <row r="24" hidden="1">
      <c r="A24" s="29">
        <v>7142.0</v>
      </c>
      <c r="B24" s="29" t="s">
        <v>530</v>
      </c>
      <c r="C24" s="29" t="s">
        <v>532</v>
      </c>
      <c r="D24" s="29" t="s">
        <v>543</v>
      </c>
      <c r="E24" s="29" t="s">
        <v>553</v>
      </c>
      <c r="F24" s="62"/>
      <c r="G24" s="20" t="str">
        <f t="shared" si="1"/>
        <v>Animals &amp; Pet Supplies, Pet Supplies, Cat Supplies, Cat Litter Box Mats</v>
      </c>
    </row>
    <row r="25" hidden="1">
      <c r="A25" s="29">
        <v>5000.0</v>
      </c>
      <c r="B25" s="29" t="s">
        <v>530</v>
      </c>
      <c r="C25" s="29" t="s">
        <v>532</v>
      </c>
      <c r="D25" s="29" t="s">
        <v>543</v>
      </c>
      <c r="E25" s="29" t="s">
        <v>554</v>
      </c>
      <c r="F25" s="62"/>
      <c r="G25" s="20" t="str">
        <f t="shared" si="1"/>
        <v>Animals &amp; Pet Supplies, Pet Supplies, Cat Supplies, Cat Litter Boxes</v>
      </c>
    </row>
    <row r="26" hidden="1">
      <c r="A26" s="29">
        <v>5001.0</v>
      </c>
      <c r="B26" s="29" t="s">
        <v>530</v>
      </c>
      <c r="C26" s="29" t="s">
        <v>532</v>
      </c>
      <c r="D26" s="29" t="s">
        <v>543</v>
      </c>
      <c r="E26" s="29" t="s">
        <v>555</v>
      </c>
      <c r="F26" s="62"/>
      <c r="G26" s="20" t="str">
        <f t="shared" si="1"/>
        <v>Animals &amp; Pet Supplies, Pet Supplies, Cat Supplies, Cat Toys</v>
      </c>
    </row>
    <row r="27" hidden="1">
      <c r="A27" s="29">
        <v>5002.0</v>
      </c>
      <c r="B27" s="29" t="s">
        <v>530</v>
      </c>
      <c r="C27" s="29" t="s">
        <v>532</v>
      </c>
      <c r="D27" s="29" t="s">
        <v>543</v>
      </c>
      <c r="E27" s="29" t="s">
        <v>556</v>
      </c>
      <c r="F27" s="62"/>
      <c r="G27" s="20" t="str">
        <f t="shared" si="1"/>
        <v>Animals &amp; Pet Supplies, Pet Supplies, Cat Supplies, Cat Treats</v>
      </c>
    </row>
    <row r="28" hidden="1">
      <c r="A28" s="29">
        <v>5.0</v>
      </c>
      <c r="B28" s="29" t="s">
        <v>530</v>
      </c>
      <c r="C28" s="29" t="s">
        <v>532</v>
      </c>
      <c r="D28" s="29" t="s">
        <v>557</v>
      </c>
      <c r="E28" s="62"/>
      <c r="F28" s="62"/>
      <c r="G28" s="20" t="str">
        <f t="shared" si="1"/>
        <v>Animals &amp; Pet Supplies, Pet Supplies, Dog Supplies, </v>
      </c>
    </row>
    <row r="29" hidden="1">
      <c r="A29" s="29">
        <v>5004.0</v>
      </c>
      <c r="B29" s="29" t="s">
        <v>530</v>
      </c>
      <c r="C29" s="29" t="s">
        <v>532</v>
      </c>
      <c r="D29" s="29" t="s">
        <v>557</v>
      </c>
      <c r="E29" s="29" t="s">
        <v>558</v>
      </c>
      <c r="F29" s="62"/>
      <c r="G29" s="20" t="str">
        <f t="shared" si="1"/>
        <v>Animals &amp; Pet Supplies, Pet Supplies, Dog Supplies, Dog Apparel</v>
      </c>
    </row>
    <row r="30" hidden="1">
      <c r="A30" s="29">
        <v>4434.0</v>
      </c>
      <c r="B30" s="29" t="s">
        <v>530</v>
      </c>
      <c r="C30" s="29" t="s">
        <v>532</v>
      </c>
      <c r="D30" s="29" t="s">
        <v>557</v>
      </c>
      <c r="E30" s="29" t="s">
        <v>559</v>
      </c>
      <c r="F30" s="62"/>
      <c r="G30" s="20" t="str">
        <f t="shared" si="1"/>
        <v>Animals &amp; Pet Supplies, Pet Supplies, Dog Supplies, Dog Beds</v>
      </c>
    </row>
    <row r="31" hidden="1">
      <c r="A31" s="29">
        <v>7372.0</v>
      </c>
      <c r="B31" s="29" t="s">
        <v>530</v>
      </c>
      <c r="C31" s="29" t="s">
        <v>532</v>
      </c>
      <c r="D31" s="29" t="s">
        <v>557</v>
      </c>
      <c r="E31" s="29" t="s">
        <v>560</v>
      </c>
      <c r="F31" s="62"/>
      <c r="G31" s="20" t="str">
        <f t="shared" si="1"/>
        <v>Animals &amp; Pet Supplies, Pet Supplies, Dog Supplies, Dog Diaper Pads &amp; Liners</v>
      </c>
    </row>
    <row r="32" hidden="1">
      <c r="A32" s="29">
        <v>499900.0</v>
      </c>
      <c r="B32" s="29" t="s">
        <v>530</v>
      </c>
      <c r="C32" s="29" t="s">
        <v>532</v>
      </c>
      <c r="D32" s="29" t="s">
        <v>557</v>
      </c>
      <c r="E32" s="29" t="s">
        <v>561</v>
      </c>
      <c r="F32" s="62"/>
      <c r="G32" s="20" t="str">
        <f t="shared" si="1"/>
        <v>Animals &amp; Pet Supplies, Pet Supplies, Dog Supplies, Dog Diapers</v>
      </c>
    </row>
    <row r="33" hidden="1">
      <c r="A33" s="29">
        <v>3530.0</v>
      </c>
      <c r="B33" s="29" t="s">
        <v>530</v>
      </c>
      <c r="C33" s="29" t="s">
        <v>532</v>
      </c>
      <c r="D33" s="29" t="s">
        <v>557</v>
      </c>
      <c r="E33" s="29" t="s">
        <v>562</v>
      </c>
      <c r="F33" s="62"/>
      <c r="G33" s="20" t="str">
        <f t="shared" si="1"/>
        <v>Animals &amp; Pet Supplies, Pet Supplies, Dog Supplies, Dog Food</v>
      </c>
    </row>
    <row r="34" hidden="1">
      <c r="A34" s="29">
        <v>543682.0</v>
      </c>
      <c r="B34" s="29" t="s">
        <v>530</v>
      </c>
      <c r="C34" s="29" t="s">
        <v>532</v>
      </c>
      <c r="D34" s="29" t="s">
        <v>557</v>
      </c>
      <c r="E34" s="29" t="s">
        <v>562</v>
      </c>
      <c r="F34" s="29" t="s">
        <v>563</v>
      </c>
      <c r="G34" s="20" t="str">
        <f t="shared" si="1"/>
        <v>Animals &amp; Pet Supplies, Pet Supplies, Dog Supplies, Dog FoodNon-prescription Dog Food</v>
      </c>
    </row>
    <row r="35" hidden="1">
      <c r="A35" s="29">
        <v>543681.0</v>
      </c>
      <c r="B35" s="29" t="s">
        <v>530</v>
      </c>
      <c r="C35" s="29" t="s">
        <v>532</v>
      </c>
      <c r="D35" s="29" t="s">
        <v>557</v>
      </c>
      <c r="E35" s="29" t="s">
        <v>562</v>
      </c>
      <c r="F35" s="29" t="s">
        <v>564</v>
      </c>
      <c r="G35" s="20" t="str">
        <f t="shared" si="1"/>
        <v>Animals &amp; Pet Supplies, Pet Supplies, Dog Supplies, Dog FoodPrescription Dog Food</v>
      </c>
    </row>
    <row r="36" hidden="1">
      <c r="A36" s="29">
        <v>5094.0</v>
      </c>
      <c r="B36" s="29" t="s">
        <v>530</v>
      </c>
      <c r="C36" s="29" t="s">
        <v>532</v>
      </c>
      <c r="D36" s="29" t="s">
        <v>557</v>
      </c>
      <c r="E36" s="29" t="s">
        <v>565</v>
      </c>
      <c r="F36" s="62"/>
      <c r="G36" s="20" t="str">
        <f t="shared" si="1"/>
        <v>Animals &amp; Pet Supplies, Pet Supplies, Dog Supplies, Dog Houses</v>
      </c>
    </row>
    <row r="37" hidden="1">
      <c r="A37" s="29">
        <v>7428.0</v>
      </c>
      <c r="B37" s="29" t="s">
        <v>530</v>
      </c>
      <c r="C37" s="29" t="s">
        <v>532</v>
      </c>
      <c r="D37" s="29" t="s">
        <v>557</v>
      </c>
      <c r="E37" s="29" t="s">
        <v>566</v>
      </c>
      <c r="F37" s="62"/>
      <c r="G37" s="20" t="str">
        <f t="shared" si="1"/>
        <v>Animals &amp; Pet Supplies, Pet Supplies, Dog Supplies, Dog Kennel &amp; Run Accessories</v>
      </c>
    </row>
    <row r="38" hidden="1">
      <c r="A38" s="29">
        <v>7274.0</v>
      </c>
      <c r="B38" s="29" t="s">
        <v>530</v>
      </c>
      <c r="C38" s="29" t="s">
        <v>532</v>
      </c>
      <c r="D38" s="29" t="s">
        <v>557</v>
      </c>
      <c r="E38" s="29" t="s">
        <v>567</v>
      </c>
      <c r="F38" s="62"/>
      <c r="G38" s="20" t="str">
        <f t="shared" si="1"/>
        <v>Animals &amp; Pet Supplies, Pet Supplies, Dog Supplies, Dog Kennels &amp; Runs</v>
      </c>
    </row>
    <row r="39" hidden="1">
      <c r="A39" s="29">
        <v>5010.0</v>
      </c>
      <c r="B39" s="29" t="s">
        <v>530</v>
      </c>
      <c r="C39" s="29" t="s">
        <v>532</v>
      </c>
      <c r="D39" s="29" t="s">
        <v>557</v>
      </c>
      <c r="E39" s="29" t="s">
        <v>568</v>
      </c>
      <c r="F39" s="62"/>
      <c r="G39" s="20" t="str">
        <f t="shared" si="1"/>
        <v>Animals &amp; Pet Supplies, Pet Supplies, Dog Supplies, Dog Toys</v>
      </c>
    </row>
    <row r="40" hidden="1">
      <c r="A40" s="29">
        <v>8123.0</v>
      </c>
      <c r="B40" s="29" t="s">
        <v>530</v>
      </c>
      <c r="C40" s="29" t="s">
        <v>532</v>
      </c>
      <c r="D40" s="29" t="s">
        <v>557</v>
      </c>
      <c r="E40" s="29" t="s">
        <v>569</v>
      </c>
      <c r="F40" s="62"/>
      <c r="G40" s="20" t="str">
        <f t="shared" si="1"/>
        <v>Animals &amp; Pet Supplies, Pet Supplies, Dog Supplies, Dog Treadmills</v>
      </c>
    </row>
    <row r="41" hidden="1">
      <c r="A41" s="29">
        <v>5011.0</v>
      </c>
      <c r="B41" s="29" t="s">
        <v>530</v>
      </c>
      <c r="C41" s="29" t="s">
        <v>532</v>
      </c>
      <c r="D41" s="29" t="s">
        <v>557</v>
      </c>
      <c r="E41" s="29" t="s">
        <v>570</v>
      </c>
      <c r="F41" s="62"/>
      <c r="G41" s="20" t="str">
        <f t="shared" si="1"/>
        <v>Animals &amp; Pet Supplies, Pet Supplies, Dog Supplies, Dog Treats</v>
      </c>
    </row>
    <row r="42" hidden="1">
      <c r="A42" s="29">
        <v>6.0</v>
      </c>
      <c r="B42" s="29" t="s">
        <v>530</v>
      </c>
      <c r="C42" s="29" t="s">
        <v>532</v>
      </c>
      <c r="D42" s="29" t="s">
        <v>571</v>
      </c>
      <c r="E42" s="62"/>
      <c r="F42" s="62"/>
      <c r="G42" s="20" t="str">
        <f t="shared" si="1"/>
        <v>Animals &amp; Pet Supplies, Pet Supplies, Fish Supplies, </v>
      </c>
    </row>
    <row r="43" hidden="1">
      <c r="A43" s="29">
        <v>505303.0</v>
      </c>
      <c r="B43" s="29" t="s">
        <v>530</v>
      </c>
      <c r="C43" s="29" t="s">
        <v>532</v>
      </c>
      <c r="D43" s="29" t="s">
        <v>571</v>
      </c>
      <c r="E43" s="29" t="s">
        <v>572</v>
      </c>
      <c r="F43" s="62"/>
      <c r="G43" s="20" t="str">
        <f t="shared" si="1"/>
        <v>Animals &amp; Pet Supplies, Pet Supplies, Fish Supplies, Aquarium &amp; Pond Tubing</v>
      </c>
    </row>
    <row r="44" hidden="1">
      <c r="A44" s="29">
        <v>505307.0</v>
      </c>
      <c r="B44" s="29" t="s">
        <v>530</v>
      </c>
      <c r="C44" s="29" t="s">
        <v>532</v>
      </c>
      <c r="D44" s="29" t="s">
        <v>571</v>
      </c>
      <c r="E44" s="29" t="s">
        <v>573</v>
      </c>
      <c r="F44" s="62"/>
      <c r="G44" s="20" t="str">
        <f t="shared" si="1"/>
        <v>Animals &amp; Pet Supplies, Pet Supplies, Fish Supplies, Aquarium Air Stones &amp; Diffusers</v>
      </c>
    </row>
    <row r="45" hidden="1">
      <c r="A45" s="29">
        <v>500038.0</v>
      </c>
      <c r="B45" s="29" t="s">
        <v>530</v>
      </c>
      <c r="C45" s="29" t="s">
        <v>532</v>
      </c>
      <c r="D45" s="29" t="s">
        <v>571</v>
      </c>
      <c r="E45" s="29" t="s">
        <v>574</v>
      </c>
      <c r="F45" s="62"/>
      <c r="G45" s="20" t="str">
        <f t="shared" si="1"/>
        <v>Animals &amp; Pet Supplies, Pet Supplies, Fish Supplies, Aquarium Cleaning Supplies</v>
      </c>
    </row>
    <row r="46" hidden="1">
      <c r="A46" s="29">
        <v>5019.0</v>
      </c>
      <c r="B46" s="29" t="s">
        <v>530</v>
      </c>
      <c r="C46" s="29" t="s">
        <v>532</v>
      </c>
      <c r="D46" s="29" t="s">
        <v>571</v>
      </c>
      <c r="E46" s="29" t="s">
        <v>575</v>
      </c>
      <c r="F46" s="62"/>
      <c r="G46" s="20" t="str">
        <f t="shared" si="1"/>
        <v>Animals &amp; Pet Supplies, Pet Supplies, Fish Supplies, Aquarium Decor</v>
      </c>
    </row>
    <row r="47" hidden="1">
      <c r="A47" s="29">
        <v>5020.0</v>
      </c>
      <c r="B47" s="29" t="s">
        <v>530</v>
      </c>
      <c r="C47" s="29" t="s">
        <v>532</v>
      </c>
      <c r="D47" s="29" t="s">
        <v>571</v>
      </c>
      <c r="E47" s="29" t="s">
        <v>576</v>
      </c>
      <c r="F47" s="62"/>
      <c r="G47" s="20" t="str">
        <f t="shared" si="1"/>
        <v>Animals &amp; Pet Supplies, Pet Supplies, Fish Supplies, Aquarium Filters</v>
      </c>
    </row>
    <row r="48" hidden="1">
      <c r="A48" s="29">
        <v>505306.0</v>
      </c>
      <c r="B48" s="29" t="s">
        <v>530</v>
      </c>
      <c r="C48" s="29" t="s">
        <v>532</v>
      </c>
      <c r="D48" s="29" t="s">
        <v>571</v>
      </c>
      <c r="E48" s="29" t="s">
        <v>577</v>
      </c>
      <c r="F48" s="62"/>
      <c r="G48" s="20" t="str">
        <f t="shared" si="1"/>
        <v>Animals &amp; Pet Supplies, Pet Supplies, Fish Supplies, Aquarium Fish Nets</v>
      </c>
    </row>
    <row r="49" hidden="1">
      <c r="A49" s="29">
        <v>5021.0</v>
      </c>
      <c r="B49" s="29" t="s">
        <v>530</v>
      </c>
      <c r="C49" s="29" t="s">
        <v>532</v>
      </c>
      <c r="D49" s="29" t="s">
        <v>571</v>
      </c>
      <c r="E49" s="29" t="s">
        <v>578</v>
      </c>
      <c r="F49" s="62"/>
      <c r="G49" s="20" t="str">
        <f t="shared" si="1"/>
        <v>Animals &amp; Pet Supplies, Pet Supplies, Fish Supplies, Aquarium Gravel &amp; Substrates</v>
      </c>
    </row>
    <row r="50" hidden="1">
      <c r="A50" s="29">
        <v>5079.0</v>
      </c>
      <c r="B50" s="29" t="s">
        <v>530</v>
      </c>
      <c r="C50" s="29" t="s">
        <v>532</v>
      </c>
      <c r="D50" s="29" t="s">
        <v>571</v>
      </c>
      <c r="E50" s="29" t="s">
        <v>579</v>
      </c>
      <c r="F50" s="62"/>
      <c r="G50" s="20" t="str">
        <f t="shared" si="1"/>
        <v>Animals &amp; Pet Supplies, Pet Supplies, Fish Supplies, Aquarium Lighting</v>
      </c>
    </row>
    <row r="51" hidden="1">
      <c r="A51" s="29">
        <v>6951.0</v>
      </c>
      <c r="B51" s="29" t="s">
        <v>530</v>
      </c>
      <c r="C51" s="29" t="s">
        <v>532</v>
      </c>
      <c r="D51" s="29" t="s">
        <v>571</v>
      </c>
      <c r="E51" s="29" t="s">
        <v>580</v>
      </c>
      <c r="F51" s="62"/>
      <c r="G51" s="20" t="str">
        <f t="shared" si="1"/>
        <v>Animals &amp; Pet Supplies, Pet Supplies, Fish Supplies, Aquarium Overflow Boxes</v>
      </c>
    </row>
    <row r="52" hidden="1">
      <c r="A52" s="29">
        <v>5023.0</v>
      </c>
      <c r="B52" s="29" t="s">
        <v>530</v>
      </c>
      <c r="C52" s="29" t="s">
        <v>532</v>
      </c>
      <c r="D52" s="29" t="s">
        <v>571</v>
      </c>
      <c r="E52" s="29" t="s">
        <v>581</v>
      </c>
      <c r="F52" s="62"/>
      <c r="G52" s="20" t="str">
        <f t="shared" si="1"/>
        <v>Animals &amp; Pet Supplies, Pet Supplies, Fish Supplies, Aquarium Stands</v>
      </c>
    </row>
    <row r="53" hidden="1">
      <c r="A53" s="29">
        <v>500062.0</v>
      </c>
      <c r="B53" s="29" t="s">
        <v>530</v>
      </c>
      <c r="C53" s="29" t="s">
        <v>532</v>
      </c>
      <c r="D53" s="29" t="s">
        <v>571</v>
      </c>
      <c r="E53" s="29" t="s">
        <v>582</v>
      </c>
      <c r="G53" s="20" t="str">
        <f t="shared" si="1"/>
        <v>Animals &amp; Pet Supplies, Pet Supplies, Fish Supplies, Aquarium Temperature Controllers</v>
      </c>
    </row>
    <row r="54" hidden="1">
      <c r="A54" s="29">
        <v>5161.0</v>
      </c>
      <c r="B54" s="29" t="s">
        <v>530</v>
      </c>
      <c r="C54" s="29" t="s">
        <v>532</v>
      </c>
      <c r="D54" s="29" t="s">
        <v>571</v>
      </c>
      <c r="E54" s="29" t="s">
        <v>583</v>
      </c>
      <c r="F54" s="62"/>
      <c r="G54" s="20" t="str">
        <f t="shared" si="1"/>
        <v>Animals &amp; Pet Supplies, Pet Supplies, Fish Supplies, Aquarium Water Treatments</v>
      </c>
    </row>
    <row r="55" hidden="1">
      <c r="A55" s="29">
        <v>3238.0</v>
      </c>
      <c r="B55" s="29" t="s">
        <v>530</v>
      </c>
      <c r="C55" s="29" t="s">
        <v>532</v>
      </c>
      <c r="D55" s="29" t="s">
        <v>571</v>
      </c>
      <c r="E55" s="29" t="s">
        <v>584</v>
      </c>
      <c r="F55" s="62"/>
      <c r="G55" s="20" t="str">
        <f t="shared" si="1"/>
        <v>Animals &amp; Pet Supplies, Pet Supplies, Fish Supplies, Aquariums</v>
      </c>
    </row>
    <row r="56" hidden="1">
      <c r="A56" s="29">
        <v>6085.0</v>
      </c>
      <c r="B56" s="29" t="s">
        <v>530</v>
      </c>
      <c r="C56" s="29" t="s">
        <v>532</v>
      </c>
      <c r="D56" s="29" t="s">
        <v>571</v>
      </c>
      <c r="E56" s="29" t="s">
        <v>585</v>
      </c>
      <c r="F56" s="62"/>
      <c r="G56" s="20" t="str">
        <f t="shared" si="1"/>
        <v>Animals &amp; Pet Supplies, Pet Supplies, Fish Supplies, Aquatic Plant Fertilizers</v>
      </c>
    </row>
    <row r="57" hidden="1">
      <c r="A57" s="29">
        <v>6403.0</v>
      </c>
      <c r="B57" s="29" t="s">
        <v>530</v>
      </c>
      <c r="C57" s="29" t="s">
        <v>532</v>
      </c>
      <c r="D57" s="29" t="s">
        <v>571</v>
      </c>
      <c r="E57" s="29" t="s">
        <v>586</v>
      </c>
      <c r="F57" s="62"/>
      <c r="G57" s="20" t="str">
        <f t="shared" si="1"/>
        <v>Animals &amp; Pet Supplies, Pet Supplies, Fish Supplies, Fish Feeders</v>
      </c>
    </row>
    <row r="58" hidden="1">
      <c r="A58" s="29">
        <v>5024.0</v>
      </c>
      <c r="B58" s="29" t="s">
        <v>530</v>
      </c>
      <c r="C58" s="29" t="s">
        <v>532</v>
      </c>
      <c r="D58" s="29" t="s">
        <v>571</v>
      </c>
      <c r="E58" s="29" t="s">
        <v>587</v>
      </c>
      <c r="F58" s="62"/>
      <c r="G58" s="20" t="str">
        <f t="shared" si="1"/>
        <v>Animals &amp; Pet Supplies, Pet Supplies, Fish Supplies, Fish Food</v>
      </c>
    </row>
    <row r="59" hidden="1">
      <c r="A59" s="29">
        <v>6983.0</v>
      </c>
      <c r="B59" s="29" t="s">
        <v>530</v>
      </c>
      <c r="C59" s="29" t="s">
        <v>532</v>
      </c>
      <c r="D59" s="29" t="s">
        <v>588</v>
      </c>
      <c r="E59" s="62"/>
      <c r="F59" s="62"/>
      <c r="G59" s="20" t="str">
        <f t="shared" si="1"/>
        <v>Animals &amp; Pet Supplies, Pet Supplies, Pet Agility Equipment, </v>
      </c>
    </row>
    <row r="60" hidden="1">
      <c r="A60" s="29">
        <v>6811.0</v>
      </c>
      <c r="B60" s="29" t="s">
        <v>530</v>
      </c>
      <c r="C60" s="29" t="s">
        <v>532</v>
      </c>
      <c r="D60" s="29" t="s">
        <v>589</v>
      </c>
      <c r="E60" s="62"/>
      <c r="F60" s="62"/>
      <c r="G60" s="20" t="str">
        <f t="shared" si="1"/>
        <v>Animals &amp; Pet Supplies, Pet Supplies, Pet Apparel Hangers, </v>
      </c>
    </row>
    <row r="61" hidden="1">
      <c r="A61" s="29">
        <v>500084.0</v>
      </c>
      <c r="B61" s="29" t="s">
        <v>530</v>
      </c>
      <c r="C61" s="29" t="s">
        <v>532</v>
      </c>
      <c r="D61" s="29" t="s">
        <v>590</v>
      </c>
      <c r="E61" s="62"/>
      <c r="F61" s="62"/>
      <c r="G61" s="20" t="str">
        <f t="shared" si="1"/>
        <v>Animals &amp; Pet Supplies, Pet Supplies, Pet Bed Accessories, </v>
      </c>
    </row>
    <row r="62" hidden="1">
      <c r="A62" s="29">
        <v>5092.0</v>
      </c>
      <c r="B62" s="29" t="s">
        <v>530</v>
      </c>
      <c r="C62" s="29" t="s">
        <v>532</v>
      </c>
      <c r="D62" s="29" t="s">
        <v>591</v>
      </c>
      <c r="E62" s="62"/>
      <c r="F62" s="62"/>
      <c r="G62" s="20" t="str">
        <f t="shared" si="1"/>
        <v>Animals &amp; Pet Supplies, Pet Supplies, Pet Bells &amp; Charms, </v>
      </c>
    </row>
    <row r="63" hidden="1">
      <c r="A63" s="29">
        <v>6978.0</v>
      </c>
      <c r="B63" s="29" t="s">
        <v>530</v>
      </c>
      <c r="C63" s="29" t="s">
        <v>532</v>
      </c>
      <c r="D63" s="29" t="s">
        <v>592</v>
      </c>
      <c r="E63" s="62"/>
      <c r="F63" s="62"/>
      <c r="G63" s="20" t="str">
        <f t="shared" si="1"/>
        <v>Animals &amp; Pet Supplies, Pet Supplies, Pet Biometric Monitors, </v>
      </c>
    </row>
    <row r="64" hidden="1">
      <c r="A64" s="29">
        <v>6980.0</v>
      </c>
      <c r="B64" s="29" t="s">
        <v>530</v>
      </c>
      <c r="C64" s="29" t="s">
        <v>532</v>
      </c>
      <c r="D64" s="29" t="s">
        <v>592</v>
      </c>
      <c r="E64" s="29" t="s">
        <v>593</v>
      </c>
      <c r="F64" s="62"/>
      <c r="G64" s="20" t="str">
        <f t="shared" si="1"/>
        <v>Animals &amp; Pet Supplies, Pet Supplies, Pet Biometric Monitors, Pet Glucose Meters</v>
      </c>
    </row>
    <row r="65" hidden="1">
      <c r="A65" s="29">
        <v>6982.0</v>
      </c>
      <c r="B65" s="29" t="s">
        <v>530</v>
      </c>
      <c r="C65" s="29" t="s">
        <v>532</v>
      </c>
      <c r="D65" s="29" t="s">
        <v>592</v>
      </c>
      <c r="E65" s="29" t="s">
        <v>594</v>
      </c>
      <c r="F65" s="62"/>
      <c r="G65" s="20" t="str">
        <f t="shared" si="1"/>
        <v>Animals &amp; Pet Supplies, Pet Supplies, Pet Biometric Monitors, Pet Pedometers</v>
      </c>
    </row>
    <row r="66" hidden="1">
      <c r="A66" s="29">
        <v>6981.0</v>
      </c>
      <c r="B66" s="29" t="s">
        <v>530</v>
      </c>
      <c r="C66" s="29" t="s">
        <v>532</v>
      </c>
      <c r="D66" s="29" t="s">
        <v>592</v>
      </c>
      <c r="E66" s="29" t="s">
        <v>595</v>
      </c>
      <c r="F66" s="62"/>
      <c r="G66" s="20" t="str">
        <f t="shared" si="1"/>
        <v>Animals &amp; Pet Supplies, Pet Supplies, Pet Biometric Monitors, Pet Thermometers</v>
      </c>
    </row>
    <row r="67" hidden="1">
      <c r="A67" s="29">
        <v>7143.0</v>
      </c>
      <c r="B67" s="29" t="s">
        <v>530</v>
      </c>
      <c r="C67" s="29" t="s">
        <v>532</v>
      </c>
      <c r="D67" s="29" t="s">
        <v>596</v>
      </c>
      <c r="E67" s="62"/>
      <c r="F67" s="62"/>
      <c r="G67" s="20" t="str">
        <f t="shared" si="1"/>
        <v>Animals &amp; Pet Supplies, Pet Supplies, Pet Bowl Mats, </v>
      </c>
    </row>
    <row r="68" hidden="1">
      <c r="A68" s="29">
        <v>8513.0</v>
      </c>
      <c r="B68" s="29" t="s">
        <v>530</v>
      </c>
      <c r="C68" s="29" t="s">
        <v>532</v>
      </c>
      <c r="D68" s="29" t="s">
        <v>597</v>
      </c>
      <c r="E68" s="62"/>
      <c r="F68" s="62"/>
      <c r="G68" s="20" t="str">
        <f t="shared" si="1"/>
        <v>Animals &amp; Pet Supplies, Pet Supplies, Pet Bowl Stands, </v>
      </c>
    </row>
    <row r="69" hidden="1">
      <c r="A69" s="29">
        <v>6252.0</v>
      </c>
      <c r="B69" s="29" t="s">
        <v>530</v>
      </c>
      <c r="C69" s="29" t="s">
        <v>532</v>
      </c>
      <c r="D69" s="29" t="s">
        <v>598</v>
      </c>
      <c r="F69" s="62"/>
      <c r="G69" s="20" t="str">
        <f t="shared" si="1"/>
        <v>Animals &amp; Pet Supplies, Pet Supplies, Pet Bowls, Feeders &amp; Waterers, </v>
      </c>
    </row>
    <row r="70" hidden="1">
      <c r="A70" s="29">
        <v>500026.0</v>
      </c>
      <c r="B70" s="29" t="s">
        <v>530</v>
      </c>
      <c r="C70" s="29" t="s">
        <v>532</v>
      </c>
      <c r="D70" s="29" t="s">
        <v>599</v>
      </c>
      <c r="F70" s="62"/>
      <c r="G70" s="20" t="str">
        <f t="shared" si="1"/>
        <v>Animals &amp; Pet Supplies, Pet Supplies, Pet Carrier &amp; Crate Accessories, </v>
      </c>
    </row>
    <row r="71" hidden="1">
      <c r="A71" s="29">
        <v>6251.0</v>
      </c>
      <c r="B71" s="29" t="s">
        <v>530</v>
      </c>
      <c r="C71" s="29" t="s">
        <v>532</v>
      </c>
      <c r="D71" s="29" t="s">
        <v>600</v>
      </c>
      <c r="E71" s="62"/>
      <c r="F71" s="62"/>
      <c r="G71" s="20" t="str">
        <f t="shared" si="1"/>
        <v>Animals &amp; Pet Supplies, Pet Supplies, Pet Carriers &amp; Crates, </v>
      </c>
    </row>
    <row r="72" hidden="1">
      <c r="A72" s="29">
        <v>6250.0</v>
      </c>
      <c r="B72" s="29" t="s">
        <v>530</v>
      </c>
      <c r="C72" s="29" t="s">
        <v>532</v>
      </c>
      <c r="D72" s="29" t="s">
        <v>601</v>
      </c>
      <c r="E72" s="62"/>
      <c r="F72" s="62"/>
      <c r="G72" s="20" t="str">
        <f t="shared" si="1"/>
        <v>Animals &amp; Pet Supplies, Pet Supplies, Pet Collars &amp; Harnesses, </v>
      </c>
    </row>
    <row r="73" hidden="1">
      <c r="A73" s="29">
        <v>6321.0</v>
      </c>
      <c r="B73" s="29" t="s">
        <v>530</v>
      </c>
      <c r="C73" s="29" t="s">
        <v>532</v>
      </c>
      <c r="D73" s="29" t="s">
        <v>602</v>
      </c>
      <c r="F73" s="62"/>
      <c r="G73" s="20" t="str">
        <f t="shared" si="1"/>
        <v>Animals &amp; Pet Supplies, Pet Supplies, Pet Containment Systems, </v>
      </c>
    </row>
    <row r="74" hidden="1">
      <c r="A74" s="29">
        <v>505811.0</v>
      </c>
      <c r="B74" s="29" t="s">
        <v>530</v>
      </c>
      <c r="C74" s="29" t="s">
        <v>532</v>
      </c>
      <c r="D74" s="29" t="s">
        <v>603</v>
      </c>
      <c r="E74" s="62"/>
      <c r="F74" s="62"/>
      <c r="G74" s="20" t="str">
        <f t="shared" si="1"/>
        <v>Animals &amp; Pet Supplies, Pet Supplies, Pet Door Accessories, </v>
      </c>
    </row>
    <row r="75" hidden="1">
      <c r="A75" s="29">
        <v>4497.0</v>
      </c>
      <c r="B75" s="29" t="s">
        <v>530</v>
      </c>
      <c r="C75" s="29" t="s">
        <v>532</v>
      </c>
      <c r="D75" s="29" t="s">
        <v>604</v>
      </c>
      <c r="E75" s="62"/>
      <c r="F75" s="62"/>
      <c r="G75" s="20" t="str">
        <f t="shared" si="1"/>
        <v>Animals &amp; Pet Supplies, Pet Supplies, Pet Doors, </v>
      </c>
    </row>
    <row r="76" hidden="1">
      <c r="A76" s="29">
        <v>8050.0</v>
      </c>
      <c r="B76" s="29" t="s">
        <v>530</v>
      </c>
      <c r="C76" s="29" t="s">
        <v>532</v>
      </c>
      <c r="D76" s="29" t="s">
        <v>605</v>
      </c>
      <c r="F76" s="62"/>
      <c r="G76" s="20" t="str">
        <f t="shared" si="1"/>
        <v>Animals &amp; Pet Supplies, Pet Supplies, Pet Eye Drops &amp; Lubricants, </v>
      </c>
    </row>
    <row r="77" hidden="1">
      <c r="A77" s="29">
        <v>8068.0</v>
      </c>
      <c r="B77" s="29" t="s">
        <v>530</v>
      </c>
      <c r="C77" s="29" t="s">
        <v>532</v>
      </c>
      <c r="D77" s="29" t="s">
        <v>606</v>
      </c>
      <c r="F77" s="62"/>
      <c r="G77" s="20" t="str">
        <f t="shared" si="1"/>
        <v>Animals &amp; Pet Supplies, Pet Supplies, Pet First Aid &amp; Emergency Kits, </v>
      </c>
    </row>
    <row r="78" hidden="1">
      <c r="A78" s="29">
        <v>6248.0</v>
      </c>
      <c r="B78" s="29" t="s">
        <v>530</v>
      </c>
      <c r="C78" s="29" t="s">
        <v>532</v>
      </c>
      <c r="D78" s="29" t="s">
        <v>607</v>
      </c>
      <c r="E78" s="62"/>
      <c r="F78" s="62"/>
      <c r="G78" s="20" t="str">
        <f t="shared" si="1"/>
        <v>Animals &amp; Pet Supplies, Pet Supplies, Pet Flea &amp; Tick Control, </v>
      </c>
    </row>
    <row r="79" hidden="1">
      <c r="A79" s="29">
        <v>5162.0</v>
      </c>
      <c r="B79" s="29" t="s">
        <v>530</v>
      </c>
      <c r="C79" s="29" t="s">
        <v>532</v>
      </c>
      <c r="D79" s="29" t="s">
        <v>608</v>
      </c>
      <c r="E79" s="62"/>
      <c r="F79" s="62"/>
      <c r="G79" s="20" t="str">
        <f t="shared" si="1"/>
        <v>Animals &amp; Pet Supplies, Pet Supplies, Pet Food Containers, </v>
      </c>
    </row>
    <row r="80" hidden="1">
      <c r="A80" s="29">
        <v>5163.0</v>
      </c>
      <c r="B80" s="29" t="s">
        <v>530</v>
      </c>
      <c r="C80" s="29" t="s">
        <v>532</v>
      </c>
      <c r="D80" s="29" t="s">
        <v>609</v>
      </c>
      <c r="E80" s="62"/>
      <c r="F80" s="62"/>
      <c r="G80" s="20" t="str">
        <f t="shared" si="1"/>
        <v>Animals &amp; Pet Supplies, Pet Supplies, Pet Food Scoops, </v>
      </c>
    </row>
    <row r="81" hidden="1">
      <c r="A81" s="29">
        <v>6383.0</v>
      </c>
      <c r="B81" s="29" t="s">
        <v>530</v>
      </c>
      <c r="C81" s="29" t="s">
        <v>532</v>
      </c>
      <c r="D81" s="29" t="s">
        <v>610</v>
      </c>
      <c r="E81" s="62"/>
      <c r="F81" s="62"/>
      <c r="G81" s="20" t="str">
        <f t="shared" si="1"/>
        <v>Animals &amp; Pet Supplies, Pet Supplies, Pet Grooming Supplies, </v>
      </c>
    </row>
    <row r="82" hidden="1">
      <c r="A82" s="29">
        <v>6385.0</v>
      </c>
      <c r="B82" s="29" t="s">
        <v>530</v>
      </c>
      <c r="C82" s="29" t="s">
        <v>532</v>
      </c>
      <c r="D82" s="29" t="s">
        <v>610</v>
      </c>
      <c r="E82" s="29" t="s">
        <v>611</v>
      </c>
      <c r="F82" s="62"/>
      <c r="G82" s="20" t="str">
        <f t="shared" si="1"/>
        <v>Animals &amp; Pet Supplies, Pet Supplies, Pet Grooming Supplies, Pet Combs &amp; Brushes</v>
      </c>
    </row>
    <row r="83" hidden="1">
      <c r="A83" s="29">
        <v>503733.0</v>
      </c>
      <c r="B83" s="29" t="s">
        <v>530</v>
      </c>
      <c r="C83" s="29" t="s">
        <v>532</v>
      </c>
      <c r="D83" s="29" t="s">
        <v>610</v>
      </c>
      <c r="E83" s="29" t="s">
        <v>612</v>
      </c>
      <c r="G83" s="20" t="str">
        <f t="shared" si="1"/>
        <v>Animals &amp; Pet Supplies, Pet Supplies, Pet Grooming Supplies, Pet Fragrances &amp; Deodorizing Sprays</v>
      </c>
    </row>
    <row r="84" hidden="1">
      <c r="A84" s="29">
        <v>6384.0</v>
      </c>
      <c r="B84" s="29" t="s">
        <v>530</v>
      </c>
      <c r="C84" s="29" t="s">
        <v>532</v>
      </c>
      <c r="D84" s="29" t="s">
        <v>610</v>
      </c>
      <c r="E84" s="29" t="s">
        <v>613</v>
      </c>
      <c r="F84" s="62"/>
      <c r="G84" s="20" t="str">
        <f t="shared" si="1"/>
        <v>Animals &amp; Pet Supplies, Pet Supplies, Pet Grooming Supplies, Pet Hair Clippers &amp; Trimmers</v>
      </c>
    </row>
    <row r="85" hidden="1">
      <c r="A85" s="29">
        <v>8167.0</v>
      </c>
      <c r="B85" s="29" t="s">
        <v>530</v>
      </c>
      <c r="C85" s="29" t="s">
        <v>532</v>
      </c>
      <c r="D85" s="29" t="s">
        <v>610</v>
      </c>
      <c r="E85" s="29" t="s">
        <v>614</v>
      </c>
      <c r="F85" s="62"/>
      <c r="G85" s="20" t="str">
        <f t="shared" si="1"/>
        <v>Animals &amp; Pet Supplies, Pet Supplies, Pet Grooming Supplies, Pet Hair Dryers</v>
      </c>
    </row>
    <row r="86" hidden="1">
      <c r="A86" s="29">
        <v>7318.0</v>
      </c>
      <c r="B86" s="29" t="s">
        <v>530</v>
      </c>
      <c r="C86" s="29" t="s">
        <v>532</v>
      </c>
      <c r="D86" s="29" t="s">
        <v>610</v>
      </c>
      <c r="E86" s="29" t="s">
        <v>615</v>
      </c>
      <c r="F86" s="62"/>
      <c r="G86" s="20" t="str">
        <f t="shared" si="1"/>
        <v>Animals &amp; Pet Supplies, Pet Supplies, Pet Grooming Supplies, Pet Nail Polish</v>
      </c>
    </row>
    <row r="87" hidden="1">
      <c r="A87" s="29">
        <v>7319.0</v>
      </c>
      <c r="B87" s="29" t="s">
        <v>530</v>
      </c>
      <c r="C87" s="29" t="s">
        <v>532</v>
      </c>
      <c r="D87" s="29" t="s">
        <v>610</v>
      </c>
      <c r="E87" s="29" t="s">
        <v>616</v>
      </c>
      <c r="F87" s="62"/>
      <c r="G87" s="20" t="str">
        <f t="shared" si="1"/>
        <v>Animals &amp; Pet Supplies, Pet Supplies, Pet Grooming Supplies, Pet Nail Tools</v>
      </c>
    </row>
    <row r="88" hidden="1">
      <c r="A88" s="29">
        <v>6406.0</v>
      </c>
      <c r="B88" s="29" t="s">
        <v>530</v>
      </c>
      <c r="C88" s="29" t="s">
        <v>532</v>
      </c>
      <c r="D88" s="29" t="s">
        <v>610</v>
      </c>
      <c r="E88" s="29" t="s">
        <v>617</v>
      </c>
      <c r="F88" s="62"/>
      <c r="G88" s="20" t="str">
        <f t="shared" si="1"/>
        <v>Animals &amp; Pet Supplies, Pet Supplies, Pet Grooming Supplies, Pet Shampoo &amp; Conditioner</v>
      </c>
    </row>
    <row r="89" hidden="1">
      <c r="A89" s="29">
        <v>499917.0</v>
      </c>
      <c r="B89" s="29" t="s">
        <v>530</v>
      </c>
      <c r="C89" s="29" t="s">
        <v>532</v>
      </c>
      <c r="D89" s="29" t="s">
        <v>610</v>
      </c>
      <c r="E89" s="29" t="s">
        <v>618</v>
      </c>
      <c r="F89" s="62"/>
      <c r="G89" s="20" t="str">
        <f t="shared" si="1"/>
        <v>Animals &amp; Pet Supplies, Pet Supplies, Pet Grooming Supplies, Pet Wipes</v>
      </c>
    </row>
    <row r="90" hidden="1">
      <c r="A90" s="29">
        <v>500110.0</v>
      </c>
      <c r="B90" s="29" t="s">
        <v>530</v>
      </c>
      <c r="C90" s="29" t="s">
        <v>532</v>
      </c>
      <c r="D90" s="29" t="s">
        <v>619</v>
      </c>
      <c r="F90" s="62"/>
      <c r="G90" s="20" t="str">
        <f t="shared" si="1"/>
        <v>Animals &amp; Pet Supplies, Pet Supplies, Pet Heating Pad Accessories, </v>
      </c>
    </row>
    <row r="91" hidden="1">
      <c r="A91" s="29">
        <v>499743.0</v>
      </c>
      <c r="B91" s="29" t="s">
        <v>530</v>
      </c>
      <c r="C91" s="29" t="s">
        <v>532</v>
      </c>
      <c r="D91" s="29" t="s">
        <v>620</v>
      </c>
      <c r="E91" s="62"/>
      <c r="F91" s="62"/>
      <c r="G91" s="20" t="str">
        <f t="shared" si="1"/>
        <v>Animals &amp; Pet Supplies, Pet Supplies, Pet Heating Pads, </v>
      </c>
    </row>
    <row r="92" hidden="1">
      <c r="A92" s="29">
        <v>5093.0</v>
      </c>
      <c r="B92" s="29" t="s">
        <v>530</v>
      </c>
      <c r="C92" s="29" t="s">
        <v>532</v>
      </c>
      <c r="D92" s="29" t="s">
        <v>621</v>
      </c>
      <c r="E92" s="62"/>
      <c r="F92" s="62"/>
      <c r="G92" s="20" t="str">
        <f t="shared" si="1"/>
        <v>Animals &amp; Pet Supplies, Pet Supplies, Pet ID Tags, </v>
      </c>
    </row>
    <row r="93" hidden="1">
      <c r="A93" s="29">
        <v>6253.0</v>
      </c>
      <c r="B93" s="29" t="s">
        <v>530</v>
      </c>
      <c r="C93" s="29" t="s">
        <v>532</v>
      </c>
      <c r="D93" s="29" t="s">
        <v>622</v>
      </c>
      <c r="E93" s="62"/>
      <c r="F93" s="62"/>
      <c r="G93" s="20" t="str">
        <f t="shared" si="1"/>
        <v>Animals &amp; Pet Supplies, Pet Supplies, Pet Leash Extensions, </v>
      </c>
    </row>
    <row r="94" hidden="1">
      <c r="A94" s="29">
        <v>6249.0</v>
      </c>
      <c r="B94" s="29" t="s">
        <v>530</v>
      </c>
      <c r="C94" s="29" t="s">
        <v>532</v>
      </c>
      <c r="D94" s="29" t="s">
        <v>623</v>
      </c>
      <c r="E94" s="62"/>
      <c r="F94" s="62"/>
      <c r="G94" s="20" t="str">
        <f t="shared" si="1"/>
        <v>Animals &amp; Pet Supplies, Pet Supplies, Pet Leashes, </v>
      </c>
    </row>
    <row r="95" hidden="1">
      <c r="A95" s="29">
        <v>5145.0</v>
      </c>
      <c r="B95" s="29" t="s">
        <v>530</v>
      </c>
      <c r="C95" s="29" t="s">
        <v>532</v>
      </c>
      <c r="D95" s="29" t="s">
        <v>624</v>
      </c>
      <c r="E95" s="62"/>
      <c r="F95" s="62"/>
      <c r="G95" s="20" t="str">
        <f t="shared" si="1"/>
        <v>Animals &amp; Pet Supplies, Pet Supplies, Pet Medical Collars, </v>
      </c>
    </row>
    <row r="96" hidden="1">
      <c r="A96" s="29">
        <v>6861.0</v>
      </c>
      <c r="B96" s="29" t="s">
        <v>530</v>
      </c>
      <c r="C96" s="29" t="s">
        <v>532</v>
      </c>
      <c r="D96" s="29" t="s">
        <v>625</v>
      </c>
      <c r="F96" s="62"/>
      <c r="G96" s="20" t="str">
        <f t="shared" si="1"/>
        <v>Animals &amp; Pet Supplies, Pet Supplies, Pet Medical Tape &amp; Bandages, </v>
      </c>
    </row>
    <row r="97" hidden="1">
      <c r="A97" s="29">
        <v>5086.0</v>
      </c>
      <c r="B97" s="29" t="s">
        <v>530</v>
      </c>
      <c r="C97" s="29" t="s">
        <v>532</v>
      </c>
      <c r="D97" s="29" t="s">
        <v>626</v>
      </c>
      <c r="E97" s="62"/>
      <c r="F97" s="62"/>
      <c r="G97" s="20" t="str">
        <f t="shared" si="1"/>
        <v>Animals &amp; Pet Supplies, Pet Supplies, Pet Medicine, </v>
      </c>
    </row>
    <row r="98" hidden="1">
      <c r="A98" s="29">
        <v>5144.0</v>
      </c>
      <c r="B98" s="29" t="s">
        <v>530</v>
      </c>
      <c r="C98" s="29" t="s">
        <v>532</v>
      </c>
      <c r="D98" s="29" t="s">
        <v>627</v>
      </c>
      <c r="E98" s="62"/>
      <c r="F98" s="62"/>
      <c r="G98" s="20" t="str">
        <f t="shared" si="1"/>
        <v>Animals &amp; Pet Supplies, Pet Supplies, Pet Muzzles, </v>
      </c>
    </row>
    <row r="99" hidden="1">
      <c r="A99" s="29">
        <v>7144.0</v>
      </c>
      <c r="B99" s="29" t="s">
        <v>530</v>
      </c>
      <c r="C99" s="29" t="s">
        <v>532</v>
      </c>
      <c r="D99" s="29" t="s">
        <v>628</v>
      </c>
      <c r="E99" s="62"/>
      <c r="F99" s="62"/>
      <c r="G99" s="20" t="str">
        <f t="shared" si="1"/>
        <v>Animals &amp; Pet Supplies, Pet Supplies, Pet Oral Care Supplies, </v>
      </c>
    </row>
    <row r="100" hidden="1">
      <c r="A100" s="29">
        <v>5087.0</v>
      </c>
      <c r="B100" s="29" t="s">
        <v>530</v>
      </c>
      <c r="C100" s="29" t="s">
        <v>532</v>
      </c>
      <c r="D100" s="29" t="s">
        <v>629</v>
      </c>
      <c r="E100" s="62"/>
      <c r="F100" s="62"/>
      <c r="G100" s="20" t="str">
        <f t="shared" si="1"/>
        <v>Animals &amp; Pet Supplies, Pet Supplies, Pet Playpens, </v>
      </c>
    </row>
    <row r="101" hidden="1">
      <c r="A101" s="29">
        <v>6973.0</v>
      </c>
      <c r="B101" s="29" t="s">
        <v>530</v>
      </c>
      <c r="C101" s="29" t="s">
        <v>532</v>
      </c>
      <c r="D101" s="29" t="s">
        <v>630</v>
      </c>
      <c r="E101" s="62"/>
      <c r="F101" s="62"/>
      <c r="G101" s="20" t="str">
        <f t="shared" si="1"/>
        <v>Animals &amp; Pet Supplies, Pet Supplies, Pet Steps &amp; Ramps, </v>
      </c>
    </row>
    <row r="102" hidden="1">
      <c r="A102" s="29">
        <v>6276.0</v>
      </c>
      <c r="B102" s="29" t="s">
        <v>530</v>
      </c>
      <c r="C102" s="29" t="s">
        <v>532</v>
      </c>
      <c r="D102" s="29" t="s">
        <v>631</v>
      </c>
      <c r="E102" s="62"/>
      <c r="F102" s="62"/>
      <c r="G102" s="20" t="str">
        <f t="shared" si="1"/>
        <v>Animals &amp; Pet Supplies, Pet Supplies, Pet Strollers, </v>
      </c>
    </row>
    <row r="103" hidden="1">
      <c r="A103" s="29">
        <v>7396.0</v>
      </c>
      <c r="B103" s="29" t="s">
        <v>530</v>
      </c>
      <c r="C103" s="29" t="s">
        <v>532</v>
      </c>
      <c r="D103" s="29" t="s">
        <v>632</v>
      </c>
      <c r="E103" s="62"/>
      <c r="F103" s="62"/>
      <c r="G103" s="20" t="str">
        <f t="shared" si="1"/>
        <v>Animals &amp; Pet Supplies, Pet Supplies, Pet Sunscreen, </v>
      </c>
    </row>
    <row r="104" hidden="1">
      <c r="A104" s="29">
        <v>505314.0</v>
      </c>
      <c r="B104" s="29" t="s">
        <v>530</v>
      </c>
      <c r="C104" s="29" t="s">
        <v>532</v>
      </c>
      <c r="D104" s="29" t="s">
        <v>633</v>
      </c>
      <c r="E104" s="62"/>
      <c r="F104" s="62"/>
      <c r="G104" s="20" t="str">
        <f t="shared" si="1"/>
        <v>Animals &amp; Pet Supplies, Pet Supplies, Pet Training Aids, </v>
      </c>
    </row>
    <row r="105" hidden="1">
      <c r="A105" s="29">
        <v>505313.0</v>
      </c>
      <c r="B105" s="29" t="s">
        <v>530</v>
      </c>
      <c r="C105" s="29" t="s">
        <v>532</v>
      </c>
      <c r="D105" s="29" t="s">
        <v>633</v>
      </c>
      <c r="E105" s="29" t="s">
        <v>634</v>
      </c>
      <c r="G105" s="20" t="str">
        <f t="shared" si="1"/>
        <v>Animals &amp; Pet Supplies, Pet Supplies, Pet Training Aids, Pet Training Clickers &amp; Treat Dispensers</v>
      </c>
    </row>
    <row r="106" hidden="1">
      <c r="A106" s="29">
        <v>505304.0</v>
      </c>
      <c r="B106" s="29" t="s">
        <v>530</v>
      </c>
      <c r="C106" s="29" t="s">
        <v>532</v>
      </c>
      <c r="D106" s="29" t="s">
        <v>633</v>
      </c>
      <c r="E106" s="29" t="s">
        <v>635</v>
      </c>
      <c r="F106" s="62"/>
      <c r="G106" s="20" t="str">
        <f t="shared" si="1"/>
        <v>Animals &amp; Pet Supplies, Pet Supplies, Pet Training Aids, Pet Training Pad Holders</v>
      </c>
    </row>
    <row r="107" hidden="1">
      <c r="A107" s="29">
        <v>6846.0</v>
      </c>
      <c r="B107" s="29" t="s">
        <v>530</v>
      </c>
      <c r="C107" s="29" t="s">
        <v>532</v>
      </c>
      <c r="D107" s="29" t="s">
        <v>633</v>
      </c>
      <c r="E107" s="29" t="s">
        <v>636</v>
      </c>
      <c r="F107" s="62"/>
      <c r="G107" s="20" t="str">
        <f t="shared" si="1"/>
        <v>Animals &amp; Pet Supplies, Pet Supplies, Pet Training Aids, Pet Training Pads</v>
      </c>
    </row>
    <row r="108" hidden="1">
      <c r="A108" s="29">
        <v>505311.0</v>
      </c>
      <c r="B108" s="29" t="s">
        <v>530</v>
      </c>
      <c r="C108" s="29" t="s">
        <v>532</v>
      </c>
      <c r="D108" s="29" t="s">
        <v>633</v>
      </c>
      <c r="E108" s="29" t="s">
        <v>637</v>
      </c>
      <c r="F108" s="62"/>
      <c r="G108" s="20" t="str">
        <f t="shared" si="1"/>
        <v>Animals &amp; Pet Supplies, Pet Supplies, Pet Training Aids, Pet Training Sprays &amp; Solutions</v>
      </c>
    </row>
    <row r="109" hidden="1">
      <c r="A109" s="29">
        <v>5081.0</v>
      </c>
      <c r="B109" s="29" t="s">
        <v>530</v>
      </c>
      <c r="C109" s="29" t="s">
        <v>532</v>
      </c>
      <c r="D109" s="29" t="s">
        <v>638</v>
      </c>
      <c r="F109" s="62"/>
      <c r="G109" s="20" t="str">
        <f t="shared" si="1"/>
        <v>Animals &amp; Pet Supplies, Pet Supplies, Pet Vitamins &amp; Supplements, </v>
      </c>
    </row>
    <row r="110" hidden="1">
      <c r="A110" s="29">
        <v>502982.0</v>
      </c>
      <c r="B110" s="29" t="s">
        <v>530</v>
      </c>
      <c r="C110" s="29" t="s">
        <v>532</v>
      </c>
      <c r="D110" s="29" t="s">
        <v>639</v>
      </c>
      <c r="F110" s="62"/>
      <c r="G110" s="20" t="str">
        <f t="shared" si="1"/>
        <v>Animals &amp; Pet Supplies, Pet Supplies, Pet Waste Bag Dispensers &amp; Holders, </v>
      </c>
    </row>
    <row r="111" hidden="1">
      <c r="A111" s="29">
        <v>8070.0</v>
      </c>
      <c r="B111" s="29" t="s">
        <v>530</v>
      </c>
      <c r="C111" s="29" t="s">
        <v>532</v>
      </c>
      <c r="D111" s="29" t="s">
        <v>640</v>
      </c>
      <c r="E111" s="62"/>
      <c r="F111" s="62"/>
      <c r="G111" s="20" t="str">
        <f t="shared" si="1"/>
        <v>Animals &amp; Pet Supplies, Pet Supplies, Pet Waste Bags, </v>
      </c>
    </row>
    <row r="112" hidden="1">
      <c r="A112" s="29">
        <v>505297.0</v>
      </c>
      <c r="B112" s="29" t="s">
        <v>530</v>
      </c>
      <c r="C112" s="29" t="s">
        <v>532</v>
      </c>
      <c r="D112" s="29" t="s">
        <v>641</v>
      </c>
      <c r="F112" s="62"/>
      <c r="G112" s="20" t="str">
        <f t="shared" si="1"/>
        <v>Animals &amp; Pet Supplies, Pet Supplies, Pet Waste Disposal Systems &amp; Tools, </v>
      </c>
    </row>
    <row r="113" hidden="1">
      <c r="A113" s="29">
        <v>7.0</v>
      </c>
      <c r="B113" s="29" t="s">
        <v>530</v>
      </c>
      <c r="C113" s="29" t="s">
        <v>532</v>
      </c>
      <c r="D113" s="29" t="s">
        <v>642</v>
      </c>
      <c r="F113" s="62"/>
      <c r="G113" s="20" t="str">
        <f t="shared" si="1"/>
        <v>Animals &amp; Pet Supplies, Pet Supplies, Reptile &amp; Amphibian Supplies, </v>
      </c>
    </row>
    <row r="114" hidden="1">
      <c r="A114" s="29">
        <v>5026.0</v>
      </c>
      <c r="B114" s="29" t="s">
        <v>530</v>
      </c>
      <c r="C114" s="29" t="s">
        <v>532</v>
      </c>
      <c r="D114" s="29" t="s">
        <v>642</v>
      </c>
      <c r="E114" s="29" t="s">
        <v>643</v>
      </c>
      <c r="F114" s="62"/>
      <c r="G114" s="20" t="str">
        <f t="shared" si="1"/>
        <v>Animals &amp; Pet Supplies, Pet Supplies, Reptile &amp; Amphibian Supplies, Reptile &amp; Amphibian Food</v>
      </c>
    </row>
    <row r="115" hidden="1">
      <c r="A115" s="29">
        <v>5027.0</v>
      </c>
      <c r="B115" s="29" t="s">
        <v>530</v>
      </c>
      <c r="C115" s="29" t="s">
        <v>532</v>
      </c>
      <c r="D115" s="29" t="s">
        <v>642</v>
      </c>
      <c r="E115" s="29" t="s">
        <v>644</v>
      </c>
      <c r="G115" s="20" t="str">
        <f t="shared" si="1"/>
        <v>Animals &amp; Pet Supplies, Pet Supplies, Reptile &amp; Amphibian Supplies, Reptile &amp; Amphibian Habitat Accessories</v>
      </c>
    </row>
    <row r="116" hidden="1">
      <c r="A116" s="29">
        <v>5028.0</v>
      </c>
      <c r="B116" s="29" t="s">
        <v>530</v>
      </c>
      <c r="C116" s="29" t="s">
        <v>532</v>
      </c>
      <c r="D116" s="29" t="s">
        <v>642</v>
      </c>
      <c r="E116" s="29" t="s">
        <v>645</v>
      </c>
      <c r="G116" s="20" t="str">
        <f t="shared" si="1"/>
        <v>Animals &amp; Pet Supplies, Pet Supplies, Reptile &amp; Amphibian Supplies, Reptile &amp; Amphibian Habitat Heating &amp; Lighting</v>
      </c>
    </row>
    <row r="117" hidden="1">
      <c r="A117" s="29">
        <v>5029.0</v>
      </c>
      <c r="B117" s="29" t="s">
        <v>530</v>
      </c>
      <c r="C117" s="29" t="s">
        <v>532</v>
      </c>
      <c r="D117" s="29" t="s">
        <v>642</v>
      </c>
      <c r="E117" s="29" t="s">
        <v>646</v>
      </c>
      <c r="F117" s="62"/>
      <c r="G117" s="20" t="str">
        <f t="shared" si="1"/>
        <v>Animals &amp; Pet Supplies, Pet Supplies, Reptile &amp; Amphibian Supplies, Reptile &amp; Amphibian Habitats</v>
      </c>
    </row>
    <row r="118" hidden="1">
      <c r="A118" s="29">
        <v>5030.0</v>
      </c>
      <c r="B118" s="29" t="s">
        <v>530</v>
      </c>
      <c r="C118" s="29" t="s">
        <v>532</v>
      </c>
      <c r="D118" s="29" t="s">
        <v>642</v>
      </c>
      <c r="E118" s="29" t="s">
        <v>647</v>
      </c>
      <c r="F118" s="62"/>
      <c r="G118" s="20" t="str">
        <f t="shared" si="1"/>
        <v>Animals &amp; Pet Supplies, Pet Supplies, Reptile &amp; Amphibian Supplies, Reptile &amp; Amphibian Substrates</v>
      </c>
    </row>
    <row r="119" hidden="1">
      <c r="A119" s="29">
        <v>5013.0</v>
      </c>
      <c r="B119" s="29" t="s">
        <v>530</v>
      </c>
      <c r="C119" s="29" t="s">
        <v>532</v>
      </c>
      <c r="D119" s="29" t="s">
        <v>648</v>
      </c>
      <c r="E119" s="62"/>
      <c r="F119" s="62"/>
      <c r="G119" s="20" t="str">
        <f t="shared" si="1"/>
        <v>Animals &amp; Pet Supplies, Pet Supplies, Small Animal Supplies, </v>
      </c>
    </row>
    <row r="120" hidden="1">
      <c r="A120" s="29">
        <v>5014.0</v>
      </c>
      <c r="B120" s="29" t="s">
        <v>530</v>
      </c>
      <c r="C120" s="29" t="s">
        <v>532</v>
      </c>
      <c r="D120" s="29" t="s">
        <v>648</v>
      </c>
      <c r="E120" s="29" t="s">
        <v>649</v>
      </c>
      <c r="F120" s="62"/>
      <c r="G120" s="20" t="str">
        <f t="shared" si="1"/>
        <v>Animals &amp; Pet Supplies, Pet Supplies, Small Animal Supplies, Small Animal Bedding</v>
      </c>
    </row>
    <row r="121" hidden="1">
      <c r="A121" s="29">
        <v>5015.0</v>
      </c>
      <c r="B121" s="29" t="s">
        <v>530</v>
      </c>
      <c r="C121" s="29" t="s">
        <v>532</v>
      </c>
      <c r="D121" s="29" t="s">
        <v>648</v>
      </c>
      <c r="E121" s="29" t="s">
        <v>650</v>
      </c>
      <c r="F121" s="62"/>
      <c r="G121" s="20" t="str">
        <f t="shared" si="1"/>
        <v>Animals &amp; Pet Supplies, Pet Supplies, Small Animal Supplies, Small Animal Food</v>
      </c>
    </row>
    <row r="122" hidden="1">
      <c r="A122" s="29">
        <v>5016.0</v>
      </c>
      <c r="B122" s="29" t="s">
        <v>530</v>
      </c>
      <c r="C122" s="29" t="s">
        <v>532</v>
      </c>
      <c r="D122" s="29" t="s">
        <v>648</v>
      </c>
      <c r="E122" s="29" t="s">
        <v>651</v>
      </c>
      <c r="F122" s="62"/>
      <c r="G122" s="20" t="str">
        <f t="shared" si="1"/>
        <v>Animals &amp; Pet Supplies, Pet Supplies, Small Animal Supplies, Small Animal Habitat Accessories</v>
      </c>
    </row>
    <row r="123" hidden="1">
      <c r="A123" s="29">
        <v>5017.0</v>
      </c>
      <c r="B123" s="29" t="s">
        <v>530</v>
      </c>
      <c r="C123" s="29" t="s">
        <v>532</v>
      </c>
      <c r="D123" s="29" t="s">
        <v>648</v>
      </c>
      <c r="E123" s="29" t="s">
        <v>652</v>
      </c>
      <c r="F123" s="62"/>
      <c r="G123" s="20" t="str">
        <f t="shared" si="1"/>
        <v>Animals &amp; Pet Supplies, Pet Supplies, Small Animal Supplies, Small Animal Habitats &amp; Cages</v>
      </c>
    </row>
    <row r="124" hidden="1">
      <c r="A124" s="29">
        <v>7517.0</v>
      </c>
      <c r="B124" s="29" t="s">
        <v>530</v>
      </c>
      <c r="C124" s="29" t="s">
        <v>532</v>
      </c>
      <c r="D124" s="29" t="s">
        <v>648</v>
      </c>
      <c r="E124" s="29" t="s">
        <v>653</v>
      </c>
      <c r="F124" s="62"/>
      <c r="G124" s="20" t="str">
        <f t="shared" si="1"/>
        <v>Animals &amp; Pet Supplies, Pet Supplies, Small Animal Supplies, Small Animal Treats</v>
      </c>
    </row>
    <row r="125" hidden="1">
      <c r="A125" s="29">
        <v>8474.0</v>
      </c>
      <c r="B125" s="29" t="s">
        <v>530</v>
      </c>
      <c r="C125" s="29" t="s">
        <v>532</v>
      </c>
      <c r="D125" s="29" t="s">
        <v>654</v>
      </c>
      <c r="E125" s="62"/>
      <c r="F125" s="62"/>
      <c r="G125" s="20" t="str">
        <f t="shared" si="1"/>
        <v>Animals &amp; Pet Supplies, Pet Supplies, Vehicle Pet Barriers, </v>
      </c>
    </row>
    <row r="126" hidden="1">
      <c r="A126" s="29">
        <v>166.0</v>
      </c>
      <c r="B126" s="29" t="s">
        <v>655</v>
      </c>
      <c r="C126" s="62"/>
      <c r="D126" s="62"/>
      <c r="E126" s="62"/>
      <c r="F126" s="62"/>
      <c r="G126" s="20" t="str">
        <f t="shared" si="1"/>
        <v>Apparel &amp; Accessories, , , </v>
      </c>
    </row>
    <row r="127" hidden="1">
      <c r="A127" s="29">
        <v>1604.0</v>
      </c>
      <c r="B127" s="29" t="s">
        <v>655</v>
      </c>
      <c r="C127" s="29" t="s">
        <v>656</v>
      </c>
      <c r="D127" s="62"/>
      <c r="E127" s="62"/>
      <c r="F127" s="62"/>
      <c r="G127" s="20" t="str">
        <f t="shared" si="1"/>
        <v>Apparel &amp; Accessories, Clothing, , </v>
      </c>
    </row>
    <row r="128" hidden="1">
      <c r="A128" s="29">
        <v>5322.0</v>
      </c>
      <c r="B128" s="29" t="s">
        <v>655</v>
      </c>
      <c r="C128" s="29" t="s">
        <v>656</v>
      </c>
      <c r="D128" s="29" t="s">
        <v>657</v>
      </c>
      <c r="E128" s="62"/>
      <c r="F128" s="62"/>
      <c r="G128" s="20" t="str">
        <f t="shared" si="1"/>
        <v>Apparel &amp; Accessories, Clothing, Activewear, </v>
      </c>
    </row>
    <row r="129" hidden="1">
      <c r="A129" s="29">
        <v>3951.0</v>
      </c>
      <c r="B129" s="29" t="s">
        <v>655</v>
      </c>
      <c r="C129" s="29" t="s">
        <v>656</v>
      </c>
      <c r="D129" s="29" t="s">
        <v>657</v>
      </c>
      <c r="E129" s="29" t="s">
        <v>658</v>
      </c>
      <c r="F129" s="62"/>
      <c r="G129" s="20" t="str">
        <f t="shared" si="1"/>
        <v>Apparel &amp; Accessories, Clothing, Activewear, American Football Pants</v>
      </c>
    </row>
    <row r="130" hidden="1">
      <c r="A130" s="29">
        <v>5697.0</v>
      </c>
      <c r="B130" s="29" t="s">
        <v>655</v>
      </c>
      <c r="C130" s="29" t="s">
        <v>656</v>
      </c>
      <c r="D130" s="29" t="s">
        <v>657</v>
      </c>
      <c r="E130" s="29" t="s">
        <v>659</v>
      </c>
      <c r="F130" s="62"/>
      <c r="G130" s="20" t="str">
        <f t="shared" si="1"/>
        <v>Apparel &amp; Accessories, Clothing, Activewear, Bicycle Activewear</v>
      </c>
    </row>
    <row r="131" hidden="1">
      <c r="A131" s="29">
        <v>3128.0</v>
      </c>
      <c r="B131" s="29" t="s">
        <v>655</v>
      </c>
      <c r="C131" s="29" t="s">
        <v>656</v>
      </c>
      <c r="D131" s="29" t="s">
        <v>657</v>
      </c>
      <c r="E131" s="29" t="s">
        <v>659</v>
      </c>
      <c r="F131" s="29" t="s">
        <v>660</v>
      </c>
      <c r="G131" s="20" t="str">
        <f t="shared" si="1"/>
        <v>Apparel &amp; Accessories, Clothing, Activewear, Bicycle ActivewearBicycle Bibs</v>
      </c>
    </row>
    <row r="132" hidden="1">
      <c r="A132" s="29">
        <v>3455.0</v>
      </c>
      <c r="B132" s="29" t="s">
        <v>655</v>
      </c>
      <c r="C132" s="29" t="s">
        <v>656</v>
      </c>
      <c r="D132" s="29" t="s">
        <v>657</v>
      </c>
      <c r="E132" s="29" t="s">
        <v>659</v>
      </c>
      <c r="F132" s="29" t="s">
        <v>661</v>
      </c>
      <c r="G132" s="20" t="str">
        <f t="shared" si="1"/>
        <v>Apparel &amp; Accessories, Clothing, Activewear, Bicycle ActivewearBicycle Jerseys</v>
      </c>
    </row>
    <row r="133" hidden="1">
      <c r="A133" s="29">
        <v>3188.0</v>
      </c>
      <c r="B133" s="29" t="s">
        <v>655</v>
      </c>
      <c r="C133" s="29" t="s">
        <v>656</v>
      </c>
      <c r="D133" s="29" t="s">
        <v>657</v>
      </c>
      <c r="E133" s="29" t="s">
        <v>659</v>
      </c>
      <c r="F133" s="29" t="s">
        <v>662</v>
      </c>
      <c r="G133" s="20" t="str">
        <f t="shared" si="1"/>
        <v>Apparel &amp; Accessories, Clothing, Activewear, Bicycle ActivewearBicycle Shorts &amp; Briefs</v>
      </c>
    </row>
    <row r="134" hidden="1">
      <c r="A134" s="29">
        <v>6087.0</v>
      </c>
      <c r="B134" s="29" t="s">
        <v>655</v>
      </c>
      <c r="C134" s="29" t="s">
        <v>656</v>
      </c>
      <c r="D134" s="29" t="s">
        <v>657</v>
      </c>
      <c r="E134" s="29" t="s">
        <v>659</v>
      </c>
      <c r="F134" s="29" t="s">
        <v>663</v>
      </c>
      <c r="G134" s="20" t="str">
        <f t="shared" si="1"/>
        <v>Apparel &amp; Accessories, Clothing, Activewear, Bicycle ActivewearBicycle Skinsuits</v>
      </c>
    </row>
    <row r="135" hidden="1">
      <c r="A135" s="29">
        <v>3729.0</v>
      </c>
      <c r="B135" s="29" t="s">
        <v>655</v>
      </c>
      <c r="C135" s="29" t="s">
        <v>656</v>
      </c>
      <c r="D135" s="29" t="s">
        <v>657</v>
      </c>
      <c r="E135" s="29" t="s">
        <v>659</v>
      </c>
      <c r="F135" s="29" t="s">
        <v>664</v>
      </c>
      <c r="G135" s="20" t="str">
        <f t="shared" si="1"/>
        <v>Apparel &amp; Accessories, Clothing, Activewear, Bicycle ActivewearBicycle Tights</v>
      </c>
    </row>
    <row r="136" hidden="1">
      <c r="A136" s="29">
        <v>5378.0</v>
      </c>
      <c r="B136" s="29" t="s">
        <v>655</v>
      </c>
      <c r="C136" s="29" t="s">
        <v>656</v>
      </c>
      <c r="D136" s="29" t="s">
        <v>657</v>
      </c>
      <c r="E136" s="29" t="s">
        <v>665</v>
      </c>
      <c r="F136" s="62"/>
      <c r="G136" s="20" t="str">
        <f t="shared" si="1"/>
        <v>Apparel &amp; Accessories, Clothing, Activewear, Boxing Shorts</v>
      </c>
    </row>
    <row r="137" hidden="1">
      <c r="A137" s="29">
        <v>499979.0</v>
      </c>
      <c r="B137" s="29" t="s">
        <v>655</v>
      </c>
      <c r="C137" s="29" t="s">
        <v>656</v>
      </c>
      <c r="D137" s="29" t="s">
        <v>657</v>
      </c>
      <c r="E137" s="29" t="s">
        <v>666</v>
      </c>
      <c r="G137" s="20" t="str">
        <f t="shared" si="1"/>
        <v>Apparel &amp; Accessories, Clothing, Activewear, Dance Dresses, Skirts &amp; Costumes</v>
      </c>
    </row>
    <row r="138" hidden="1">
      <c r="A138" s="29">
        <v>5460.0</v>
      </c>
      <c r="B138" s="29" t="s">
        <v>655</v>
      </c>
      <c r="C138" s="29" t="s">
        <v>656</v>
      </c>
      <c r="D138" s="29" t="s">
        <v>657</v>
      </c>
      <c r="E138" s="29" t="s">
        <v>667</v>
      </c>
      <c r="F138" s="62"/>
      <c r="G138" s="20" t="str">
        <f t="shared" si="1"/>
        <v>Apparel &amp; Accessories, Clothing, Activewear, Hunting Clothing</v>
      </c>
    </row>
    <row r="139" hidden="1">
      <c r="A139" s="29">
        <v>5462.0</v>
      </c>
      <c r="B139" s="29" t="s">
        <v>655</v>
      </c>
      <c r="C139" s="29" t="s">
        <v>656</v>
      </c>
      <c r="D139" s="29" t="s">
        <v>657</v>
      </c>
      <c r="E139" s="29" t="s">
        <v>667</v>
      </c>
      <c r="F139" s="29" t="s">
        <v>668</v>
      </c>
      <c r="G139" s="20" t="str">
        <f t="shared" si="1"/>
        <v>Apparel &amp; Accessories, Clothing, Activewear, Hunting ClothingGhillie Suits</v>
      </c>
    </row>
    <row r="140" hidden="1">
      <c r="A140" s="29">
        <v>5461.0</v>
      </c>
      <c r="B140" s="29" t="s">
        <v>655</v>
      </c>
      <c r="C140" s="29" t="s">
        <v>656</v>
      </c>
      <c r="D140" s="29" t="s">
        <v>657</v>
      </c>
      <c r="E140" s="29" t="s">
        <v>667</v>
      </c>
      <c r="F140" s="29" t="s">
        <v>669</v>
      </c>
      <c r="G140" s="20" t="str">
        <f t="shared" si="1"/>
        <v>Apparel &amp; Accessories, Clothing, Activewear, Hunting ClothingHunting &amp; Fishing Vests</v>
      </c>
    </row>
    <row r="141" hidden="1">
      <c r="A141" s="29">
        <v>5552.0</v>
      </c>
      <c r="B141" s="29" t="s">
        <v>655</v>
      </c>
      <c r="C141" s="29" t="s">
        <v>656</v>
      </c>
      <c r="D141" s="29" t="s">
        <v>657</v>
      </c>
      <c r="E141" s="29" t="s">
        <v>667</v>
      </c>
      <c r="F141" s="29" t="s">
        <v>670</v>
      </c>
      <c r="G141" s="20" t="str">
        <f t="shared" si="1"/>
        <v>Apparel &amp; Accessories, Clothing, Activewear, Hunting ClothingHunting &amp; Tactical Pants</v>
      </c>
    </row>
    <row r="142" hidden="1">
      <c r="A142" s="29">
        <v>5379.0</v>
      </c>
      <c r="B142" s="29" t="s">
        <v>655</v>
      </c>
      <c r="C142" s="29" t="s">
        <v>656</v>
      </c>
      <c r="D142" s="29" t="s">
        <v>657</v>
      </c>
      <c r="E142" s="29" t="s">
        <v>671</v>
      </c>
      <c r="F142" s="62"/>
      <c r="G142" s="20" t="str">
        <f t="shared" si="1"/>
        <v>Apparel &amp; Accessories, Clothing, Activewear, Martial Arts Shorts</v>
      </c>
    </row>
    <row r="143" hidden="1">
      <c r="A143" s="29">
        <v>5517.0</v>
      </c>
      <c r="B143" s="29" t="s">
        <v>655</v>
      </c>
      <c r="C143" s="29" t="s">
        <v>656</v>
      </c>
      <c r="D143" s="29" t="s">
        <v>657</v>
      </c>
      <c r="E143" s="29" t="s">
        <v>672</v>
      </c>
      <c r="F143" s="62"/>
      <c r="G143" s="20" t="str">
        <f t="shared" si="1"/>
        <v>Apparel &amp; Accessories, Clothing, Activewear, Motorcycle Protective Clothing</v>
      </c>
    </row>
    <row r="144" hidden="1">
      <c r="A144" s="29">
        <v>6006.0</v>
      </c>
      <c r="B144" s="29" t="s">
        <v>655</v>
      </c>
      <c r="C144" s="29" t="s">
        <v>656</v>
      </c>
      <c r="D144" s="29" t="s">
        <v>657</v>
      </c>
      <c r="E144" s="29" t="s">
        <v>672</v>
      </c>
      <c r="F144" s="29" t="s">
        <v>673</v>
      </c>
      <c r="G144" s="20" t="str">
        <f t="shared" si="1"/>
        <v>Apparel &amp; Accessories, Clothing, Activewear, Motorcycle Protective ClothingMotorcycle Jackets</v>
      </c>
    </row>
    <row r="145" hidden="1">
      <c r="A145" s="29">
        <v>7003.0</v>
      </c>
      <c r="B145" s="29" t="s">
        <v>655</v>
      </c>
      <c r="C145" s="29" t="s">
        <v>656</v>
      </c>
      <c r="D145" s="29" t="s">
        <v>657</v>
      </c>
      <c r="E145" s="29" t="s">
        <v>672</v>
      </c>
      <c r="F145" s="29" t="s">
        <v>674</v>
      </c>
      <c r="G145" s="20" t="str">
        <f t="shared" si="1"/>
        <v>Apparel &amp; Accessories, Clothing, Activewear, Motorcycle Protective ClothingMotorcycle Pants</v>
      </c>
    </row>
    <row r="146" hidden="1">
      <c r="A146" s="29">
        <v>5463.0</v>
      </c>
      <c r="B146" s="29" t="s">
        <v>655</v>
      </c>
      <c r="C146" s="29" t="s">
        <v>656</v>
      </c>
      <c r="D146" s="29" t="s">
        <v>657</v>
      </c>
      <c r="E146" s="29" t="s">
        <v>672</v>
      </c>
      <c r="F146" s="29" t="s">
        <v>675</v>
      </c>
      <c r="G146" s="20" t="str">
        <f t="shared" si="1"/>
        <v>Apparel &amp; Accessories, Clothing, Activewear, Motorcycle Protective ClothingMotorcycle Suits</v>
      </c>
    </row>
    <row r="147" hidden="1">
      <c r="A147" s="29">
        <v>5555.0</v>
      </c>
      <c r="B147" s="29" t="s">
        <v>655</v>
      </c>
      <c r="C147" s="29" t="s">
        <v>656</v>
      </c>
      <c r="D147" s="29" t="s">
        <v>657</v>
      </c>
      <c r="E147" s="29" t="s">
        <v>676</v>
      </c>
      <c r="F147" s="62"/>
      <c r="G147" s="20" t="str">
        <f t="shared" si="1"/>
        <v>Apparel &amp; Accessories, Clothing, Activewear, Paintball Clothing</v>
      </c>
    </row>
    <row r="148" hidden="1">
      <c r="A148" s="29">
        <v>182.0</v>
      </c>
      <c r="B148" s="29" t="s">
        <v>655</v>
      </c>
      <c r="C148" s="29" t="s">
        <v>656</v>
      </c>
      <c r="D148" s="29" t="s">
        <v>677</v>
      </c>
      <c r="E148" s="62"/>
      <c r="F148" s="62"/>
      <c r="G148" s="20" t="str">
        <f t="shared" si="1"/>
        <v>Apparel &amp; Accessories, Clothing, Baby &amp; Toddler Clothing, </v>
      </c>
    </row>
    <row r="149" hidden="1">
      <c r="A149" s="29">
        <v>5408.0</v>
      </c>
      <c r="B149" s="29" t="s">
        <v>655</v>
      </c>
      <c r="C149" s="29" t="s">
        <v>656</v>
      </c>
      <c r="D149" s="29" t="s">
        <v>677</v>
      </c>
      <c r="E149" s="29" t="s">
        <v>678</v>
      </c>
      <c r="F149" s="62"/>
      <c r="G149" s="20" t="str">
        <f t="shared" si="1"/>
        <v>Apparel &amp; Accessories, Clothing, Baby &amp; Toddler Clothing, Baby &amp; Toddler Bottoms</v>
      </c>
    </row>
    <row r="150" hidden="1">
      <c r="A150" s="29">
        <v>5549.0</v>
      </c>
      <c r="B150" s="29" t="s">
        <v>655</v>
      </c>
      <c r="C150" s="29" t="s">
        <v>656</v>
      </c>
      <c r="D150" s="29" t="s">
        <v>677</v>
      </c>
      <c r="E150" s="29" t="s">
        <v>679</v>
      </c>
      <c r="F150" s="62"/>
      <c r="G150" s="20" t="str">
        <f t="shared" si="1"/>
        <v>Apparel &amp; Accessories, Clothing, Baby &amp; Toddler Clothing, Baby &amp; Toddler Diaper Covers</v>
      </c>
    </row>
    <row r="151" hidden="1">
      <c r="A151" s="29">
        <v>5424.0</v>
      </c>
      <c r="B151" s="29" t="s">
        <v>655</v>
      </c>
      <c r="C151" s="29" t="s">
        <v>656</v>
      </c>
      <c r="D151" s="29" t="s">
        <v>677</v>
      </c>
      <c r="E151" s="29" t="s">
        <v>680</v>
      </c>
      <c r="F151" s="62"/>
      <c r="G151" s="20" t="str">
        <f t="shared" si="1"/>
        <v>Apparel &amp; Accessories, Clothing, Baby &amp; Toddler Clothing, Baby &amp; Toddler Dresses</v>
      </c>
    </row>
    <row r="152" hidden="1">
      <c r="A152" s="29">
        <v>5425.0</v>
      </c>
      <c r="B152" s="29" t="s">
        <v>655</v>
      </c>
      <c r="C152" s="29" t="s">
        <v>656</v>
      </c>
      <c r="D152" s="29" t="s">
        <v>677</v>
      </c>
      <c r="E152" s="29" t="s">
        <v>681</v>
      </c>
      <c r="F152" s="62"/>
      <c r="G152" s="20" t="str">
        <f t="shared" si="1"/>
        <v>Apparel &amp; Accessories, Clothing, Baby &amp; Toddler Clothing, Baby &amp; Toddler Outerwear</v>
      </c>
    </row>
    <row r="153" hidden="1">
      <c r="A153" s="29">
        <v>5622.0</v>
      </c>
      <c r="B153" s="29" t="s">
        <v>655</v>
      </c>
      <c r="C153" s="29" t="s">
        <v>656</v>
      </c>
      <c r="D153" s="29" t="s">
        <v>677</v>
      </c>
      <c r="E153" s="29" t="s">
        <v>682</v>
      </c>
      <c r="F153" s="62"/>
      <c r="G153" s="20" t="str">
        <f t="shared" si="1"/>
        <v>Apparel &amp; Accessories, Clothing, Baby &amp; Toddler Clothing, Baby &amp; Toddler Outfits</v>
      </c>
    </row>
    <row r="154" hidden="1">
      <c r="A154" s="29">
        <v>5412.0</v>
      </c>
      <c r="B154" s="29" t="s">
        <v>655</v>
      </c>
      <c r="C154" s="29" t="s">
        <v>656</v>
      </c>
      <c r="D154" s="29" t="s">
        <v>677</v>
      </c>
      <c r="E154" s="29" t="s">
        <v>683</v>
      </c>
      <c r="F154" s="62"/>
      <c r="G154" s="20" t="str">
        <f t="shared" si="1"/>
        <v>Apparel &amp; Accessories, Clothing, Baby &amp; Toddler Clothing, Baby &amp; Toddler Sleepwear</v>
      </c>
    </row>
    <row r="155" hidden="1">
      <c r="A155" s="29">
        <v>5423.0</v>
      </c>
      <c r="B155" s="29" t="s">
        <v>655</v>
      </c>
      <c r="C155" s="29" t="s">
        <v>656</v>
      </c>
      <c r="D155" s="29" t="s">
        <v>677</v>
      </c>
      <c r="E155" s="29" t="s">
        <v>684</v>
      </c>
      <c r="F155" s="62"/>
      <c r="G155" s="20" t="str">
        <f t="shared" si="1"/>
        <v>Apparel &amp; Accessories, Clothing, Baby &amp; Toddler Clothing, Baby &amp; Toddler Socks &amp; Tights</v>
      </c>
    </row>
    <row r="156" hidden="1">
      <c r="A156" s="29">
        <v>5409.0</v>
      </c>
      <c r="B156" s="29" t="s">
        <v>655</v>
      </c>
      <c r="C156" s="29" t="s">
        <v>656</v>
      </c>
      <c r="D156" s="29" t="s">
        <v>677</v>
      </c>
      <c r="E156" s="29" t="s">
        <v>685</v>
      </c>
      <c r="F156" s="62"/>
      <c r="G156" s="20" t="str">
        <f t="shared" si="1"/>
        <v>Apparel &amp; Accessories, Clothing, Baby &amp; Toddler Clothing, Baby &amp; Toddler Swimwear</v>
      </c>
    </row>
    <row r="157" hidden="1">
      <c r="A157" s="29">
        <v>5410.0</v>
      </c>
      <c r="B157" s="29" t="s">
        <v>655</v>
      </c>
      <c r="C157" s="29" t="s">
        <v>656</v>
      </c>
      <c r="D157" s="29" t="s">
        <v>677</v>
      </c>
      <c r="E157" s="29" t="s">
        <v>686</v>
      </c>
      <c r="F157" s="62"/>
      <c r="G157" s="20" t="str">
        <f t="shared" si="1"/>
        <v>Apparel &amp; Accessories, Clothing, Baby &amp; Toddler Clothing, Baby &amp; Toddler Tops</v>
      </c>
    </row>
    <row r="158" hidden="1">
      <c r="A158" s="29">
        <v>5411.0</v>
      </c>
      <c r="B158" s="29" t="s">
        <v>655</v>
      </c>
      <c r="C158" s="29" t="s">
        <v>656</v>
      </c>
      <c r="D158" s="29" t="s">
        <v>677</v>
      </c>
      <c r="E158" s="29" t="s">
        <v>687</v>
      </c>
      <c r="F158" s="62"/>
      <c r="G158" s="20" t="str">
        <f t="shared" si="1"/>
        <v>Apparel &amp; Accessories, Clothing, Baby &amp; Toddler Clothing, Baby One-Pieces</v>
      </c>
    </row>
    <row r="159" hidden="1">
      <c r="A159" s="29">
        <v>5621.0</v>
      </c>
      <c r="B159" s="29" t="s">
        <v>655</v>
      </c>
      <c r="C159" s="29" t="s">
        <v>656</v>
      </c>
      <c r="D159" s="29" t="s">
        <v>677</v>
      </c>
      <c r="E159" s="29" t="s">
        <v>688</v>
      </c>
      <c r="F159" s="62"/>
      <c r="G159" s="20" t="str">
        <f t="shared" si="1"/>
        <v>Apparel &amp; Accessories, Clothing, Baby &amp; Toddler Clothing, Toddler Underwear</v>
      </c>
    </row>
    <row r="160" hidden="1">
      <c r="A160" s="29">
        <v>2271.0</v>
      </c>
      <c r="B160" s="29" t="s">
        <v>655</v>
      </c>
      <c r="C160" s="29" t="s">
        <v>656</v>
      </c>
      <c r="D160" s="29" t="s">
        <v>689</v>
      </c>
      <c r="E160" s="62"/>
      <c r="F160" s="62"/>
      <c r="G160" s="20" t="str">
        <f t="shared" si="1"/>
        <v>Apparel &amp; Accessories, Clothing, Dresses, </v>
      </c>
    </row>
    <row r="161" hidden="1">
      <c r="A161" s="29">
        <v>5182.0</v>
      </c>
      <c r="B161" s="29" t="s">
        <v>655</v>
      </c>
      <c r="C161" s="29" t="s">
        <v>656</v>
      </c>
      <c r="D161" s="29" t="s">
        <v>690</v>
      </c>
      <c r="E161" s="62"/>
      <c r="F161" s="62"/>
      <c r="G161" s="20" t="str">
        <f t="shared" si="1"/>
        <v>Apparel &amp; Accessories, Clothing, One-Pieces, </v>
      </c>
    </row>
    <row r="162" hidden="1">
      <c r="A162" s="29">
        <v>5250.0</v>
      </c>
      <c r="B162" s="29" t="s">
        <v>655</v>
      </c>
      <c r="C162" s="29" t="s">
        <v>656</v>
      </c>
      <c r="D162" s="29" t="s">
        <v>690</v>
      </c>
      <c r="E162" s="29" t="s">
        <v>691</v>
      </c>
      <c r="F162" s="62"/>
      <c r="G162" s="20" t="str">
        <f t="shared" si="1"/>
        <v>Apparel &amp; Accessories, Clothing, One-Pieces, Jumpsuits &amp; Rompers</v>
      </c>
    </row>
    <row r="163" hidden="1">
      <c r="A163" s="29">
        <v>5490.0</v>
      </c>
      <c r="B163" s="29" t="s">
        <v>655</v>
      </c>
      <c r="C163" s="29" t="s">
        <v>656</v>
      </c>
      <c r="D163" s="29" t="s">
        <v>690</v>
      </c>
      <c r="E163" s="29" t="s">
        <v>692</v>
      </c>
      <c r="F163" s="62"/>
      <c r="G163" s="20" t="str">
        <f t="shared" si="1"/>
        <v>Apparel &amp; Accessories, Clothing, One-Pieces, Leotards &amp; Unitards</v>
      </c>
    </row>
    <row r="164" hidden="1">
      <c r="A164" s="29">
        <v>7132.0</v>
      </c>
      <c r="B164" s="29" t="s">
        <v>655</v>
      </c>
      <c r="C164" s="29" t="s">
        <v>656</v>
      </c>
      <c r="D164" s="29" t="s">
        <v>690</v>
      </c>
      <c r="E164" s="29" t="s">
        <v>693</v>
      </c>
      <c r="F164" s="62"/>
      <c r="G164" s="20" t="str">
        <f t="shared" si="1"/>
        <v>Apparel &amp; Accessories, Clothing, One-Pieces, Overalls</v>
      </c>
    </row>
    <row r="165" hidden="1">
      <c r="A165" s="29">
        <v>203.0</v>
      </c>
      <c r="B165" s="29" t="s">
        <v>655</v>
      </c>
      <c r="C165" s="29" t="s">
        <v>656</v>
      </c>
      <c r="D165" s="29" t="s">
        <v>694</v>
      </c>
      <c r="E165" s="62"/>
      <c r="F165" s="62"/>
      <c r="G165" s="20" t="str">
        <f t="shared" si="1"/>
        <v>Apparel &amp; Accessories, Clothing, Outerwear, </v>
      </c>
    </row>
    <row r="166" hidden="1">
      <c r="A166" s="29">
        <v>5506.0</v>
      </c>
      <c r="B166" s="29" t="s">
        <v>655</v>
      </c>
      <c r="C166" s="29" t="s">
        <v>656</v>
      </c>
      <c r="D166" s="29" t="s">
        <v>694</v>
      </c>
      <c r="E166" s="29" t="s">
        <v>695</v>
      </c>
      <c r="F166" s="62"/>
      <c r="G166" s="20" t="str">
        <f t="shared" si="1"/>
        <v>Apparel &amp; Accessories, Clothing, Outerwear, Chaps</v>
      </c>
    </row>
    <row r="167" hidden="1">
      <c r="A167" s="29">
        <v>5598.0</v>
      </c>
      <c r="B167" s="29" t="s">
        <v>655</v>
      </c>
      <c r="C167" s="29" t="s">
        <v>656</v>
      </c>
      <c r="D167" s="29" t="s">
        <v>694</v>
      </c>
      <c r="E167" s="29" t="s">
        <v>696</v>
      </c>
      <c r="F167" s="62"/>
      <c r="G167" s="20" t="str">
        <f t="shared" si="1"/>
        <v>Apparel &amp; Accessories, Clothing, Outerwear, Coats &amp; Jackets</v>
      </c>
    </row>
    <row r="168" hidden="1">
      <c r="A168" s="29">
        <v>5514.0</v>
      </c>
      <c r="B168" s="29" t="s">
        <v>655</v>
      </c>
      <c r="C168" s="29" t="s">
        <v>656</v>
      </c>
      <c r="D168" s="29" t="s">
        <v>694</v>
      </c>
      <c r="E168" s="29" t="s">
        <v>697</v>
      </c>
      <c r="F168" s="62"/>
      <c r="G168" s="20" t="str">
        <f t="shared" si="1"/>
        <v>Apparel &amp; Accessories, Clothing, Outerwear, Rain Pants</v>
      </c>
    </row>
    <row r="169" hidden="1">
      <c r="A169" s="29">
        <v>3066.0</v>
      </c>
      <c r="B169" s="29" t="s">
        <v>655</v>
      </c>
      <c r="C169" s="29" t="s">
        <v>656</v>
      </c>
      <c r="D169" s="29" t="s">
        <v>694</v>
      </c>
      <c r="E169" s="29" t="s">
        <v>698</v>
      </c>
      <c r="F169" s="62"/>
      <c r="G169" s="20" t="str">
        <f t="shared" si="1"/>
        <v>Apparel &amp; Accessories, Clothing, Outerwear, Rain Suits</v>
      </c>
    </row>
    <row r="170" hidden="1">
      <c r="A170" s="29">
        <v>5909.0</v>
      </c>
      <c r="B170" s="29" t="s">
        <v>655</v>
      </c>
      <c r="C170" s="29" t="s">
        <v>656</v>
      </c>
      <c r="D170" s="29" t="s">
        <v>694</v>
      </c>
      <c r="E170" s="29" t="s">
        <v>699</v>
      </c>
      <c r="F170" s="62"/>
      <c r="G170" s="20" t="str">
        <f t="shared" si="1"/>
        <v>Apparel &amp; Accessories, Clothing, Outerwear, Snow Pants &amp; Suits</v>
      </c>
    </row>
    <row r="171" hidden="1">
      <c r="A171" s="29">
        <v>1831.0</v>
      </c>
      <c r="B171" s="29" t="s">
        <v>655</v>
      </c>
      <c r="C171" s="29" t="s">
        <v>656</v>
      </c>
      <c r="D171" s="29" t="s">
        <v>694</v>
      </c>
      <c r="E171" s="29" t="s">
        <v>700</v>
      </c>
      <c r="F171" s="62"/>
      <c r="G171" s="20" t="str">
        <f t="shared" si="1"/>
        <v>Apparel &amp; Accessories, Clothing, Outerwear, Vests</v>
      </c>
    </row>
    <row r="172" hidden="1">
      <c r="A172" s="29">
        <v>7313.0</v>
      </c>
      <c r="B172" s="29" t="s">
        <v>655</v>
      </c>
      <c r="C172" s="29" t="s">
        <v>656</v>
      </c>
      <c r="D172" s="29" t="s">
        <v>701</v>
      </c>
      <c r="E172" s="62"/>
      <c r="F172" s="62"/>
      <c r="G172" s="20" t="str">
        <f t="shared" si="1"/>
        <v>Apparel &amp; Accessories, Clothing, Outfit Sets, </v>
      </c>
    </row>
    <row r="173" hidden="1">
      <c r="A173" s="29">
        <v>204.0</v>
      </c>
      <c r="B173" s="29" t="s">
        <v>655</v>
      </c>
      <c r="C173" s="29" t="s">
        <v>656</v>
      </c>
      <c r="D173" s="29" t="s">
        <v>702</v>
      </c>
      <c r="E173" s="62"/>
      <c r="F173" s="62"/>
      <c r="G173" s="20" t="str">
        <f t="shared" si="1"/>
        <v>Apparel &amp; Accessories, Clothing, Pants, </v>
      </c>
    </row>
    <row r="174" hidden="1">
      <c r="A174" s="29">
        <v>212.0</v>
      </c>
      <c r="B174" s="29" t="s">
        <v>655</v>
      </c>
      <c r="C174" s="29" t="s">
        <v>656</v>
      </c>
      <c r="D174" s="29" t="s">
        <v>703</v>
      </c>
      <c r="E174" s="62"/>
      <c r="F174" s="62"/>
      <c r="G174" s="20" t="str">
        <f t="shared" si="1"/>
        <v>Apparel &amp; Accessories, Clothing, Shirts &amp; Tops, </v>
      </c>
    </row>
    <row r="175" hidden="1">
      <c r="A175" s="29">
        <v>207.0</v>
      </c>
      <c r="B175" s="29" t="s">
        <v>655</v>
      </c>
      <c r="C175" s="29" t="s">
        <v>656</v>
      </c>
      <c r="D175" s="29" t="s">
        <v>704</v>
      </c>
      <c r="E175" s="62"/>
      <c r="F175" s="62"/>
      <c r="G175" s="20" t="str">
        <f t="shared" si="1"/>
        <v>Apparel &amp; Accessories, Clothing, Shorts, </v>
      </c>
    </row>
    <row r="176" hidden="1">
      <c r="A176" s="29">
        <v>1581.0</v>
      </c>
      <c r="B176" s="29" t="s">
        <v>655</v>
      </c>
      <c r="C176" s="29" t="s">
        <v>656</v>
      </c>
      <c r="D176" s="29" t="s">
        <v>705</v>
      </c>
      <c r="E176" s="62"/>
      <c r="F176" s="62"/>
      <c r="G176" s="20" t="str">
        <f t="shared" si="1"/>
        <v>Apparel &amp; Accessories, Clothing, Skirts, </v>
      </c>
    </row>
    <row r="177" hidden="1">
      <c r="A177" s="29">
        <v>6229.0</v>
      </c>
      <c r="B177" s="29" t="s">
        <v>655</v>
      </c>
      <c r="C177" s="29" t="s">
        <v>656</v>
      </c>
      <c r="D177" s="29" t="s">
        <v>705</v>
      </c>
      <c r="E177" s="29" t="s">
        <v>706</v>
      </c>
      <c r="F177" s="62"/>
      <c r="G177" s="20" t="str">
        <f t="shared" si="1"/>
        <v>Apparel &amp; Accessories, Clothing, Skirts, Knee-Length Skirts</v>
      </c>
    </row>
    <row r="178" hidden="1">
      <c r="A178" s="29">
        <v>6228.0</v>
      </c>
      <c r="B178" s="29" t="s">
        <v>655</v>
      </c>
      <c r="C178" s="29" t="s">
        <v>656</v>
      </c>
      <c r="D178" s="29" t="s">
        <v>705</v>
      </c>
      <c r="E178" s="29" t="s">
        <v>707</v>
      </c>
      <c r="F178" s="62"/>
      <c r="G178" s="20" t="str">
        <f t="shared" si="1"/>
        <v>Apparel &amp; Accessories, Clothing, Skirts, Long Skirts</v>
      </c>
    </row>
    <row r="179" hidden="1">
      <c r="A179" s="29">
        <v>2331.0</v>
      </c>
      <c r="B179" s="29" t="s">
        <v>655</v>
      </c>
      <c r="C179" s="29" t="s">
        <v>656</v>
      </c>
      <c r="D179" s="29" t="s">
        <v>705</v>
      </c>
      <c r="E179" s="29" t="s">
        <v>708</v>
      </c>
      <c r="F179" s="62"/>
      <c r="G179" s="20" t="str">
        <f t="shared" si="1"/>
        <v>Apparel &amp; Accessories, Clothing, Skirts, Mini Skirts</v>
      </c>
    </row>
    <row r="180" hidden="1">
      <c r="A180" s="29">
        <v>5344.0</v>
      </c>
      <c r="B180" s="29" t="s">
        <v>655</v>
      </c>
      <c r="C180" s="29" t="s">
        <v>656</v>
      </c>
      <c r="D180" s="29" t="s">
        <v>709</v>
      </c>
      <c r="E180" s="62"/>
      <c r="F180" s="62"/>
      <c r="G180" s="20" t="str">
        <f t="shared" si="1"/>
        <v>Apparel &amp; Accessories, Clothing, Skorts, </v>
      </c>
    </row>
    <row r="181" hidden="1">
      <c r="A181" s="29">
        <v>208.0</v>
      </c>
      <c r="B181" s="29" t="s">
        <v>655</v>
      </c>
      <c r="C181" s="29" t="s">
        <v>656</v>
      </c>
      <c r="D181" s="29" t="s">
        <v>710</v>
      </c>
      <c r="F181" s="62"/>
      <c r="G181" s="20" t="str">
        <f t="shared" si="1"/>
        <v>Apparel &amp; Accessories, Clothing, Sleepwear &amp; Loungewear, </v>
      </c>
    </row>
    <row r="182" hidden="1">
      <c r="A182" s="29">
        <v>5713.0</v>
      </c>
      <c r="B182" s="29" t="s">
        <v>655</v>
      </c>
      <c r="C182" s="29" t="s">
        <v>656</v>
      </c>
      <c r="D182" s="29" t="s">
        <v>710</v>
      </c>
      <c r="E182" s="29" t="s">
        <v>711</v>
      </c>
      <c r="F182" s="62"/>
      <c r="G182" s="20" t="str">
        <f t="shared" si="1"/>
        <v>Apparel &amp; Accessories, Clothing, Sleepwear &amp; Loungewear, Loungewear</v>
      </c>
    </row>
    <row r="183" hidden="1">
      <c r="A183" s="29">
        <v>5513.0</v>
      </c>
      <c r="B183" s="29" t="s">
        <v>655</v>
      </c>
      <c r="C183" s="29" t="s">
        <v>656</v>
      </c>
      <c r="D183" s="29" t="s">
        <v>710</v>
      </c>
      <c r="E183" s="29" t="s">
        <v>712</v>
      </c>
      <c r="F183" s="62"/>
      <c r="G183" s="20" t="str">
        <f t="shared" si="1"/>
        <v>Apparel &amp; Accessories, Clothing, Sleepwear &amp; Loungewear, Nightgowns</v>
      </c>
    </row>
    <row r="184" hidden="1">
      <c r="A184" s="29">
        <v>2580.0</v>
      </c>
      <c r="B184" s="29" t="s">
        <v>655</v>
      </c>
      <c r="C184" s="29" t="s">
        <v>656</v>
      </c>
      <c r="D184" s="29" t="s">
        <v>710</v>
      </c>
      <c r="E184" s="29" t="s">
        <v>713</v>
      </c>
      <c r="F184" s="62"/>
      <c r="G184" s="20" t="str">
        <f t="shared" si="1"/>
        <v>Apparel &amp; Accessories, Clothing, Sleepwear &amp; Loungewear, Pajamas</v>
      </c>
    </row>
    <row r="185" hidden="1">
      <c r="A185" s="29">
        <v>2302.0</v>
      </c>
      <c r="B185" s="29" t="s">
        <v>655</v>
      </c>
      <c r="C185" s="29" t="s">
        <v>656</v>
      </c>
      <c r="D185" s="29" t="s">
        <v>710</v>
      </c>
      <c r="E185" s="29" t="s">
        <v>714</v>
      </c>
      <c r="F185" s="62"/>
      <c r="G185" s="20" t="str">
        <f t="shared" si="1"/>
        <v>Apparel &amp; Accessories, Clothing, Sleepwear &amp; Loungewear, Robes</v>
      </c>
    </row>
    <row r="186" hidden="1">
      <c r="A186" s="29">
        <v>1594.0</v>
      </c>
      <c r="B186" s="29" t="s">
        <v>655</v>
      </c>
      <c r="C186" s="29" t="s">
        <v>656</v>
      </c>
      <c r="D186" s="29" t="s">
        <v>715</v>
      </c>
      <c r="E186" s="62"/>
      <c r="F186" s="62"/>
      <c r="G186" s="20" t="str">
        <f t="shared" si="1"/>
        <v>Apparel &amp; Accessories, Clothing, Suits, </v>
      </c>
    </row>
    <row r="187" hidden="1">
      <c r="A187" s="29">
        <v>5183.0</v>
      </c>
      <c r="B187" s="29" t="s">
        <v>655</v>
      </c>
      <c r="C187" s="29" t="s">
        <v>656</v>
      </c>
      <c r="D187" s="29" t="s">
        <v>715</v>
      </c>
      <c r="E187" s="29" t="s">
        <v>716</v>
      </c>
      <c r="F187" s="62"/>
      <c r="G187" s="20" t="str">
        <f t="shared" si="1"/>
        <v>Apparel &amp; Accessories, Clothing, Suits, Pant Suits</v>
      </c>
    </row>
    <row r="188" hidden="1">
      <c r="A188" s="29">
        <v>1516.0</v>
      </c>
      <c r="B188" s="29" t="s">
        <v>655</v>
      </c>
      <c r="C188" s="29" t="s">
        <v>656</v>
      </c>
      <c r="D188" s="29" t="s">
        <v>715</v>
      </c>
      <c r="E188" s="29" t="s">
        <v>717</v>
      </c>
      <c r="F188" s="62"/>
      <c r="G188" s="20" t="str">
        <f t="shared" si="1"/>
        <v>Apparel &amp; Accessories, Clothing, Suits, Skirt Suits</v>
      </c>
    </row>
    <row r="189" hidden="1">
      <c r="A189" s="29">
        <v>1580.0</v>
      </c>
      <c r="B189" s="29" t="s">
        <v>655</v>
      </c>
      <c r="C189" s="29" t="s">
        <v>656</v>
      </c>
      <c r="D189" s="29" t="s">
        <v>715</v>
      </c>
      <c r="E189" s="29" t="s">
        <v>718</v>
      </c>
      <c r="F189" s="62"/>
      <c r="G189" s="20" t="str">
        <f t="shared" si="1"/>
        <v>Apparel &amp; Accessories, Clothing, Suits, Tuxedos</v>
      </c>
    </row>
    <row r="190" hidden="1">
      <c r="A190" s="29">
        <v>211.0</v>
      </c>
      <c r="B190" s="29" t="s">
        <v>655</v>
      </c>
      <c r="C190" s="29" t="s">
        <v>656</v>
      </c>
      <c r="D190" s="29" t="s">
        <v>719</v>
      </c>
      <c r="E190" s="62"/>
      <c r="F190" s="62"/>
      <c r="G190" s="20" t="str">
        <f t="shared" si="1"/>
        <v>Apparel &amp; Accessories, Clothing, Swimwear, </v>
      </c>
    </row>
    <row r="191" hidden="1">
      <c r="A191" s="29">
        <v>5388.0</v>
      </c>
      <c r="B191" s="29" t="s">
        <v>655</v>
      </c>
      <c r="C191" s="29" t="s">
        <v>656</v>
      </c>
      <c r="D191" s="29" t="s">
        <v>720</v>
      </c>
      <c r="F191" s="62"/>
      <c r="G191" s="20" t="str">
        <f t="shared" si="1"/>
        <v>Apparel &amp; Accessories, Clothing, Traditional &amp; Ceremonial Clothing, </v>
      </c>
    </row>
    <row r="192" hidden="1">
      <c r="A192" s="29">
        <v>6031.0</v>
      </c>
      <c r="B192" s="29" t="s">
        <v>655</v>
      </c>
      <c r="C192" s="29" t="s">
        <v>656</v>
      </c>
      <c r="D192" s="29" t="s">
        <v>720</v>
      </c>
      <c r="E192" s="29" t="s">
        <v>721</v>
      </c>
      <c r="F192" s="62"/>
      <c r="G192" s="20" t="str">
        <f t="shared" si="1"/>
        <v>Apparel &amp; Accessories, Clothing, Traditional &amp; Ceremonial Clothing, Dirndls</v>
      </c>
    </row>
    <row r="193" hidden="1">
      <c r="A193" s="29">
        <v>5674.0</v>
      </c>
      <c r="B193" s="29" t="s">
        <v>655</v>
      </c>
      <c r="C193" s="29" t="s">
        <v>656</v>
      </c>
      <c r="D193" s="29" t="s">
        <v>720</v>
      </c>
      <c r="E193" s="29" t="s">
        <v>722</v>
      </c>
      <c r="F193" s="62"/>
      <c r="G193" s="20" t="str">
        <f t="shared" si="1"/>
        <v>Apparel &amp; Accessories, Clothing, Traditional &amp; Ceremonial Clothing, Hakama Trousers</v>
      </c>
    </row>
    <row r="194" hidden="1">
      <c r="A194" s="29">
        <v>6227.0</v>
      </c>
      <c r="B194" s="29" t="s">
        <v>655</v>
      </c>
      <c r="C194" s="29" t="s">
        <v>656</v>
      </c>
      <c r="D194" s="29" t="s">
        <v>720</v>
      </c>
      <c r="E194" s="29" t="s">
        <v>723</v>
      </c>
      <c r="F194" s="62"/>
      <c r="G194" s="20" t="str">
        <f t="shared" si="1"/>
        <v>Apparel &amp; Accessories, Clothing, Traditional &amp; Ceremonial Clothing, Japanese Black Formal Wear</v>
      </c>
    </row>
    <row r="195" hidden="1">
      <c r="A195" s="29">
        <v>5673.0</v>
      </c>
      <c r="B195" s="29" t="s">
        <v>655</v>
      </c>
      <c r="C195" s="29" t="s">
        <v>656</v>
      </c>
      <c r="D195" s="29" t="s">
        <v>720</v>
      </c>
      <c r="E195" s="29" t="s">
        <v>724</v>
      </c>
      <c r="F195" s="62"/>
      <c r="G195" s="20" t="str">
        <f t="shared" si="1"/>
        <v>Apparel &amp; Accessories, Clothing, Traditional &amp; Ceremonial Clothing, Kimono Outerwear</v>
      </c>
    </row>
    <row r="196" hidden="1">
      <c r="A196" s="29">
        <v>5678.0</v>
      </c>
      <c r="B196" s="29" t="s">
        <v>655</v>
      </c>
      <c r="C196" s="29" t="s">
        <v>656</v>
      </c>
      <c r="D196" s="29" t="s">
        <v>720</v>
      </c>
      <c r="E196" s="29" t="s">
        <v>724</v>
      </c>
      <c r="F196" s="29" t="s">
        <v>725</v>
      </c>
      <c r="G196" s="20" t="str">
        <f t="shared" si="1"/>
        <v>Apparel &amp; Accessories, Clothing, Traditional &amp; Ceremonial Clothing, Kimono OuterwearHaori Jackets</v>
      </c>
    </row>
    <row r="197" hidden="1">
      <c r="A197" s="29">
        <v>5677.0</v>
      </c>
      <c r="B197" s="29" t="s">
        <v>655</v>
      </c>
      <c r="C197" s="29" t="s">
        <v>656</v>
      </c>
      <c r="D197" s="29" t="s">
        <v>720</v>
      </c>
      <c r="E197" s="29" t="s">
        <v>724</v>
      </c>
      <c r="F197" s="29" t="s">
        <v>726</v>
      </c>
      <c r="G197" s="20" t="str">
        <f t="shared" si="1"/>
        <v>Apparel &amp; Accessories, Clothing, Traditional &amp; Ceremonial Clothing, Kimono OuterwearKimono Coats</v>
      </c>
    </row>
    <row r="198" hidden="1">
      <c r="A198" s="29">
        <v>5343.0</v>
      </c>
      <c r="B198" s="29" t="s">
        <v>655</v>
      </c>
      <c r="C198" s="29" t="s">
        <v>656</v>
      </c>
      <c r="D198" s="29" t="s">
        <v>720</v>
      </c>
      <c r="E198" s="29" t="s">
        <v>727</v>
      </c>
      <c r="F198" s="62"/>
      <c r="G198" s="20" t="str">
        <f t="shared" si="1"/>
        <v>Apparel &amp; Accessories, Clothing, Traditional &amp; Ceremonial Clothing, Kimonos</v>
      </c>
    </row>
    <row r="199" hidden="1">
      <c r="A199" s="29">
        <v>5684.0</v>
      </c>
      <c r="B199" s="29" t="s">
        <v>655</v>
      </c>
      <c r="C199" s="29" t="s">
        <v>656</v>
      </c>
      <c r="D199" s="29" t="s">
        <v>720</v>
      </c>
      <c r="E199" s="29" t="s">
        <v>727</v>
      </c>
      <c r="F199" s="29" t="s">
        <v>728</v>
      </c>
      <c r="G199" s="20" t="str">
        <f t="shared" si="1"/>
        <v>Apparel &amp; Accessories, Clothing, Traditional &amp; Ceremonial Clothing, KimonosBridal Kimonos</v>
      </c>
    </row>
    <row r="200" hidden="1">
      <c r="A200" s="29">
        <v>5683.0</v>
      </c>
      <c r="B200" s="29" t="s">
        <v>655</v>
      </c>
      <c r="C200" s="29" t="s">
        <v>656</v>
      </c>
      <c r="D200" s="29" t="s">
        <v>720</v>
      </c>
      <c r="E200" s="29" t="s">
        <v>727</v>
      </c>
      <c r="F200" s="29" t="s">
        <v>729</v>
      </c>
      <c r="G200" s="20" t="str">
        <f t="shared" si="1"/>
        <v>Apparel &amp; Accessories, Clothing, Traditional &amp; Ceremonial Clothing, KimonosCasual Kimonos</v>
      </c>
    </row>
    <row r="201" hidden="1">
      <c r="A201" s="29">
        <v>5682.0</v>
      </c>
      <c r="B201" s="29" t="s">
        <v>655</v>
      </c>
      <c r="C201" s="29" t="s">
        <v>656</v>
      </c>
      <c r="D201" s="29" t="s">
        <v>720</v>
      </c>
      <c r="E201" s="29" t="s">
        <v>727</v>
      </c>
      <c r="F201" s="29" t="s">
        <v>730</v>
      </c>
      <c r="G201" s="20" t="str">
        <f t="shared" si="1"/>
        <v>Apparel &amp; Accessories, Clothing, Traditional &amp; Ceremonial Clothing, KimonosFurisode Kimonos</v>
      </c>
    </row>
    <row r="202" hidden="1">
      <c r="A202" s="29">
        <v>5681.0</v>
      </c>
      <c r="B202" s="29" t="s">
        <v>655</v>
      </c>
      <c r="C202" s="29" t="s">
        <v>656</v>
      </c>
      <c r="D202" s="29" t="s">
        <v>720</v>
      </c>
      <c r="E202" s="29" t="s">
        <v>727</v>
      </c>
      <c r="F202" s="29" t="s">
        <v>731</v>
      </c>
      <c r="G202" s="20" t="str">
        <f t="shared" si="1"/>
        <v>Apparel &amp; Accessories, Clothing, Traditional &amp; Ceremonial Clothing, KimonosIromuji Kimonos</v>
      </c>
    </row>
    <row r="203" hidden="1">
      <c r="A203" s="29">
        <v>5680.0</v>
      </c>
      <c r="B203" s="29" t="s">
        <v>655</v>
      </c>
      <c r="C203" s="29" t="s">
        <v>656</v>
      </c>
      <c r="D203" s="29" t="s">
        <v>720</v>
      </c>
      <c r="E203" s="29" t="s">
        <v>727</v>
      </c>
      <c r="F203" s="29" t="s">
        <v>732</v>
      </c>
      <c r="G203" s="20" t="str">
        <f t="shared" si="1"/>
        <v>Apparel &amp; Accessories, Clothing, Traditional &amp; Ceremonial Clothing, KimonosKomon Kimonos</v>
      </c>
    </row>
    <row r="204" hidden="1">
      <c r="A204" s="29">
        <v>5679.0</v>
      </c>
      <c r="B204" s="29" t="s">
        <v>655</v>
      </c>
      <c r="C204" s="29" t="s">
        <v>656</v>
      </c>
      <c r="D204" s="29" t="s">
        <v>720</v>
      </c>
      <c r="E204" s="29" t="s">
        <v>727</v>
      </c>
      <c r="F204" s="29" t="s">
        <v>733</v>
      </c>
      <c r="G204" s="20" t="str">
        <f t="shared" si="1"/>
        <v>Apparel &amp; Accessories, Clothing, Traditional &amp; Ceremonial Clothing, KimonosTomesode &amp; Houmongi Kimonos</v>
      </c>
    </row>
    <row r="205" hidden="1">
      <c r="A205" s="29">
        <v>5483.0</v>
      </c>
      <c r="B205" s="29" t="s">
        <v>655</v>
      </c>
      <c r="C205" s="29" t="s">
        <v>656</v>
      </c>
      <c r="D205" s="29" t="s">
        <v>720</v>
      </c>
      <c r="E205" s="29" t="s">
        <v>734</v>
      </c>
      <c r="F205" s="62"/>
      <c r="G205" s="20" t="str">
        <f t="shared" si="1"/>
        <v>Apparel &amp; Accessories, Clothing, Traditional &amp; Ceremonial Clothing, Religious Ceremonial Clothing</v>
      </c>
    </row>
    <row r="206" hidden="1">
      <c r="A206" s="29">
        <v>8149.0</v>
      </c>
      <c r="B206" s="29" t="s">
        <v>655</v>
      </c>
      <c r="C206" s="29" t="s">
        <v>656</v>
      </c>
      <c r="D206" s="29" t="s">
        <v>720</v>
      </c>
      <c r="E206" s="29" t="s">
        <v>734</v>
      </c>
      <c r="F206" s="29" t="s">
        <v>735</v>
      </c>
      <c r="G206" s="20" t="str">
        <f t="shared" si="1"/>
        <v>Apparel &amp; Accessories, Clothing, Traditional &amp; Ceremonial Clothing, Religious Ceremonial ClothingBaptism &amp; Communion Dresses</v>
      </c>
    </row>
    <row r="207" hidden="1">
      <c r="A207" s="29">
        <v>8248.0</v>
      </c>
      <c r="B207" s="29" t="s">
        <v>655</v>
      </c>
      <c r="C207" s="29" t="s">
        <v>656</v>
      </c>
      <c r="D207" s="29" t="s">
        <v>720</v>
      </c>
      <c r="E207" s="29" t="s">
        <v>736</v>
      </c>
      <c r="F207" s="62"/>
      <c r="G207" s="20" t="str">
        <f t="shared" si="1"/>
        <v>Apparel &amp; Accessories, Clothing, Traditional &amp; Ceremonial Clothing, Saris &amp; Lehengas</v>
      </c>
    </row>
    <row r="208" hidden="1">
      <c r="A208" s="29">
        <v>7281.0</v>
      </c>
      <c r="B208" s="29" t="s">
        <v>655</v>
      </c>
      <c r="C208" s="29" t="s">
        <v>656</v>
      </c>
      <c r="D208" s="29" t="s">
        <v>720</v>
      </c>
      <c r="E208" s="29" t="s">
        <v>737</v>
      </c>
      <c r="F208" s="62"/>
      <c r="G208" s="20" t="str">
        <f t="shared" si="1"/>
        <v>Apparel &amp; Accessories, Clothing, Traditional &amp; Ceremonial Clothing, Traditional Leather Pants</v>
      </c>
    </row>
    <row r="209" hidden="1">
      <c r="A209" s="29">
        <v>5676.0</v>
      </c>
      <c r="B209" s="29" t="s">
        <v>655</v>
      </c>
      <c r="C209" s="29" t="s">
        <v>656</v>
      </c>
      <c r="D209" s="29" t="s">
        <v>720</v>
      </c>
      <c r="E209" s="29" t="s">
        <v>738</v>
      </c>
      <c r="F209" s="62"/>
      <c r="G209" s="20" t="str">
        <f t="shared" si="1"/>
        <v>Apparel &amp; Accessories, Clothing, Traditional &amp; Ceremonial Clothing, Yukata</v>
      </c>
    </row>
    <row r="210" hidden="1">
      <c r="A210" s="29">
        <v>213.0</v>
      </c>
      <c r="B210" s="29" t="s">
        <v>655</v>
      </c>
      <c r="C210" s="29" t="s">
        <v>656</v>
      </c>
      <c r="D210" s="29" t="s">
        <v>739</v>
      </c>
      <c r="E210" s="62"/>
      <c r="F210" s="62"/>
      <c r="G210" s="20" t="str">
        <f t="shared" si="1"/>
        <v>Apparel &amp; Accessories, Clothing, Underwear &amp; Socks, </v>
      </c>
    </row>
    <row r="211" hidden="1">
      <c r="A211" s="29">
        <v>7207.0</v>
      </c>
      <c r="B211" s="29" t="s">
        <v>655</v>
      </c>
      <c r="C211" s="29" t="s">
        <v>656</v>
      </c>
      <c r="D211" s="29" t="s">
        <v>739</v>
      </c>
      <c r="E211" s="29" t="s">
        <v>740</v>
      </c>
      <c r="F211" s="62"/>
      <c r="G211" s="20" t="str">
        <f t="shared" si="1"/>
        <v>Apparel &amp; Accessories, Clothing, Underwear &amp; Socks, Bra Accessories</v>
      </c>
    </row>
    <row r="212" hidden="1">
      <c r="A212" s="29">
        <v>7208.0</v>
      </c>
      <c r="B212" s="29" t="s">
        <v>655</v>
      </c>
      <c r="C212" s="29" t="s">
        <v>656</v>
      </c>
      <c r="D212" s="29" t="s">
        <v>739</v>
      </c>
      <c r="E212" s="29" t="s">
        <v>740</v>
      </c>
      <c r="F212" s="29" t="s">
        <v>741</v>
      </c>
      <c r="G212" s="20" t="str">
        <f t="shared" si="1"/>
        <v>Apparel &amp; Accessories, Clothing, Underwear &amp; Socks, Bra AccessoriesBra Strap Pads</v>
      </c>
    </row>
    <row r="213" hidden="1">
      <c r="A213" s="29">
        <v>7211.0</v>
      </c>
      <c r="B213" s="29" t="s">
        <v>655</v>
      </c>
      <c r="C213" s="29" t="s">
        <v>656</v>
      </c>
      <c r="D213" s="29" t="s">
        <v>739</v>
      </c>
      <c r="E213" s="29" t="s">
        <v>740</v>
      </c>
      <c r="F213" s="29" t="s">
        <v>742</v>
      </c>
      <c r="G213" s="20" t="str">
        <f t="shared" si="1"/>
        <v>Apparel &amp; Accessories, Clothing, Underwear &amp; Socks, Bra AccessoriesBra Straps &amp; Extenders</v>
      </c>
    </row>
    <row r="214" hidden="1">
      <c r="A214" s="29">
        <v>7210.0</v>
      </c>
      <c r="B214" s="29" t="s">
        <v>655</v>
      </c>
      <c r="C214" s="29" t="s">
        <v>656</v>
      </c>
      <c r="D214" s="29" t="s">
        <v>739</v>
      </c>
      <c r="E214" s="29" t="s">
        <v>740</v>
      </c>
      <c r="F214" s="29" t="s">
        <v>743</v>
      </c>
      <c r="G214" s="20" t="str">
        <f t="shared" si="1"/>
        <v>Apparel &amp; Accessories, Clothing, Underwear &amp; Socks, Bra AccessoriesBreast Enhancing Inserts</v>
      </c>
    </row>
    <row r="215" hidden="1">
      <c r="A215" s="29">
        <v>7209.0</v>
      </c>
      <c r="B215" s="29" t="s">
        <v>655</v>
      </c>
      <c r="C215" s="29" t="s">
        <v>656</v>
      </c>
      <c r="D215" s="29" t="s">
        <v>739</v>
      </c>
      <c r="E215" s="29" t="s">
        <v>740</v>
      </c>
      <c r="F215" s="29" t="s">
        <v>744</v>
      </c>
      <c r="G215" s="20" t="str">
        <f t="shared" si="1"/>
        <v>Apparel &amp; Accessories, Clothing, Underwear &amp; Socks, Bra AccessoriesBreast Petals &amp; Concealers</v>
      </c>
    </row>
    <row r="216" hidden="1">
      <c r="A216" s="29">
        <v>214.0</v>
      </c>
      <c r="B216" s="29" t="s">
        <v>655</v>
      </c>
      <c r="C216" s="29" t="s">
        <v>656</v>
      </c>
      <c r="D216" s="29" t="s">
        <v>739</v>
      </c>
      <c r="E216" s="29" t="s">
        <v>745</v>
      </c>
      <c r="F216" s="62"/>
      <c r="G216" s="20" t="str">
        <f t="shared" si="1"/>
        <v>Apparel &amp; Accessories, Clothing, Underwear &amp; Socks, Bras</v>
      </c>
    </row>
    <row r="217" hidden="1">
      <c r="A217" s="29">
        <v>215.0</v>
      </c>
      <c r="B217" s="29" t="s">
        <v>655</v>
      </c>
      <c r="C217" s="29" t="s">
        <v>656</v>
      </c>
      <c r="D217" s="29" t="s">
        <v>739</v>
      </c>
      <c r="E217" s="29" t="s">
        <v>746</v>
      </c>
      <c r="F217" s="62"/>
      <c r="G217" s="20" t="str">
        <f t="shared" si="1"/>
        <v>Apparel &amp; Accessories, Clothing, Underwear &amp; Socks, Hosiery</v>
      </c>
    </row>
    <row r="218" hidden="1">
      <c r="A218" s="29">
        <v>5327.0</v>
      </c>
      <c r="B218" s="29" t="s">
        <v>655</v>
      </c>
      <c r="C218" s="29" t="s">
        <v>656</v>
      </c>
      <c r="D218" s="29" t="s">
        <v>739</v>
      </c>
      <c r="E218" s="29" t="s">
        <v>747</v>
      </c>
      <c r="F218" s="62"/>
      <c r="G218" s="20" t="str">
        <f t="shared" si="1"/>
        <v>Apparel &amp; Accessories, Clothing, Underwear &amp; Socks, Jock Straps</v>
      </c>
    </row>
    <row r="219" hidden="1">
      <c r="A219" s="29">
        <v>1772.0</v>
      </c>
      <c r="B219" s="29" t="s">
        <v>655</v>
      </c>
      <c r="C219" s="29" t="s">
        <v>656</v>
      </c>
      <c r="D219" s="29" t="s">
        <v>739</v>
      </c>
      <c r="E219" s="29" t="s">
        <v>748</v>
      </c>
      <c r="F219" s="62"/>
      <c r="G219" s="20" t="str">
        <f t="shared" si="1"/>
        <v>Apparel &amp; Accessories, Clothing, Underwear &amp; Socks, Lingerie</v>
      </c>
    </row>
    <row r="220" hidden="1">
      <c r="A220" s="29">
        <v>2563.0</v>
      </c>
      <c r="B220" s="29" t="s">
        <v>655</v>
      </c>
      <c r="C220" s="29" t="s">
        <v>656</v>
      </c>
      <c r="D220" s="29" t="s">
        <v>739</v>
      </c>
      <c r="E220" s="29" t="s">
        <v>749</v>
      </c>
      <c r="F220" s="62"/>
      <c r="G220" s="20" t="str">
        <f t="shared" si="1"/>
        <v>Apparel &amp; Accessories, Clothing, Underwear &amp; Socks, Lingerie Accessories</v>
      </c>
    </row>
    <row r="221" hidden="1">
      <c r="A221" s="29">
        <v>2160.0</v>
      </c>
      <c r="B221" s="29" t="s">
        <v>655</v>
      </c>
      <c r="C221" s="29" t="s">
        <v>656</v>
      </c>
      <c r="D221" s="29" t="s">
        <v>739</v>
      </c>
      <c r="E221" s="29" t="s">
        <v>749</v>
      </c>
      <c r="F221" s="29" t="s">
        <v>750</v>
      </c>
      <c r="G221" s="20" t="str">
        <f t="shared" si="1"/>
        <v>Apparel &amp; Accessories, Clothing, Underwear &amp; Socks, Lingerie AccessoriesGarter Belts</v>
      </c>
    </row>
    <row r="222" hidden="1">
      <c r="A222" s="29">
        <v>1675.0</v>
      </c>
      <c r="B222" s="29" t="s">
        <v>655</v>
      </c>
      <c r="C222" s="29" t="s">
        <v>656</v>
      </c>
      <c r="D222" s="29" t="s">
        <v>739</v>
      </c>
      <c r="E222" s="29" t="s">
        <v>749</v>
      </c>
      <c r="F222" s="29" t="s">
        <v>751</v>
      </c>
      <c r="G222" s="20" t="str">
        <f t="shared" si="1"/>
        <v>Apparel &amp; Accessories, Clothing, Underwear &amp; Socks, Lingerie AccessoriesGarters</v>
      </c>
    </row>
    <row r="223" hidden="1">
      <c r="A223" s="29">
        <v>1807.0</v>
      </c>
      <c r="B223" s="29" t="s">
        <v>655</v>
      </c>
      <c r="C223" s="29" t="s">
        <v>656</v>
      </c>
      <c r="D223" s="29" t="s">
        <v>739</v>
      </c>
      <c r="E223" s="29" t="s">
        <v>752</v>
      </c>
      <c r="F223" s="62"/>
      <c r="G223" s="20" t="str">
        <f t="shared" si="1"/>
        <v>Apparel &amp; Accessories, Clothing, Underwear &amp; Socks, Long Johns</v>
      </c>
    </row>
    <row r="224" hidden="1">
      <c r="A224" s="29">
        <v>2963.0</v>
      </c>
      <c r="B224" s="29" t="s">
        <v>655</v>
      </c>
      <c r="C224" s="29" t="s">
        <v>656</v>
      </c>
      <c r="D224" s="29" t="s">
        <v>739</v>
      </c>
      <c r="E224" s="29" t="s">
        <v>753</v>
      </c>
      <c r="F224" s="62"/>
      <c r="G224" s="20" t="str">
        <f t="shared" si="1"/>
        <v>Apparel &amp; Accessories, Clothing, Underwear &amp; Socks, Petticoats &amp; Pettipants</v>
      </c>
    </row>
    <row r="225" hidden="1">
      <c r="A225" s="29">
        <v>1578.0</v>
      </c>
      <c r="B225" s="29" t="s">
        <v>655</v>
      </c>
      <c r="C225" s="29" t="s">
        <v>656</v>
      </c>
      <c r="D225" s="29" t="s">
        <v>739</v>
      </c>
      <c r="E225" s="29" t="s">
        <v>754</v>
      </c>
      <c r="F225" s="62"/>
      <c r="G225" s="20" t="str">
        <f t="shared" si="1"/>
        <v>Apparel &amp; Accessories, Clothing, Underwear &amp; Socks, Shapewear</v>
      </c>
    </row>
    <row r="226" hidden="1">
      <c r="A226" s="29">
        <v>209.0</v>
      </c>
      <c r="B226" s="29" t="s">
        <v>655</v>
      </c>
      <c r="C226" s="29" t="s">
        <v>656</v>
      </c>
      <c r="D226" s="29" t="s">
        <v>739</v>
      </c>
      <c r="E226" s="29" t="s">
        <v>755</v>
      </c>
      <c r="F226" s="62"/>
      <c r="G226" s="20" t="str">
        <f t="shared" si="1"/>
        <v>Apparel &amp; Accessories, Clothing, Underwear &amp; Socks, Socks</v>
      </c>
    </row>
    <row r="227" hidden="1">
      <c r="A227" s="29">
        <v>2745.0</v>
      </c>
      <c r="B227" s="29" t="s">
        <v>655</v>
      </c>
      <c r="C227" s="29" t="s">
        <v>656</v>
      </c>
      <c r="D227" s="29" t="s">
        <v>739</v>
      </c>
      <c r="E227" s="29" t="s">
        <v>756</v>
      </c>
      <c r="F227" s="62"/>
      <c r="G227" s="20" t="str">
        <f t="shared" si="1"/>
        <v>Apparel &amp; Accessories, Clothing, Underwear &amp; Socks, Undershirts</v>
      </c>
    </row>
    <row r="228" hidden="1">
      <c r="A228" s="29">
        <v>2562.0</v>
      </c>
      <c r="B228" s="29" t="s">
        <v>655</v>
      </c>
      <c r="C228" s="29" t="s">
        <v>656</v>
      </c>
      <c r="D228" s="29" t="s">
        <v>739</v>
      </c>
      <c r="E228" s="29" t="s">
        <v>757</v>
      </c>
      <c r="F228" s="62"/>
      <c r="G228" s="20" t="str">
        <f t="shared" si="1"/>
        <v>Apparel &amp; Accessories, Clothing, Underwear &amp; Socks, Underwear</v>
      </c>
    </row>
    <row r="229" hidden="1">
      <c r="A229" s="29">
        <v>5834.0</v>
      </c>
      <c r="B229" s="29" t="s">
        <v>655</v>
      </c>
      <c r="C229" s="29" t="s">
        <v>656</v>
      </c>
      <c r="D229" s="29" t="s">
        <v>739</v>
      </c>
      <c r="E229" s="29" t="s">
        <v>758</v>
      </c>
      <c r="F229" s="62"/>
      <c r="G229" s="20" t="str">
        <f t="shared" si="1"/>
        <v>Apparel &amp; Accessories, Clothing, Underwear &amp; Socks, Underwear Slips</v>
      </c>
    </row>
    <row r="230" hidden="1">
      <c r="A230" s="29">
        <v>2306.0</v>
      </c>
      <c r="B230" s="29" t="s">
        <v>655</v>
      </c>
      <c r="C230" s="29" t="s">
        <v>656</v>
      </c>
      <c r="D230" s="29" t="s">
        <v>759</v>
      </c>
      <c r="E230" s="62"/>
      <c r="F230" s="62"/>
      <c r="G230" s="20" t="str">
        <f t="shared" si="1"/>
        <v>Apparel &amp; Accessories, Clothing, Uniforms, </v>
      </c>
    </row>
    <row r="231" hidden="1">
      <c r="A231" s="29">
        <v>5484.0</v>
      </c>
      <c r="B231" s="29" t="s">
        <v>655</v>
      </c>
      <c r="C231" s="29" t="s">
        <v>656</v>
      </c>
      <c r="D231" s="29" t="s">
        <v>759</v>
      </c>
      <c r="E231" s="29" t="s">
        <v>760</v>
      </c>
      <c r="F231" s="62"/>
      <c r="G231" s="20" t="str">
        <f t="shared" si="1"/>
        <v>Apparel &amp; Accessories, Clothing, Uniforms, Contractor Pants &amp; Coveralls</v>
      </c>
    </row>
    <row r="232" hidden="1">
      <c r="A232" s="29">
        <v>5878.0</v>
      </c>
      <c r="B232" s="29" t="s">
        <v>655</v>
      </c>
      <c r="C232" s="29" t="s">
        <v>656</v>
      </c>
      <c r="D232" s="29" t="s">
        <v>759</v>
      </c>
      <c r="E232" s="29" t="s">
        <v>761</v>
      </c>
      <c r="F232" s="62"/>
      <c r="G232" s="20" t="str">
        <f t="shared" si="1"/>
        <v>Apparel &amp; Accessories, Clothing, Uniforms, Flight Suits</v>
      </c>
    </row>
    <row r="233" hidden="1">
      <c r="A233" s="29">
        <v>7235.0</v>
      </c>
      <c r="B233" s="29" t="s">
        <v>655</v>
      </c>
      <c r="C233" s="29" t="s">
        <v>656</v>
      </c>
      <c r="D233" s="29" t="s">
        <v>759</v>
      </c>
      <c r="E233" s="29" t="s">
        <v>762</v>
      </c>
      <c r="F233" s="62"/>
      <c r="G233" s="20" t="str">
        <f t="shared" si="1"/>
        <v>Apparel &amp; Accessories, Clothing, Uniforms, Food Service Uniforms</v>
      </c>
    </row>
    <row r="234" hidden="1">
      <c r="A234" s="29">
        <v>7237.0</v>
      </c>
      <c r="B234" s="29" t="s">
        <v>655</v>
      </c>
      <c r="C234" s="29" t="s">
        <v>656</v>
      </c>
      <c r="D234" s="29" t="s">
        <v>759</v>
      </c>
      <c r="E234" s="29" t="s">
        <v>762</v>
      </c>
      <c r="F234" s="29" t="s">
        <v>763</v>
      </c>
      <c r="G234" s="20" t="str">
        <f t="shared" si="1"/>
        <v>Apparel &amp; Accessories, Clothing, Uniforms, Food Service UniformsChef's Hats</v>
      </c>
    </row>
    <row r="235" hidden="1">
      <c r="A235" s="29">
        <v>2396.0</v>
      </c>
      <c r="B235" s="29" t="s">
        <v>655</v>
      </c>
      <c r="C235" s="29" t="s">
        <v>656</v>
      </c>
      <c r="D235" s="29" t="s">
        <v>759</v>
      </c>
      <c r="E235" s="29" t="s">
        <v>762</v>
      </c>
      <c r="F235" s="29" t="s">
        <v>764</v>
      </c>
      <c r="G235" s="20" t="str">
        <f t="shared" si="1"/>
        <v>Apparel &amp; Accessories, Clothing, Uniforms, Food Service UniformsChef's Jackets</v>
      </c>
    </row>
    <row r="236" hidden="1">
      <c r="A236" s="29">
        <v>7236.0</v>
      </c>
      <c r="B236" s="29" t="s">
        <v>655</v>
      </c>
      <c r="C236" s="29" t="s">
        <v>656</v>
      </c>
      <c r="D236" s="29" t="s">
        <v>759</v>
      </c>
      <c r="E236" s="29" t="s">
        <v>762</v>
      </c>
      <c r="F236" s="29" t="s">
        <v>765</v>
      </c>
      <c r="G236" s="20" t="str">
        <f t="shared" si="1"/>
        <v>Apparel &amp; Accessories, Clothing, Uniforms, Food Service UniformsChef's Pants</v>
      </c>
    </row>
    <row r="237" hidden="1">
      <c r="A237" s="29">
        <v>5949.0</v>
      </c>
      <c r="B237" s="29" t="s">
        <v>655</v>
      </c>
      <c r="C237" s="29" t="s">
        <v>656</v>
      </c>
      <c r="D237" s="29" t="s">
        <v>759</v>
      </c>
      <c r="E237" s="29" t="s">
        <v>766</v>
      </c>
      <c r="F237" s="62"/>
      <c r="G237" s="20" t="str">
        <f t="shared" si="1"/>
        <v>Apparel &amp; Accessories, Clothing, Uniforms, Military Uniforms</v>
      </c>
    </row>
    <row r="238" hidden="1">
      <c r="A238" s="29">
        <v>206.0</v>
      </c>
      <c r="B238" s="29" t="s">
        <v>655</v>
      </c>
      <c r="C238" s="29" t="s">
        <v>656</v>
      </c>
      <c r="D238" s="29" t="s">
        <v>759</v>
      </c>
      <c r="E238" s="29" t="s">
        <v>767</v>
      </c>
      <c r="F238" s="62"/>
      <c r="G238" s="20" t="str">
        <f t="shared" si="1"/>
        <v>Apparel &amp; Accessories, Clothing, Uniforms, School Uniforms</v>
      </c>
    </row>
    <row r="239" hidden="1">
      <c r="A239" s="29">
        <v>3414.0</v>
      </c>
      <c r="B239" s="29" t="s">
        <v>655</v>
      </c>
      <c r="C239" s="29" t="s">
        <v>656</v>
      </c>
      <c r="D239" s="29" t="s">
        <v>759</v>
      </c>
      <c r="E239" s="29" t="s">
        <v>768</v>
      </c>
      <c r="F239" s="62"/>
      <c r="G239" s="20" t="str">
        <f t="shared" si="1"/>
        <v>Apparel &amp; Accessories, Clothing, Uniforms, Security Uniforms</v>
      </c>
    </row>
    <row r="240" hidden="1">
      <c r="A240" s="29">
        <v>3598.0</v>
      </c>
      <c r="B240" s="29" t="s">
        <v>655</v>
      </c>
      <c r="C240" s="29" t="s">
        <v>656</v>
      </c>
      <c r="D240" s="29" t="s">
        <v>759</v>
      </c>
      <c r="E240" s="29" t="s">
        <v>769</v>
      </c>
      <c r="F240" s="62"/>
      <c r="G240" s="20" t="str">
        <f t="shared" si="1"/>
        <v>Apparel &amp; Accessories, Clothing, Uniforms, Sports Uniforms</v>
      </c>
    </row>
    <row r="241" hidden="1">
      <c r="A241" s="29">
        <v>3888.0</v>
      </c>
      <c r="B241" s="29" t="s">
        <v>655</v>
      </c>
      <c r="C241" s="29" t="s">
        <v>656</v>
      </c>
      <c r="D241" s="29" t="s">
        <v>759</v>
      </c>
      <c r="E241" s="29" t="s">
        <v>769</v>
      </c>
      <c r="F241" s="29" t="s">
        <v>770</v>
      </c>
      <c r="G241" s="20" t="str">
        <f t="shared" si="1"/>
        <v>Apparel &amp; Accessories, Clothing, Uniforms, Sports UniformsAmerican Football Uniforms</v>
      </c>
    </row>
    <row r="242" hidden="1">
      <c r="A242" s="29">
        <v>3191.0</v>
      </c>
      <c r="B242" s="29" t="s">
        <v>655</v>
      </c>
      <c r="C242" s="29" t="s">
        <v>656</v>
      </c>
      <c r="D242" s="29" t="s">
        <v>759</v>
      </c>
      <c r="E242" s="29" t="s">
        <v>769</v>
      </c>
      <c r="F242" s="29" t="s">
        <v>771</v>
      </c>
      <c r="G242" s="20" t="str">
        <f t="shared" si="1"/>
        <v>Apparel &amp; Accessories, Clothing, Uniforms, Sports UniformsBaseball Uniforms</v>
      </c>
    </row>
    <row r="243" hidden="1">
      <c r="A243" s="29">
        <v>3439.0</v>
      </c>
      <c r="B243" s="29" t="s">
        <v>655</v>
      </c>
      <c r="C243" s="29" t="s">
        <v>656</v>
      </c>
      <c r="D243" s="29" t="s">
        <v>759</v>
      </c>
      <c r="E243" s="29" t="s">
        <v>769</v>
      </c>
      <c r="F243" s="29" t="s">
        <v>772</v>
      </c>
      <c r="G243" s="20" t="str">
        <f t="shared" si="1"/>
        <v>Apparel &amp; Accessories, Clothing, Uniforms, Sports UniformsBasketball Uniforms</v>
      </c>
    </row>
    <row r="244" hidden="1">
      <c r="A244" s="29">
        <v>3683.0</v>
      </c>
      <c r="B244" s="29" t="s">
        <v>655</v>
      </c>
      <c r="C244" s="29" t="s">
        <v>656</v>
      </c>
      <c r="D244" s="29" t="s">
        <v>759</v>
      </c>
      <c r="E244" s="29" t="s">
        <v>769</v>
      </c>
      <c r="F244" s="29" t="s">
        <v>773</v>
      </c>
      <c r="G244" s="20" t="str">
        <f t="shared" si="1"/>
        <v>Apparel &amp; Accessories, Clothing, Uniforms, Sports UniformsCheerleading Uniforms</v>
      </c>
    </row>
    <row r="245" hidden="1">
      <c r="A245" s="29">
        <v>3724.0</v>
      </c>
      <c r="B245" s="29" t="s">
        <v>655</v>
      </c>
      <c r="C245" s="29" t="s">
        <v>656</v>
      </c>
      <c r="D245" s="29" t="s">
        <v>759</v>
      </c>
      <c r="E245" s="29" t="s">
        <v>769</v>
      </c>
      <c r="F245" s="29" t="s">
        <v>774</v>
      </c>
      <c r="G245" s="20" t="str">
        <f t="shared" si="1"/>
        <v>Apparel &amp; Accessories, Clothing, Uniforms, Sports UniformsCricket Uniforms</v>
      </c>
    </row>
    <row r="246" hidden="1">
      <c r="A246" s="29">
        <v>3958.0</v>
      </c>
      <c r="B246" s="29" t="s">
        <v>655</v>
      </c>
      <c r="C246" s="29" t="s">
        <v>656</v>
      </c>
      <c r="D246" s="29" t="s">
        <v>759</v>
      </c>
      <c r="E246" s="29" t="s">
        <v>769</v>
      </c>
      <c r="F246" s="29" t="s">
        <v>775</v>
      </c>
      <c r="G246" s="20" t="str">
        <f t="shared" si="1"/>
        <v>Apparel &amp; Accessories, Clothing, Uniforms, Sports UniformsHockey Uniforms</v>
      </c>
    </row>
    <row r="247" hidden="1">
      <c r="A247" s="29">
        <v>4003.0</v>
      </c>
      <c r="B247" s="29" t="s">
        <v>655</v>
      </c>
      <c r="C247" s="29" t="s">
        <v>656</v>
      </c>
      <c r="D247" s="29" t="s">
        <v>759</v>
      </c>
      <c r="E247" s="29" t="s">
        <v>769</v>
      </c>
      <c r="F247" s="29" t="s">
        <v>776</v>
      </c>
      <c r="G247" s="20" t="str">
        <f t="shared" si="1"/>
        <v>Apparel &amp; Accessories, Clothing, Uniforms, Sports UniformsMartial Arts Uniforms</v>
      </c>
    </row>
    <row r="248" hidden="1">
      <c r="A248" s="29">
        <v>3253.0</v>
      </c>
      <c r="B248" s="29" t="s">
        <v>655</v>
      </c>
      <c r="C248" s="29" t="s">
        <v>656</v>
      </c>
      <c r="D248" s="29" t="s">
        <v>759</v>
      </c>
      <c r="E248" s="29" t="s">
        <v>769</v>
      </c>
      <c r="F248" s="29" t="s">
        <v>777</v>
      </c>
      <c r="G248" s="20" t="str">
        <f t="shared" si="1"/>
        <v>Apparel &amp; Accessories, Clothing, Uniforms, Sports UniformsOfficiating Uniforms</v>
      </c>
    </row>
    <row r="249" hidden="1">
      <c r="A249" s="29">
        <v>5564.0</v>
      </c>
      <c r="B249" s="29" t="s">
        <v>655</v>
      </c>
      <c r="C249" s="29" t="s">
        <v>656</v>
      </c>
      <c r="D249" s="29" t="s">
        <v>759</v>
      </c>
      <c r="E249" s="29" t="s">
        <v>769</v>
      </c>
      <c r="F249" s="29" t="s">
        <v>778</v>
      </c>
      <c r="G249" s="20" t="str">
        <f t="shared" si="1"/>
        <v>Apparel &amp; Accessories, Clothing, Uniforms, Sports UniformsSoccer Uniforms</v>
      </c>
    </row>
    <row r="250" hidden="1">
      <c r="A250" s="29">
        <v>3379.0</v>
      </c>
      <c r="B250" s="29" t="s">
        <v>655</v>
      </c>
      <c r="C250" s="29" t="s">
        <v>656</v>
      </c>
      <c r="D250" s="29" t="s">
        <v>759</v>
      </c>
      <c r="E250" s="29" t="s">
        <v>769</v>
      </c>
      <c r="F250" s="29" t="s">
        <v>779</v>
      </c>
      <c r="G250" s="20" t="str">
        <f t="shared" si="1"/>
        <v>Apparel &amp; Accessories, Clothing, Uniforms, Sports UniformsSoftball Uniforms</v>
      </c>
    </row>
    <row r="251" hidden="1">
      <c r="A251" s="29">
        <v>3852.0</v>
      </c>
      <c r="B251" s="29" t="s">
        <v>655</v>
      </c>
      <c r="C251" s="29" t="s">
        <v>656</v>
      </c>
      <c r="D251" s="29" t="s">
        <v>759</v>
      </c>
      <c r="E251" s="29" t="s">
        <v>769</v>
      </c>
      <c r="F251" s="29" t="s">
        <v>780</v>
      </c>
      <c r="G251" s="20" t="str">
        <f t="shared" si="1"/>
        <v>Apparel &amp; Accessories, Clothing, Uniforms, Sports UniformsWrestling Uniforms</v>
      </c>
    </row>
    <row r="252" hidden="1">
      <c r="A252" s="29">
        <v>2292.0</v>
      </c>
      <c r="B252" s="29" t="s">
        <v>655</v>
      </c>
      <c r="C252" s="29" t="s">
        <v>656</v>
      </c>
      <c r="D252" s="29" t="s">
        <v>759</v>
      </c>
      <c r="E252" s="29" t="s">
        <v>781</v>
      </c>
      <c r="F252" s="62"/>
      <c r="G252" s="20" t="str">
        <f t="shared" si="1"/>
        <v>Apparel &amp; Accessories, Clothing, Uniforms, White Coats</v>
      </c>
    </row>
    <row r="253" hidden="1">
      <c r="A253" s="29">
        <v>5441.0</v>
      </c>
      <c r="B253" s="29" t="s">
        <v>655</v>
      </c>
      <c r="C253" s="29" t="s">
        <v>656</v>
      </c>
      <c r="D253" s="29" t="s">
        <v>782</v>
      </c>
      <c r="F253" s="62"/>
      <c r="G253" s="20" t="str">
        <f t="shared" si="1"/>
        <v>Apparel &amp; Accessories, Clothing, Wedding &amp; Bridal Party Dresses, </v>
      </c>
    </row>
    <row r="254" hidden="1">
      <c r="A254" s="29">
        <v>5330.0</v>
      </c>
      <c r="B254" s="29" t="s">
        <v>655</v>
      </c>
      <c r="C254" s="29" t="s">
        <v>656</v>
      </c>
      <c r="D254" s="29" t="s">
        <v>782</v>
      </c>
      <c r="E254" s="29" t="s">
        <v>783</v>
      </c>
      <c r="F254" s="62"/>
      <c r="G254" s="20" t="str">
        <f t="shared" si="1"/>
        <v>Apparel &amp; Accessories, Clothing, Wedding &amp; Bridal Party Dresses, Bridal Party Dresses</v>
      </c>
    </row>
    <row r="255" hidden="1">
      <c r="A255" s="29">
        <v>5329.0</v>
      </c>
      <c r="B255" s="29" t="s">
        <v>655</v>
      </c>
      <c r="C255" s="29" t="s">
        <v>656</v>
      </c>
      <c r="D255" s="29" t="s">
        <v>782</v>
      </c>
      <c r="E255" s="29" t="s">
        <v>784</v>
      </c>
      <c r="F255" s="62"/>
      <c r="G255" s="20" t="str">
        <f t="shared" si="1"/>
        <v>Apparel &amp; Accessories, Clothing, Wedding &amp; Bridal Party Dresses, Wedding Dresses</v>
      </c>
    </row>
    <row r="256" hidden="1">
      <c r="A256" s="29">
        <v>167.0</v>
      </c>
      <c r="B256" s="29" t="s">
        <v>655</v>
      </c>
      <c r="C256" s="29" t="s">
        <v>785</v>
      </c>
      <c r="D256" s="62"/>
      <c r="E256" s="62"/>
      <c r="F256" s="62"/>
      <c r="G256" s="20" t="str">
        <f t="shared" si="1"/>
        <v>Apparel &amp; Accessories, Clothing Accessories, , </v>
      </c>
    </row>
    <row r="257" hidden="1">
      <c r="A257" s="29">
        <v>5942.0</v>
      </c>
      <c r="B257" s="29" t="s">
        <v>655</v>
      </c>
      <c r="C257" s="29" t="s">
        <v>785</v>
      </c>
      <c r="D257" s="29" t="s">
        <v>786</v>
      </c>
      <c r="E257" s="62"/>
      <c r="F257" s="62"/>
      <c r="G257" s="20" t="str">
        <f t="shared" si="1"/>
        <v>Apparel &amp; Accessories, Clothing Accessories, Arm Warmers &amp; Sleeves, </v>
      </c>
    </row>
    <row r="258" hidden="1">
      <c r="A258" s="29">
        <v>5422.0</v>
      </c>
      <c r="B258" s="29" t="s">
        <v>655</v>
      </c>
      <c r="C258" s="29" t="s">
        <v>785</v>
      </c>
      <c r="D258" s="29" t="s">
        <v>787</v>
      </c>
      <c r="F258" s="62"/>
      <c r="G258" s="20" t="str">
        <f t="shared" si="1"/>
        <v>Apparel &amp; Accessories, Clothing Accessories, Baby &amp; Toddler Clothing Accessories, </v>
      </c>
    </row>
    <row r="259" hidden="1">
      <c r="A259" s="29">
        <v>5623.0</v>
      </c>
      <c r="B259" s="29" t="s">
        <v>655</v>
      </c>
      <c r="C259" s="29" t="s">
        <v>785</v>
      </c>
      <c r="D259" s="29" t="s">
        <v>787</v>
      </c>
      <c r="E259" s="29" t="s">
        <v>788</v>
      </c>
      <c r="F259" s="62"/>
      <c r="G259" s="20" t="str">
        <f t="shared" si="1"/>
        <v>Apparel &amp; Accessories, Clothing Accessories, Baby &amp; Toddler Clothing Accessories, Baby &amp; Toddler Belts</v>
      </c>
    </row>
    <row r="260" hidden="1">
      <c r="A260" s="29">
        <v>5624.0</v>
      </c>
      <c r="B260" s="29" t="s">
        <v>655</v>
      </c>
      <c r="C260" s="29" t="s">
        <v>785</v>
      </c>
      <c r="D260" s="29" t="s">
        <v>787</v>
      </c>
      <c r="E260" s="29" t="s">
        <v>789</v>
      </c>
      <c r="F260" s="62"/>
      <c r="G260" s="20" t="str">
        <f t="shared" si="1"/>
        <v>Apparel &amp; Accessories, Clothing Accessories, Baby &amp; Toddler Clothing Accessories, Baby &amp; Toddler Gloves &amp; Mittens</v>
      </c>
    </row>
    <row r="261" hidden="1">
      <c r="A261" s="29">
        <v>5625.0</v>
      </c>
      <c r="B261" s="29" t="s">
        <v>655</v>
      </c>
      <c r="C261" s="29" t="s">
        <v>785</v>
      </c>
      <c r="D261" s="29" t="s">
        <v>787</v>
      </c>
      <c r="E261" s="29" t="s">
        <v>790</v>
      </c>
      <c r="F261" s="62"/>
      <c r="G261" s="20" t="str">
        <f t="shared" si="1"/>
        <v>Apparel &amp; Accessories, Clothing Accessories, Baby &amp; Toddler Clothing Accessories, Baby &amp; Toddler Hats</v>
      </c>
    </row>
    <row r="262" hidden="1">
      <c r="A262" s="29">
        <v>5626.0</v>
      </c>
      <c r="B262" s="29" t="s">
        <v>655</v>
      </c>
      <c r="C262" s="29" t="s">
        <v>785</v>
      </c>
      <c r="D262" s="29" t="s">
        <v>787</v>
      </c>
      <c r="E262" s="29" t="s">
        <v>791</v>
      </c>
      <c r="F262" s="62"/>
      <c r="G262" s="20" t="str">
        <f t="shared" si="1"/>
        <v>Apparel &amp; Accessories, Clothing Accessories, Baby &amp; Toddler Clothing Accessories, Baby Protective Wear</v>
      </c>
    </row>
    <row r="263" hidden="1">
      <c r="A263" s="29">
        <v>1786.0</v>
      </c>
      <c r="B263" s="29" t="s">
        <v>655</v>
      </c>
      <c r="C263" s="29" t="s">
        <v>785</v>
      </c>
      <c r="D263" s="29" t="s">
        <v>792</v>
      </c>
      <c r="E263" s="62"/>
      <c r="F263" s="62"/>
      <c r="G263" s="20" t="str">
        <f t="shared" si="1"/>
        <v>Apparel &amp; Accessories, Clothing Accessories, Balaclavas, </v>
      </c>
    </row>
    <row r="264" hidden="1">
      <c r="A264" s="29">
        <v>168.0</v>
      </c>
      <c r="B264" s="29" t="s">
        <v>655</v>
      </c>
      <c r="C264" s="29" t="s">
        <v>785</v>
      </c>
      <c r="D264" s="29" t="s">
        <v>793</v>
      </c>
      <c r="E264" s="62"/>
      <c r="F264" s="62"/>
      <c r="G264" s="20" t="str">
        <f t="shared" si="1"/>
        <v>Apparel &amp; Accessories, Clothing Accessories, Bandanas &amp; Headties, </v>
      </c>
    </row>
    <row r="265" hidden="1">
      <c r="A265" s="29">
        <v>543586.0</v>
      </c>
      <c r="B265" s="29" t="s">
        <v>655</v>
      </c>
      <c r="C265" s="29" t="s">
        <v>785</v>
      </c>
      <c r="D265" s="29" t="s">
        <v>793</v>
      </c>
      <c r="E265" s="29" t="s">
        <v>794</v>
      </c>
      <c r="F265" s="62"/>
      <c r="G265" s="20" t="str">
        <f t="shared" si="1"/>
        <v>Apparel &amp; Accessories, Clothing Accessories, Bandanas &amp; Headties, Bandanas</v>
      </c>
    </row>
    <row r="266" hidden="1">
      <c r="A266" s="29">
        <v>543587.0</v>
      </c>
      <c r="B266" s="29" t="s">
        <v>655</v>
      </c>
      <c r="C266" s="29" t="s">
        <v>785</v>
      </c>
      <c r="D266" s="29" t="s">
        <v>793</v>
      </c>
      <c r="E266" s="29" t="s">
        <v>795</v>
      </c>
      <c r="F266" s="62"/>
      <c r="G266" s="20" t="str">
        <f t="shared" si="1"/>
        <v>Apparel &amp; Accessories, Clothing Accessories, Bandanas &amp; Headties, Hair Care Wraps</v>
      </c>
    </row>
    <row r="267" hidden="1">
      <c r="A267" s="29">
        <v>3913.0</v>
      </c>
      <c r="B267" s="29" t="s">
        <v>655</v>
      </c>
      <c r="C267" s="29" t="s">
        <v>785</v>
      </c>
      <c r="D267" s="29" t="s">
        <v>796</v>
      </c>
      <c r="E267" s="62"/>
      <c r="F267" s="62"/>
      <c r="G267" s="20" t="str">
        <f t="shared" si="1"/>
        <v>Apparel &amp; Accessories, Clothing Accessories, Belt Buckles, </v>
      </c>
    </row>
    <row r="268" hidden="1">
      <c r="A268" s="29">
        <v>169.0</v>
      </c>
      <c r="B268" s="29" t="s">
        <v>655</v>
      </c>
      <c r="C268" s="29" t="s">
        <v>785</v>
      </c>
      <c r="D268" s="29" t="s">
        <v>797</v>
      </c>
      <c r="E268" s="62"/>
      <c r="F268" s="62"/>
      <c r="G268" s="20" t="str">
        <f t="shared" si="1"/>
        <v>Apparel &amp; Accessories, Clothing Accessories, Belts, </v>
      </c>
    </row>
    <row r="269" hidden="1">
      <c r="A269" s="29">
        <v>5443.0</v>
      </c>
      <c r="B269" s="29" t="s">
        <v>655</v>
      </c>
      <c r="C269" s="29" t="s">
        <v>785</v>
      </c>
      <c r="D269" s="29" t="s">
        <v>798</v>
      </c>
      <c r="E269" s="62"/>
      <c r="F269" s="62"/>
      <c r="G269" s="20" t="str">
        <f t="shared" si="1"/>
        <v>Apparel &amp; Accessories, Clothing Accessories, Bridal Accessories, </v>
      </c>
    </row>
    <row r="270" hidden="1">
      <c r="A270" s="29">
        <v>5446.0</v>
      </c>
      <c r="B270" s="29" t="s">
        <v>655</v>
      </c>
      <c r="C270" s="29" t="s">
        <v>785</v>
      </c>
      <c r="D270" s="29" t="s">
        <v>798</v>
      </c>
      <c r="E270" s="29" t="s">
        <v>799</v>
      </c>
      <c r="F270" s="62"/>
      <c r="G270" s="20" t="str">
        <f t="shared" si="1"/>
        <v>Apparel &amp; Accessories, Clothing Accessories, Bridal Accessories, Bridal Veils</v>
      </c>
    </row>
    <row r="271" hidden="1">
      <c r="A271" s="29">
        <v>6985.0</v>
      </c>
      <c r="B271" s="29" t="s">
        <v>655</v>
      </c>
      <c r="C271" s="29" t="s">
        <v>785</v>
      </c>
      <c r="D271" s="29" t="s">
        <v>800</v>
      </c>
      <c r="E271" s="62"/>
      <c r="F271" s="62"/>
      <c r="G271" s="20" t="str">
        <f t="shared" si="1"/>
        <v>Apparel &amp; Accessories, Clothing Accessories, Button Studs, </v>
      </c>
    </row>
    <row r="272" hidden="1">
      <c r="A272" s="29">
        <v>6984.0</v>
      </c>
      <c r="B272" s="29" t="s">
        <v>655</v>
      </c>
      <c r="C272" s="29" t="s">
        <v>785</v>
      </c>
      <c r="D272" s="29" t="s">
        <v>801</v>
      </c>
      <c r="E272" s="62"/>
      <c r="F272" s="62"/>
      <c r="G272" s="20" t="str">
        <f t="shared" si="1"/>
        <v>Apparel &amp; Accessories, Clothing Accessories, Collar Stays, </v>
      </c>
    </row>
    <row r="273" hidden="1">
      <c r="A273" s="29">
        <v>193.0</v>
      </c>
      <c r="B273" s="29" t="s">
        <v>655</v>
      </c>
      <c r="C273" s="29" t="s">
        <v>785</v>
      </c>
      <c r="D273" s="29" t="s">
        <v>802</v>
      </c>
      <c r="E273" s="62"/>
      <c r="F273" s="62"/>
      <c r="G273" s="20" t="str">
        <f t="shared" si="1"/>
        <v>Apparel &amp; Accessories, Clothing Accessories, Cufflinks, </v>
      </c>
    </row>
    <row r="274" hidden="1">
      <c r="A274" s="29">
        <v>5114.0</v>
      </c>
      <c r="B274" s="29" t="s">
        <v>655</v>
      </c>
      <c r="C274" s="29" t="s">
        <v>785</v>
      </c>
      <c r="D274" s="29" t="s">
        <v>803</v>
      </c>
      <c r="E274" s="62"/>
      <c r="F274" s="62"/>
      <c r="G274" s="20" t="str">
        <f t="shared" si="1"/>
        <v>Apparel &amp; Accessories, Clothing Accessories, Decorative Fans, </v>
      </c>
    </row>
    <row r="275" hidden="1">
      <c r="A275" s="29">
        <v>6238.0</v>
      </c>
      <c r="B275" s="29" t="s">
        <v>655</v>
      </c>
      <c r="C275" s="29" t="s">
        <v>785</v>
      </c>
      <c r="D275" s="29" t="s">
        <v>804</v>
      </c>
      <c r="E275" s="62"/>
      <c r="F275" s="62"/>
      <c r="G275" s="20" t="str">
        <f t="shared" si="1"/>
        <v>Apparel &amp; Accessories, Clothing Accessories, Earmuffs, </v>
      </c>
    </row>
    <row r="276" hidden="1">
      <c r="A276" s="29">
        <v>170.0</v>
      </c>
      <c r="B276" s="29" t="s">
        <v>655</v>
      </c>
      <c r="C276" s="29" t="s">
        <v>785</v>
      </c>
      <c r="D276" s="29" t="s">
        <v>805</v>
      </c>
      <c r="E276" s="62"/>
      <c r="F276" s="62"/>
      <c r="G276" s="20" t="str">
        <f t="shared" si="1"/>
        <v>Apparel &amp; Accessories, Clothing Accessories, Gloves &amp; Mittens, </v>
      </c>
    </row>
    <row r="277" hidden="1">
      <c r="A277" s="29">
        <v>171.0</v>
      </c>
      <c r="B277" s="29" t="s">
        <v>655</v>
      </c>
      <c r="C277" s="29" t="s">
        <v>785</v>
      </c>
      <c r="D277" s="29" t="s">
        <v>806</v>
      </c>
      <c r="E277" s="62"/>
      <c r="F277" s="62"/>
      <c r="G277" s="20" t="str">
        <f t="shared" si="1"/>
        <v>Apparel &amp; Accessories, Clothing Accessories, Hair Accessories, </v>
      </c>
    </row>
    <row r="278" hidden="1">
      <c r="A278" s="29">
        <v>8451.0</v>
      </c>
      <c r="B278" s="29" t="s">
        <v>655</v>
      </c>
      <c r="C278" s="29" t="s">
        <v>785</v>
      </c>
      <c r="D278" s="29" t="s">
        <v>806</v>
      </c>
      <c r="E278" s="29" t="s">
        <v>807</v>
      </c>
      <c r="F278" s="62"/>
      <c r="G278" s="20" t="str">
        <f t="shared" si="1"/>
        <v>Apparel &amp; Accessories, Clothing Accessories, Hair Accessories, Hair Bun &amp; Volume Shapers</v>
      </c>
    </row>
    <row r="279" hidden="1">
      <c r="A279" s="29">
        <v>2477.0</v>
      </c>
      <c r="B279" s="29" t="s">
        <v>655</v>
      </c>
      <c r="C279" s="29" t="s">
        <v>785</v>
      </c>
      <c r="D279" s="29" t="s">
        <v>806</v>
      </c>
      <c r="E279" s="29" t="s">
        <v>808</v>
      </c>
      <c r="F279" s="62"/>
      <c r="G279" s="20" t="str">
        <f t="shared" si="1"/>
        <v>Apparel &amp; Accessories, Clothing Accessories, Hair Accessories, Hair Combs</v>
      </c>
    </row>
    <row r="280" hidden="1">
      <c r="A280" s="29">
        <v>4057.0</v>
      </c>
      <c r="B280" s="29" t="s">
        <v>655</v>
      </c>
      <c r="C280" s="29" t="s">
        <v>785</v>
      </c>
      <c r="D280" s="29" t="s">
        <v>806</v>
      </c>
      <c r="E280" s="29" t="s">
        <v>809</v>
      </c>
      <c r="F280" s="62"/>
      <c r="G280" s="20" t="str">
        <f t="shared" si="1"/>
        <v>Apparel &amp; Accessories, Clothing Accessories, Hair Accessories, Hair Extensions</v>
      </c>
    </row>
    <row r="281" hidden="1">
      <c r="A281" s="29">
        <v>1948.0</v>
      </c>
      <c r="B281" s="29" t="s">
        <v>655</v>
      </c>
      <c r="C281" s="29" t="s">
        <v>785</v>
      </c>
      <c r="D281" s="29" t="s">
        <v>806</v>
      </c>
      <c r="E281" s="29" t="s">
        <v>810</v>
      </c>
      <c r="F281" s="62"/>
      <c r="G281" s="20" t="str">
        <f t="shared" si="1"/>
        <v>Apparel &amp; Accessories, Clothing Accessories, Hair Accessories, Hair Forks &amp; Sticks</v>
      </c>
    </row>
    <row r="282" hidden="1">
      <c r="A282" s="29">
        <v>6183.0</v>
      </c>
      <c r="B282" s="29" t="s">
        <v>655</v>
      </c>
      <c r="C282" s="29" t="s">
        <v>785</v>
      </c>
      <c r="D282" s="29" t="s">
        <v>806</v>
      </c>
      <c r="E282" s="29" t="s">
        <v>811</v>
      </c>
      <c r="F282" s="62"/>
      <c r="G282" s="20" t="str">
        <f t="shared" si="1"/>
        <v>Apparel &amp; Accessories, Clothing Accessories, Hair Accessories, Hair Nets</v>
      </c>
    </row>
    <row r="283" hidden="1">
      <c r="A283" s="29">
        <v>502988.0</v>
      </c>
      <c r="B283" s="29" t="s">
        <v>655</v>
      </c>
      <c r="C283" s="29" t="s">
        <v>785</v>
      </c>
      <c r="D283" s="29" t="s">
        <v>806</v>
      </c>
      <c r="E283" s="29" t="s">
        <v>812</v>
      </c>
      <c r="F283" s="62"/>
      <c r="G283" s="20" t="str">
        <f t="shared" si="1"/>
        <v>Apparel &amp; Accessories, Clothing Accessories, Hair Accessories, Hair Pins, Claws &amp; Clips</v>
      </c>
    </row>
    <row r="284" hidden="1">
      <c r="A284" s="29">
        <v>543646.0</v>
      </c>
      <c r="B284" s="29" t="s">
        <v>655</v>
      </c>
      <c r="C284" s="29" t="s">
        <v>785</v>
      </c>
      <c r="D284" s="29" t="s">
        <v>806</v>
      </c>
      <c r="E284" s="29" t="s">
        <v>812</v>
      </c>
      <c r="F284" s="29" t="s">
        <v>813</v>
      </c>
      <c r="G284" s="20" t="str">
        <f t="shared" si="1"/>
        <v>Apparel &amp; Accessories, Clothing Accessories, Hair Accessories, Hair Pins, Claws &amp; ClipsBarrettes</v>
      </c>
    </row>
    <row r="285" hidden="1">
      <c r="A285" s="29">
        <v>543645.0</v>
      </c>
      <c r="B285" s="29" t="s">
        <v>655</v>
      </c>
      <c r="C285" s="29" t="s">
        <v>785</v>
      </c>
      <c r="D285" s="29" t="s">
        <v>806</v>
      </c>
      <c r="E285" s="29" t="s">
        <v>812</v>
      </c>
      <c r="F285" s="29" t="s">
        <v>814</v>
      </c>
      <c r="G285" s="20" t="str">
        <f t="shared" si="1"/>
        <v>Apparel &amp; Accessories, Clothing Accessories, Hair Accessories, Hair Pins, Claws &amp; ClipsHair Claws &amp; Clips</v>
      </c>
    </row>
    <row r="286" hidden="1">
      <c r="A286" s="29">
        <v>543644.0</v>
      </c>
      <c r="B286" s="29" t="s">
        <v>655</v>
      </c>
      <c r="C286" s="29" t="s">
        <v>785</v>
      </c>
      <c r="D286" s="29" t="s">
        <v>806</v>
      </c>
      <c r="E286" s="29" t="s">
        <v>812</v>
      </c>
      <c r="F286" s="29" t="s">
        <v>815</v>
      </c>
      <c r="G286" s="20" t="str">
        <f t="shared" si="1"/>
        <v>Apparel &amp; Accessories, Clothing Accessories, Hair Accessories, Hair Pins, Claws &amp; ClipsHair Pins</v>
      </c>
    </row>
    <row r="287" hidden="1">
      <c r="A287" s="29">
        <v>5915.0</v>
      </c>
      <c r="B287" s="29" t="s">
        <v>655</v>
      </c>
      <c r="C287" s="29" t="s">
        <v>785</v>
      </c>
      <c r="D287" s="29" t="s">
        <v>806</v>
      </c>
      <c r="E287" s="29" t="s">
        <v>816</v>
      </c>
      <c r="F287" s="62"/>
      <c r="G287" s="20" t="str">
        <f t="shared" si="1"/>
        <v>Apparel &amp; Accessories, Clothing Accessories, Hair Accessories, Hair Wreaths</v>
      </c>
    </row>
    <row r="288" hidden="1">
      <c r="A288" s="29">
        <v>1662.0</v>
      </c>
      <c r="B288" s="29" t="s">
        <v>655</v>
      </c>
      <c r="C288" s="29" t="s">
        <v>785</v>
      </c>
      <c r="D288" s="29" t="s">
        <v>806</v>
      </c>
      <c r="E288" s="29" t="s">
        <v>817</v>
      </c>
      <c r="F288" s="62"/>
      <c r="G288" s="20" t="str">
        <f t="shared" si="1"/>
        <v>Apparel &amp; Accessories, Clothing Accessories, Hair Accessories, Headbands</v>
      </c>
    </row>
    <row r="289" hidden="1">
      <c r="A289" s="29">
        <v>1483.0</v>
      </c>
      <c r="B289" s="29" t="s">
        <v>655</v>
      </c>
      <c r="C289" s="29" t="s">
        <v>785</v>
      </c>
      <c r="D289" s="29" t="s">
        <v>806</v>
      </c>
      <c r="E289" s="29" t="s">
        <v>818</v>
      </c>
      <c r="F289" s="62"/>
      <c r="G289" s="20" t="str">
        <f t="shared" si="1"/>
        <v>Apparel &amp; Accessories, Clothing Accessories, Hair Accessories, Ponytail Holders</v>
      </c>
    </row>
    <row r="290" hidden="1">
      <c r="A290" s="29">
        <v>5914.0</v>
      </c>
      <c r="B290" s="29" t="s">
        <v>655</v>
      </c>
      <c r="C290" s="29" t="s">
        <v>785</v>
      </c>
      <c r="D290" s="29" t="s">
        <v>806</v>
      </c>
      <c r="E290" s="29" t="s">
        <v>819</v>
      </c>
      <c r="F290" s="62"/>
      <c r="G290" s="20" t="str">
        <f t="shared" si="1"/>
        <v>Apparel &amp; Accessories, Clothing Accessories, Hair Accessories, Tiaras</v>
      </c>
    </row>
    <row r="291" hidden="1">
      <c r="A291" s="29">
        <v>7305.0</v>
      </c>
      <c r="B291" s="29" t="s">
        <v>655</v>
      </c>
      <c r="C291" s="29" t="s">
        <v>785</v>
      </c>
      <c r="D291" s="29" t="s">
        <v>806</v>
      </c>
      <c r="E291" s="29" t="s">
        <v>820</v>
      </c>
      <c r="F291" s="62"/>
      <c r="G291" s="20" t="str">
        <f t="shared" si="1"/>
        <v>Apparel &amp; Accessories, Clothing Accessories, Hair Accessories, Wig Accessories</v>
      </c>
    </row>
    <row r="292" hidden="1">
      <c r="A292" s="29">
        <v>7307.0</v>
      </c>
      <c r="B292" s="29" t="s">
        <v>655</v>
      </c>
      <c r="C292" s="29" t="s">
        <v>785</v>
      </c>
      <c r="D292" s="29" t="s">
        <v>806</v>
      </c>
      <c r="E292" s="29" t="s">
        <v>820</v>
      </c>
      <c r="F292" s="29" t="s">
        <v>821</v>
      </c>
      <c r="G292" s="20" t="str">
        <f t="shared" si="1"/>
        <v>Apparel &amp; Accessories, Clothing Accessories, Hair Accessories, Wig AccessoriesWig Caps</v>
      </c>
    </row>
    <row r="293" hidden="1">
      <c r="A293" s="29">
        <v>7306.0</v>
      </c>
      <c r="B293" s="29" t="s">
        <v>655</v>
      </c>
      <c r="C293" s="29" t="s">
        <v>785</v>
      </c>
      <c r="D293" s="29" t="s">
        <v>806</v>
      </c>
      <c r="E293" s="29" t="s">
        <v>820</v>
      </c>
      <c r="F293" s="29" t="s">
        <v>822</v>
      </c>
      <c r="G293" s="20" t="str">
        <f t="shared" si="1"/>
        <v>Apparel &amp; Accessories, Clothing Accessories, Hair Accessories, Wig AccessoriesWig Glue &amp; Tape</v>
      </c>
    </row>
    <row r="294" hidden="1">
      <c r="A294" s="29">
        <v>181.0</v>
      </c>
      <c r="B294" s="29" t="s">
        <v>655</v>
      </c>
      <c r="C294" s="29" t="s">
        <v>785</v>
      </c>
      <c r="D294" s="29" t="s">
        <v>806</v>
      </c>
      <c r="E294" s="29" t="s">
        <v>823</v>
      </c>
      <c r="F294" s="62"/>
      <c r="G294" s="20" t="str">
        <f t="shared" si="1"/>
        <v>Apparel &amp; Accessories, Clothing Accessories, Hair Accessories, Wigs</v>
      </c>
    </row>
    <row r="295" hidden="1">
      <c r="A295" s="29">
        <v>7133.0</v>
      </c>
      <c r="B295" s="29" t="s">
        <v>655</v>
      </c>
      <c r="C295" s="29" t="s">
        <v>785</v>
      </c>
      <c r="D295" s="29" t="s">
        <v>824</v>
      </c>
      <c r="E295" s="62"/>
      <c r="F295" s="62"/>
      <c r="G295" s="20" t="str">
        <f t="shared" si="1"/>
        <v>Apparel &amp; Accessories, Clothing Accessories, Hand Muffs, </v>
      </c>
    </row>
    <row r="296" hidden="1">
      <c r="A296" s="29">
        <v>5207.0</v>
      </c>
      <c r="B296" s="29" t="s">
        <v>655</v>
      </c>
      <c r="C296" s="29" t="s">
        <v>785</v>
      </c>
      <c r="D296" s="29" t="s">
        <v>825</v>
      </c>
      <c r="E296" s="62"/>
      <c r="F296" s="62"/>
      <c r="G296" s="20" t="str">
        <f t="shared" si="1"/>
        <v>Apparel &amp; Accessories, Clothing Accessories, Handkerchiefs, </v>
      </c>
    </row>
    <row r="297" hidden="1">
      <c r="A297" s="29">
        <v>173.0</v>
      </c>
      <c r="B297" s="29" t="s">
        <v>655</v>
      </c>
      <c r="C297" s="29" t="s">
        <v>785</v>
      </c>
      <c r="D297" s="29" t="s">
        <v>826</v>
      </c>
      <c r="E297" s="62"/>
      <c r="F297" s="62"/>
      <c r="G297" s="20" t="str">
        <f t="shared" si="1"/>
        <v>Apparel &amp; Accessories, Clothing Accessories, Hats, </v>
      </c>
    </row>
    <row r="298" hidden="1">
      <c r="A298" s="29">
        <v>2020.0</v>
      </c>
      <c r="B298" s="29" t="s">
        <v>655</v>
      </c>
      <c r="C298" s="29" t="s">
        <v>785</v>
      </c>
      <c r="D298" s="29" t="s">
        <v>827</v>
      </c>
      <c r="E298" s="62"/>
      <c r="F298" s="62"/>
      <c r="G298" s="20" t="str">
        <f t="shared" si="1"/>
        <v>Apparel &amp; Accessories, Clothing Accessories, Headwear, </v>
      </c>
    </row>
    <row r="299" hidden="1">
      <c r="A299" s="29">
        <v>7054.0</v>
      </c>
      <c r="B299" s="29" t="s">
        <v>655</v>
      </c>
      <c r="C299" s="29" t="s">
        <v>785</v>
      </c>
      <c r="D299" s="29" t="s">
        <v>827</v>
      </c>
      <c r="E299" s="29" t="s">
        <v>828</v>
      </c>
      <c r="F299" s="62"/>
      <c r="G299" s="20" t="str">
        <f t="shared" si="1"/>
        <v>Apparel &amp; Accessories, Clothing Accessories, Headwear, Fascinators</v>
      </c>
    </row>
    <row r="300" hidden="1">
      <c r="A300" s="29">
        <v>1922.0</v>
      </c>
      <c r="B300" s="29" t="s">
        <v>655</v>
      </c>
      <c r="C300" s="29" t="s">
        <v>785</v>
      </c>
      <c r="D300" s="29" t="s">
        <v>827</v>
      </c>
      <c r="E300" s="29" t="s">
        <v>829</v>
      </c>
      <c r="F300" s="62"/>
      <c r="G300" s="20" t="str">
        <f t="shared" si="1"/>
        <v>Apparel &amp; Accessories, Clothing Accessories, Headwear, Headdresses</v>
      </c>
    </row>
    <row r="301" hidden="1">
      <c r="A301" s="29">
        <v>5939.0</v>
      </c>
      <c r="B301" s="29" t="s">
        <v>655</v>
      </c>
      <c r="C301" s="29" t="s">
        <v>785</v>
      </c>
      <c r="D301" s="29" t="s">
        <v>827</v>
      </c>
      <c r="E301" s="29" t="s">
        <v>830</v>
      </c>
      <c r="F301" s="62"/>
      <c r="G301" s="20" t="str">
        <f t="shared" si="1"/>
        <v>Apparel &amp; Accessories, Clothing Accessories, Headwear, Turbans</v>
      </c>
    </row>
    <row r="302" hidden="1">
      <c r="A302" s="29">
        <v>5941.0</v>
      </c>
      <c r="B302" s="29" t="s">
        <v>655</v>
      </c>
      <c r="C302" s="29" t="s">
        <v>785</v>
      </c>
      <c r="D302" s="29" t="s">
        <v>831</v>
      </c>
      <c r="E302" s="62"/>
      <c r="F302" s="62"/>
      <c r="G302" s="20" t="str">
        <f t="shared" si="1"/>
        <v>Apparel &amp; Accessories, Clothing Accessories, Leg Warmers, </v>
      </c>
    </row>
    <row r="303" hidden="1">
      <c r="A303" s="29">
        <v>6268.0</v>
      </c>
      <c r="B303" s="29" t="s">
        <v>655</v>
      </c>
      <c r="C303" s="29" t="s">
        <v>785</v>
      </c>
      <c r="D303" s="29" t="s">
        <v>832</v>
      </c>
      <c r="E303" s="62"/>
      <c r="F303" s="62"/>
      <c r="G303" s="20" t="str">
        <f t="shared" si="1"/>
        <v>Apparel &amp; Accessories, Clothing Accessories, Leis, </v>
      </c>
    </row>
    <row r="304" hidden="1">
      <c r="A304" s="29">
        <v>502987.0</v>
      </c>
      <c r="B304" s="29" t="s">
        <v>655</v>
      </c>
      <c r="C304" s="29" t="s">
        <v>785</v>
      </c>
      <c r="D304" s="29" t="s">
        <v>833</v>
      </c>
      <c r="F304" s="62"/>
      <c r="G304" s="20" t="str">
        <f t="shared" si="1"/>
        <v>Apparel &amp; Accessories, Clothing Accessories, Maternity Belts &amp; Support Bands, </v>
      </c>
    </row>
    <row r="305" hidden="1">
      <c r="A305" s="29">
        <v>7230.0</v>
      </c>
      <c r="B305" s="29" t="s">
        <v>655</v>
      </c>
      <c r="C305" s="29" t="s">
        <v>785</v>
      </c>
      <c r="D305" s="29" t="s">
        <v>834</v>
      </c>
      <c r="E305" s="62"/>
      <c r="F305" s="62"/>
      <c r="G305" s="20" t="str">
        <f t="shared" si="1"/>
        <v>Apparel &amp; Accessories, Clothing Accessories, Neck Gaiters, </v>
      </c>
    </row>
    <row r="306" hidden="1">
      <c r="A306" s="29">
        <v>176.0</v>
      </c>
      <c r="B306" s="29" t="s">
        <v>655</v>
      </c>
      <c r="C306" s="29" t="s">
        <v>785</v>
      </c>
      <c r="D306" s="29" t="s">
        <v>835</v>
      </c>
      <c r="E306" s="62"/>
      <c r="F306" s="62"/>
      <c r="G306" s="20" t="str">
        <f t="shared" si="1"/>
        <v>Apparel &amp; Accessories, Clothing Accessories, Neckties, </v>
      </c>
    </row>
    <row r="307" hidden="1">
      <c r="A307" s="29">
        <v>4179.0</v>
      </c>
      <c r="B307" s="29" t="s">
        <v>655</v>
      </c>
      <c r="C307" s="29" t="s">
        <v>785</v>
      </c>
      <c r="D307" s="29" t="s">
        <v>836</v>
      </c>
      <c r="E307" s="62"/>
      <c r="F307" s="62"/>
      <c r="G307" s="20" t="str">
        <f t="shared" si="1"/>
        <v>Apparel &amp; Accessories, Clothing Accessories, Pinback Buttons, </v>
      </c>
    </row>
    <row r="308" hidden="1">
      <c r="A308" s="29">
        <v>499972.0</v>
      </c>
      <c r="B308" s="29" t="s">
        <v>655</v>
      </c>
      <c r="C308" s="29" t="s">
        <v>785</v>
      </c>
      <c r="D308" s="29" t="s">
        <v>837</v>
      </c>
      <c r="E308" s="62"/>
      <c r="F308" s="62"/>
      <c r="G308" s="20" t="str">
        <f t="shared" si="1"/>
        <v>Apparel &amp; Accessories, Clothing Accessories, Sashes, </v>
      </c>
    </row>
    <row r="309" hidden="1">
      <c r="A309" s="29">
        <v>177.0</v>
      </c>
      <c r="B309" s="29" t="s">
        <v>655</v>
      </c>
      <c r="C309" s="29" t="s">
        <v>785</v>
      </c>
      <c r="D309" s="29" t="s">
        <v>838</v>
      </c>
      <c r="E309" s="62"/>
      <c r="F309" s="62"/>
      <c r="G309" s="20" t="str">
        <f t="shared" si="1"/>
        <v>Apparel &amp; Accessories, Clothing Accessories, Scarves &amp; Shawls, </v>
      </c>
    </row>
    <row r="310" hidden="1">
      <c r="A310" s="29">
        <v>543673.0</v>
      </c>
      <c r="B310" s="29" t="s">
        <v>655</v>
      </c>
      <c r="C310" s="29" t="s">
        <v>785</v>
      </c>
      <c r="D310" s="29" t="s">
        <v>838</v>
      </c>
      <c r="E310" s="29" t="s">
        <v>839</v>
      </c>
      <c r="F310" s="62"/>
      <c r="G310" s="20" t="str">
        <f t="shared" si="1"/>
        <v>Apparel &amp; Accessories, Clothing Accessories, Scarves &amp; Shawls, Scarves</v>
      </c>
    </row>
    <row r="311" hidden="1">
      <c r="A311" s="29">
        <v>543674.0</v>
      </c>
      <c r="B311" s="29" t="s">
        <v>655</v>
      </c>
      <c r="C311" s="29" t="s">
        <v>785</v>
      </c>
      <c r="D311" s="29" t="s">
        <v>838</v>
      </c>
      <c r="E311" s="29" t="s">
        <v>840</v>
      </c>
      <c r="F311" s="62"/>
      <c r="G311" s="20" t="str">
        <f t="shared" si="1"/>
        <v>Apparel &amp; Accessories, Clothing Accessories, Scarves &amp; Shawls, Shawls</v>
      </c>
    </row>
    <row r="312" hidden="1">
      <c r="A312" s="29">
        <v>178.0</v>
      </c>
      <c r="B312" s="29" t="s">
        <v>655</v>
      </c>
      <c r="C312" s="29" t="s">
        <v>785</v>
      </c>
      <c r="D312" s="29" t="s">
        <v>841</v>
      </c>
      <c r="E312" s="62"/>
      <c r="F312" s="62"/>
      <c r="G312" s="20" t="str">
        <f t="shared" si="1"/>
        <v>Apparel &amp; Accessories, Clothing Accessories, Sunglasses, </v>
      </c>
    </row>
    <row r="313" hidden="1">
      <c r="A313" s="29">
        <v>179.0</v>
      </c>
      <c r="B313" s="29" t="s">
        <v>655</v>
      </c>
      <c r="C313" s="29" t="s">
        <v>785</v>
      </c>
      <c r="D313" s="29" t="s">
        <v>842</v>
      </c>
      <c r="E313" s="62"/>
      <c r="F313" s="62"/>
      <c r="G313" s="20" t="str">
        <f t="shared" si="1"/>
        <v>Apparel &amp; Accessories, Clothing Accessories, Suspenders, </v>
      </c>
    </row>
    <row r="314" hidden="1">
      <c r="A314" s="29">
        <v>180.0</v>
      </c>
      <c r="B314" s="29" t="s">
        <v>655</v>
      </c>
      <c r="C314" s="29" t="s">
        <v>785</v>
      </c>
      <c r="D314" s="29" t="s">
        <v>843</v>
      </c>
      <c r="E314" s="62"/>
      <c r="F314" s="62"/>
      <c r="G314" s="20" t="str">
        <f t="shared" si="1"/>
        <v>Apparel &amp; Accessories, Clothing Accessories, Tie Clips, </v>
      </c>
    </row>
    <row r="315" hidden="1">
      <c r="A315" s="29">
        <v>5390.0</v>
      </c>
      <c r="B315" s="29" t="s">
        <v>655</v>
      </c>
      <c r="C315" s="29" t="s">
        <v>785</v>
      </c>
      <c r="D315" s="29" t="s">
        <v>844</v>
      </c>
      <c r="F315" s="62"/>
      <c r="G315" s="20" t="str">
        <f t="shared" si="1"/>
        <v>Apparel &amp; Accessories, Clothing Accessories, Traditional Clothing Accessories, </v>
      </c>
    </row>
    <row r="316" hidden="1">
      <c r="A316" s="29">
        <v>5688.0</v>
      </c>
      <c r="B316" s="29" t="s">
        <v>655</v>
      </c>
      <c r="C316" s="29" t="s">
        <v>785</v>
      </c>
      <c r="D316" s="29" t="s">
        <v>844</v>
      </c>
      <c r="E316" s="29" t="s">
        <v>845</v>
      </c>
      <c r="F316" s="62"/>
      <c r="G316" s="20" t="str">
        <f t="shared" si="1"/>
        <v>Apparel &amp; Accessories, Clothing Accessories, Traditional Clothing Accessories, Kimono Underclothes</v>
      </c>
    </row>
    <row r="317" hidden="1">
      <c r="A317" s="29">
        <v>5686.0</v>
      </c>
      <c r="B317" s="29" t="s">
        <v>655</v>
      </c>
      <c r="C317" s="29" t="s">
        <v>785</v>
      </c>
      <c r="D317" s="29" t="s">
        <v>844</v>
      </c>
      <c r="E317" s="29" t="s">
        <v>846</v>
      </c>
      <c r="F317" s="62"/>
      <c r="G317" s="20" t="str">
        <f t="shared" si="1"/>
        <v>Apparel &amp; Accessories, Clothing Accessories, Traditional Clothing Accessories, Obi Accessories</v>
      </c>
    </row>
    <row r="318" hidden="1">
      <c r="A318" s="29">
        <v>5687.0</v>
      </c>
      <c r="B318" s="29" t="s">
        <v>655</v>
      </c>
      <c r="C318" s="29" t="s">
        <v>785</v>
      </c>
      <c r="D318" s="29" t="s">
        <v>844</v>
      </c>
      <c r="E318" s="29" t="s">
        <v>847</v>
      </c>
      <c r="F318" s="62"/>
      <c r="G318" s="20" t="str">
        <f t="shared" si="1"/>
        <v>Apparel &amp; Accessories, Clothing Accessories, Traditional Clothing Accessories, Obis</v>
      </c>
    </row>
    <row r="319" hidden="1">
      <c r="A319" s="29">
        <v>5685.0</v>
      </c>
      <c r="B319" s="29" t="s">
        <v>655</v>
      </c>
      <c r="C319" s="29" t="s">
        <v>785</v>
      </c>
      <c r="D319" s="29" t="s">
        <v>844</v>
      </c>
      <c r="E319" s="29" t="s">
        <v>848</v>
      </c>
      <c r="F319" s="62"/>
      <c r="G319" s="20" t="str">
        <f t="shared" si="1"/>
        <v>Apparel &amp; Accessories, Clothing Accessories, Traditional Clothing Accessories, Tabi Socks</v>
      </c>
    </row>
    <row r="320" hidden="1">
      <c r="A320" s="29">
        <v>1893.0</v>
      </c>
      <c r="B320" s="29" t="s">
        <v>655</v>
      </c>
      <c r="C320" s="29" t="s">
        <v>785</v>
      </c>
      <c r="D320" s="29" t="s">
        <v>849</v>
      </c>
      <c r="E320" s="62"/>
      <c r="F320" s="62"/>
      <c r="G320" s="20" t="str">
        <f t="shared" si="1"/>
        <v>Apparel &amp; Accessories, Clothing Accessories, Wristbands, </v>
      </c>
    </row>
    <row r="321" hidden="1">
      <c r="A321" s="29">
        <v>184.0</v>
      </c>
      <c r="B321" s="29" t="s">
        <v>655</v>
      </c>
      <c r="C321" s="29" t="s">
        <v>850</v>
      </c>
      <c r="D321" s="62"/>
      <c r="E321" s="62"/>
      <c r="F321" s="62"/>
      <c r="G321" s="20" t="str">
        <f t="shared" si="1"/>
        <v>Apparel &amp; Accessories, Costumes &amp; Accessories, , </v>
      </c>
    </row>
    <row r="322" hidden="1">
      <c r="A322" s="29">
        <v>5192.0</v>
      </c>
      <c r="B322" s="29" t="s">
        <v>655</v>
      </c>
      <c r="C322" s="29" t="s">
        <v>850</v>
      </c>
      <c r="D322" s="29" t="s">
        <v>851</v>
      </c>
      <c r="E322" s="62"/>
      <c r="F322" s="62"/>
      <c r="G322" s="20" t="str">
        <f t="shared" si="1"/>
        <v>Apparel &amp; Accessories, Costumes &amp; Accessories, Costume Accessories, </v>
      </c>
    </row>
    <row r="323" hidden="1">
      <c r="A323" s="29">
        <v>7304.0</v>
      </c>
      <c r="B323" s="29" t="s">
        <v>655</v>
      </c>
      <c r="C323" s="29" t="s">
        <v>850</v>
      </c>
      <c r="D323" s="29" t="s">
        <v>851</v>
      </c>
      <c r="E323" s="29" t="s">
        <v>852</v>
      </c>
      <c r="F323" s="62"/>
      <c r="G323" s="20" t="str">
        <f t="shared" si="1"/>
        <v>Apparel &amp; Accessories, Costumes &amp; Accessories, Costume Accessories, Bald Caps</v>
      </c>
    </row>
    <row r="324" hidden="1">
      <c r="A324" s="29">
        <v>8017.0</v>
      </c>
      <c r="B324" s="29" t="s">
        <v>655</v>
      </c>
      <c r="C324" s="29" t="s">
        <v>850</v>
      </c>
      <c r="D324" s="29" t="s">
        <v>851</v>
      </c>
      <c r="E324" s="29" t="s">
        <v>853</v>
      </c>
      <c r="F324" s="62"/>
      <c r="G324" s="20" t="str">
        <f t="shared" si="1"/>
        <v>Apparel &amp; Accessories, Costumes &amp; Accessories, Costume Accessories, Costume Accessory Sets</v>
      </c>
    </row>
    <row r="325" hidden="1">
      <c r="A325" s="29">
        <v>5907.0</v>
      </c>
      <c r="B325" s="29" t="s">
        <v>655</v>
      </c>
      <c r="C325" s="29" t="s">
        <v>850</v>
      </c>
      <c r="D325" s="29" t="s">
        <v>851</v>
      </c>
      <c r="E325" s="29" t="s">
        <v>854</v>
      </c>
      <c r="F325" s="62"/>
      <c r="G325" s="20" t="str">
        <f t="shared" si="1"/>
        <v>Apparel &amp; Accessories, Costumes &amp; Accessories, Costume Accessories, Costume Capes</v>
      </c>
    </row>
    <row r="326" hidden="1">
      <c r="A326" s="29">
        <v>8200.0</v>
      </c>
      <c r="B326" s="29" t="s">
        <v>655</v>
      </c>
      <c r="C326" s="29" t="s">
        <v>850</v>
      </c>
      <c r="D326" s="29" t="s">
        <v>851</v>
      </c>
      <c r="E326" s="29" t="s">
        <v>855</v>
      </c>
      <c r="F326" s="62"/>
      <c r="G326" s="20" t="str">
        <f t="shared" si="1"/>
        <v>Apparel &amp; Accessories, Costumes &amp; Accessories, Costume Accessories, Costume Gloves</v>
      </c>
    </row>
    <row r="327" hidden="1">
      <c r="A327" s="29">
        <v>5426.0</v>
      </c>
      <c r="B327" s="29" t="s">
        <v>655</v>
      </c>
      <c r="C327" s="29" t="s">
        <v>850</v>
      </c>
      <c r="D327" s="29" t="s">
        <v>851</v>
      </c>
      <c r="E327" s="29" t="s">
        <v>856</v>
      </c>
      <c r="F327" s="62"/>
      <c r="G327" s="20" t="str">
        <f t="shared" si="1"/>
        <v>Apparel &amp; Accessories, Costumes &amp; Accessories, Costume Accessories, Costume Hats</v>
      </c>
    </row>
    <row r="328" hidden="1">
      <c r="A328" s="29">
        <v>500118.0</v>
      </c>
      <c r="B328" s="29" t="s">
        <v>655</v>
      </c>
      <c r="C328" s="29" t="s">
        <v>850</v>
      </c>
      <c r="D328" s="29" t="s">
        <v>851</v>
      </c>
      <c r="E328" s="29" t="s">
        <v>857</v>
      </c>
      <c r="F328" s="62"/>
      <c r="G328" s="20" t="str">
        <f t="shared" si="1"/>
        <v>Apparel &amp; Accessories, Costumes &amp; Accessories, Costume Accessories, Costume Special Effects</v>
      </c>
    </row>
    <row r="329" hidden="1">
      <c r="A329" s="29">
        <v>500008.0</v>
      </c>
      <c r="B329" s="29" t="s">
        <v>655</v>
      </c>
      <c r="C329" s="29" t="s">
        <v>850</v>
      </c>
      <c r="D329" s="29" t="s">
        <v>851</v>
      </c>
      <c r="E329" s="29" t="s">
        <v>858</v>
      </c>
      <c r="F329" s="62"/>
      <c r="G329" s="20" t="str">
        <f t="shared" si="1"/>
        <v>Apparel &amp; Accessories, Costumes &amp; Accessories, Costume Accessories, Costume Tobacco Products</v>
      </c>
    </row>
    <row r="330" hidden="1">
      <c r="A330" s="29">
        <v>8018.0</v>
      </c>
      <c r="B330" s="29" t="s">
        <v>655</v>
      </c>
      <c r="C330" s="29" t="s">
        <v>850</v>
      </c>
      <c r="D330" s="29" t="s">
        <v>851</v>
      </c>
      <c r="E330" s="29" t="s">
        <v>859</v>
      </c>
      <c r="F330" s="62"/>
      <c r="G330" s="20" t="str">
        <f t="shared" si="1"/>
        <v>Apparel &amp; Accessories, Costumes &amp; Accessories, Costume Accessories, Pretend Jewelry</v>
      </c>
    </row>
    <row r="331" hidden="1">
      <c r="A331" s="29">
        <v>5387.0</v>
      </c>
      <c r="B331" s="29" t="s">
        <v>655</v>
      </c>
      <c r="C331" s="29" t="s">
        <v>850</v>
      </c>
      <c r="D331" s="29" t="s">
        <v>860</v>
      </c>
      <c r="E331" s="62"/>
      <c r="F331" s="62"/>
      <c r="G331" s="20" t="str">
        <f t="shared" si="1"/>
        <v>Apparel &amp; Accessories, Costumes &amp; Accessories, Costume Shoes, </v>
      </c>
    </row>
    <row r="332" hidden="1">
      <c r="A332" s="29">
        <v>5193.0</v>
      </c>
      <c r="B332" s="29" t="s">
        <v>655</v>
      </c>
      <c r="C332" s="29" t="s">
        <v>850</v>
      </c>
      <c r="D332" s="29" t="s">
        <v>861</v>
      </c>
      <c r="E332" s="62"/>
      <c r="F332" s="62"/>
      <c r="G332" s="20" t="str">
        <f t="shared" si="1"/>
        <v>Apparel &amp; Accessories, Costumes &amp; Accessories, Costumes, </v>
      </c>
    </row>
    <row r="333" hidden="1">
      <c r="A333" s="29">
        <v>5194.0</v>
      </c>
      <c r="B333" s="29" t="s">
        <v>655</v>
      </c>
      <c r="C333" s="29" t="s">
        <v>850</v>
      </c>
      <c r="D333" s="29" t="s">
        <v>862</v>
      </c>
      <c r="E333" s="62"/>
      <c r="F333" s="62"/>
      <c r="G333" s="20" t="str">
        <f t="shared" si="1"/>
        <v>Apparel &amp; Accessories, Costumes &amp; Accessories, Masks, </v>
      </c>
    </row>
    <row r="334" hidden="1">
      <c r="A334" s="29">
        <v>6552.0</v>
      </c>
      <c r="B334" s="29" t="s">
        <v>655</v>
      </c>
      <c r="C334" s="29" t="s">
        <v>863</v>
      </c>
      <c r="D334" s="62"/>
      <c r="E334" s="62"/>
      <c r="F334" s="62"/>
      <c r="G334" s="20" t="str">
        <f t="shared" si="1"/>
        <v>Apparel &amp; Accessories, Handbag &amp; Wallet Accessories, , </v>
      </c>
    </row>
    <row r="335" hidden="1">
      <c r="A335" s="29">
        <v>6460.0</v>
      </c>
      <c r="B335" s="29" t="s">
        <v>655</v>
      </c>
      <c r="C335" s="29" t="s">
        <v>863</v>
      </c>
      <c r="D335" s="29" t="s">
        <v>864</v>
      </c>
      <c r="E335" s="62"/>
      <c r="F335" s="62"/>
      <c r="G335" s="20" t="str">
        <f t="shared" si="1"/>
        <v>Apparel &amp; Accessories, Handbag &amp; Wallet Accessories, Checkbook Covers, </v>
      </c>
    </row>
    <row r="336" hidden="1">
      <c r="A336" s="29">
        <v>175.0</v>
      </c>
      <c r="B336" s="29" t="s">
        <v>655</v>
      </c>
      <c r="C336" s="29" t="s">
        <v>863</v>
      </c>
      <c r="D336" s="29" t="s">
        <v>865</v>
      </c>
      <c r="E336" s="62"/>
      <c r="F336" s="62"/>
      <c r="G336" s="20" t="str">
        <f t="shared" si="1"/>
        <v>Apparel &amp; Accessories, Handbag &amp; Wallet Accessories, Keychains, </v>
      </c>
    </row>
    <row r="337" hidden="1">
      <c r="A337" s="29">
        <v>6277.0</v>
      </c>
      <c r="B337" s="29" t="s">
        <v>655</v>
      </c>
      <c r="C337" s="29" t="s">
        <v>863</v>
      </c>
      <c r="D337" s="29" t="s">
        <v>866</v>
      </c>
      <c r="E337" s="62"/>
      <c r="F337" s="62"/>
      <c r="G337" s="20" t="str">
        <f t="shared" si="1"/>
        <v>Apparel &amp; Accessories, Handbag &amp; Wallet Accessories, Lanyards, </v>
      </c>
    </row>
    <row r="338" hidden="1">
      <c r="A338" s="29">
        <v>5841.0</v>
      </c>
      <c r="B338" s="29" t="s">
        <v>655</v>
      </c>
      <c r="C338" s="29" t="s">
        <v>863</v>
      </c>
      <c r="D338" s="29" t="s">
        <v>867</v>
      </c>
      <c r="E338" s="62"/>
      <c r="F338" s="62"/>
      <c r="G338" s="20" t="str">
        <f t="shared" si="1"/>
        <v>Apparel &amp; Accessories, Handbag &amp; Wallet Accessories, Wallet Chains, </v>
      </c>
    </row>
    <row r="339" hidden="1">
      <c r="A339" s="29">
        <v>6551.0</v>
      </c>
      <c r="B339" s="29" t="s">
        <v>655</v>
      </c>
      <c r="C339" s="29" t="s">
        <v>868</v>
      </c>
      <c r="D339" s="62"/>
      <c r="E339" s="62"/>
      <c r="F339" s="62"/>
      <c r="G339" s="20" t="str">
        <f t="shared" si="1"/>
        <v>Apparel &amp; Accessories, Handbags, Wallets &amp; Cases, , </v>
      </c>
    </row>
    <row r="340" hidden="1">
      <c r="A340" s="29">
        <v>6170.0</v>
      </c>
      <c r="B340" s="29" t="s">
        <v>655</v>
      </c>
      <c r="C340" s="29" t="s">
        <v>868</v>
      </c>
      <c r="D340" s="29" t="s">
        <v>869</v>
      </c>
      <c r="E340" s="62"/>
      <c r="F340" s="62"/>
      <c r="G340" s="20" t="str">
        <f t="shared" si="1"/>
        <v>Apparel &amp; Accessories, Handbags, Wallets &amp; Cases, Badge &amp; Pass Holders, </v>
      </c>
    </row>
    <row r="341" hidden="1">
      <c r="A341" s="29">
        <v>6169.0</v>
      </c>
      <c r="B341" s="29" t="s">
        <v>655</v>
      </c>
      <c r="C341" s="29" t="s">
        <v>868</v>
      </c>
      <c r="D341" s="29" t="s">
        <v>870</v>
      </c>
      <c r="E341" s="62"/>
      <c r="F341" s="62"/>
      <c r="G341" s="20" t="str">
        <f t="shared" si="1"/>
        <v>Apparel &amp; Accessories, Handbags, Wallets &amp; Cases, Business Card Cases, </v>
      </c>
    </row>
    <row r="342" hidden="1">
      <c r="A342" s="29">
        <v>3032.0</v>
      </c>
      <c r="B342" s="29" t="s">
        <v>655</v>
      </c>
      <c r="C342" s="29" t="s">
        <v>868</v>
      </c>
      <c r="D342" s="29" t="s">
        <v>871</v>
      </c>
      <c r="E342" s="62"/>
      <c r="F342" s="62"/>
      <c r="G342" s="20" t="str">
        <f t="shared" si="1"/>
        <v>Apparel &amp; Accessories, Handbags, Wallets &amp; Cases, Handbags, </v>
      </c>
    </row>
    <row r="343" hidden="1">
      <c r="A343" s="29">
        <v>2668.0</v>
      </c>
      <c r="B343" s="29" t="s">
        <v>655</v>
      </c>
      <c r="C343" s="29" t="s">
        <v>868</v>
      </c>
      <c r="D343" s="29" t="s">
        <v>872</v>
      </c>
      <c r="E343" s="62"/>
      <c r="F343" s="62"/>
      <c r="G343" s="20" t="str">
        <f t="shared" si="1"/>
        <v>Apparel &amp; Accessories, Handbags, Wallets &amp; Cases, Wallets &amp; Money Clips, </v>
      </c>
    </row>
    <row r="344" hidden="1">
      <c r="A344" s="29">
        <v>188.0</v>
      </c>
      <c r="B344" s="29" t="s">
        <v>655</v>
      </c>
      <c r="C344" s="29" t="s">
        <v>873</v>
      </c>
      <c r="D344" s="62"/>
      <c r="E344" s="62"/>
      <c r="F344" s="62"/>
      <c r="G344" s="20" t="str">
        <f t="shared" si="1"/>
        <v>Apparel &amp; Accessories, Jewelry, , </v>
      </c>
    </row>
    <row r="345" hidden="1">
      <c r="A345" s="29">
        <v>189.0</v>
      </c>
      <c r="B345" s="29" t="s">
        <v>655</v>
      </c>
      <c r="C345" s="29" t="s">
        <v>873</v>
      </c>
      <c r="D345" s="29" t="s">
        <v>874</v>
      </c>
      <c r="E345" s="62"/>
      <c r="F345" s="62"/>
      <c r="G345" s="20" t="str">
        <f t="shared" si="1"/>
        <v>Apparel &amp; Accessories, Jewelry, Anklets, </v>
      </c>
    </row>
    <row r="346" hidden="1">
      <c r="A346" s="29">
        <v>190.0</v>
      </c>
      <c r="B346" s="29" t="s">
        <v>655</v>
      </c>
      <c r="C346" s="29" t="s">
        <v>873</v>
      </c>
      <c r="D346" s="29" t="s">
        <v>875</v>
      </c>
      <c r="E346" s="62"/>
      <c r="F346" s="62"/>
      <c r="G346" s="20" t="str">
        <f t="shared" si="1"/>
        <v>Apparel &amp; Accessories, Jewelry, Body Jewelry, </v>
      </c>
    </row>
    <row r="347" hidden="1">
      <c r="A347" s="29">
        <v>191.0</v>
      </c>
      <c r="B347" s="29" t="s">
        <v>655</v>
      </c>
      <c r="C347" s="29" t="s">
        <v>873</v>
      </c>
      <c r="D347" s="29" t="s">
        <v>876</v>
      </c>
      <c r="E347" s="62"/>
      <c r="F347" s="62"/>
      <c r="G347" s="20" t="str">
        <f t="shared" si="1"/>
        <v>Apparel &amp; Accessories, Jewelry, Bracelets, </v>
      </c>
    </row>
    <row r="348" hidden="1">
      <c r="A348" s="29">
        <v>197.0</v>
      </c>
      <c r="B348" s="29" t="s">
        <v>655</v>
      </c>
      <c r="C348" s="29" t="s">
        <v>873</v>
      </c>
      <c r="D348" s="29" t="s">
        <v>877</v>
      </c>
      <c r="E348" s="62"/>
      <c r="F348" s="62"/>
      <c r="G348" s="20" t="str">
        <f t="shared" si="1"/>
        <v>Apparel &amp; Accessories, Jewelry, Brooches &amp; Lapel Pins, </v>
      </c>
    </row>
    <row r="349" hidden="1">
      <c r="A349" s="29">
        <v>192.0</v>
      </c>
      <c r="B349" s="29" t="s">
        <v>655</v>
      </c>
      <c r="C349" s="29" t="s">
        <v>873</v>
      </c>
      <c r="D349" s="29" t="s">
        <v>878</v>
      </c>
      <c r="E349" s="62"/>
      <c r="F349" s="62"/>
      <c r="G349" s="20" t="str">
        <f t="shared" si="1"/>
        <v>Apparel &amp; Accessories, Jewelry, Charms &amp; Pendants, </v>
      </c>
    </row>
    <row r="350" hidden="1">
      <c r="A350" s="29">
        <v>194.0</v>
      </c>
      <c r="B350" s="29" t="s">
        <v>655</v>
      </c>
      <c r="C350" s="29" t="s">
        <v>873</v>
      </c>
      <c r="D350" s="29" t="s">
        <v>879</v>
      </c>
      <c r="E350" s="62"/>
      <c r="F350" s="62"/>
      <c r="G350" s="20" t="str">
        <f t="shared" si="1"/>
        <v>Apparel &amp; Accessories, Jewelry, Earrings, </v>
      </c>
    </row>
    <row r="351" hidden="1">
      <c r="A351" s="29">
        <v>6463.0</v>
      </c>
      <c r="B351" s="29" t="s">
        <v>655</v>
      </c>
      <c r="C351" s="29" t="s">
        <v>873</v>
      </c>
      <c r="D351" s="29" t="s">
        <v>880</v>
      </c>
      <c r="E351" s="62"/>
      <c r="F351" s="62"/>
      <c r="G351" s="20" t="str">
        <f t="shared" si="1"/>
        <v>Apparel &amp; Accessories, Jewelry, Jewelry Sets, </v>
      </c>
    </row>
    <row r="352" hidden="1">
      <c r="A352" s="29">
        <v>196.0</v>
      </c>
      <c r="B352" s="29" t="s">
        <v>655</v>
      </c>
      <c r="C352" s="29" t="s">
        <v>873</v>
      </c>
      <c r="D352" s="29" t="s">
        <v>881</v>
      </c>
      <c r="E352" s="62"/>
      <c r="F352" s="62"/>
      <c r="G352" s="20" t="str">
        <f t="shared" si="1"/>
        <v>Apparel &amp; Accessories, Jewelry, Necklaces, </v>
      </c>
    </row>
    <row r="353" hidden="1">
      <c r="A353" s="29">
        <v>200.0</v>
      </c>
      <c r="B353" s="29" t="s">
        <v>655</v>
      </c>
      <c r="C353" s="29" t="s">
        <v>873</v>
      </c>
      <c r="D353" s="29" t="s">
        <v>882</v>
      </c>
      <c r="E353" s="62"/>
      <c r="F353" s="62"/>
      <c r="G353" s="20" t="str">
        <f t="shared" si="1"/>
        <v>Apparel &amp; Accessories, Jewelry, Rings, </v>
      </c>
    </row>
    <row r="354" hidden="1">
      <c r="A354" s="29">
        <v>5122.0</v>
      </c>
      <c r="B354" s="29" t="s">
        <v>655</v>
      </c>
      <c r="C354" s="29" t="s">
        <v>873</v>
      </c>
      <c r="D354" s="29" t="s">
        <v>883</v>
      </c>
      <c r="E354" s="62"/>
      <c r="F354" s="62"/>
      <c r="G354" s="20" t="str">
        <f t="shared" si="1"/>
        <v>Apparel &amp; Accessories, Jewelry, Watch Accessories, </v>
      </c>
    </row>
    <row r="355" hidden="1">
      <c r="A355" s="29">
        <v>5123.0</v>
      </c>
      <c r="B355" s="29" t="s">
        <v>655</v>
      </c>
      <c r="C355" s="29" t="s">
        <v>873</v>
      </c>
      <c r="D355" s="29" t="s">
        <v>883</v>
      </c>
      <c r="E355" s="29" t="s">
        <v>884</v>
      </c>
      <c r="F355" s="62"/>
      <c r="G355" s="20" t="str">
        <f t="shared" si="1"/>
        <v>Apparel &amp; Accessories, Jewelry, Watch Accessories, Watch Bands</v>
      </c>
    </row>
    <row r="356" hidden="1">
      <c r="A356" s="29">
        <v>7471.0</v>
      </c>
      <c r="B356" s="29" t="s">
        <v>655</v>
      </c>
      <c r="C356" s="29" t="s">
        <v>873</v>
      </c>
      <c r="D356" s="29" t="s">
        <v>883</v>
      </c>
      <c r="E356" s="29" t="s">
        <v>885</v>
      </c>
      <c r="F356" s="62"/>
      <c r="G356" s="20" t="str">
        <f t="shared" si="1"/>
        <v>Apparel &amp; Accessories, Jewelry, Watch Accessories, Watch Stickers &amp; Decals</v>
      </c>
    </row>
    <row r="357" hidden="1">
      <c r="A357" s="29">
        <v>6870.0</v>
      </c>
      <c r="B357" s="29" t="s">
        <v>655</v>
      </c>
      <c r="C357" s="29" t="s">
        <v>873</v>
      </c>
      <c r="D357" s="29" t="s">
        <v>883</v>
      </c>
      <c r="E357" s="29" t="s">
        <v>886</v>
      </c>
      <c r="F357" s="62"/>
      <c r="G357" s="20" t="str">
        <f t="shared" si="1"/>
        <v>Apparel &amp; Accessories, Jewelry, Watch Accessories, Watch Winders</v>
      </c>
    </row>
    <row r="358" hidden="1">
      <c r="A358" s="29">
        <v>201.0</v>
      </c>
      <c r="B358" s="29" t="s">
        <v>655</v>
      </c>
      <c r="C358" s="29" t="s">
        <v>873</v>
      </c>
      <c r="D358" s="29" t="s">
        <v>887</v>
      </c>
      <c r="E358" s="62"/>
      <c r="F358" s="62"/>
      <c r="G358" s="20" t="str">
        <f t="shared" si="1"/>
        <v>Apparel &amp; Accessories, Jewelry, Watches, </v>
      </c>
    </row>
    <row r="359" hidden="1">
      <c r="A359" s="29">
        <v>1933.0</v>
      </c>
      <c r="B359" s="29" t="s">
        <v>655</v>
      </c>
      <c r="C359" s="29" t="s">
        <v>888</v>
      </c>
      <c r="D359" s="62"/>
      <c r="E359" s="62"/>
      <c r="F359" s="62"/>
      <c r="G359" s="20" t="str">
        <f t="shared" si="1"/>
        <v>Apparel &amp; Accessories, Shoe Accessories, , </v>
      </c>
    </row>
    <row r="360" hidden="1">
      <c r="A360" s="29">
        <v>5567.0</v>
      </c>
      <c r="B360" s="29" t="s">
        <v>655</v>
      </c>
      <c r="C360" s="29" t="s">
        <v>888</v>
      </c>
      <c r="D360" s="29" t="s">
        <v>889</v>
      </c>
      <c r="E360" s="62"/>
      <c r="F360" s="62"/>
      <c r="G360" s="20" t="str">
        <f t="shared" si="1"/>
        <v>Apparel &amp; Accessories, Shoe Accessories, Boot Liners, </v>
      </c>
    </row>
    <row r="361" hidden="1">
      <c r="A361" s="29">
        <v>7078.0</v>
      </c>
      <c r="B361" s="29" t="s">
        <v>655</v>
      </c>
      <c r="C361" s="29" t="s">
        <v>888</v>
      </c>
      <c r="D361" s="29" t="s">
        <v>890</v>
      </c>
      <c r="E361" s="62"/>
      <c r="F361" s="62"/>
      <c r="G361" s="20" t="str">
        <f t="shared" si="1"/>
        <v>Apparel &amp; Accessories, Shoe Accessories, Gaiters, </v>
      </c>
    </row>
    <row r="362" hidden="1">
      <c r="A362" s="29">
        <v>5385.0</v>
      </c>
      <c r="B362" s="29" t="s">
        <v>655</v>
      </c>
      <c r="C362" s="29" t="s">
        <v>888</v>
      </c>
      <c r="D362" s="29" t="s">
        <v>891</v>
      </c>
      <c r="E362" s="62"/>
      <c r="F362" s="62"/>
      <c r="G362" s="20" t="str">
        <f t="shared" si="1"/>
        <v>Apparel &amp; Accessories, Shoe Accessories, Shoe Covers, </v>
      </c>
    </row>
    <row r="363" hidden="1">
      <c r="A363" s="29">
        <v>1856.0</v>
      </c>
      <c r="B363" s="29" t="s">
        <v>655</v>
      </c>
      <c r="C363" s="29" t="s">
        <v>888</v>
      </c>
      <c r="D363" s="29" t="s">
        <v>892</v>
      </c>
      <c r="E363" s="62"/>
      <c r="F363" s="62"/>
      <c r="G363" s="20" t="str">
        <f t="shared" si="1"/>
        <v>Apparel &amp; Accessories, Shoe Accessories, Shoelaces, </v>
      </c>
    </row>
    <row r="364" hidden="1">
      <c r="A364" s="29">
        <v>2427.0</v>
      </c>
      <c r="B364" s="29" t="s">
        <v>655</v>
      </c>
      <c r="C364" s="29" t="s">
        <v>888</v>
      </c>
      <c r="D364" s="29" t="s">
        <v>893</v>
      </c>
      <c r="E364" s="62"/>
      <c r="F364" s="62"/>
      <c r="G364" s="20" t="str">
        <f t="shared" si="1"/>
        <v>Apparel &amp; Accessories, Shoe Accessories, Spurs, </v>
      </c>
    </row>
    <row r="365" hidden="1">
      <c r="A365" s="29">
        <v>187.0</v>
      </c>
      <c r="B365" s="29" t="s">
        <v>655</v>
      </c>
      <c r="C365" s="29" t="s">
        <v>894</v>
      </c>
      <c r="D365" s="62"/>
      <c r="E365" s="62"/>
      <c r="F365" s="62"/>
      <c r="G365" s="20" t="str">
        <f t="shared" si="1"/>
        <v>Apparel &amp; Accessories, Shoes, , </v>
      </c>
    </row>
    <row r="366" hidden="1">
      <c r="A366" s="29">
        <v>8.0</v>
      </c>
      <c r="B366" s="29" t="s">
        <v>895</v>
      </c>
      <c r="C366" s="62"/>
      <c r="D366" s="62"/>
      <c r="E366" s="62"/>
      <c r="F366" s="62"/>
      <c r="G366" s="20" t="str">
        <f t="shared" si="1"/>
        <v>Arts &amp; Entertainment, , , </v>
      </c>
    </row>
    <row r="367" hidden="1">
      <c r="A367" s="29">
        <v>499969.0</v>
      </c>
      <c r="B367" s="29" t="s">
        <v>895</v>
      </c>
      <c r="C367" s="29" t="s">
        <v>896</v>
      </c>
      <c r="D367" s="62"/>
      <c r="E367" s="62"/>
      <c r="F367" s="62"/>
      <c r="G367" s="20" t="str">
        <f t="shared" si="1"/>
        <v>Arts &amp; Entertainment, Event Tickets, , </v>
      </c>
    </row>
    <row r="368" hidden="1">
      <c r="A368" s="29">
        <v>5710.0</v>
      </c>
      <c r="B368" s="29" t="s">
        <v>895</v>
      </c>
      <c r="C368" s="29" t="s">
        <v>897</v>
      </c>
      <c r="D368" s="62"/>
      <c r="E368" s="62"/>
      <c r="F368" s="62"/>
      <c r="G368" s="20" t="str">
        <f t="shared" si="1"/>
        <v>Arts &amp; Entertainment, Hobbies &amp; Creative Arts, , </v>
      </c>
    </row>
    <row r="369" hidden="1">
      <c r="A369" s="29">
        <v>16.0</v>
      </c>
      <c r="B369" s="29" t="s">
        <v>895</v>
      </c>
      <c r="C369" s="29" t="s">
        <v>897</v>
      </c>
      <c r="D369" s="29" t="s">
        <v>898</v>
      </c>
      <c r="E369" s="62"/>
      <c r="F369" s="62"/>
      <c r="G369" s="20" t="str">
        <f t="shared" si="1"/>
        <v>Arts &amp; Entertainment, Hobbies &amp; Creative Arts, Arts &amp; Crafts, </v>
      </c>
    </row>
    <row r="370" hidden="1">
      <c r="A370" s="29">
        <v>505370.0</v>
      </c>
      <c r="B370" s="29" t="s">
        <v>895</v>
      </c>
      <c r="C370" s="29" t="s">
        <v>897</v>
      </c>
      <c r="D370" s="29" t="s">
        <v>898</v>
      </c>
      <c r="E370" s="29" t="s">
        <v>899</v>
      </c>
      <c r="F370" s="62"/>
      <c r="G370" s="20" t="str">
        <f t="shared" si="1"/>
        <v>Arts &amp; Entertainment, Hobbies &amp; Creative Arts, Arts &amp; Crafts, Art &amp; Craft Kits</v>
      </c>
    </row>
    <row r="371" hidden="1">
      <c r="A371" s="29">
        <v>505374.0</v>
      </c>
      <c r="B371" s="29" t="s">
        <v>895</v>
      </c>
      <c r="C371" s="29" t="s">
        <v>897</v>
      </c>
      <c r="D371" s="29" t="s">
        <v>898</v>
      </c>
      <c r="E371" s="29" t="s">
        <v>899</v>
      </c>
      <c r="F371" s="29" t="s">
        <v>900</v>
      </c>
      <c r="G371" s="20" t="str">
        <f t="shared" si="1"/>
        <v>Arts &amp; Entertainment, Hobbies &amp; Creative Arts, Arts &amp; Crafts, Art &amp; Craft KitsCandle Making Kits</v>
      </c>
    </row>
    <row r="372" hidden="1">
      <c r="A372" s="29">
        <v>4778.0</v>
      </c>
      <c r="B372" s="29" t="s">
        <v>895</v>
      </c>
      <c r="C372" s="29" t="s">
        <v>897</v>
      </c>
      <c r="D372" s="29" t="s">
        <v>898</v>
      </c>
      <c r="E372" s="29" t="s">
        <v>899</v>
      </c>
      <c r="F372" s="29" t="s">
        <v>901</v>
      </c>
      <c r="G372" s="20" t="str">
        <f t="shared" si="1"/>
        <v>Arts &amp; Entertainment, Hobbies &amp; Creative Arts, Arts &amp; Crafts, Art &amp; Craft KitsDrawing &amp; Painting Kits</v>
      </c>
    </row>
    <row r="373" hidden="1">
      <c r="A373" s="29">
        <v>6382.0</v>
      </c>
      <c r="B373" s="29" t="s">
        <v>895</v>
      </c>
      <c r="C373" s="29" t="s">
        <v>897</v>
      </c>
      <c r="D373" s="29" t="s">
        <v>898</v>
      </c>
      <c r="E373" s="29" t="s">
        <v>899</v>
      </c>
      <c r="F373" s="29" t="s">
        <v>902</v>
      </c>
      <c r="G373" s="20" t="str">
        <f t="shared" si="1"/>
        <v>Arts &amp; Entertainment, Hobbies &amp; Creative Arts, Arts &amp; Crafts, Art &amp; Craft KitsFabric Repair Kits</v>
      </c>
    </row>
    <row r="374" hidden="1">
      <c r="A374" s="29">
        <v>6989.0</v>
      </c>
      <c r="B374" s="29" t="s">
        <v>895</v>
      </c>
      <c r="C374" s="29" t="s">
        <v>897</v>
      </c>
      <c r="D374" s="29" t="s">
        <v>898</v>
      </c>
      <c r="E374" s="29" t="s">
        <v>899</v>
      </c>
      <c r="F374" s="29" t="s">
        <v>903</v>
      </c>
      <c r="G374" s="20" t="str">
        <f t="shared" si="1"/>
        <v>Arts &amp; Entertainment, Hobbies &amp; Creative Arts, Arts &amp; Crafts, Art &amp; Craft KitsIncense Making Kits</v>
      </c>
    </row>
    <row r="375" hidden="1">
      <c r="A375" s="29">
        <v>502979.0</v>
      </c>
      <c r="B375" s="29" t="s">
        <v>895</v>
      </c>
      <c r="C375" s="29" t="s">
        <v>897</v>
      </c>
      <c r="D375" s="29" t="s">
        <v>898</v>
      </c>
      <c r="E375" s="29" t="s">
        <v>899</v>
      </c>
      <c r="F375" s="29" t="s">
        <v>904</v>
      </c>
      <c r="G375" s="20" t="str">
        <f t="shared" si="1"/>
        <v>Arts &amp; Entertainment, Hobbies &amp; Creative Arts, Arts &amp; Crafts, Art &amp; Craft KitsJewelry Making Kits</v>
      </c>
    </row>
    <row r="376" hidden="1">
      <c r="A376" s="29">
        <v>6829.0</v>
      </c>
      <c r="B376" s="29" t="s">
        <v>895</v>
      </c>
      <c r="C376" s="29" t="s">
        <v>897</v>
      </c>
      <c r="D376" s="29" t="s">
        <v>898</v>
      </c>
      <c r="E376" s="29" t="s">
        <v>899</v>
      </c>
      <c r="F376" s="29" t="s">
        <v>905</v>
      </c>
      <c r="G376" s="20" t="str">
        <f t="shared" si="1"/>
        <v>Arts &amp; Entertainment, Hobbies &amp; Creative Arts, Arts &amp; Crafts, Art &amp; Craft KitsMosaic Kits</v>
      </c>
    </row>
    <row r="377" hidden="1">
      <c r="A377" s="29">
        <v>7096.0</v>
      </c>
      <c r="B377" s="29" t="s">
        <v>895</v>
      </c>
      <c r="C377" s="29" t="s">
        <v>897</v>
      </c>
      <c r="D377" s="29" t="s">
        <v>898</v>
      </c>
      <c r="E377" s="29" t="s">
        <v>899</v>
      </c>
      <c r="F377" s="29" t="s">
        <v>906</v>
      </c>
      <c r="G377" s="20" t="str">
        <f t="shared" si="1"/>
        <v>Arts &amp; Entertainment, Hobbies &amp; Creative Arts, Arts &amp; Crafts, Art &amp; Craft KitsNeedlecraft Kits</v>
      </c>
    </row>
    <row r="378" hidden="1">
      <c r="A378" s="29">
        <v>503758.0</v>
      </c>
      <c r="B378" s="29" t="s">
        <v>895</v>
      </c>
      <c r="C378" s="29" t="s">
        <v>897</v>
      </c>
      <c r="D378" s="29" t="s">
        <v>898</v>
      </c>
      <c r="E378" s="29" t="s">
        <v>899</v>
      </c>
      <c r="F378" s="29" t="s">
        <v>907</v>
      </c>
      <c r="G378" s="20" t="str">
        <f t="shared" si="1"/>
        <v>Arts &amp; Entertainment, Hobbies &amp; Creative Arts, Arts &amp; Crafts, Art &amp; Craft KitsScrapbooking &amp; Stamping Kits</v>
      </c>
    </row>
    <row r="379" hidden="1">
      <c r="A379" s="29">
        <v>4986.0</v>
      </c>
      <c r="B379" s="29" t="s">
        <v>895</v>
      </c>
      <c r="C379" s="29" t="s">
        <v>897</v>
      </c>
      <c r="D379" s="29" t="s">
        <v>898</v>
      </c>
      <c r="E379" s="29" t="s">
        <v>899</v>
      </c>
      <c r="F379" s="29" t="s">
        <v>908</v>
      </c>
      <c r="G379" s="20" t="str">
        <f t="shared" si="1"/>
        <v>Arts &amp; Entertainment, Hobbies &amp; Creative Arts, Arts &amp; Crafts, Art &amp; Craft KitsToy Craft Kits</v>
      </c>
    </row>
    <row r="380" hidden="1">
      <c r="A380" s="29">
        <v>505372.0</v>
      </c>
      <c r="B380" s="29" t="s">
        <v>895</v>
      </c>
      <c r="C380" s="29" t="s">
        <v>897</v>
      </c>
      <c r="D380" s="29" t="s">
        <v>898</v>
      </c>
      <c r="E380" s="29" t="s">
        <v>909</v>
      </c>
      <c r="F380" s="62"/>
      <c r="G380" s="20" t="str">
        <f t="shared" si="1"/>
        <v>Arts &amp; Entertainment, Hobbies &amp; Creative Arts, Arts &amp; Crafts, Art &amp; Crafting Materials</v>
      </c>
    </row>
    <row r="381" hidden="1">
      <c r="A381" s="29">
        <v>24.0</v>
      </c>
      <c r="B381" s="29" t="s">
        <v>895</v>
      </c>
      <c r="C381" s="29" t="s">
        <v>897</v>
      </c>
      <c r="D381" s="29" t="s">
        <v>898</v>
      </c>
      <c r="E381" s="29" t="s">
        <v>909</v>
      </c>
      <c r="F381" s="29" t="s">
        <v>910</v>
      </c>
      <c r="G381" s="20" t="str">
        <f t="shared" si="1"/>
        <v>Arts &amp; Entertainment, Hobbies &amp; Creative Arts, Arts &amp; Crafts, Art &amp; Crafting MaterialsArt &amp; Craft Paper</v>
      </c>
    </row>
    <row r="382" hidden="1">
      <c r="A382" s="29">
        <v>505399.0</v>
      </c>
      <c r="B382" s="29" t="s">
        <v>895</v>
      </c>
      <c r="C382" s="29" t="s">
        <v>897</v>
      </c>
      <c r="D382" s="29" t="s">
        <v>898</v>
      </c>
      <c r="E382" s="29" t="s">
        <v>909</v>
      </c>
      <c r="F382" s="29" t="s">
        <v>910</v>
      </c>
      <c r="G382" s="20" t="str">
        <f t="shared" si="1"/>
        <v>Arts &amp; Entertainment, Hobbies &amp; Creative Arts, Arts &amp; Crafts, Art &amp; Crafting MaterialsArt &amp; Craft Paper</v>
      </c>
    </row>
    <row r="383" hidden="1">
      <c r="A383" s="29">
        <v>543510.0</v>
      </c>
      <c r="B383" s="29" t="s">
        <v>895</v>
      </c>
      <c r="C383" s="29" t="s">
        <v>897</v>
      </c>
      <c r="D383" s="29" t="s">
        <v>898</v>
      </c>
      <c r="E383" s="29" t="s">
        <v>909</v>
      </c>
      <c r="F383" s="29" t="s">
        <v>910</v>
      </c>
      <c r="G383" s="20" t="str">
        <f t="shared" si="1"/>
        <v>Arts &amp; Entertainment, Hobbies &amp; Creative Arts, Arts &amp; Crafts, Art &amp; Crafting MaterialsArt &amp; Craft Paper</v>
      </c>
    </row>
    <row r="384" hidden="1">
      <c r="A384" s="29">
        <v>543511.0</v>
      </c>
      <c r="B384" s="29" t="s">
        <v>895</v>
      </c>
      <c r="C384" s="29" t="s">
        <v>897</v>
      </c>
      <c r="D384" s="29" t="s">
        <v>898</v>
      </c>
      <c r="E384" s="29" t="s">
        <v>909</v>
      </c>
      <c r="F384" s="29" t="s">
        <v>910</v>
      </c>
      <c r="G384" s="20" t="str">
        <f t="shared" si="1"/>
        <v>Arts &amp; Entertainment, Hobbies &amp; Creative Arts, Arts &amp; Crafts, Art &amp; Crafting MaterialsArt &amp; Craft Paper</v>
      </c>
    </row>
    <row r="385" hidden="1">
      <c r="A385" s="29">
        <v>2532.0</v>
      </c>
      <c r="B385" s="29" t="s">
        <v>895</v>
      </c>
      <c r="C385" s="29" t="s">
        <v>897</v>
      </c>
      <c r="D385" s="29" t="s">
        <v>898</v>
      </c>
      <c r="E385" s="29" t="s">
        <v>909</v>
      </c>
      <c r="F385" s="29" t="s">
        <v>910</v>
      </c>
      <c r="G385" s="20" t="str">
        <f t="shared" si="1"/>
        <v>Arts &amp; Entertainment, Hobbies &amp; Creative Arts, Arts &amp; Crafts, Art &amp; Crafting MaterialsArt &amp; Craft Paper</v>
      </c>
    </row>
    <row r="386" hidden="1">
      <c r="A386" s="29">
        <v>8168.0</v>
      </c>
      <c r="B386" s="29" t="s">
        <v>895</v>
      </c>
      <c r="C386" s="29" t="s">
        <v>897</v>
      </c>
      <c r="D386" s="29" t="s">
        <v>898</v>
      </c>
      <c r="E386" s="29" t="s">
        <v>909</v>
      </c>
      <c r="F386" s="29" t="s">
        <v>910</v>
      </c>
      <c r="G386" s="20" t="str">
        <f t="shared" si="1"/>
        <v>Arts &amp; Entertainment, Hobbies &amp; Creative Arts, Arts &amp; Crafts, Art &amp; Crafting MaterialsArt &amp; Craft Paper</v>
      </c>
    </row>
    <row r="387" hidden="1">
      <c r="A387" s="29">
        <v>505400.0</v>
      </c>
      <c r="B387" s="29" t="s">
        <v>895</v>
      </c>
      <c r="C387" s="29" t="s">
        <v>897</v>
      </c>
      <c r="D387" s="29" t="s">
        <v>898</v>
      </c>
      <c r="E387" s="29" t="s">
        <v>909</v>
      </c>
      <c r="F387" s="29" t="s">
        <v>910</v>
      </c>
      <c r="G387" s="20" t="str">
        <f t="shared" si="1"/>
        <v>Arts &amp; Entertainment, Hobbies &amp; Creative Arts, Arts &amp; Crafts, Art &amp; Crafting MaterialsArt &amp; Craft Paper</v>
      </c>
    </row>
    <row r="388" hidden="1">
      <c r="A388" s="29">
        <v>2967.0</v>
      </c>
      <c r="B388" s="29" t="s">
        <v>895</v>
      </c>
      <c r="C388" s="29" t="s">
        <v>897</v>
      </c>
      <c r="D388" s="29" t="s">
        <v>898</v>
      </c>
      <c r="E388" s="29" t="s">
        <v>909</v>
      </c>
      <c r="F388" s="29" t="s">
        <v>910</v>
      </c>
      <c r="G388" s="20" t="str">
        <f t="shared" si="1"/>
        <v>Arts &amp; Entertainment, Hobbies &amp; Creative Arts, Arts &amp; Crafts, Art &amp; Crafting MaterialsArt &amp; Craft Paper</v>
      </c>
    </row>
    <row r="389" hidden="1">
      <c r="A389" s="29">
        <v>6110.0</v>
      </c>
      <c r="B389" s="29" t="s">
        <v>895</v>
      </c>
      <c r="C389" s="29" t="s">
        <v>897</v>
      </c>
      <c r="D389" s="29" t="s">
        <v>898</v>
      </c>
      <c r="E389" s="29" t="s">
        <v>909</v>
      </c>
      <c r="F389" s="29" t="s">
        <v>910</v>
      </c>
      <c r="G389" s="20" t="str">
        <f t="shared" si="1"/>
        <v>Arts &amp; Entertainment, Hobbies &amp; Creative Arts, Arts &amp; Crafts, Art &amp; Crafting MaterialsArt &amp; Craft Paper</v>
      </c>
    </row>
    <row r="390" hidden="1">
      <c r="A390" s="29">
        <v>2741.0</v>
      </c>
      <c r="B390" s="29" t="s">
        <v>895</v>
      </c>
      <c r="C390" s="29" t="s">
        <v>897</v>
      </c>
      <c r="D390" s="29" t="s">
        <v>898</v>
      </c>
      <c r="E390" s="29" t="s">
        <v>909</v>
      </c>
      <c r="F390" s="29" t="s">
        <v>910</v>
      </c>
      <c r="G390" s="20" t="str">
        <f t="shared" si="1"/>
        <v>Arts &amp; Entertainment, Hobbies &amp; Creative Arts, Arts &amp; Crafts, Art &amp; Crafting MaterialsArt &amp; Craft Paper</v>
      </c>
    </row>
    <row r="391" hidden="1">
      <c r="A391" s="29">
        <v>505380.0</v>
      </c>
      <c r="B391" s="29" t="s">
        <v>895</v>
      </c>
      <c r="C391" s="29" t="s">
        <v>897</v>
      </c>
      <c r="D391" s="29" t="s">
        <v>898</v>
      </c>
      <c r="E391" s="29" t="s">
        <v>909</v>
      </c>
      <c r="F391" s="29" t="s">
        <v>911</v>
      </c>
      <c r="G391" s="20" t="str">
        <f t="shared" si="1"/>
        <v>Arts &amp; Entertainment, Hobbies &amp; Creative Arts, Arts &amp; Crafts, Art &amp; Crafting MaterialsCraft Fasteners &amp; Closures</v>
      </c>
    </row>
    <row r="392" hidden="1">
      <c r="A392" s="29">
        <v>4226.0</v>
      </c>
      <c r="B392" s="29" t="s">
        <v>895</v>
      </c>
      <c r="C392" s="29" t="s">
        <v>897</v>
      </c>
      <c r="D392" s="29" t="s">
        <v>898</v>
      </c>
      <c r="E392" s="29" t="s">
        <v>909</v>
      </c>
      <c r="F392" s="29" t="s">
        <v>911</v>
      </c>
      <c r="G392" s="20" t="str">
        <f t="shared" si="1"/>
        <v>Arts &amp; Entertainment, Hobbies &amp; Creative Arts, Arts &amp; Crafts, Art &amp; Crafting MaterialsCraft Fasteners &amp; Closures</v>
      </c>
    </row>
    <row r="393" hidden="1">
      <c r="A393" s="29">
        <v>505408.0</v>
      </c>
      <c r="B393" s="29" t="s">
        <v>895</v>
      </c>
      <c r="C393" s="29" t="s">
        <v>897</v>
      </c>
      <c r="D393" s="29" t="s">
        <v>898</v>
      </c>
      <c r="E393" s="29" t="s">
        <v>909</v>
      </c>
      <c r="F393" s="29" t="s">
        <v>911</v>
      </c>
      <c r="G393" s="20" t="str">
        <f t="shared" si="1"/>
        <v>Arts &amp; Entertainment, Hobbies &amp; Creative Arts, Arts &amp; Crafts, Art &amp; Crafting MaterialsCraft Fasteners &amp; Closures</v>
      </c>
    </row>
    <row r="394" hidden="1">
      <c r="A394" s="29">
        <v>505409.0</v>
      </c>
      <c r="B394" s="29" t="s">
        <v>895</v>
      </c>
      <c r="C394" s="29" t="s">
        <v>897</v>
      </c>
      <c r="D394" s="29" t="s">
        <v>898</v>
      </c>
      <c r="E394" s="29" t="s">
        <v>909</v>
      </c>
      <c r="F394" s="29" t="s">
        <v>911</v>
      </c>
      <c r="G394" s="20" t="str">
        <f t="shared" si="1"/>
        <v>Arts &amp; Entertainment, Hobbies &amp; Creative Arts, Arts &amp; Crafts, Art &amp; Crafting MaterialsCraft Fasteners &amp; Closures</v>
      </c>
    </row>
    <row r="395" hidden="1">
      <c r="A395" s="29">
        <v>6145.0</v>
      </c>
      <c r="B395" s="29" t="s">
        <v>895</v>
      </c>
      <c r="C395" s="29" t="s">
        <v>897</v>
      </c>
      <c r="D395" s="29" t="s">
        <v>898</v>
      </c>
      <c r="E395" s="29" t="s">
        <v>909</v>
      </c>
      <c r="F395" s="29" t="s">
        <v>911</v>
      </c>
      <c r="G395" s="20" t="str">
        <f t="shared" si="1"/>
        <v>Arts &amp; Entertainment, Hobbies &amp; Creative Arts, Arts &amp; Crafts, Art &amp; Crafting MaterialsCraft Fasteners &amp; Closures</v>
      </c>
    </row>
    <row r="396" hidden="1">
      <c r="A396" s="29">
        <v>500056.0</v>
      </c>
      <c r="B396" s="29" t="s">
        <v>895</v>
      </c>
      <c r="C396" s="29" t="s">
        <v>897</v>
      </c>
      <c r="D396" s="29" t="s">
        <v>898</v>
      </c>
      <c r="E396" s="29" t="s">
        <v>909</v>
      </c>
      <c r="F396" s="29" t="s">
        <v>911</v>
      </c>
      <c r="G396" s="20" t="str">
        <f t="shared" si="1"/>
        <v>Arts &amp; Entertainment, Hobbies &amp; Creative Arts, Arts &amp; Crafts, Art &amp; Crafting MaterialsCraft Fasteners &amp; Closures</v>
      </c>
    </row>
    <row r="397" hidden="1">
      <c r="A397" s="29">
        <v>4174.0</v>
      </c>
      <c r="B397" s="29" t="s">
        <v>895</v>
      </c>
      <c r="C397" s="29" t="s">
        <v>897</v>
      </c>
      <c r="D397" s="29" t="s">
        <v>898</v>
      </c>
      <c r="E397" s="29" t="s">
        <v>909</v>
      </c>
      <c r="F397" s="29" t="s">
        <v>911</v>
      </c>
      <c r="G397" s="20" t="str">
        <f t="shared" si="1"/>
        <v>Arts &amp; Entertainment, Hobbies &amp; Creative Arts, Arts &amp; Crafts, Art &amp; Crafting MaterialsCraft Fasteners &amp; Closures</v>
      </c>
    </row>
    <row r="398" hidden="1">
      <c r="A398" s="29">
        <v>505378.0</v>
      </c>
      <c r="B398" s="29" t="s">
        <v>895</v>
      </c>
      <c r="C398" s="29" t="s">
        <v>897</v>
      </c>
      <c r="D398" s="29" t="s">
        <v>898</v>
      </c>
      <c r="E398" s="29" t="s">
        <v>909</v>
      </c>
      <c r="F398" s="29" t="s">
        <v>912</v>
      </c>
      <c r="G398" s="20" t="str">
        <f t="shared" si="1"/>
        <v>Arts &amp; Entertainment, Hobbies &amp; Creative Arts, Arts &amp; Crafts, Art &amp; Crafting MaterialsCraft Paint, Ink &amp; Glaze</v>
      </c>
    </row>
    <row r="399" hidden="1">
      <c r="A399" s="29">
        <v>505417.0</v>
      </c>
      <c r="B399" s="29" t="s">
        <v>895</v>
      </c>
      <c r="C399" s="29" t="s">
        <v>897</v>
      </c>
      <c r="D399" s="29" t="s">
        <v>898</v>
      </c>
      <c r="E399" s="29" t="s">
        <v>909</v>
      </c>
      <c r="F399" s="29" t="s">
        <v>912</v>
      </c>
      <c r="G399" s="20" t="str">
        <f t="shared" si="1"/>
        <v>Arts &amp; Entertainment, Hobbies &amp; Creative Arts, Arts &amp; Crafts, Art &amp; Crafting MaterialsCraft Paint, Ink &amp; Glaze</v>
      </c>
    </row>
    <row r="400" hidden="1">
      <c r="A400" s="29">
        <v>500094.0</v>
      </c>
      <c r="B400" s="29" t="s">
        <v>895</v>
      </c>
      <c r="C400" s="29" t="s">
        <v>897</v>
      </c>
      <c r="D400" s="29" t="s">
        <v>898</v>
      </c>
      <c r="E400" s="29" t="s">
        <v>909</v>
      </c>
      <c r="F400" s="29" t="s">
        <v>912</v>
      </c>
      <c r="G400" s="20" t="str">
        <f t="shared" si="1"/>
        <v>Arts &amp; Entertainment, Hobbies &amp; Creative Arts, Arts &amp; Crafts, Art &amp; Crafting MaterialsCraft Paint, Ink &amp; Glaze</v>
      </c>
    </row>
    <row r="401" hidden="1">
      <c r="A401" s="29">
        <v>505416.0</v>
      </c>
      <c r="B401" s="29" t="s">
        <v>895</v>
      </c>
      <c r="C401" s="29" t="s">
        <v>897</v>
      </c>
      <c r="D401" s="29" t="s">
        <v>898</v>
      </c>
      <c r="E401" s="29" t="s">
        <v>909</v>
      </c>
      <c r="F401" s="29" t="s">
        <v>912</v>
      </c>
      <c r="G401" s="20" t="str">
        <f t="shared" si="1"/>
        <v>Arts &amp; Entertainment, Hobbies &amp; Creative Arts, Arts &amp; Crafts, Art &amp; Crafting MaterialsCraft Paint, Ink &amp; Glaze</v>
      </c>
    </row>
    <row r="402" hidden="1">
      <c r="A402" s="29">
        <v>499879.0</v>
      </c>
      <c r="B402" s="29" t="s">
        <v>895</v>
      </c>
      <c r="C402" s="29" t="s">
        <v>897</v>
      </c>
      <c r="D402" s="29" t="s">
        <v>898</v>
      </c>
      <c r="E402" s="29" t="s">
        <v>909</v>
      </c>
      <c r="F402" s="29" t="s">
        <v>912</v>
      </c>
      <c r="G402" s="20" t="str">
        <f t="shared" si="1"/>
        <v>Arts &amp; Entertainment, Hobbies &amp; Creative Arts, Arts &amp; Crafts, Art &amp; Crafting MaterialsCraft Paint, Ink &amp; Glaze</v>
      </c>
    </row>
    <row r="403" hidden="1">
      <c r="A403" s="29">
        <v>505415.0</v>
      </c>
      <c r="B403" s="29" t="s">
        <v>895</v>
      </c>
      <c r="C403" s="29" t="s">
        <v>897</v>
      </c>
      <c r="D403" s="29" t="s">
        <v>898</v>
      </c>
      <c r="E403" s="29" t="s">
        <v>909</v>
      </c>
      <c r="F403" s="29" t="s">
        <v>912</v>
      </c>
      <c r="G403" s="20" t="str">
        <f t="shared" si="1"/>
        <v>Arts &amp; Entertainment, Hobbies &amp; Creative Arts, Arts &amp; Crafts, Art &amp; Crafting MaterialsCraft Paint, Ink &amp; Glaze</v>
      </c>
    </row>
    <row r="404" hidden="1">
      <c r="A404" s="29">
        <v>505414.0</v>
      </c>
      <c r="B404" s="29" t="s">
        <v>895</v>
      </c>
      <c r="C404" s="29" t="s">
        <v>897</v>
      </c>
      <c r="D404" s="29" t="s">
        <v>898</v>
      </c>
      <c r="E404" s="29" t="s">
        <v>909</v>
      </c>
      <c r="F404" s="29" t="s">
        <v>912</v>
      </c>
      <c r="G404" s="20" t="str">
        <f t="shared" si="1"/>
        <v>Arts &amp; Entertainment, Hobbies &amp; Creative Arts, Arts &amp; Crafts, Art &amp; Crafting MaterialsCraft Paint, Ink &amp; Glaze</v>
      </c>
    </row>
    <row r="405" hidden="1">
      <c r="A405" s="29">
        <v>6558.0</v>
      </c>
      <c r="B405" s="29" t="s">
        <v>895</v>
      </c>
      <c r="C405" s="29" t="s">
        <v>897</v>
      </c>
      <c r="D405" s="29" t="s">
        <v>898</v>
      </c>
      <c r="E405" s="29" t="s">
        <v>909</v>
      </c>
      <c r="F405" s="29" t="s">
        <v>912</v>
      </c>
      <c r="G405" s="20" t="str">
        <f t="shared" si="1"/>
        <v>Arts &amp; Entertainment, Hobbies &amp; Creative Arts, Arts &amp; Crafts, Art &amp; Crafting MaterialsCraft Paint, Ink &amp; Glaze</v>
      </c>
    </row>
    <row r="406" hidden="1">
      <c r="A406" s="29">
        <v>505381.0</v>
      </c>
      <c r="B406" s="29" t="s">
        <v>895</v>
      </c>
      <c r="C406" s="29" t="s">
        <v>897</v>
      </c>
      <c r="D406" s="29" t="s">
        <v>898</v>
      </c>
      <c r="E406" s="29" t="s">
        <v>909</v>
      </c>
      <c r="F406" s="29" t="s">
        <v>913</v>
      </c>
      <c r="G406" s="20" t="str">
        <f t="shared" si="1"/>
        <v>Arts &amp; Entertainment, Hobbies &amp; Creative Arts, Arts &amp; Crafts, Art &amp; Crafting MaterialsCraft Shapes &amp; Bases</v>
      </c>
    </row>
    <row r="407" hidden="1">
      <c r="A407" s="29">
        <v>6117.0</v>
      </c>
      <c r="B407" s="29" t="s">
        <v>895</v>
      </c>
      <c r="C407" s="29" t="s">
        <v>897</v>
      </c>
      <c r="D407" s="29" t="s">
        <v>898</v>
      </c>
      <c r="E407" s="29" t="s">
        <v>909</v>
      </c>
      <c r="F407" s="29" t="s">
        <v>913</v>
      </c>
      <c r="G407" s="20" t="str">
        <f t="shared" si="1"/>
        <v>Arts &amp; Entertainment, Hobbies &amp; Creative Arts, Arts &amp; Crafts, Art &amp; Crafting MaterialsCraft Shapes &amp; Bases</v>
      </c>
    </row>
    <row r="408" hidden="1">
      <c r="A408" s="29">
        <v>505404.0</v>
      </c>
      <c r="B408" s="29" t="s">
        <v>895</v>
      </c>
      <c r="C408" s="29" t="s">
        <v>897</v>
      </c>
      <c r="D408" s="29" t="s">
        <v>898</v>
      </c>
      <c r="E408" s="29" t="s">
        <v>909</v>
      </c>
      <c r="F408" s="29" t="s">
        <v>913</v>
      </c>
      <c r="G408" s="20" t="str">
        <f t="shared" si="1"/>
        <v>Arts &amp; Entertainment, Hobbies &amp; Creative Arts, Arts &amp; Crafts, Art &amp; Crafting MaterialsCraft Shapes &amp; Bases</v>
      </c>
    </row>
    <row r="409" hidden="1">
      <c r="A409" s="29">
        <v>505403.0</v>
      </c>
      <c r="B409" s="29" t="s">
        <v>895</v>
      </c>
      <c r="C409" s="29" t="s">
        <v>897</v>
      </c>
      <c r="D409" s="29" t="s">
        <v>898</v>
      </c>
      <c r="E409" s="29" t="s">
        <v>909</v>
      </c>
      <c r="F409" s="29" t="s">
        <v>913</v>
      </c>
      <c r="G409" s="20" t="str">
        <f t="shared" si="1"/>
        <v>Arts &amp; Entertainment, Hobbies &amp; Creative Arts, Arts &amp; Crafts, Art &amp; Crafting MaterialsCraft Shapes &amp; Bases</v>
      </c>
    </row>
    <row r="410" hidden="1">
      <c r="A410" s="29">
        <v>504419.0</v>
      </c>
      <c r="B410" s="29" t="s">
        <v>895</v>
      </c>
      <c r="C410" s="29" t="s">
        <v>897</v>
      </c>
      <c r="D410" s="29" t="s">
        <v>898</v>
      </c>
      <c r="E410" s="29" t="s">
        <v>909</v>
      </c>
      <c r="F410" s="29" t="s">
        <v>913</v>
      </c>
      <c r="G410" s="20" t="str">
        <f t="shared" si="1"/>
        <v>Arts &amp; Entertainment, Hobbies &amp; Creative Arts, Arts &amp; Crafts, Art &amp; Crafting MaterialsCraft Shapes &amp; Bases</v>
      </c>
    </row>
    <row r="411" hidden="1">
      <c r="A411" s="29">
        <v>505376.0</v>
      </c>
      <c r="B411" s="29" t="s">
        <v>895</v>
      </c>
      <c r="C411" s="29" t="s">
        <v>897</v>
      </c>
      <c r="D411" s="29" t="s">
        <v>898</v>
      </c>
      <c r="E411" s="29" t="s">
        <v>909</v>
      </c>
      <c r="F411" s="29" t="s">
        <v>914</v>
      </c>
      <c r="G411" s="20" t="str">
        <f t="shared" si="1"/>
        <v>Arts &amp; Entertainment, Hobbies &amp; Creative Arts, Arts &amp; Crafts, Art &amp; Crafting MaterialsCrafting Adhesives &amp; Magnets</v>
      </c>
    </row>
    <row r="412" hidden="1">
      <c r="A412" s="29">
        <v>503745.0</v>
      </c>
      <c r="B412" s="29" t="s">
        <v>895</v>
      </c>
      <c r="C412" s="29" t="s">
        <v>897</v>
      </c>
      <c r="D412" s="29" t="s">
        <v>898</v>
      </c>
      <c r="E412" s="29" t="s">
        <v>909</v>
      </c>
      <c r="F412" s="29" t="s">
        <v>914</v>
      </c>
      <c r="G412" s="20" t="str">
        <f t="shared" si="1"/>
        <v>Arts &amp; Entertainment, Hobbies &amp; Creative Arts, Arts &amp; Crafts, Art &amp; Crafting MaterialsCrafting Adhesives &amp; Magnets</v>
      </c>
    </row>
    <row r="413" hidden="1">
      <c r="A413" s="29">
        <v>36.0</v>
      </c>
      <c r="B413" s="29" t="s">
        <v>895</v>
      </c>
      <c r="C413" s="29" t="s">
        <v>897</v>
      </c>
      <c r="D413" s="29" t="s">
        <v>898</v>
      </c>
      <c r="E413" s="29" t="s">
        <v>909</v>
      </c>
      <c r="F413" s="29" t="s">
        <v>914</v>
      </c>
      <c r="G413" s="20" t="str">
        <f t="shared" si="1"/>
        <v>Arts &amp; Entertainment, Hobbies &amp; Creative Arts, Arts &amp; Crafts, Art &amp; Crafting MaterialsCrafting Adhesives &amp; Magnets</v>
      </c>
    </row>
    <row r="414" hidden="1">
      <c r="A414" s="29">
        <v>505419.0</v>
      </c>
      <c r="B414" s="29" t="s">
        <v>895</v>
      </c>
      <c r="C414" s="29" t="s">
        <v>897</v>
      </c>
      <c r="D414" s="29" t="s">
        <v>898</v>
      </c>
      <c r="E414" s="29" t="s">
        <v>909</v>
      </c>
      <c r="F414" s="29" t="s">
        <v>914</v>
      </c>
      <c r="G414" s="20" t="str">
        <f t="shared" si="1"/>
        <v>Arts &amp; Entertainment, Hobbies &amp; Creative Arts, Arts &amp; Crafts, Art &amp; Crafting MaterialsCrafting Adhesives &amp; Magnets</v>
      </c>
    </row>
    <row r="415" hidden="1">
      <c r="A415" s="29">
        <v>7192.0</v>
      </c>
      <c r="B415" s="29" t="s">
        <v>895</v>
      </c>
      <c r="C415" s="29" t="s">
        <v>897</v>
      </c>
      <c r="D415" s="29" t="s">
        <v>898</v>
      </c>
      <c r="E415" s="29" t="s">
        <v>909</v>
      </c>
      <c r="F415" s="29" t="s">
        <v>914</v>
      </c>
      <c r="G415" s="20" t="str">
        <f t="shared" si="1"/>
        <v>Arts &amp; Entertainment, Hobbies &amp; Creative Arts, Arts &amp; Crafts, Art &amp; Crafting MaterialsCrafting Adhesives &amp; Magnets</v>
      </c>
    </row>
    <row r="416" hidden="1">
      <c r="A416" s="29">
        <v>6418.0</v>
      </c>
      <c r="B416" s="29" t="s">
        <v>895</v>
      </c>
      <c r="C416" s="29" t="s">
        <v>897</v>
      </c>
      <c r="D416" s="29" t="s">
        <v>898</v>
      </c>
      <c r="E416" s="29" t="s">
        <v>909</v>
      </c>
      <c r="F416" s="29" t="s">
        <v>914</v>
      </c>
      <c r="G416" s="20" t="str">
        <f t="shared" si="1"/>
        <v>Arts &amp; Entertainment, Hobbies &amp; Creative Arts, Arts &amp; Crafts, Art &amp; Crafting MaterialsCrafting Adhesives &amp; Magnets</v>
      </c>
    </row>
    <row r="417" hidden="1">
      <c r="A417" s="29">
        <v>505382.0</v>
      </c>
      <c r="B417" s="29" t="s">
        <v>895</v>
      </c>
      <c r="C417" s="29" t="s">
        <v>897</v>
      </c>
      <c r="D417" s="29" t="s">
        <v>898</v>
      </c>
      <c r="E417" s="29" t="s">
        <v>909</v>
      </c>
      <c r="F417" s="29" t="s">
        <v>915</v>
      </c>
      <c r="G417" s="20" t="str">
        <f t="shared" si="1"/>
        <v>Arts &amp; Entertainment, Hobbies &amp; Creative Arts, Arts &amp; Crafts, Art &amp; Crafting MaterialsCrafting Fibers</v>
      </c>
    </row>
    <row r="418" hidden="1">
      <c r="A418" s="29">
        <v>6540.0</v>
      </c>
      <c r="B418" s="29" t="s">
        <v>895</v>
      </c>
      <c r="C418" s="29" t="s">
        <v>897</v>
      </c>
      <c r="D418" s="29" t="s">
        <v>898</v>
      </c>
      <c r="E418" s="29" t="s">
        <v>909</v>
      </c>
      <c r="F418" s="29" t="s">
        <v>915</v>
      </c>
      <c r="G418" s="20" t="str">
        <f t="shared" si="1"/>
        <v>Arts &amp; Entertainment, Hobbies &amp; Creative Arts, Arts &amp; Crafts, Art &amp; Crafting MaterialsCrafting Fibers</v>
      </c>
    </row>
    <row r="419" hidden="1">
      <c r="A419" s="29">
        <v>49.0</v>
      </c>
      <c r="B419" s="29" t="s">
        <v>895</v>
      </c>
      <c r="C419" s="29" t="s">
        <v>897</v>
      </c>
      <c r="D419" s="29" t="s">
        <v>898</v>
      </c>
      <c r="E419" s="29" t="s">
        <v>909</v>
      </c>
      <c r="F419" s="29" t="s">
        <v>915</v>
      </c>
      <c r="G419" s="20" t="str">
        <f t="shared" si="1"/>
        <v>Arts &amp; Entertainment, Hobbies &amp; Creative Arts, Arts &amp; Crafts, Art &amp; Crafting MaterialsCrafting Fibers</v>
      </c>
    </row>
    <row r="420" hidden="1">
      <c r="A420" s="29">
        <v>6140.0</v>
      </c>
      <c r="B420" s="29" t="s">
        <v>895</v>
      </c>
      <c r="C420" s="29" t="s">
        <v>897</v>
      </c>
      <c r="D420" s="29" t="s">
        <v>898</v>
      </c>
      <c r="E420" s="29" t="s">
        <v>909</v>
      </c>
      <c r="F420" s="29" t="s">
        <v>915</v>
      </c>
      <c r="G420" s="20" t="str">
        <f t="shared" si="1"/>
        <v>Arts &amp; Entertainment, Hobbies &amp; Creative Arts, Arts &amp; Crafts, Art &amp; Crafting MaterialsCrafting Fibers</v>
      </c>
    </row>
    <row r="421" hidden="1">
      <c r="A421" s="29">
        <v>2669.0</v>
      </c>
      <c r="B421" s="29" t="s">
        <v>895</v>
      </c>
      <c r="C421" s="29" t="s">
        <v>897</v>
      </c>
      <c r="D421" s="29" t="s">
        <v>898</v>
      </c>
      <c r="E421" s="29" t="s">
        <v>909</v>
      </c>
      <c r="F421" s="29" t="s">
        <v>915</v>
      </c>
      <c r="G421" s="20" t="str">
        <f t="shared" si="1"/>
        <v>Arts &amp; Entertainment, Hobbies &amp; Creative Arts, Arts &amp; Crafts, Art &amp; Crafting MaterialsCrafting Fibers</v>
      </c>
    </row>
    <row r="422" hidden="1">
      <c r="A422" s="29">
        <v>505377.0</v>
      </c>
      <c r="B422" s="29" t="s">
        <v>895</v>
      </c>
      <c r="C422" s="29" t="s">
        <v>897</v>
      </c>
      <c r="D422" s="29" t="s">
        <v>898</v>
      </c>
      <c r="E422" s="29" t="s">
        <v>909</v>
      </c>
      <c r="F422" s="29" t="s">
        <v>916</v>
      </c>
      <c r="G422" s="20" t="str">
        <f t="shared" si="1"/>
        <v>Arts &amp; Entertainment, Hobbies &amp; Creative Arts, Arts &amp; Crafts, Art &amp; Crafting MaterialsCrafting Wire</v>
      </c>
    </row>
    <row r="423" hidden="1">
      <c r="A423" s="29">
        <v>5062.0</v>
      </c>
      <c r="B423" s="29" t="s">
        <v>895</v>
      </c>
      <c r="C423" s="29" t="s">
        <v>897</v>
      </c>
      <c r="D423" s="29" t="s">
        <v>898</v>
      </c>
      <c r="E423" s="29" t="s">
        <v>909</v>
      </c>
      <c r="F423" s="29" t="s">
        <v>916</v>
      </c>
      <c r="G423" s="20" t="str">
        <f t="shared" si="1"/>
        <v>Arts &amp; Entertainment, Hobbies &amp; Creative Arts, Arts &amp; Crafts, Art &amp; Crafting MaterialsCrafting Wire</v>
      </c>
    </row>
    <row r="424" hidden="1">
      <c r="A424" s="29">
        <v>505418.0</v>
      </c>
      <c r="B424" s="29" t="s">
        <v>895</v>
      </c>
      <c r="C424" s="29" t="s">
        <v>897</v>
      </c>
      <c r="D424" s="29" t="s">
        <v>898</v>
      </c>
      <c r="E424" s="29" t="s">
        <v>909</v>
      </c>
      <c r="F424" s="29" t="s">
        <v>916</v>
      </c>
      <c r="G424" s="20" t="str">
        <f t="shared" si="1"/>
        <v>Arts &amp; Entertainment, Hobbies &amp; Creative Arts, Arts &amp; Crafts, Art &amp; Crafting MaterialsCrafting Wire</v>
      </c>
    </row>
    <row r="425" hidden="1">
      <c r="A425" s="29">
        <v>6102.0</v>
      </c>
      <c r="B425" s="29" t="s">
        <v>895</v>
      </c>
      <c r="C425" s="29" t="s">
        <v>897</v>
      </c>
      <c r="D425" s="29" t="s">
        <v>898</v>
      </c>
      <c r="E425" s="29" t="s">
        <v>909</v>
      </c>
      <c r="F425" s="29" t="s">
        <v>916</v>
      </c>
      <c r="G425" s="20" t="str">
        <f t="shared" si="1"/>
        <v>Arts &amp; Entertainment, Hobbies &amp; Creative Arts, Arts &amp; Crafts, Art &amp; Crafting MaterialsCrafting Wire</v>
      </c>
    </row>
    <row r="426" hidden="1">
      <c r="A426" s="29">
        <v>505379.0</v>
      </c>
      <c r="B426" s="29" t="s">
        <v>895</v>
      </c>
      <c r="C426" s="29" t="s">
        <v>897</v>
      </c>
      <c r="D426" s="29" t="s">
        <v>898</v>
      </c>
      <c r="E426" s="29" t="s">
        <v>909</v>
      </c>
      <c r="F426" s="29" t="s">
        <v>917</v>
      </c>
      <c r="G426" s="20" t="str">
        <f t="shared" si="1"/>
        <v>Arts &amp; Entertainment, Hobbies &amp; Creative Arts, Arts &amp; Crafts, Art &amp; Crafting MaterialsEmbellishments &amp; Trims</v>
      </c>
    </row>
    <row r="427" hidden="1">
      <c r="A427" s="29">
        <v>6955.0</v>
      </c>
      <c r="B427" s="29" t="s">
        <v>895</v>
      </c>
      <c r="C427" s="29" t="s">
        <v>897</v>
      </c>
      <c r="D427" s="29" t="s">
        <v>898</v>
      </c>
      <c r="E427" s="29" t="s">
        <v>909</v>
      </c>
      <c r="F427" s="29" t="s">
        <v>917</v>
      </c>
      <c r="G427" s="20" t="str">
        <f t="shared" si="1"/>
        <v>Arts &amp; Entertainment, Hobbies &amp; Creative Arts, Arts &amp; Crafts, Art &amp; Crafting MaterialsEmbellishments &amp; Trims</v>
      </c>
    </row>
    <row r="428" hidden="1">
      <c r="A428" s="29">
        <v>32.0</v>
      </c>
      <c r="B428" s="29" t="s">
        <v>895</v>
      </c>
      <c r="C428" s="29" t="s">
        <v>897</v>
      </c>
      <c r="D428" s="29" t="s">
        <v>898</v>
      </c>
      <c r="E428" s="29" t="s">
        <v>909</v>
      </c>
      <c r="F428" s="29" t="s">
        <v>917</v>
      </c>
      <c r="G428" s="20" t="str">
        <f t="shared" si="1"/>
        <v>Arts &amp; Entertainment, Hobbies &amp; Creative Arts, Arts &amp; Crafts, Art &amp; Crafting MaterialsEmbellishments &amp; Trims</v>
      </c>
    </row>
    <row r="429" hidden="1">
      <c r="A429" s="29">
        <v>505413.0</v>
      </c>
      <c r="B429" s="29" t="s">
        <v>895</v>
      </c>
      <c r="C429" s="29" t="s">
        <v>897</v>
      </c>
      <c r="D429" s="29" t="s">
        <v>898</v>
      </c>
      <c r="E429" s="29" t="s">
        <v>909</v>
      </c>
      <c r="F429" s="29" t="s">
        <v>917</v>
      </c>
      <c r="G429" s="20" t="str">
        <f t="shared" si="1"/>
        <v>Arts &amp; Entertainment, Hobbies &amp; Creative Arts, Arts &amp; Crafts, Art &amp; Crafting MaterialsEmbellishments &amp; Trims</v>
      </c>
    </row>
    <row r="430" hidden="1">
      <c r="A430" s="29">
        <v>4054.0</v>
      </c>
      <c r="B430" s="29" t="s">
        <v>895</v>
      </c>
      <c r="C430" s="29" t="s">
        <v>897</v>
      </c>
      <c r="D430" s="29" t="s">
        <v>898</v>
      </c>
      <c r="E430" s="29" t="s">
        <v>909</v>
      </c>
      <c r="F430" s="29" t="s">
        <v>917</v>
      </c>
      <c r="G430" s="20" t="str">
        <f t="shared" si="1"/>
        <v>Arts &amp; Entertainment, Hobbies &amp; Creative Arts, Arts &amp; Crafts, Art &amp; Crafting MaterialsEmbellishments &amp; Trims</v>
      </c>
    </row>
    <row r="431" hidden="1">
      <c r="A431" s="29">
        <v>6146.0</v>
      </c>
      <c r="B431" s="29" t="s">
        <v>895</v>
      </c>
      <c r="C431" s="29" t="s">
        <v>897</v>
      </c>
      <c r="D431" s="29" t="s">
        <v>898</v>
      </c>
      <c r="E431" s="29" t="s">
        <v>909</v>
      </c>
      <c r="F431" s="29" t="s">
        <v>917</v>
      </c>
      <c r="G431" s="20" t="str">
        <f t="shared" si="1"/>
        <v>Arts &amp; Entertainment, Hobbies &amp; Creative Arts, Arts &amp; Crafts, Art &amp; Crafting MaterialsEmbellishments &amp; Trims</v>
      </c>
    </row>
    <row r="432" hidden="1">
      <c r="A432" s="29">
        <v>505411.0</v>
      </c>
      <c r="B432" s="29" t="s">
        <v>895</v>
      </c>
      <c r="C432" s="29" t="s">
        <v>897</v>
      </c>
      <c r="D432" s="29" t="s">
        <v>898</v>
      </c>
      <c r="E432" s="29" t="s">
        <v>909</v>
      </c>
      <c r="F432" s="29" t="s">
        <v>917</v>
      </c>
      <c r="G432" s="20" t="str">
        <f t="shared" si="1"/>
        <v>Arts &amp; Entertainment, Hobbies &amp; Creative Arts, Arts &amp; Crafts, Art &amp; Crafting MaterialsEmbellishments &amp; Trims</v>
      </c>
    </row>
    <row r="433" hidden="1">
      <c r="A433" s="29">
        <v>5996.0</v>
      </c>
      <c r="B433" s="29" t="s">
        <v>895</v>
      </c>
      <c r="C433" s="29" t="s">
        <v>897</v>
      </c>
      <c r="D433" s="29" t="s">
        <v>898</v>
      </c>
      <c r="E433" s="29" t="s">
        <v>909</v>
      </c>
      <c r="F433" s="29" t="s">
        <v>917</v>
      </c>
      <c r="G433" s="20" t="str">
        <f t="shared" si="1"/>
        <v>Arts &amp; Entertainment, Hobbies &amp; Creative Arts, Arts &amp; Crafts, Art &amp; Crafting MaterialsEmbellishments &amp; Trims</v>
      </c>
    </row>
    <row r="434" hidden="1">
      <c r="A434" s="29">
        <v>198.0</v>
      </c>
      <c r="B434" s="29" t="s">
        <v>895</v>
      </c>
      <c r="C434" s="29" t="s">
        <v>897</v>
      </c>
      <c r="D434" s="29" t="s">
        <v>898</v>
      </c>
      <c r="E434" s="29" t="s">
        <v>909</v>
      </c>
      <c r="F434" s="29" t="s">
        <v>917</v>
      </c>
      <c r="G434" s="20" t="str">
        <f t="shared" si="1"/>
        <v>Arts &amp; Entertainment, Hobbies &amp; Creative Arts, Arts &amp; Crafts, Art &amp; Crafting MaterialsEmbellishments &amp; Trims</v>
      </c>
    </row>
    <row r="435" hidden="1">
      <c r="A435" s="29">
        <v>5982.0</v>
      </c>
      <c r="B435" s="29" t="s">
        <v>895</v>
      </c>
      <c r="C435" s="29" t="s">
        <v>897</v>
      </c>
      <c r="D435" s="29" t="s">
        <v>898</v>
      </c>
      <c r="E435" s="29" t="s">
        <v>909</v>
      </c>
      <c r="F435" s="29" t="s">
        <v>917</v>
      </c>
      <c r="G435" s="20" t="str">
        <f t="shared" si="1"/>
        <v>Arts &amp; Entertainment, Hobbies &amp; Creative Arts, Arts &amp; Crafts, Art &amp; Crafting MaterialsEmbellishments &amp; Trims</v>
      </c>
    </row>
    <row r="436" hidden="1">
      <c r="A436" s="29">
        <v>505412.0</v>
      </c>
      <c r="B436" s="29" t="s">
        <v>895</v>
      </c>
      <c r="C436" s="29" t="s">
        <v>897</v>
      </c>
      <c r="D436" s="29" t="s">
        <v>898</v>
      </c>
      <c r="E436" s="29" t="s">
        <v>909</v>
      </c>
      <c r="F436" s="29" t="s">
        <v>917</v>
      </c>
      <c r="G436" s="20" t="str">
        <f t="shared" si="1"/>
        <v>Arts &amp; Entertainment, Hobbies &amp; Creative Arts, Arts &amp; Crafts, Art &amp; Crafting MaterialsEmbellishments &amp; Trims</v>
      </c>
    </row>
    <row r="437" hidden="1">
      <c r="A437" s="29">
        <v>505410.0</v>
      </c>
      <c r="B437" s="29" t="s">
        <v>895</v>
      </c>
      <c r="C437" s="29" t="s">
        <v>897</v>
      </c>
      <c r="D437" s="29" t="s">
        <v>898</v>
      </c>
      <c r="E437" s="29" t="s">
        <v>909</v>
      </c>
      <c r="F437" s="29" t="s">
        <v>917</v>
      </c>
      <c r="G437" s="20" t="str">
        <f t="shared" si="1"/>
        <v>Arts &amp; Entertainment, Hobbies &amp; Creative Arts, Arts &amp; Crafts, Art &amp; Crafting MaterialsEmbellishments &amp; Trims</v>
      </c>
    </row>
    <row r="438" hidden="1">
      <c r="A438" s="29">
        <v>1927.0</v>
      </c>
      <c r="B438" s="29" t="s">
        <v>895</v>
      </c>
      <c r="C438" s="29" t="s">
        <v>897</v>
      </c>
      <c r="D438" s="29" t="s">
        <v>898</v>
      </c>
      <c r="E438" s="29" t="s">
        <v>909</v>
      </c>
      <c r="F438" s="29" t="s">
        <v>917</v>
      </c>
      <c r="G438" s="20" t="str">
        <f t="shared" si="1"/>
        <v>Arts &amp; Entertainment, Hobbies &amp; Creative Arts, Arts &amp; Crafts, Art &amp; Crafting MaterialsEmbellishments &amp; Trims</v>
      </c>
    </row>
    <row r="439" hidden="1">
      <c r="A439" s="29">
        <v>6121.0</v>
      </c>
      <c r="B439" s="29" t="s">
        <v>895</v>
      </c>
      <c r="C439" s="29" t="s">
        <v>897</v>
      </c>
      <c r="D439" s="29" t="s">
        <v>898</v>
      </c>
      <c r="E439" s="29" t="s">
        <v>909</v>
      </c>
      <c r="F439" s="29" t="s">
        <v>918</v>
      </c>
      <c r="G439" s="20" t="str">
        <f t="shared" si="1"/>
        <v>Arts &amp; Entertainment, Hobbies &amp; Creative Arts, Arts &amp; Crafts, Art &amp; Crafting MaterialsEmbossing Powder</v>
      </c>
    </row>
    <row r="440" hidden="1">
      <c r="A440" s="29">
        <v>6142.0</v>
      </c>
      <c r="B440" s="29" t="s">
        <v>895</v>
      </c>
      <c r="C440" s="29" t="s">
        <v>897</v>
      </c>
      <c r="D440" s="29" t="s">
        <v>898</v>
      </c>
      <c r="E440" s="29" t="s">
        <v>909</v>
      </c>
      <c r="F440" s="29" t="s">
        <v>919</v>
      </c>
      <c r="G440" s="20" t="str">
        <f t="shared" si="1"/>
        <v>Arts &amp; Entertainment, Hobbies &amp; Creative Arts, Arts &amp; Crafts, Art &amp; Crafting MaterialsFilling &amp; Padding Material</v>
      </c>
    </row>
    <row r="441" hidden="1">
      <c r="A441" s="29">
        <v>505407.0</v>
      </c>
      <c r="B441" s="29" t="s">
        <v>895</v>
      </c>
      <c r="C441" s="29" t="s">
        <v>897</v>
      </c>
      <c r="D441" s="29" t="s">
        <v>898</v>
      </c>
      <c r="E441" s="29" t="s">
        <v>909</v>
      </c>
      <c r="F441" s="29" t="s">
        <v>919</v>
      </c>
      <c r="G441" s="20" t="str">
        <f t="shared" si="1"/>
        <v>Arts &amp; Entertainment, Hobbies &amp; Creative Arts, Arts &amp; Crafts, Art &amp; Crafting MaterialsFilling &amp; Padding Material</v>
      </c>
    </row>
    <row r="442" hidden="1">
      <c r="A442" s="29">
        <v>505406.0</v>
      </c>
      <c r="B442" s="29" t="s">
        <v>895</v>
      </c>
      <c r="C442" s="29" t="s">
        <v>897</v>
      </c>
      <c r="D442" s="29" t="s">
        <v>898</v>
      </c>
      <c r="E442" s="29" t="s">
        <v>909</v>
      </c>
      <c r="F442" s="29" t="s">
        <v>919</v>
      </c>
      <c r="G442" s="20" t="str">
        <f t="shared" si="1"/>
        <v>Arts &amp; Entertainment, Hobbies &amp; Creative Arts, Arts &amp; Crafts, Art &amp; Crafting MaterialsFilling &amp; Padding Material</v>
      </c>
    </row>
    <row r="443" hidden="1">
      <c r="A443" s="29">
        <v>505405.0</v>
      </c>
      <c r="B443" s="29" t="s">
        <v>895</v>
      </c>
      <c r="C443" s="29" t="s">
        <v>897</v>
      </c>
      <c r="D443" s="29" t="s">
        <v>898</v>
      </c>
      <c r="E443" s="29" t="s">
        <v>909</v>
      </c>
      <c r="F443" s="29" t="s">
        <v>919</v>
      </c>
      <c r="G443" s="20" t="str">
        <f t="shared" si="1"/>
        <v>Arts &amp; Entertainment, Hobbies &amp; Creative Arts, Arts &amp; Crafts, Art &amp; Crafting MaterialsFilling &amp; Padding Material</v>
      </c>
    </row>
    <row r="444" hidden="1">
      <c r="A444" s="29">
        <v>505383.0</v>
      </c>
      <c r="B444" s="29" t="s">
        <v>895</v>
      </c>
      <c r="C444" s="29" t="s">
        <v>897</v>
      </c>
      <c r="D444" s="29" t="s">
        <v>898</v>
      </c>
      <c r="E444" s="29" t="s">
        <v>909</v>
      </c>
      <c r="F444" s="29" t="s">
        <v>920</v>
      </c>
      <c r="G444" s="20" t="str">
        <f t="shared" si="1"/>
        <v>Arts &amp; Entertainment, Hobbies &amp; Creative Arts, Arts &amp; Crafts, Art &amp; Crafting MaterialsLeather &amp; Vinyl</v>
      </c>
    </row>
    <row r="445" hidden="1">
      <c r="A445" s="29">
        <v>44.0</v>
      </c>
      <c r="B445" s="29" t="s">
        <v>895</v>
      </c>
      <c r="C445" s="29" t="s">
        <v>897</v>
      </c>
      <c r="D445" s="29" t="s">
        <v>898</v>
      </c>
      <c r="E445" s="29" t="s">
        <v>909</v>
      </c>
      <c r="F445" s="29" t="s">
        <v>921</v>
      </c>
      <c r="G445" s="20" t="str">
        <f t="shared" si="1"/>
        <v>Arts &amp; Entertainment, Hobbies &amp; Creative Arts, Arts &amp; Crafts, Art &amp; Crafting MaterialsPottery &amp; Sculpting Materials</v>
      </c>
    </row>
    <row r="446" hidden="1">
      <c r="A446" s="29">
        <v>3692.0</v>
      </c>
      <c r="B446" s="29" t="s">
        <v>895</v>
      </c>
      <c r="C446" s="29" t="s">
        <v>897</v>
      </c>
      <c r="D446" s="29" t="s">
        <v>898</v>
      </c>
      <c r="E446" s="29" t="s">
        <v>909</v>
      </c>
      <c r="F446" s="29" t="s">
        <v>921</v>
      </c>
      <c r="G446" s="20" t="str">
        <f t="shared" si="1"/>
        <v>Arts &amp; Entertainment, Hobbies &amp; Creative Arts, Arts &amp; Crafts, Art &amp; Crafting MaterialsPottery &amp; Sculpting Materials</v>
      </c>
    </row>
    <row r="447" hidden="1">
      <c r="A447" s="29">
        <v>543628.0</v>
      </c>
      <c r="B447" s="29" t="s">
        <v>895</v>
      </c>
      <c r="C447" s="29" t="s">
        <v>897</v>
      </c>
      <c r="D447" s="29" t="s">
        <v>898</v>
      </c>
      <c r="E447" s="29" t="s">
        <v>909</v>
      </c>
      <c r="F447" s="29" t="s">
        <v>921</v>
      </c>
      <c r="G447" s="20" t="str">
        <f t="shared" si="1"/>
        <v>Arts &amp; Entertainment, Hobbies &amp; Creative Arts, Arts &amp; Crafts, Art &amp; Crafting MaterialsPottery &amp; Sculpting Materials</v>
      </c>
    </row>
    <row r="448" hidden="1">
      <c r="A448" s="29">
        <v>543629.0</v>
      </c>
      <c r="B448" s="29" t="s">
        <v>895</v>
      </c>
      <c r="C448" s="29" t="s">
        <v>897</v>
      </c>
      <c r="D448" s="29" t="s">
        <v>898</v>
      </c>
      <c r="E448" s="29" t="s">
        <v>909</v>
      </c>
      <c r="F448" s="29" t="s">
        <v>921</v>
      </c>
      <c r="G448" s="20" t="str">
        <f t="shared" si="1"/>
        <v>Arts &amp; Entertainment, Hobbies &amp; Creative Arts, Arts &amp; Crafts, Art &amp; Crafting MaterialsPottery &amp; Sculpting Materials</v>
      </c>
    </row>
    <row r="449" hidden="1">
      <c r="A449" s="29">
        <v>505401.0</v>
      </c>
      <c r="B449" s="29" t="s">
        <v>895</v>
      </c>
      <c r="C449" s="29" t="s">
        <v>897</v>
      </c>
      <c r="D449" s="29" t="s">
        <v>898</v>
      </c>
      <c r="E449" s="29" t="s">
        <v>909</v>
      </c>
      <c r="F449" s="29" t="s">
        <v>921</v>
      </c>
      <c r="G449" s="20" t="str">
        <f t="shared" si="1"/>
        <v>Arts &amp; Entertainment, Hobbies &amp; Creative Arts, Arts &amp; Crafts, Art &amp; Crafting MaterialsPottery &amp; Sculpting Materials</v>
      </c>
    </row>
    <row r="450" hidden="1">
      <c r="A450" s="29">
        <v>505804.0</v>
      </c>
      <c r="B450" s="29" t="s">
        <v>895</v>
      </c>
      <c r="C450" s="29" t="s">
        <v>897</v>
      </c>
      <c r="D450" s="29" t="s">
        <v>898</v>
      </c>
      <c r="E450" s="29" t="s">
        <v>909</v>
      </c>
      <c r="F450" s="29" t="s">
        <v>921</v>
      </c>
      <c r="G450" s="20" t="str">
        <f t="shared" si="1"/>
        <v>Arts &amp; Entertainment, Hobbies &amp; Creative Arts, Arts &amp; Crafts, Art &amp; Crafting MaterialsPottery &amp; Sculpting Materials</v>
      </c>
    </row>
    <row r="451" hidden="1">
      <c r="A451" s="29">
        <v>505402.0</v>
      </c>
      <c r="B451" s="29" t="s">
        <v>895</v>
      </c>
      <c r="C451" s="29" t="s">
        <v>897</v>
      </c>
      <c r="D451" s="29" t="s">
        <v>898</v>
      </c>
      <c r="E451" s="29" t="s">
        <v>909</v>
      </c>
      <c r="F451" s="29" t="s">
        <v>921</v>
      </c>
      <c r="G451" s="20" t="str">
        <f t="shared" si="1"/>
        <v>Arts &amp; Entertainment, Hobbies &amp; Creative Arts, Arts &amp; Crafts, Art &amp; Crafting MaterialsPottery &amp; Sculpting Materials</v>
      </c>
    </row>
    <row r="452" hidden="1">
      <c r="A452" s="29">
        <v>505375.0</v>
      </c>
      <c r="B452" s="29" t="s">
        <v>895</v>
      </c>
      <c r="C452" s="29" t="s">
        <v>897</v>
      </c>
      <c r="D452" s="29" t="s">
        <v>898</v>
      </c>
      <c r="E452" s="29" t="s">
        <v>909</v>
      </c>
      <c r="F452" s="29" t="s">
        <v>922</v>
      </c>
      <c r="G452" s="20" t="str">
        <f t="shared" si="1"/>
        <v>Arts &amp; Entertainment, Hobbies &amp; Creative Arts, Arts &amp; Crafts, Art &amp; Crafting MaterialsRaw Candle Wax</v>
      </c>
    </row>
    <row r="453" hidden="1">
      <c r="A453" s="29">
        <v>505384.0</v>
      </c>
      <c r="B453" s="29" t="s">
        <v>895</v>
      </c>
      <c r="C453" s="29" t="s">
        <v>897</v>
      </c>
      <c r="D453" s="29" t="s">
        <v>898</v>
      </c>
      <c r="E453" s="29" t="s">
        <v>909</v>
      </c>
      <c r="F453" s="29" t="s">
        <v>923</v>
      </c>
      <c r="G453" s="20" t="str">
        <f t="shared" si="1"/>
        <v>Arts &amp; Entertainment, Hobbies &amp; Creative Arts, Arts &amp; Crafts, Art &amp; Crafting MaterialsTextiles</v>
      </c>
    </row>
    <row r="454" hidden="1">
      <c r="A454" s="29">
        <v>505397.0</v>
      </c>
      <c r="B454" s="29" t="s">
        <v>895</v>
      </c>
      <c r="C454" s="29" t="s">
        <v>897</v>
      </c>
      <c r="D454" s="29" t="s">
        <v>898</v>
      </c>
      <c r="E454" s="29" t="s">
        <v>909</v>
      </c>
      <c r="F454" s="29" t="s">
        <v>923</v>
      </c>
      <c r="G454" s="20" t="str">
        <f t="shared" si="1"/>
        <v>Arts &amp; Entertainment, Hobbies &amp; Creative Arts, Arts &amp; Crafts, Art &amp; Crafting MaterialsTextiles</v>
      </c>
    </row>
    <row r="455" hidden="1">
      <c r="A455" s="29">
        <v>505398.0</v>
      </c>
      <c r="B455" s="29" t="s">
        <v>895</v>
      </c>
      <c r="C455" s="29" t="s">
        <v>897</v>
      </c>
      <c r="D455" s="29" t="s">
        <v>898</v>
      </c>
      <c r="E455" s="29" t="s">
        <v>909</v>
      </c>
      <c r="F455" s="29" t="s">
        <v>923</v>
      </c>
      <c r="G455" s="20" t="str">
        <f t="shared" si="1"/>
        <v>Arts &amp; Entertainment, Hobbies &amp; Creative Arts, Arts &amp; Crafts, Art &amp; Crafting MaterialsTextiles</v>
      </c>
    </row>
    <row r="456" hidden="1">
      <c r="A456" s="29">
        <v>19.0</v>
      </c>
      <c r="B456" s="29" t="s">
        <v>895</v>
      </c>
      <c r="C456" s="29" t="s">
        <v>897</v>
      </c>
      <c r="D456" s="29" t="s">
        <v>898</v>
      </c>
      <c r="E456" s="29" t="s">
        <v>909</v>
      </c>
      <c r="F456" s="29" t="s">
        <v>923</v>
      </c>
      <c r="G456" s="20" t="str">
        <f t="shared" si="1"/>
        <v>Arts &amp; Entertainment, Hobbies &amp; Creative Arts, Arts &amp; Crafts, Art &amp; Crafting MaterialsTextiles</v>
      </c>
    </row>
    <row r="457" hidden="1">
      <c r="A457" s="29">
        <v>6144.0</v>
      </c>
      <c r="B457" s="29" t="s">
        <v>895</v>
      </c>
      <c r="C457" s="29" t="s">
        <v>897</v>
      </c>
      <c r="D457" s="29" t="s">
        <v>898</v>
      </c>
      <c r="E457" s="29" t="s">
        <v>909</v>
      </c>
      <c r="F457" s="29" t="s">
        <v>923</v>
      </c>
      <c r="G457" s="20" t="str">
        <f t="shared" si="1"/>
        <v>Arts &amp; Entertainment, Hobbies &amp; Creative Arts, Arts &amp; Crafts, Art &amp; Crafting MaterialsTextiles</v>
      </c>
    </row>
    <row r="458" hidden="1">
      <c r="A458" s="29">
        <v>47.0</v>
      </c>
      <c r="B458" s="29" t="s">
        <v>895</v>
      </c>
      <c r="C458" s="29" t="s">
        <v>897</v>
      </c>
      <c r="D458" s="29" t="s">
        <v>898</v>
      </c>
      <c r="E458" s="29" t="s">
        <v>909</v>
      </c>
      <c r="F458" s="29" t="s">
        <v>923</v>
      </c>
      <c r="G458" s="20" t="str">
        <f t="shared" si="1"/>
        <v>Arts &amp; Entertainment, Hobbies &amp; Creative Arts, Arts &amp; Crafts, Art &amp; Crafting MaterialsTextiles</v>
      </c>
    </row>
    <row r="459" hidden="1">
      <c r="A459" s="29">
        <v>7076.0</v>
      </c>
      <c r="B459" s="29" t="s">
        <v>895</v>
      </c>
      <c r="C459" s="29" t="s">
        <v>897</v>
      </c>
      <c r="D459" s="29" t="s">
        <v>898</v>
      </c>
      <c r="E459" s="29" t="s">
        <v>909</v>
      </c>
      <c r="F459" s="29" t="s">
        <v>923</v>
      </c>
      <c r="G459" s="20" t="str">
        <f t="shared" si="1"/>
        <v>Arts &amp; Entertainment, Hobbies &amp; Creative Arts, Arts &amp; Crafts, Art &amp; Crafting MaterialsTextiles</v>
      </c>
    </row>
    <row r="460" hidden="1">
      <c r="A460" s="29">
        <v>505396.0</v>
      </c>
      <c r="B460" s="29" t="s">
        <v>895</v>
      </c>
      <c r="C460" s="29" t="s">
        <v>897</v>
      </c>
      <c r="D460" s="29" t="s">
        <v>898</v>
      </c>
      <c r="E460" s="29" t="s">
        <v>909</v>
      </c>
      <c r="F460" s="29" t="s">
        <v>923</v>
      </c>
      <c r="G460" s="20" t="str">
        <f t="shared" si="1"/>
        <v>Arts &amp; Entertainment, Hobbies &amp; Creative Arts, Arts &amp; Crafts, Art &amp; Crafting MaterialsTextiles</v>
      </c>
    </row>
    <row r="461" hidden="1">
      <c r="A461" s="29">
        <v>7403.0</v>
      </c>
      <c r="B461" s="29" t="s">
        <v>895</v>
      </c>
      <c r="C461" s="29" t="s">
        <v>897</v>
      </c>
      <c r="D461" s="29" t="s">
        <v>898</v>
      </c>
      <c r="E461" s="29" t="s">
        <v>909</v>
      </c>
      <c r="F461" s="29" t="s">
        <v>924</v>
      </c>
      <c r="G461" s="20" t="str">
        <f t="shared" si="1"/>
        <v>Arts &amp; Entertainment, Hobbies &amp; Creative Arts, Arts &amp; Crafts, Art &amp; Crafting MaterialsWick Tabs</v>
      </c>
    </row>
    <row r="462" hidden="1">
      <c r="A462" s="29">
        <v>7402.0</v>
      </c>
      <c r="B462" s="29" t="s">
        <v>895</v>
      </c>
      <c r="C462" s="29" t="s">
        <v>897</v>
      </c>
      <c r="D462" s="29" t="s">
        <v>898</v>
      </c>
      <c r="E462" s="29" t="s">
        <v>909</v>
      </c>
      <c r="F462" s="29" t="s">
        <v>925</v>
      </c>
      <c r="G462" s="20" t="str">
        <f t="shared" si="1"/>
        <v>Arts &amp; Entertainment, Hobbies &amp; Creative Arts, Arts &amp; Crafts, Art &amp; Crafting MaterialsWicks</v>
      </c>
    </row>
    <row r="463" hidden="1">
      <c r="A463" s="29">
        <v>504643.0</v>
      </c>
      <c r="B463" s="29" t="s">
        <v>895</v>
      </c>
      <c r="C463" s="29" t="s">
        <v>897</v>
      </c>
      <c r="D463" s="29" t="s">
        <v>898</v>
      </c>
      <c r="E463" s="29" t="s">
        <v>926</v>
      </c>
      <c r="F463" s="62"/>
      <c r="G463" s="20" t="str">
        <f t="shared" si="1"/>
        <v>Arts &amp; Entertainment, Hobbies &amp; Creative Arts, Arts &amp; Crafts, Art &amp; Crafting Tool Accessories</v>
      </c>
    </row>
    <row r="464" hidden="1">
      <c r="A464" s="29">
        <v>232168.0</v>
      </c>
      <c r="B464" s="29" t="s">
        <v>895</v>
      </c>
      <c r="C464" s="29" t="s">
        <v>897</v>
      </c>
      <c r="D464" s="29" t="s">
        <v>898</v>
      </c>
      <c r="E464" s="29" t="s">
        <v>926</v>
      </c>
      <c r="F464" s="29" t="s">
        <v>927</v>
      </c>
      <c r="G464" s="20" t="str">
        <f t="shared" si="1"/>
        <v>Arts &amp; Entertainment, Hobbies &amp; Creative Arts, Arts &amp; Crafts, Art &amp; Crafting Tool AccessoriesCraft Knife Blades</v>
      </c>
    </row>
    <row r="465" hidden="1">
      <c r="A465" s="29">
        <v>4580.0</v>
      </c>
      <c r="B465" s="29" t="s">
        <v>895</v>
      </c>
      <c r="C465" s="29" t="s">
        <v>897</v>
      </c>
      <c r="D465" s="29" t="s">
        <v>898</v>
      </c>
      <c r="E465" s="29" t="s">
        <v>926</v>
      </c>
      <c r="F465" s="29" t="s">
        <v>928</v>
      </c>
      <c r="G465" s="20" t="str">
        <f t="shared" si="1"/>
        <v>Arts &amp; Entertainment, Hobbies &amp; Creative Arts, Arts &amp; Crafts, Art &amp; Crafting Tool AccessoriesCraft Machine Cases &amp; Covers</v>
      </c>
    </row>
    <row r="466" hidden="1">
      <c r="A466" s="29">
        <v>505286.0</v>
      </c>
      <c r="B466" s="29" t="s">
        <v>895</v>
      </c>
      <c r="C466" s="29" t="s">
        <v>897</v>
      </c>
      <c r="D466" s="29" t="s">
        <v>898</v>
      </c>
      <c r="E466" s="29" t="s">
        <v>926</v>
      </c>
      <c r="F466" s="29" t="s">
        <v>929</v>
      </c>
      <c r="G466" s="20" t="str">
        <f t="shared" si="1"/>
        <v>Arts &amp; Entertainment, Hobbies &amp; Creative Arts, Arts &amp; Crafts, Art &amp; Crafting Tool AccessoriesSewing Machine Extension Tables</v>
      </c>
    </row>
    <row r="467" hidden="1">
      <c r="A467" s="29">
        <v>5120.0</v>
      </c>
      <c r="B467" s="29" t="s">
        <v>895</v>
      </c>
      <c r="C467" s="29" t="s">
        <v>897</v>
      </c>
      <c r="D467" s="29" t="s">
        <v>898</v>
      </c>
      <c r="E467" s="29" t="s">
        <v>926</v>
      </c>
      <c r="F467" s="29" t="s">
        <v>930</v>
      </c>
      <c r="G467" s="20" t="str">
        <f t="shared" si="1"/>
        <v>Arts &amp; Entertainment, Hobbies &amp; Creative Arts, Arts &amp; Crafts, Art &amp; Crafting Tool AccessoriesSewing Machine Feet</v>
      </c>
    </row>
    <row r="468" hidden="1">
      <c r="A468" s="29">
        <v>503348.0</v>
      </c>
      <c r="B468" s="29" t="s">
        <v>895</v>
      </c>
      <c r="C468" s="29" t="s">
        <v>897</v>
      </c>
      <c r="D468" s="29" t="s">
        <v>898</v>
      </c>
      <c r="E468" s="29" t="s">
        <v>926</v>
      </c>
      <c r="F468" s="29" t="s">
        <v>931</v>
      </c>
      <c r="G468" s="20" t="str">
        <f t="shared" si="1"/>
        <v>Arts &amp; Entertainment, Hobbies &amp; Creative Arts, Arts &amp; Crafts, Art &amp; Crafting Tool AccessoriesSewing Machine Replacement Parts</v>
      </c>
    </row>
    <row r="469" hidden="1">
      <c r="A469" s="29">
        <v>6136.0</v>
      </c>
      <c r="B469" s="29" t="s">
        <v>895</v>
      </c>
      <c r="C469" s="29" t="s">
        <v>897</v>
      </c>
      <c r="D469" s="29" t="s">
        <v>898</v>
      </c>
      <c r="E469" s="29" t="s">
        <v>926</v>
      </c>
      <c r="F469" s="29" t="s">
        <v>932</v>
      </c>
      <c r="G469" s="20" t="str">
        <f t="shared" si="1"/>
        <v>Arts &amp; Entertainment, Hobbies &amp; Creative Arts, Arts &amp; Crafts, Art &amp; Crafting Tool AccessoriesSpinning Wheel Accessories</v>
      </c>
    </row>
    <row r="470" hidden="1">
      <c r="A470" s="29">
        <v>499918.0</v>
      </c>
      <c r="B470" s="29" t="s">
        <v>895</v>
      </c>
      <c r="C470" s="29" t="s">
        <v>897</v>
      </c>
      <c r="D470" s="29" t="s">
        <v>898</v>
      </c>
      <c r="E470" s="29" t="s">
        <v>926</v>
      </c>
      <c r="F470" s="29" t="s">
        <v>933</v>
      </c>
      <c r="G470" s="20" t="str">
        <f t="shared" si="1"/>
        <v>Arts &amp; Entertainment, Hobbies &amp; Creative Arts, Arts &amp; Crafts, Art &amp; Crafting Tool AccessoriesStamp Blocks</v>
      </c>
    </row>
    <row r="471" hidden="1">
      <c r="A471" s="29">
        <v>504639.0</v>
      </c>
      <c r="B471" s="29" t="s">
        <v>895</v>
      </c>
      <c r="C471" s="29" t="s">
        <v>897</v>
      </c>
      <c r="D471" s="29" t="s">
        <v>898</v>
      </c>
      <c r="E471" s="29" t="s">
        <v>934</v>
      </c>
      <c r="F471" s="62"/>
      <c r="G471" s="20" t="str">
        <f t="shared" si="1"/>
        <v>Arts &amp; Entertainment, Hobbies &amp; Creative Arts, Arts &amp; Crafts, Art &amp; Crafting Tools</v>
      </c>
    </row>
    <row r="472" hidden="1">
      <c r="A472" s="29">
        <v>6152.0</v>
      </c>
      <c r="B472" s="29" t="s">
        <v>895</v>
      </c>
      <c r="C472" s="29" t="s">
        <v>897</v>
      </c>
      <c r="D472" s="29" t="s">
        <v>898</v>
      </c>
      <c r="E472" s="29" t="s">
        <v>934</v>
      </c>
      <c r="F472" s="29" t="s">
        <v>935</v>
      </c>
      <c r="G472" s="20" t="str">
        <f t="shared" si="1"/>
        <v>Arts &amp; Entertainment, Hobbies &amp; Creative Arts, Arts &amp; Crafts, Art &amp; Crafting ToolsBlocking Mats</v>
      </c>
    </row>
    <row r="473" hidden="1">
      <c r="A473" s="29">
        <v>6151.0</v>
      </c>
      <c r="B473" s="29" t="s">
        <v>895</v>
      </c>
      <c r="C473" s="29" t="s">
        <v>897</v>
      </c>
      <c r="D473" s="29" t="s">
        <v>898</v>
      </c>
      <c r="E473" s="29" t="s">
        <v>934</v>
      </c>
      <c r="F473" s="29" t="s">
        <v>936</v>
      </c>
      <c r="G473" s="20" t="str">
        <f t="shared" si="1"/>
        <v>Arts &amp; Entertainment, Hobbies &amp; Creative Arts, Arts &amp; Crafts, Art &amp; Crafting ToolsBlocking Wires</v>
      </c>
    </row>
    <row r="474" hidden="1">
      <c r="A474" s="29">
        <v>505391.0</v>
      </c>
      <c r="B474" s="29" t="s">
        <v>895</v>
      </c>
      <c r="C474" s="29" t="s">
        <v>897</v>
      </c>
      <c r="D474" s="29" t="s">
        <v>898</v>
      </c>
      <c r="E474" s="29" t="s">
        <v>934</v>
      </c>
      <c r="F474" s="29" t="s">
        <v>937</v>
      </c>
      <c r="G474" s="20" t="str">
        <f t="shared" si="1"/>
        <v>Arts &amp; Entertainment, Hobbies &amp; Creative Arts, Arts &amp; Crafts, Art &amp; Crafting ToolsColor Mixing Tools</v>
      </c>
    </row>
    <row r="475" hidden="1">
      <c r="A475" s="29">
        <v>1653.0</v>
      </c>
      <c r="B475" s="29" t="s">
        <v>895</v>
      </c>
      <c r="C475" s="29" t="s">
        <v>897</v>
      </c>
      <c r="D475" s="29" t="s">
        <v>898</v>
      </c>
      <c r="E475" s="29" t="s">
        <v>934</v>
      </c>
      <c r="F475" s="29" t="s">
        <v>937</v>
      </c>
      <c r="G475" s="20" t="str">
        <f t="shared" si="1"/>
        <v>Arts &amp; Entertainment, Hobbies &amp; Creative Arts, Arts &amp; Crafts, Art &amp; Crafting ToolsColor Mixing Tools</v>
      </c>
    </row>
    <row r="476" hidden="1">
      <c r="A476" s="29">
        <v>1719.0</v>
      </c>
      <c r="B476" s="29" t="s">
        <v>895</v>
      </c>
      <c r="C476" s="29" t="s">
        <v>897</v>
      </c>
      <c r="D476" s="29" t="s">
        <v>898</v>
      </c>
      <c r="E476" s="29" t="s">
        <v>934</v>
      </c>
      <c r="F476" s="29" t="s">
        <v>937</v>
      </c>
      <c r="G476" s="20" t="str">
        <f t="shared" si="1"/>
        <v>Arts &amp; Entertainment, Hobbies &amp; Creative Arts, Arts &amp; Crafts, Art &amp; Crafting ToolsColor Mixing Tools</v>
      </c>
    </row>
    <row r="477" hidden="1">
      <c r="A477" s="29">
        <v>504640.0</v>
      </c>
      <c r="B477" s="29" t="s">
        <v>895</v>
      </c>
      <c r="C477" s="29" t="s">
        <v>897</v>
      </c>
      <c r="D477" s="29" t="s">
        <v>898</v>
      </c>
      <c r="E477" s="29" t="s">
        <v>934</v>
      </c>
      <c r="F477" s="29" t="s">
        <v>938</v>
      </c>
      <c r="G477" s="20" t="str">
        <f t="shared" si="1"/>
        <v>Arts &amp; Entertainment, Hobbies &amp; Creative Arts, Arts &amp; Crafts, Art &amp; Crafting ToolsCraft Cutting &amp; Embossing Tools</v>
      </c>
    </row>
    <row r="478" hidden="1">
      <c r="A478" s="29">
        <v>504641.0</v>
      </c>
      <c r="B478" s="29" t="s">
        <v>895</v>
      </c>
      <c r="C478" s="29" t="s">
        <v>897</v>
      </c>
      <c r="D478" s="29" t="s">
        <v>898</v>
      </c>
      <c r="E478" s="29" t="s">
        <v>934</v>
      </c>
      <c r="F478" s="29" t="s">
        <v>938</v>
      </c>
      <c r="G478" s="20" t="str">
        <f t="shared" si="1"/>
        <v>Arts &amp; Entertainment, Hobbies &amp; Creative Arts, Arts &amp; Crafts, Art &amp; Crafting ToolsCraft Cutting &amp; Embossing Tools</v>
      </c>
    </row>
    <row r="479" hidden="1">
      <c r="A479" s="29">
        <v>504642.0</v>
      </c>
      <c r="B479" s="29" t="s">
        <v>895</v>
      </c>
      <c r="C479" s="29" t="s">
        <v>897</v>
      </c>
      <c r="D479" s="29" t="s">
        <v>898</v>
      </c>
      <c r="E479" s="29" t="s">
        <v>934</v>
      </c>
      <c r="F479" s="29" t="s">
        <v>938</v>
      </c>
      <c r="G479" s="20" t="str">
        <f t="shared" si="1"/>
        <v>Arts &amp; Entertainment, Hobbies &amp; Creative Arts, Arts &amp; Crafts, Art &amp; Crafting ToolsCraft Cutting &amp; Embossing Tools</v>
      </c>
    </row>
    <row r="480" hidden="1">
      <c r="A480" s="29">
        <v>5136.0</v>
      </c>
      <c r="B480" s="29" t="s">
        <v>895</v>
      </c>
      <c r="C480" s="29" t="s">
        <v>897</v>
      </c>
      <c r="D480" s="29" t="s">
        <v>898</v>
      </c>
      <c r="E480" s="29" t="s">
        <v>934</v>
      </c>
      <c r="F480" s="29" t="s">
        <v>938</v>
      </c>
      <c r="G480" s="20" t="str">
        <f t="shared" si="1"/>
        <v>Arts &amp; Entertainment, Hobbies &amp; Creative Arts, Arts &amp; Crafts, Art &amp; Crafting ToolsCraft Cutting &amp; Embossing Tools</v>
      </c>
    </row>
    <row r="481" hidden="1">
      <c r="A481" s="29">
        <v>6119.0</v>
      </c>
      <c r="B481" s="29" t="s">
        <v>895</v>
      </c>
      <c r="C481" s="29" t="s">
        <v>897</v>
      </c>
      <c r="D481" s="29" t="s">
        <v>898</v>
      </c>
      <c r="E481" s="29" t="s">
        <v>934</v>
      </c>
      <c r="F481" s="29" t="s">
        <v>938</v>
      </c>
      <c r="G481" s="20" t="str">
        <f t="shared" si="1"/>
        <v>Arts &amp; Entertainment, Hobbies &amp; Creative Arts, Arts &amp; Crafts, Art &amp; Crafting ToolsCraft Cutting &amp; Embossing Tools</v>
      </c>
    </row>
    <row r="482" hidden="1">
      <c r="A482" s="29">
        <v>7340.0</v>
      </c>
      <c r="B482" s="29" t="s">
        <v>895</v>
      </c>
      <c r="C482" s="29" t="s">
        <v>897</v>
      </c>
      <c r="D482" s="29" t="s">
        <v>898</v>
      </c>
      <c r="E482" s="29" t="s">
        <v>934</v>
      </c>
      <c r="F482" s="29" t="s">
        <v>938</v>
      </c>
      <c r="G482" s="20" t="str">
        <f t="shared" si="1"/>
        <v>Arts &amp; Entertainment, Hobbies &amp; Creative Arts, Arts &amp; Crafts, Art &amp; Crafting ToolsCraft Cutting &amp; Embossing Tools</v>
      </c>
    </row>
    <row r="483" hidden="1">
      <c r="A483" s="29">
        <v>6122.0</v>
      </c>
      <c r="B483" s="29" t="s">
        <v>895</v>
      </c>
      <c r="C483" s="29" t="s">
        <v>897</v>
      </c>
      <c r="D483" s="29" t="s">
        <v>898</v>
      </c>
      <c r="E483" s="29" t="s">
        <v>934</v>
      </c>
      <c r="F483" s="29" t="s">
        <v>938</v>
      </c>
      <c r="G483" s="20" t="str">
        <f t="shared" si="1"/>
        <v>Arts &amp; Entertainment, Hobbies &amp; Creative Arts, Arts &amp; Crafts, Art &amp; Crafting ToolsCraft Cutting &amp; Embossing Tools</v>
      </c>
    </row>
    <row r="484" hidden="1">
      <c r="A484" s="29">
        <v>6161.0</v>
      </c>
      <c r="B484" s="29" t="s">
        <v>895</v>
      </c>
      <c r="C484" s="29" t="s">
        <v>897</v>
      </c>
      <c r="D484" s="29" t="s">
        <v>898</v>
      </c>
      <c r="E484" s="29" t="s">
        <v>934</v>
      </c>
      <c r="F484" s="29" t="s">
        <v>938</v>
      </c>
      <c r="G484" s="20" t="str">
        <f t="shared" si="1"/>
        <v>Arts &amp; Entertainment, Hobbies &amp; Creative Arts, Arts &amp; Crafts, Art &amp; Crafting ToolsCraft Cutting &amp; Embossing Tools</v>
      </c>
    </row>
    <row r="485" hidden="1">
      <c r="A485" s="29">
        <v>6447.0</v>
      </c>
      <c r="B485" s="29" t="s">
        <v>895</v>
      </c>
      <c r="C485" s="29" t="s">
        <v>897</v>
      </c>
      <c r="D485" s="29" t="s">
        <v>898</v>
      </c>
      <c r="E485" s="29" t="s">
        <v>934</v>
      </c>
      <c r="F485" s="29" t="s">
        <v>938</v>
      </c>
      <c r="G485" s="20" t="str">
        <f t="shared" si="1"/>
        <v>Arts &amp; Entertainment, Hobbies &amp; Creative Arts, Arts &amp; Crafts, Art &amp; Crafting ToolsCraft Cutting &amp; Embossing Tools</v>
      </c>
    </row>
    <row r="486" hidden="1">
      <c r="A486" s="29">
        <v>505386.0</v>
      </c>
      <c r="B486" s="29" t="s">
        <v>895</v>
      </c>
      <c r="C486" s="29" t="s">
        <v>897</v>
      </c>
      <c r="D486" s="29" t="s">
        <v>898</v>
      </c>
      <c r="E486" s="29" t="s">
        <v>934</v>
      </c>
      <c r="F486" s="29" t="s">
        <v>939</v>
      </c>
      <c r="G486" s="20" t="str">
        <f t="shared" si="1"/>
        <v>Arts &amp; Entertainment, Hobbies &amp; Creative Arts, Arts &amp; Crafts, Art &amp; Crafting ToolsCraft Decoration Makers</v>
      </c>
    </row>
    <row r="487" hidden="1">
      <c r="A487" s="29">
        <v>505392.0</v>
      </c>
      <c r="B487" s="29" t="s">
        <v>895</v>
      </c>
      <c r="C487" s="29" t="s">
        <v>897</v>
      </c>
      <c r="D487" s="29" t="s">
        <v>898</v>
      </c>
      <c r="E487" s="29" t="s">
        <v>934</v>
      </c>
      <c r="F487" s="29" t="s">
        <v>940</v>
      </c>
      <c r="G487" s="20" t="str">
        <f t="shared" si="1"/>
        <v>Arts &amp; Entertainment, Hobbies &amp; Creative Arts, Arts &amp; Crafts, Art &amp; Crafting ToolsCraft Measuring &amp; Marking Tools</v>
      </c>
    </row>
    <row r="488" hidden="1">
      <c r="A488" s="29">
        <v>18.0</v>
      </c>
      <c r="B488" s="29" t="s">
        <v>895</v>
      </c>
      <c r="C488" s="29" t="s">
        <v>897</v>
      </c>
      <c r="D488" s="29" t="s">
        <v>898</v>
      </c>
      <c r="E488" s="29" t="s">
        <v>934</v>
      </c>
      <c r="F488" s="29" t="s">
        <v>940</v>
      </c>
      <c r="G488" s="20" t="str">
        <f t="shared" si="1"/>
        <v>Arts &amp; Entertainment, Hobbies &amp; Creative Arts, Arts &amp; Crafts, Art &amp; Crafting ToolsCraft Measuring &amp; Marking Tools</v>
      </c>
    </row>
    <row r="489" hidden="1">
      <c r="A489" s="29">
        <v>6126.0</v>
      </c>
      <c r="B489" s="29" t="s">
        <v>895</v>
      </c>
      <c r="C489" s="29" t="s">
        <v>897</v>
      </c>
      <c r="D489" s="29" t="s">
        <v>898</v>
      </c>
      <c r="E489" s="29" t="s">
        <v>934</v>
      </c>
      <c r="F489" s="29" t="s">
        <v>940</v>
      </c>
      <c r="G489" s="20" t="str">
        <f t="shared" si="1"/>
        <v>Arts &amp; Entertainment, Hobbies &amp; Creative Arts, Arts &amp; Crafts, Art &amp; Crafting ToolsCraft Measuring &amp; Marking Tools</v>
      </c>
    </row>
    <row r="490" hidden="1">
      <c r="A490" s="29">
        <v>4032.0</v>
      </c>
      <c r="B490" s="29" t="s">
        <v>895</v>
      </c>
      <c r="C490" s="29" t="s">
        <v>897</v>
      </c>
      <c r="D490" s="29" t="s">
        <v>898</v>
      </c>
      <c r="E490" s="29" t="s">
        <v>934</v>
      </c>
      <c r="F490" s="29" t="s">
        <v>940</v>
      </c>
      <c r="G490" s="20" t="str">
        <f t="shared" si="1"/>
        <v>Arts &amp; Entertainment, Hobbies &amp; Creative Arts, Arts &amp; Crafts, Art &amp; Crafting ToolsCraft Measuring &amp; Marking Tools</v>
      </c>
    </row>
    <row r="491" hidden="1">
      <c r="A491" s="29">
        <v>3083.0</v>
      </c>
      <c r="B491" s="29" t="s">
        <v>895</v>
      </c>
      <c r="C491" s="29" t="s">
        <v>897</v>
      </c>
      <c r="D491" s="29" t="s">
        <v>898</v>
      </c>
      <c r="E491" s="29" t="s">
        <v>934</v>
      </c>
      <c r="F491" s="29" t="s">
        <v>940</v>
      </c>
      <c r="G491" s="20" t="str">
        <f t="shared" si="1"/>
        <v>Arts &amp; Entertainment, Hobbies &amp; Creative Arts, Arts &amp; Crafts, Art &amp; Crafting ToolsCraft Measuring &amp; Marking Tools</v>
      </c>
    </row>
    <row r="492" hidden="1">
      <c r="A492" s="29">
        <v>6125.0</v>
      </c>
      <c r="B492" s="29" t="s">
        <v>895</v>
      </c>
      <c r="C492" s="29" t="s">
        <v>897</v>
      </c>
      <c r="D492" s="29" t="s">
        <v>898</v>
      </c>
      <c r="E492" s="29" t="s">
        <v>934</v>
      </c>
      <c r="F492" s="29" t="s">
        <v>940</v>
      </c>
      <c r="G492" s="20" t="str">
        <f t="shared" si="1"/>
        <v>Arts &amp; Entertainment, Hobbies &amp; Creative Arts, Arts &amp; Crafts, Art &amp; Crafting ToolsCraft Measuring &amp; Marking Tools</v>
      </c>
    </row>
    <row r="493" hidden="1">
      <c r="A493" s="29">
        <v>5883.0</v>
      </c>
      <c r="B493" s="29" t="s">
        <v>895</v>
      </c>
      <c r="C493" s="29" t="s">
        <v>897</v>
      </c>
      <c r="D493" s="29" t="s">
        <v>898</v>
      </c>
      <c r="E493" s="29" t="s">
        <v>934</v>
      </c>
      <c r="F493" s="29" t="s">
        <v>940</v>
      </c>
      <c r="G493" s="20" t="str">
        <f t="shared" si="1"/>
        <v>Arts &amp; Entertainment, Hobbies &amp; Creative Arts, Arts &amp; Crafts, Art &amp; Crafting ToolsCraft Measuring &amp; Marking Tools</v>
      </c>
    </row>
    <row r="494" hidden="1">
      <c r="A494" s="29">
        <v>2671.0</v>
      </c>
      <c r="B494" s="29" t="s">
        <v>895</v>
      </c>
      <c r="C494" s="29" t="s">
        <v>897</v>
      </c>
      <c r="D494" s="29" t="s">
        <v>898</v>
      </c>
      <c r="E494" s="29" t="s">
        <v>934</v>
      </c>
      <c r="F494" s="29" t="s">
        <v>940</v>
      </c>
      <c r="G494" s="20" t="str">
        <f t="shared" si="1"/>
        <v>Arts &amp; Entertainment, Hobbies &amp; Creative Arts, Arts &amp; Crafts, Art &amp; Crafting ToolsCraft Measuring &amp; Marking Tools</v>
      </c>
    </row>
    <row r="495" hidden="1">
      <c r="A495" s="29">
        <v>6160.0</v>
      </c>
      <c r="B495" s="29" t="s">
        <v>895</v>
      </c>
      <c r="C495" s="29" t="s">
        <v>897</v>
      </c>
      <c r="D495" s="29" t="s">
        <v>898</v>
      </c>
      <c r="E495" s="29" t="s">
        <v>934</v>
      </c>
      <c r="F495" s="29" t="s">
        <v>940</v>
      </c>
      <c r="G495" s="20" t="str">
        <f t="shared" si="1"/>
        <v>Arts &amp; Entertainment, Hobbies &amp; Creative Arts, Arts &amp; Crafts, Art &amp; Crafting ToolsCraft Measuring &amp; Marking Tools</v>
      </c>
    </row>
    <row r="496" hidden="1">
      <c r="A496" s="29">
        <v>6157.0</v>
      </c>
      <c r="B496" s="29" t="s">
        <v>895</v>
      </c>
      <c r="C496" s="29" t="s">
        <v>897</v>
      </c>
      <c r="D496" s="29" t="s">
        <v>898</v>
      </c>
      <c r="E496" s="29" t="s">
        <v>934</v>
      </c>
      <c r="F496" s="29" t="s">
        <v>940</v>
      </c>
      <c r="G496" s="20" t="str">
        <f t="shared" si="1"/>
        <v>Arts &amp; Entertainment, Hobbies &amp; Creative Arts, Arts &amp; Crafts, Art &amp; Crafting ToolsCraft Measuring &amp; Marking Tools</v>
      </c>
    </row>
    <row r="497" hidden="1">
      <c r="A497" s="29">
        <v>505420.0</v>
      </c>
      <c r="B497" s="29" t="s">
        <v>895</v>
      </c>
      <c r="C497" s="29" t="s">
        <v>897</v>
      </c>
      <c r="D497" s="29" t="s">
        <v>898</v>
      </c>
      <c r="E497" s="29" t="s">
        <v>934</v>
      </c>
      <c r="F497" s="29" t="s">
        <v>940</v>
      </c>
      <c r="G497" s="20" t="str">
        <f t="shared" si="1"/>
        <v>Arts &amp; Entertainment, Hobbies &amp; Creative Arts, Arts &amp; Crafts, Art &amp; Crafting ToolsCraft Measuring &amp; Marking Tools</v>
      </c>
    </row>
    <row r="498" hidden="1">
      <c r="A498" s="29">
        <v>5137.0</v>
      </c>
      <c r="B498" s="29" t="s">
        <v>895</v>
      </c>
      <c r="C498" s="29" t="s">
        <v>897</v>
      </c>
      <c r="D498" s="29" t="s">
        <v>898</v>
      </c>
      <c r="E498" s="29" t="s">
        <v>934</v>
      </c>
      <c r="F498" s="29" t="s">
        <v>941</v>
      </c>
      <c r="G498" s="20" t="str">
        <f t="shared" si="1"/>
        <v>Arts &amp; Entertainment, Hobbies &amp; Creative Arts, Arts &amp; Crafts, Art &amp; Crafting ToolsCutting Mats</v>
      </c>
    </row>
    <row r="499" hidden="1">
      <c r="A499" s="29">
        <v>6150.0</v>
      </c>
      <c r="B499" s="29" t="s">
        <v>895</v>
      </c>
      <c r="C499" s="29" t="s">
        <v>897</v>
      </c>
      <c r="D499" s="29" t="s">
        <v>898</v>
      </c>
      <c r="E499" s="29" t="s">
        <v>934</v>
      </c>
      <c r="F499" s="29" t="s">
        <v>942</v>
      </c>
      <c r="G499" s="20" t="str">
        <f t="shared" si="1"/>
        <v>Arts &amp; Entertainment, Hobbies &amp; Creative Arts, Arts &amp; Crafts, Art &amp; Crafting ToolsDress Forms</v>
      </c>
    </row>
    <row r="500" hidden="1">
      <c r="A500" s="29">
        <v>6133.0</v>
      </c>
      <c r="B500" s="29" t="s">
        <v>895</v>
      </c>
      <c r="C500" s="29" t="s">
        <v>897</v>
      </c>
      <c r="D500" s="29" t="s">
        <v>898</v>
      </c>
      <c r="E500" s="29" t="s">
        <v>934</v>
      </c>
      <c r="F500" s="29" t="s">
        <v>943</v>
      </c>
      <c r="G500" s="20" t="str">
        <f t="shared" si="1"/>
        <v>Arts &amp; Entertainment, Hobbies &amp; Creative Arts, Arts &amp; Crafts, Art &amp; Crafting ToolsFelting Pads &amp; Mats</v>
      </c>
    </row>
    <row r="501" hidden="1">
      <c r="A501" s="29">
        <v>6158.0</v>
      </c>
      <c r="B501" s="29" t="s">
        <v>895</v>
      </c>
      <c r="C501" s="29" t="s">
        <v>897</v>
      </c>
      <c r="D501" s="29" t="s">
        <v>898</v>
      </c>
      <c r="E501" s="29" t="s">
        <v>934</v>
      </c>
      <c r="F501" s="29" t="s">
        <v>944</v>
      </c>
      <c r="G501" s="20" t="str">
        <f t="shared" si="1"/>
        <v>Arts &amp; Entertainment, Hobbies &amp; Creative Arts, Arts &amp; Crafts, Art &amp; Crafting ToolsFrames, Hoops &amp; Stretchers</v>
      </c>
    </row>
    <row r="502" hidden="1">
      <c r="A502" s="29">
        <v>4073.0</v>
      </c>
      <c r="B502" s="29" t="s">
        <v>895</v>
      </c>
      <c r="C502" s="29" t="s">
        <v>897</v>
      </c>
      <c r="D502" s="29" t="s">
        <v>898</v>
      </c>
      <c r="E502" s="29" t="s">
        <v>934</v>
      </c>
      <c r="F502" s="29" t="s">
        <v>945</v>
      </c>
      <c r="G502" s="20" t="str">
        <f t="shared" si="1"/>
        <v>Arts &amp; Entertainment, Hobbies &amp; Creative Arts, Arts &amp; Crafts, Art &amp; Crafting ToolsGlue Guns</v>
      </c>
    </row>
    <row r="503" hidden="1">
      <c r="A503" s="29">
        <v>5921.0</v>
      </c>
      <c r="B503" s="29" t="s">
        <v>895</v>
      </c>
      <c r="C503" s="29" t="s">
        <v>897</v>
      </c>
      <c r="D503" s="29" t="s">
        <v>898</v>
      </c>
      <c r="E503" s="29" t="s">
        <v>934</v>
      </c>
      <c r="F503" s="29" t="s">
        <v>946</v>
      </c>
      <c r="G503" s="20" t="str">
        <f t="shared" si="1"/>
        <v>Arts &amp; Entertainment, Hobbies &amp; Creative Arts, Arts &amp; Crafts, Art &amp; Crafting ToolsLight Boxes</v>
      </c>
    </row>
    <row r="504" hidden="1">
      <c r="A504" s="29">
        <v>505393.0</v>
      </c>
      <c r="B504" s="29" t="s">
        <v>895</v>
      </c>
      <c r="C504" s="29" t="s">
        <v>897</v>
      </c>
      <c r="D504" s="29" t="s">
        <v>898</v>
      </c>
      <c r="E504" s="29" t="s">
        <v>934</v>
      </c>
      <c r="F504" s="29" t="s">
        <v>947</v>
      </c>
      <c r="G504" s="20" t="str">
        <f t="shared" si="1"/>
        <v>Arts &amp; Entertainment, Hobbies &amp; Creative Arts, Arts &amp; Crafts, Art &amp; Crafting ToolsNeedles &amp; Hooks</v>
      </c>
    </row>
    <row r="505" hidden="1">
      <c r="A505" s="29">
        <v>6127.0</v>
      </c>
      <c r="B505" s="29" t="s">
        <v>895</v>
      </c>
      <c r="C505" s="29" t="s">
        <v>897</v>
      </c>
      <c r="D505" s="29" t="s">
        <v>898</v>
      </c>
      <c r="E505" s="29" t="s">
        <v>934</v>
      </c>
      <c r="F505" s="29" t="s">
        <v>947</v>
      </c>
      <c r="G505" s="20" t="str">
        <f t="shared" si="1"/>
        <v>Arts &amp; Entertainment, Hobbies &amp; Creative Arts, Arts &amp; Crafts, Art &amp; Crafting ToolsNeedles &amp; Hooks</v>
      </c>
    </row>
    <row r="506" hidden="1">
      <c r="A506" s="29">
        <v>5992.0</v>
      </c>
      <c r="B506" s="29" t="s">
        <v>895</v>
      </c>
      <c r="C506" s="29" t="s">
        <v>897</v>
      </c>
      <c r="D506" s="29" t="s">
        <v>898</v>
      </c>
      <c r="E506" s="29" t="s">
        <v>934</v>
      </c>
      <c r="F506" s="29" t="s">
        <v>947</v>
      </c>
      <c r="G506" s="20" t="str">
        <f t="shared" si="1"/>
        <v>Arts &amp; Entertainment, Hobbies &amp; Creative Arts, Arts &amp; Crafts, Art &amp; Crafting ToolsNeedles &amp; Hooks</v>
      </c>
    </row>
    <row r="507" hidden="1">
      <c r="A507" s="29">
        <v>6139.0</v>
      </c>
      <c r="B507" s="29" t="s">
        <v>895</v>
      </c>
      <c r="C507" s="29" t="s">
        <v>897</v>
      </c>
      <c r="D507" s="29" t="s">
        <v>898</v>
      </c>
      <c r="E507" s="29" t="s">
        <v>934</v>
      </c>
      <c r="F507" s="29" t="s">
        <v>947</v>
      </c>
      <c r="G507" s="20" t="str">
        <f t="shared" si="1"/>
        <v>Arts &amp; Entertainment, Hobbies &amp; Creative Arts, Arts &amp; Crafts, Art &amp; Crafting ToolsNeedles &amp; Hooks</v>
      </c>
    </row>
    <row r="508" hidden="1">
      <c r="A508" s="29">
        <v>6168.0</v>
      </c>
      <c r="B508" s="29" t="s">
        <v>895</v>
      </c>
      <c r="C508" s="29" t="s">
        <v>897</v>
      </c>
      <c r="D508" s="29" t="s">
        <v>898</v>
      </c>
      <c r="E508" s="29" t="s">
        <v>934</v>
      </c>
      <c r="F508" s="29" t="s">
        <v>947</v>
      </c>
      <c r="G508" s="20" t="str">
        <f t="shared" si="1"/>
        <v>Arts &amp; Entertainment, Hobbies &amp; Creative Arts, Arts &amp; Crafts, Art &amp; Crafting ToolsNeedles &amp; Hooks</v>
      </c>
    </row>
    <row r="509" hidden="1">
      <c r="A509" s="29">
        <v>4579.0</v>
      </c>
      <c r="B509" s="29" t="s">
        <v>895</v>
      </c>
      <c r="C509" s="29" t="s">
        <v>897</v>
      </c>
      <c r="D509" s="29" t="s">
        <v>898</v>
      </c>
      <c r="E509" s="29" t="s">
        <v>934</v>
      </c>
      <c r="F509" s="29" t="s">
        <v>947</v>
      </c>
      <c r="G509" s="20" t="str">
        <f t="shared" si="1"/>
        <v>Arts &amp; Entertainment, Hobbies &amp; Creative Arts, Arts &amp; Crafts, Art &amp; Crafting ToolsNeedles &amp; Hooks</v>
      </c>
    </row>
    <row r="510" hidden="1">
      <c r="A510" s="29">
        <v>6101.0</v>
      </c>
      <c r="B510" s="29" t="s">
        <v>895</v>
      </c>
      <c r="C510" s="29" t="s">
        <v>897</v>
      </c>
      <c r="D510" s="29" t="s">
        <v>898</v>
      </c>
      <c r="E510" s="29" t="s">
        <v>934</v>
      </c>
      <c r="F510" s="29" t="s">
        <v>948</v>
      </c>
      <c r="G510" s="20" t="str">
        <f t="shared" si="1"/>
        <v>Arts &amp; Entertainment, Hobbies &amp; Creative Arts, Arts &amp; Crafts, Art &amp; Crafting ToolsSafety Pins</v>
      </c>
    </row>
    <row r="511" hidden="1">
      <c r="A511" s="29">
        <v>6159.0</v>
      </c>
      <c r="B511" s="29" t="s">
        <v>895</v>
      </c>
      <c r="C511" s="29" t="s">
        <v>897</v>
      </c>
      <c r="D511" s="29" t="s">
        <v>898</v>
      </c>
      <c r="E511" s="29" t="s">
        <v>934</v>
      </c>
      <c r="F511" s="29" t="s">
        <v>949</v>
      </c>
      <c r="G511" s="20" t="str">
        <f t="shared" si="1"/>
        <v>Arts &amp; Entertainment, Hobbies &amp; Creative Arts, Arts &amp; Crafts, Art &amp; Crafting ToolsStraight Pins</v>
      </c>
    </row>
    <row r="512" hidden="1">
      <c r="A512" s="29">
        <v>505388.0</v>
      </c>
      <c r="B512" s="29" t="s">
        <v>895</v>
      </c>
      <c r="C512" s="29" t="s">
        <v>897</v>
      </c>
      <c r="D512" s="29" t="s">
        <v>898</v>
      </c>
      <c r="E512" s="29" t="s">
        <v>934</v>
      </c>
      <c r="F512" s="29" t="s">
        <v>950</v>
      </c>
      <c r="G512" s="20" t="str">
        <f t="shared" si="1"/>
        <v>Arts &amp; Entertainment, Hobbies &amp; Creative Arts, Arts &amp; Crafts, Art &amp; Crafting ToolsTextile Craft Machines</v>
      </c>
    </row>
    <row r="513" hidden="1">
      <c r="A513" s="29">
        <v>6134.0</v>
      </c>
      <c r="B513" s="29" t="s">
        <v>895</v>
      </c>
      <c r="C513" s="29" t="s">
        <v>897</v>
      </c>
      <c r="D513" s="29" t="s">
        <v>898</v>
      </c>
      <c r="E513" s="29" t="s">
        <v>934</v>
      </c>
      <c r="F513" s="29" t="s">
        <v>950</v>
      </c>
      <c r="G513" s="20" t="str">
        <f t="shared" si="1"/>
        <v>Arts &amp; Entertainment, Hobbies &amp; Creative Arts, Arts &amp; Crafts, Art &amp; Crafting ToolsTextile Craft Machines</v>
      </c>
    </row>
    <row r="514" hidden="1">
      <c r="A514" s="29">
        <v>505422.0</v>
      </c>
      <c r="B514" s="29" t="s">
        <v>895</v>
      </c>
      <c r="C514" s="29" t="s">
        <v>897</v>
      </c>
      <c r="D514" s="29" t="s">
        <v>898</v>
      </c>
      <c r="E514" s="29" t="s">
        <v>934</v>
      </c>
      <c r="F514" s="29" t="s">
        <v>950</v>
      </c>
      <c r="G514" s="20" t="str">
        <f t="shared" si="1"/>
        <v>Arts &amp; Entertainment, Hobbies &amp; Creative Arts, Arts &amp; Crafts, Art &amp; Crafting ToolsTextile Craft Machines</v>
      </c>
    </row>
    <row r="515" hidden="1">
      <c r="A515" s="29">
        <v>505421.0</v>
      </c>
      <c r="B515" s="29" t="s">
        <v>895</v>
      </c>
      <c r="C515" s="29" t="s">
        <v>897</v>
      </c>
      <c r="D515" s="29" t="s">
        <v>898</v>
      </c>
      <c r="E515" s="29" t="s">
        <v>934</v>
      </c>
      <c r="F515" s="29" t="s">
        <v>950</v>
      </c>
      <c r="G515" s="20" t="str">
        <f t="shared" si="1"/>
        <v>Arts &amp; Entertainment, Hobbies &amp; Creative Arts, Arts &amp; Crafts, Art &amp; Crafting ToolsTextile Craft Machines</v>
      </c>
    </row>
    <row r="516" hidden="1">
      <c r="A516" s="29">
        <v>615.0</v>
      </c>
      <c r="B516" s="29" t="s">
        <v>895</v>
      </c>
      <c r="C516" s="29" t="s">
        <v>897</v>
      </c>
      <c r="D516" s="29" t="s">
        <v>898</v>
      </c>
      <c r="E516" s="29" t="s">
        <v>934</v>
      </c>
      <c r="F516" s="29" t="s">
        <v>950</v>
      </c>
      <c r="G516" s="20" t="str">
        <f t="shared" si="1"/>
        <v>Arts &amp; Entertainment, Hobbies &amp; Creative Arts, Arts &amp; Crafts, Art &amp; Crafting ToolsTextile Craft Machines</v>
      </c>
    </row>
    <row r="517" hidden="1">
      <c r="A517" s="29">
        <v>6137.0</v>
      </c>
      <c r="B517" s="29" t="s">
        <v>895</v>
      </c>
      <c r="C517" s="29" t="s">
        <v>897</v>
      </c>
      <c r="D517" s="29" t="s">
        <v>898</v>
      </c>
      <c r="E517" s="29" t="s">
        <v>934</v>
      </c>
      <c r="F517" s="29" t="s">
        <v>950</v>
      </c>
      <c r="G517" s="20" t="str">
        <f t="shared" si="1"/>
        <v>Arts &amp; Entertainment, Hobbies &amp; Creative Arts, Arts &amp; Crafts, Art &amp; Crafting ToolsTextile Craft Machines</v>
      </c>
    </row>
    <row r="518" hidden="1">
      <c r="A518" s="29">
        <v>6156.0</v>
      </c>
      <c r="B518" s="29" t="s">
        <v>895</v>
      </c>
      <c r="C518" s="29" t="s">
        <v>897</v>
      </c>
      <c r="D518" s="29" t="s">
        <v>898</v>
      </c>
      <c r="E518" s="29" t="s">
        <v>934</v>
      </c>
      <c r="F518" s="29" t="s">
        <v>951</v>
      </c>
      <c r="G518" s="20" t="str">
        <f t="shared" si="1"/>
        <v>Arts &amp; Entertainment, Hobbies &amp; Creative Arts, Arts &amp; Crafts, Art &amp; Crafting ToolsThimbles &amp; Sewing Palms</v>
      </c>
    </row>
    <row r="519" hidden="1">
      <c r="A519" s="29">
        <v>543639.0</v>
      </c>
      <c r="B519" s="29" t="s">
        <v>895</v>
      </c>
      <c r="C519" s="29" t="s">
        <v>897</v>
      </c>
      <c r="D519" s="29" t="s">
        <v>898</v>
      </c>
      <c r="E519" s="29" t="s">
        <v>934</v>
      </c>
      <c r="F519" s="29" t="s">
        <v>951</v>
      </c>
      <c r="G519" s="20" t="str">
        <f t="shared" si="1"/>
        <v>Arts &amp; Entertainment, Hobbies &amp; Creative Arts, Arts &amp; Crafts, Art &amp; Crafting ToolsThimbles &amp; Sewing Palms</v>
      </c>
    </row>
    <row r="520" hidden="1">
      <c r="A520" s="29">
        <v>543638.0</v>
      </c>
      <c r="B520" s="29" t="s">
        <v>895</v>
      </c>
      <c r="C520" s="29" t="s">
        <v>897</v>
      </c>
      <c r="D520" s="29" t="s">
        <v>898</v>
      </c>
      <c r="E520" s="29" t="s">
        <v>934</v>
      </c>
      <c r="F520" s="29" t="s">
        <v>951</v>
      </c>
      <c r="G520" s="20" t="str">
        <f t="shared" si="1"/>
        <v>Arts &amp; Entertainment, Hobbies &amp; Creative Arts, Arts &amp; Crafts, Art &amp; Crafting ToolsThimbles &amp; Sewing Palms</v>
      </c>
    </row>
    <row r="521" hidden="1">
      <c r="A521" s="29">
        <v>505387.0</v>
      </c>
      <c r="B521" s="29" t="s">
        <v>895</v>
      </c>
      <c r="C521" s="29" t="s">
        <v>897</v>
      </c>
      <c r="D521" s="29" t="s">
        <v>898</v>
      </c>
      <c r="E521" s="29" t="s">
        <v>934</v>
      </c>
      <c r="F521" s="29" t="s">
        <v>952</v>
      </c>
      <c r="G521" s="20" t="str">
        <f t="shared" si="1"/>
        <v>Arts &amp; Entertainment, Hobbies &amp; Creative Arts, Arts &amp; Crafts, Art &amp; Crafting ToolsThread &amp; Yarn Tools</v>
      </c>
    </row>
    <row r="522" hidden="1">
      <c r="A522" s="29">
        <v>6164.0</v>
      </c>
      <c r="B522" s="29" t="s">
        <v>895</v>
      </c>
      <c r="C522" s="29" t="s">
        <v>897</v>
      </c>
      <c r="D522" s="29" t="s">
        <v>898</v>
      </c>
      <c r="E522" s="29" t="s">
        <v>934</v>
      </c>
      <c r="F522" s="29" t="s">
        <v>952</v>
      </c>
      <c r="G522" s="20" t="str">
        <f t="shared" si="1"/>
        <v>Arts &amp; Entertainment, Hobbies &amp; Creative Arts, Arts &amp; Crafts, Art &amp; Crafting ToolsThread &amp; Yarn Tools</v>
      </c>
    </row>
    <row r="523" hidden="1">
      <c r="A523" s="29">
        <v>6138.0</v>
      </c>
      <c r="B523" s="29" t="s">
        <v>895</v>
      </c>
      <c r="C523" s="29" t="s">
        <v>897</v>
      </c>
      <c r="D523" s="29" t="s">
        <v>898</v>
      </c>
      <c r="E523" s="29" t="s">
        <v>934</v>
      </c>
      <c r="F523" s="29" t="s">
        <v>952</v>
      </c>
      <c r="G523" s="20" t="str">
        <f t="shared" si="1"/>
        <v>Arts &amp; Entertainment, Hobbies &amp; Creative Arts, Arts &amp; Crafts, Art &amp; Crafting ToolsThread &amp; Yarn Tools</v>
      </c>
    </row>
    <row r="524" hidden="1">
      <c r="A524" s="29">
        <v>6163.0</v>
      </c>
      <c r="B524" s="29" t="s">
        <v>895</v>
      </c>
      <c r="C524" s="29" t="s">
        <v>897</v>
      </c>
      <c r="D524" s="29" t="s">
        <v>898</v>
      </c>
      <c r="E524" s="29" t="s">
        <v>934</v>
      </c>
      <c r="F524" s="29" t="s">
        <v>952</v>
      </c>
      <c r="G524" s="20" t="str">
        <f t="shared" si="1"/>
        <v>Arts &amp; Entertainment, Hobbies &amp; Creative Arts, Arts &amp; Crafts, Art &amp; Crafting ToolsThread &amp; Yarn Tools</v>
      </c>
    </row>
    <row r="525" hidden="1">
      <c r="A525" s="29">
        <v>6155.0</v>
      </c>
      <c r="B525" s="29" t="s">
        <v>895</v>
      </c>
      <c r="C525" s="29" t="s">
        <v>897</v>
      </c>
      <c r="D525" s="29" t="s">
        <v>898</v>
      </c>
      <c r="E525" s="29" t="s">
        <v>934</v>
      </c>
      <c r="F525" s="29" t="s">
        <v>952</v>
      </c>
      <c r="G525" s="20" t="str">
        <f t="shared" si="1"/>
        <v>Arts &amp; Entertainment, Hobbies &amp; Creative Arts, Arts &amp; Crafts, Art &amp; Crafting ToolsThread &amp; Yarn Tools</v>
      </c>
    </row>
    <row r="526" hidden="1">
      <c r="A526" s="29">
        <v>6154.0</v>
      </c>
      <c r="B526" s="29" t="s">
        <v>895</v>
      </c>
      <c r="C526" s="29" t="s">
        <v>897</v>
      </c>
      <c r="D526" s="29" t="s">
        <v>898</v>
      </c>
      <c r="E526" s="29" t="s">
        <v>934</v>
      </c>
      <c r="F526" s="29" t="s">
        <v>952</v>
      </c>
      <c r="G526" s="20" t="str">
        <f t="shared" si="1"/>
        <v>Arts &amp; Entertainment, Hobbies &amp; Creative Arts, Arts &amp; Crafts, Art &amp; Crafting ToolsThread &amp; Yarn Tools</v>
      </c>
    </row>
    <row r="527" hidden="1">
      <c r="A527" s="29">
        <v>6153.0</v>
      </c>
      <c r="B527" s="29" t="s">
        <v>895</v>
      </c>
      <c r="C527" s="29" t="s">
        <v>897</v>
      </c>
      <c r="D527" s="29" t="s">
        <v>898</v>
      </c>
      <c r="E527" s="29" t="s">
        <v>934</v>
      </c>
      <c r="F527" s="29" t="s">
        <v>952</v>
      </c>
      <c r="G527" s="20" t="str">
        <f t="shared" si="1"/>
        <v>Arts &amp; Entertainment, Hobbies &amp; Creative Arts, Arts &amp; Crafts, Art &amp; Crafting ToolsThread &amp; Yarn Tools</v>
      </c>
    </row>
    <row r="528" hidden="1">
      <c r="A528" s="29">
        <v>6167.0</v>
      </c>
      <c r="B528" s="29" t="s">
        <v>895</v>
      </c>
      <c r="C528" s="29" t="s">
        <v>897</v>
      </c>
      <c r="D528" s="29" t="s">
        <v>898</v>
      </c>
      <c r="E528" s="29" t="s">
        <v>934</v>
      </c>
      <c r="F528" s="29" t="s">
        <v>952</v>
      </c>
      <c r="G528" s="20" t="str">
        <f t="shared" si="1"/>
        <v>Arts &amp; Entertainment, Hobbies &amp; Creative Arts, Arts &amp; Crafts, Art &amp; Crafting ToolsThread &amp; Yarn Tools</v>
      </c>
    </row>
    <row r="529" hidden="1">
      <c r="A529" s="29">
        <v>6166.0</v>
      </c>
      <c r="B529" s="29" t="s">
        <v>895</v>
      </c>
      <c r="C529" s="29" t="s">
        <v>897</v>
      </c>
      <c r="D529" s="29" t="s">
        <v>898</v>
      </c>
      <c r="E529" s="29" t="s">
        <v>934</v>
      </c>
      <c r="F529" s="29" t="s">
        <v>952</v>
      </c>
      <c r="G529" s="20" t="str">
        <f t="shared" si="1"/>
        <v>Arts &amp; Entertainment, Hobbies &amp; Creative Arts, Arts &amp; Crafts, Art &amp; Crafting ToolsThread &amp; Yarn Tools</v>
      </c>
    </row>
    <row r="530" hidden="1">
      <c r="A530" s="29">
        <v>505369.0</v>
      </c>
      <c r="B530" s="29" t="s">
        <v>895</v>
      </c>
      <c r="C530" s="29" t="s">
        <v>897</v>
      </c>
      <c r="D530" s="29" t="s">
        <v>898</v>
      </c>
      <c r="E530" s="29" t="s">
        <v>953</v>
      </c>
      <c r="F530" s="62"/>
      <c r="G530" s="20" t="str">
        <f t="shared" si="1"/>
        <v>Arts &amp; Entertainment, Hobbies &amp; Creative Arts, Arts &amp; Crafts, Craft Organization</v>
      </c>
    </row>
    <row r="531" hidden="1">
      <c r="A531" s="29">
        <v>505394.0</v>
      </c>
      <c r="B531" s="29" t="s">
        <v>895</v>
      </c>
      <c r="C531" s="29" t="s">
        <v>897</v>
      </c>
      <c r="D531" s="29" t="s">
        <v>898</v>
      </c>
      <c r="E531" s="29" t="s">
        <v>953</v>
      </c>
      <c r="F531" s="29" t="s">
        <v>954</v>
      </c>
      <c r="G531" s="20" t="str">
        <f t="shared" si="1"/>
        <v>Arts &amp; Entertainment, Hobbies &amp; Creative Arts, Arts &amp; Crafts, Craft OrganizationNeedle, Pin &amp; Hook Organizers</v>
      </c>
    </row>
    <row r="532" hidden="1">
      <c r="A532" s="29">
        <v>499971.0</v>
      </c>
      <c r="B532" s="29" t="s">
        <v>895</v>
      </c>
      <c r="C532" s="29" t="s">
        <v>897</v>
      </c>
      <c r="D532" s="29" t="s">
        <v>898</v>
      </c>
      <c r="E532" s="29" t="s">
        <v>953</v>
      </c>
      <c r="F532" s="29" t="s">
        <v>955</v>
      </c>
      <c r="G532" s="20" t="str">
        <f t="shared" si="1"/>
        <v>Arts &amp; Entertainment, Hobbies &amp; Creative Arts, Arts &amp; Crafts, Craft OrganizationSewing Baskets &amp; Kits</v>
      </c>
    </row>
    <row r="533" hidden="1">
      <c r="A533" s="29">
        <v>505395.0</v>
      </c>
      <c r="B533" s="29" t="s">
        <v>895</v>
      </c>
      <c r="C533" s="29" t="s">
        <v>897</v>
      </c>
      <c r="D533" s="29" t="s">
        <v>898</v>
      </c>
      <c r="E533" s="29" t="s">
        <v>953</v>
      </c>
      <c r="F533" s="29" t="s">
        <v>956</v>
      </c>
      <c r="G533" s="20" t="str">
        <f t="shared" si="1"/>
        <v>Arts &amp; Entertainment, Hobbies &amp; Creative Arts, Arts &amp; Crafts, Craft OrganizationThread &amp; Yarn Organizers</v>
      </c>
    </row>
    <row r="534" hidden="1">
      <c r="A534" s="29">
        <v>505371.0</v>
      </c>
      <c r="B534" s="29" t="s">
        <v>895</v>
      </c>
      <c r="C534" s="29" t="s">
        <v>897</v>
      </c>
      <c r="D534" s="29" t="s">
        <v>898</v>
      </c>
      <c r="E534" s="29" t="s">
        <v>957</v>
      </c>
      <c r="F534" s="62"/>
      <c r="G534" s="20" t="str">
        <f t="shared" si="1"/>
        <v>Arts &amp; Entertainment, Hobbies &amp; Creative Arts, Arts &amp; Crafts, Crafting Patterns &amp; Molds</v>
      </c>
    </row>
    <row r="535" hidden="1">
      <c r="A535" s="29">
        <v>6999.0</v>
      </c>
      <c r="B535" s="29" t="s">
        <v>895</v>
      </c>
      <c r="C535" s="29" t="s">
        <v>897</v>
      </c>
      <c r="D535" s="29" t="s">
        <v>898</v>
      </c>
      <c r="E535" s="29" t="s">
        <v>957</v>
      </c>
      <c r="F535" s="29" t="s">
        <v>958</v>
      </c>
      <c r="G535" s="20" t="str">
        <f t="shared" si="1"/>
        <v>Arts &amp; Entertainment, Hobbies &amp; Creative Arts, Arts &amp; Crafts, Crafting Patterns &amp; MoldsBeading Patterns</v>
      </c>
    </row>
    <row r="536" hidden="1">
      <c r="A536" s="29">
        <v>8007.0</v>
      </c>
      <c r="B536" s="29" t="s">
        <v>895</v>
      </c>
      <c r="C536" s="29" t="s">
        <v>897</v>
      </c>
      <c r="D536" s="29" t="s">
        <v>898</v>
      </c>
      <c r="E536" s="29" t="s">
        <v>957</v>
      </c>
      <c r="F536" s="29" t="s">
        <v>959</v>
      </c>
      <c r="G536" s="20" t="str">
        <f t="shared" si="1"/>
        <v>Arts &amp; Entertainment, Hobbies &amp; Creative Arts, Arts &amp; Crafts, Crafting Patterns &amp; MoldsCraft Molds</v>
      </c>
    </row>
    <row r="537" hidden="1">
      <c r="A537" s="29">
        <v>6135.0</v>
      </c>
      <c r="B537" s="29" t="s">
        <v>895</v>
      </c>
      <c r="C537" s="29" t="s">
        <v>897</v>
      </c>
      <c r="D537" s="29" t="s">
        <v>898</v>
      </c>
      <c r="E537" s="29" t="s">
        <v>957</v>
      </c>
      <c r="F537" s="29" t="s">
        <v>960</v>
      </c>
      <c r="G537" s="20" t="str">
        <f t="shared" si="1"/>
        <v>Arts &amp; Entertainment, Hobbies &amp; Creative Arts, Arts &amp; Crafts, Crafting Patterns &amp; MoldsFelting Molds</v>
      </c>
    </row>
    <row r="538" hidden="1">
      <c r="A538" s="29">
        <v>505373.0</v>
      </c>
      <c r="B538" s="29" t="s">
        <v>895</v>
      </c>
      <c r="C538" s="29" t="s">
        <v>897</v>
      </c>
      <c r="D538" s="29" t="s">
        <v>898</v>
      </c>
      <c r="E538" s="29" t="s">
        <v>957</v>
      </c>
      <c r="F538" s="29" t="s">
        <v>961</v>
      </c>
      <c r="G538" s="20" t="str">
        <f t="shared" si="1"/>
        <v>Arts &amp; Entertainment, Hobbies &amp; Creative Arts, Arts &amp; Crafts, Crafting Patterns &amp; MoldsNeedlecraft Patterns</v>
      </c>
    </row>
    <row r="539" hidden="1">
      <c r="A539" s="29">
        <v>3697.0</v>
      </c>
      <c r="B539" s="29" t="s">
        <v>895</v>
      </c>
      <c r="C539" s="29" t="s">
        <v>897</v>
      </c>
      <c r="D539" s="29" t="s">
        <v>898</v>
      </c>
      <c r="E539" s="29" t="s">
        <v>957</v>
      </c>
      <c r="F539" s="29" t="s">
        <v>962</v>
      </c>
      <c r="G539" s="20" t="str">
        <f t="shared" si="1"/>
        <v>Arts &amp; Entertainment, Hobbies &amp; Creative Arts, Arts &amp; Crafts, Crafting Patterns &amp; MoldsSewing Patterns</v>
      </c>
    </row>
    <row r="540" hidden="1">
      <c r="A540" s="29">
        <v>216.0</v>
      </c>
      <c r="B540" s="29" t="s">
        <v>895</v>
      </c>
      <c r="C540" s="29" t="s">
        <v>897</v>
      </c>
      <c r="D540" s="29" t="s">
        <v>963</v>
      </c>
      <c r="E540" s="62"/>
      <c r="F540" s="62"/>
      <c r="G540" s="20" t="str">
        <f t="shared" si="1"/>
        <v>Arts &amp; Entertainment, Hobbies &amp; Creative Arts, Collectibles, </v>
      </c>
    </row>
    <row r="541" hidden="1">
      <c r="A541" s="29">
        <v>3599.0</v>
      </c>
      <c r="B541" s="29" t="s">
        <v>895</v>
      </c>
      <c r="C541" s="29" t="s">
        <v>897</v>
      </c>
      <c r="D541" s="29" t="s">
        <v>963</v>
      </c>
      <c r="E541" s="29" t="s">
        <v>964</v>
      </c>
      <c r="F541" s="62"/>
      <c r="G541" s="20" t="str">
        <f t="shared" si="1"/>
        <v>Arts &amp; Entertainment, Hobbies &amp; Creative Arts, Collectibles, Autographs</v>
      </c>
    </row>
    <row r="542" hidden="1">
      <c r="A542" s="29">
        <v>217.0</v>
      </c>
      <c r="B542" s="29" t="s">
        <v>895</v>
      </c>
      <c r="C542" s="29" t="s">
        <v>897</v>
      </c>
      <c r="D542" s="29" t="s">
        <v>963</v>
      </c>
      <c r="E542" s="29" t="s">
        <v>965</v>
      </c>
      <c r="F542" s="62"/>
      <c r="G542" s="20" t="str">
        <f t="shared" si="1"/>
        <v>Arts &amp; Entertainment, Hobbies &amp; Creative Arts, Collectibles, Collectible Coins &amp; Currency</v>
      </c>
    </row>
    <row r="543" hidden="1">
      <c r="A543" s="29">
        <v>543607.0</v>
      </c>
      <c r="B543" s="29" t="s">
        <v>895</v>
      </c>
      <c r="C543" s="29" t="s">
        <v>897</v>
      </c>
      <c r="D543" s="29" t="s">
        <v>963</v>
      </c>
      <c r="E543" s="29" t="s">
        <v>965</v>
      </c>
      <c r="F543" s="29" t="s">
        <v>966</v>
      </c>
      <c r="G543" s="20" t="str">
        <f t="shared" si="1"/>
        <v>Arts &amp; Entertainment, Hobbies &amp; Creative Arts, Collectibles, Collectible Coins &amp; CurrencyCollectible Banknotes</v>
      </c>
    </row>
    <row r="544" hidden="1">
      <c r="A544" s="29">
        <v>543606.0</v>
      </c>
      <c r="B544" s="29" t="s">
        <v>895</v>
      </c>
      <c r="C544" s="29" t="s">
        <v>897</v>
      </c>
      <c r="D544" s="29" t="s">
        <v>963</v>
      </c>
      <c r="E544" s="29" t="s">
        <v>965</v>
      </c>
      <c r="F544" s="29" t="s">
        <v>967</v>
      </c>
      <c r="G544" s="20" t="str">
        <f t="shared" si="1"/>
        <v>Arts &amp; Entertainment, Hobbies &amp; Creative Arts, Collectibles, Collectible Coins &amp; CurrencyCollectible Coins</v>
      </c>
    </row>
    <row r="545" hidden="1">
      <c r="A545" s="29">
        <v>6997.0</v>
      </c>
      <c r="B545" s="29" t="s">
        <v>895</v>
      </c>
      <c r="C545" s="29" t="s">
        <v>897</v>
      </c>
      <c r="D545" s="29" t="s">
        <v>963</v>
      </c>
      <c r="E545" s="29" t="s">
        <v>968</v>
      </c>
      <c r="F545" s="62"/>
      <c r="G545" s="20" t="str">
        <f t="shared" si="1"/>
        <v>Arts &amp; Entertainment, Hobbies &amp; Creative Arts, Collectibles, Collectible Trading Cards</v>
      </c>
    </row>
    <row r="546" hidden="1">
      <c r="A546" s="29">
        <v>220.0</v>
      </c>
      <c r="B546" s="29" t="s">
        <v>895</v>
      </c>
      <c r="C546" s="29" t="s">
        <v>897</v>
      </c>
      <c r="D546" s="29" t="s">
        <v>963</v>
      </c>
      <c r="E546" s="29" t="s">
        <v>969</v>
      </c>
      <c r="F546" s="62"/>
      <c r="G546" s="20" t="str">
        <f t="shared" si="1"/>
        <v>Arts &amp; Entertainment, Hobbies &amp; Creative Arts, Collectibles, Collectible Weapons</v>
      </c>
    </row>
    <row r="547" hidden="1">
      <c r="A547" s="29">
        <v>499953.0</v>
      </c>
      <c r="B547" s="29" t="s">
        <v>895</v>
      </c>
      <c r="C547" s="29" t="s">
        <v>897</v>
      </c>
      <c r="D547" s="29" t="s">
        <v>963</v>
      </c>
      <c r="E547" s="29" t="s">
        <v>969</v>
      </c>
      <c r="F547" s="29" t="s">
        <v>970</v>
      </c>
      <c r="G547" s="20" t="str">
        <f t="shared" si="1"/>
        <v>Arts &amp; Entertainment, Hobbies &amp; Creative Arts, Collectibles, Collectible WeaponsCollectible Guns</v>
      </c>
    </row>
    <row r="548" hidden="1">
      <c r="A548" s="29">
        <v>5311.0</v>
      </c>
      <c r="B548" s="29" t="s">
        <v>895</v>
      </c>
      <c r="C548" s="29" t="s">
        <v>897</v>
      </c>
      <c r="D548" s="29" t="s">
        <v>963</v>
      </c>
      <c r="E548" s="29" t="s">
        <v>969</v>
      </c>
      <c r="F548" s="29" t="s">
        <v>971</v>
      </c>
      <c r="G548" s="20" t="str">
        <f t="shared" si="1"/>
        <v>Arts &amp; Entertainment, Hobbies &amp; Creative Arts, Collectibles, Collectible WeaponsCollectible Knives</v>
      </c>
    </row>
    <row r="549" hidden="1">
      <c r="A549" s="29">
        <v>221.0</v>
      </c>
      <c r="B549" s="29" t="s">
        <v>895</v>
      </c>
      <c r="C549" s="29" t="s">
        <v>897</v>
      </c>
      <c r="D549" s="29" t="s">
        <v>963</v>
      </c>
      <c r="E549" s="29" t="s">
        <v>969</v>
      </c>
      <c r="F549" s="29" t="s">
        <v>972</v>
      </c>
      <c r="G549" s="20" t="str">
        <f t="shared" si="1"/>
        <v>Arts &amp; Entertainment, Hobbies &amp; Creative Arts, Collectibles, Collectible WeaponsCollectible Swords</v>
      </c>
    </row>
    <row r="550" hidden="1">
      <c r="A550" s="29">
        <v>1340.0</v>
      </c>
      <c r="B550" s="29" t="s">
        <v>895</v>
      </c>
      <c r="C550" s="29" t="s">
        <v>897</v>
      </c>
      <c r="D550" s="29" t="s">
        <v>963</v>
      </c>
      <c r="E550" s="29" t="s">
        <v>969</v>
      </c>
      <c r="F550" s="29" t="s">
        <v>973</v>
      </c>
      <c r="G550" s="20" t="str">
        <f t="shared" si="1"/>
        <v>Arts &amp; Entertainment, Hobbies &amp; Creative Arts, Collectibles, Collectible WeaponsSword Stands &amp; Displays</v>
      </c>
    </row>
    <row r="551" hidden="1">
      <c r="A551" s="29">
        <v>219.0</v>
      </c>
      <c r="B551" s="29" t="s">
        <v>895</v>
      </c>
      <c r="C551" s="29" t="s">
        <v>897</v>
      </c>
      <c r="D551" s="29" t="s">
        <v>963</v>
      </c>
      <c r="E551" s="29" t="s">
        <v>974</v>
      </c>
      <c r="F551" s="62"/>
      <c r="G551" s="20" t="str">
        <f t="shared" si="1"/>
        <v>Arts &amp; Entertainment, Hobbies &amp; Creative Arts, Collectibles, Postage Stamps</v>
      </c>
    </row>
    <row r="552" hidden="1">
      <c r="A552" s="29">
        <v>218.0</v>
      </c>
      <c r="B552" s="29" t="s">
        <v>895</v>
      </c>
      <c r="C552" s="29" t="s">
        <v>897</v>
      </c>
      <c r="D552" s="29" t="s">
        <v>963</v>
      </c>
      <c r="E552" s="29" t="s">
        <v>975</v>
      </c>
      <c r="F552" s="62"/>
      <c r="G552" s="20" t="str">
        <f t="shared" si="1"/>
        <v>Arts &amp; Entertainment, Hobbies &amp; Creative Arts, Collectibles, Rocks &amp; Fossils</v>
      </c>
    </row>
    <row r="553" hidden="1">
      <c r="A553" s="29">
        <v>6000.0</v>
      </c>
      <c r="B553" s="29" t="s">
        <v>895</v>
      </c>
      <c r="C553" s="29" t="s">
        <v>897</v>
      </c>
      <c r="D553" s="29" t="s">
        <v>963</v>
      </c>
      <c r="E553" s="29" t="s">
        <v>976</v>
      </c>
      <c r="F553" s="62"/>
      <c r="G553" s="20" t="str">
        <f t="shared" si="1"/>
        <v>Arts &amp; Entertainment, Hobbies &amp; Creative Arts, Collectibles, Scale Model Accessories</v>
      </c>
    </row>
    <row r="554" hidden="1">
      <c r="A554" s="29">
        <v>37.0</v>
      </c>
      <c r="B554" s="29" t="s">
        <v>895</v>
      </c>
      <c r="C554" s="29" t="s">
        <v>897</v>
      </c>
      <c r="D554" s="29" t="s">
        <v>963</v>
      </c>
      <c r="E554" s="29" t="s">
        <v>977</v>
      </c>
      <c r="F554" s="62"/>
      <c r="G554" s="20" t="str">
        <f t="shared" si="1"/>
        <v>Arts &amp; Entertainment, Hobbies &amp; Creative Arts, Collectibles, Scale Models</v>
      </c>
    </row>
    <row r="555" hidden="1">
      <c r="A555" s="29">
        <v>1312.0</v>
      </c>
      <c r="B555" s="29" t="s">
        <v>895</v>
      </c>
      <c r="C555" s="29" t="s">
        <v>897</v>
      </c>
      <c r="D555" s="29" t="s">
        <v>963</v>
      </c>
      <c r="E555" s="29" t="s">
        <v>978</v>
      </c>
      <c r="F555" s="62"/>
      <c r="G555" s="20" t="str">
        <f t="shared" si="1"/>
        <v>Arts &amp; Entertainment, Hobbies &amp; Creative Arts, Collectibles, Seal Stamps</v>
      </c>
    </row>
    <row r="556" hidden="1">
      <c r="A556" s="29">
        <v>3865.0</v>
      </c>
      <c r="B556" s="29" t="s">
        <v>895</v>
      </c>
      <c r="C556" s="29" t="s">
        <v>897</v>
      </c>
      <c r="D556" s="29" t="s">
        <v>963</v>
      </c>
      <c r="E556" s="29" t="s">
        <v>979</v>
      </c>
      <c r="F556" s="62"/>
      <c r="G556" s="20" t="str">
        <f t="shared" si="1"/>
        <v>Arts &amp; Entertainment, Hobbies &amp; Creative Arts, Collectibles, Sports Collectibles</v>
      </c>
    </row>
    <row r="557" hidden="1">
      <c r="A557" s="29">
        <v>4333.0</v>
      </c>
      <c r="B557" s="29" t="s">
        <v>895</v>
      </c>
      <c r="C557" s="29" t="s">
        <v>897</v>
      </c>
      <c r="D557" s="29" t="s">
        <v>963</v>
      </c>
      <c r="E557" s="29" t="s">
        <v>979</v>
      </c>
      <c r="F557" s="29" t="s">
        <v>980</v>
      </c>
      <c r="G557" s="20" t="str">
        <f t="shared" si="1"/>
        <v>Arts &amp; Entertainment, Hobbies &amp; Creative Arts, Collectibles, Sports CollectiblesAutographed Sports Paraphernalia</v>
      </c>
    </row>
    <row r="558" hidden="1">
      <c r="A558" s="29">
        <v>4124.0</v>
      </c>
      <c r="B558" s="29" t="s">
        <v>895</v>
      </c>
      <c r="C558" s="29" t="s">
        <v>897</v>
      </c>
      <c r="D558" s="29" t="s">
        <v>963</v>
      </c>
      <c r="E558" s="29" t="s">
        <v>979</v>
      </c>
      <c r="F558" s="29" t="s">
        <v>980</v>
      </c>
      <c r="G558" s="20" t="str">
        <f t="shared" si="1"/>
        <v>Arts &amp; Entertainment, Hobbies &amp; Creative Arts, Collectibles, Sports CollectiblesAutographed Sports Paraphernalia</v>
      </c>
    </row>
    <row r="559" hidden="1">
      <c r="A559" s="29">
        <v>4180.0</v>
      </c>
      <c r="B559" s="29" t="s">
        <v>895</v>
      </c>
      <c r="C559" s="29" t="s">
        <v>897</v>
      </c>
      <c r="D559" s="29" t="s">
        <v>963</v>
      </c>
      <c r="E559" s="29" t="s">
        <v>979</v>
      </c>
      <c r="F559" s="29" t="s">
        <v>980</v>
      </c>
      <c r="G559" s="20" t="str">
        <f t="shared" si="1"/>
        <v>Arts &amp; Entertainment, Hobbies &amp; Creative Arts, Collectibles, Sports CollectiblesAutographed Sports Paraphernalia</v>
      </c>
    </row>
    <row r="560" hidden="1">
      <c r="A560" s="29">
        <v>4149.0</v>
      </c>
      <c r="B560" s="29" t="s">
        <v>895</v>
      </c>
      <c r="C560" s="29" t="s">
        <v>897</v>
      </c>
      <c r="D560" s="29" t="s">
        <v>963</v>
      </c>
      <c r="E560" s="29" t="s">
        <v>979</v>
      </c>
      <c r="F560" s="29" t="s">
        <v>980</v>
      </c>
      <c r="G560" s="20" t="str">
        <f t="shared" si="1"/>
        <v>Arts &amp; Entertainment, Hobbies &amp; Creative Arts, Collectibles, Sports CollectiblesAutographed Sports Paraphernalia</v>
      </c>
    </row>
    <row r="561" hidden="1">
      <c r="A561" s="29">
        <v>4279.0</v>
      </c>
      <c r="B561" s="29" t="s">
        <v>895</v>
      </c>
      <c r="C561" s="29" t="s">
        <v>897</v>
      </c>
      <c r="D561" s="29" t="s">
        <v>963</v>
      </c>
      <c r="E561" s="29" t="s">
        <v>979</v>
      </c>
      <c r="F561" s="29" t="s">
        <v>980</v>
      </c>
      <c r="G561" s="20" t="str">
        <f t="shared" si="1"/>
        <v>Arts &amp; Entertainment, Hobbies &amp; Creative Arts, Collectibles, Sports CollectiblesAutographed Sports Paraphernalia</v>
      </c>
    </row>
    <row r="562" hidden="1">
      <c r="A562" s="29">
        <v>8210.0</v>
      </c>
      <c r="B562" s="29" t="s">
        <v>895</v>
      </c>
      <c r="C562" s="29" t="s">
        <v>897</v>
      </c>
      <c r="D562" s="29" t="s">
        <v>963</v>
      </c>
      <c r="E562" s="29" t="s">
        <v>979</v>
      </c>
      <c r="F562" s="29" t="s">
        <v>980</v>
      </c>
      <c r="G562" s="20" t="str">
        <f t="shared" si="1"/>
        <v>Arts &amp; Entertainment, Hobbies &amp; Creative Arts, Collectibles, Sports CollectiblesAutographed Sports Paraphernalia</v>
      </c>
    </row>
    <row r="563" hidden="1">
      <c r="A563" s="29">
        <v>4144.0</v>
      </c>
      <c r="B563" s="29" t="s">
        <v>895</v>
      </c>
      <c r="C563" s="29" t="s">
        <v>897</v>
      </c>
      <c r="D563" s="29" t="s">
        <v>963</v>
      </c>
      <c r="E563" s="29" t="s">
        <v>979</v>
      </c>
      <c r="F563" s="29" t="s">
        <v>980</v>
      </c>
      <c r="G563" s="20" t="str">
        <f t="shared" si="1"/>
        <v>Arts &amp; Entertainment, Hobbies &amp; Creative Arts, Collectibles, Sports CollectiblesAutographed Sports Paraphernalia</v>
      </c>
    </row>
    <row r="564" hidden="1">
      <c r="A564" s="29">
        <v>4093.0</v>
      </c>
      <c r="B564" s="29" t="s">
        <v>895</v>
      </c>
      <c r="C564" s="29" t="s">
        <v>897</v>
      </c>
      <c r="D564" s="29" t="s">
        <v>963</v>
      </c>
      <c r="E564" s="29" t="s">
        <v>979</v>
      </c>
      <c r="F564" s="29" t="s">
        <v>980</v>
      </c>
      <c r="G564" s="20" t="str">
        <f t="shared" si="1"/>
        <v>Arts &amp; Entertainment, Hobbies &amp; Creative Arts, Collectibles, Sports CollectiblesAutographed Sports Paraphernalia</v>
      </c>
    </row>
    <row r="565" hidden="1">
      <c r="A565" s="29">
        <v>6186.0</v>
      </c>
      <c r="B565" s="29" t="s">
        <v>895</v>
      </c>
      <c r="C565" s="29" t="s">
        <v>897</v>
      </c>
      <c r="D565" s="29" t="s">
        <v>963</v>
      </c>
      <c r="E565" s="29" t="s">
        <v>979</v>
      </c>
      <c r="F565" s="29" t="s">
        <v>980</v>
      </c>
      <c r="G565" s="20" t="str">
        <f t="shared" si="1"/>
        <v>Arts &amp; Entertainment, Hobbies &amp; Creative Arts, Collectibles, Sports CollectiblesAutographed Sports Paraphernalia</v>
      </c>
    </row>
    <row r="566" hidden="1">
      <c r="A566" s="29">
        <v>3515.0</v>
      </c>
      <c r="B566" s="29" t="s">
        <v>895</v>
      </c>
      <c r="C566" s="29" t="s">
        <v>897</v>
      </c>
      <c r="D566" s="29" t="s">
        <v>963</v>
      </c>
      <c r="E566" s="29" t="s">
        <v>979</v>
      </c>
      <c r="F566" s="29" t="s">
        <v>981</v>
      </c>
      <c r="G566" s="20" t="str">
        <f t="shared" si="1"/>
        <v>Arts &amp; Entertainment, Hobbies &amp; Creative Arts, Collectibles, Sports CollectiblesSports Fan Accessories</v>
      </c>
    </row>
    <row r="567" hidden="1">
      <c r="A567" s="29">
        <v>1095.0</v>
      </c>
      <c r="B567" s="29" t="s">
        <v>895</v>
      </c>
      <c r="C567" s="29" t="s">
        <v>897</v>
      </c>
      <c r="D567" s="29" t="s">
        <v>963</v>
      </c>
      <c r="E567" s="29" t="s">
        <v>979</v>
      </c>
      <c r="F567" s="29" t="s">
        <v>981</v>
      </c>
      <c r="G567" s="20" t="str">
        <f t="shared" si="1"/>
        <v>Arts &amp; Entertainment, Hobbies &amp; Creative Arts, Collectibles, Sports CollectiblesSports Fan Accessories</v>
      </c>
    </row>
    <row r="568" hidden="1">
      <c r="A568" s="29">
        <v>1051.0</v>
      </c>
      <c r="B568" s="29" t="s">
        <v>895</v>
      </c>
      <c r="C568" s="29" t="s">
        <v>897</v>
      </c>
      <c r="D568" s="29" t="s">
        <v>963</v>
      </c>
      <c r="E568" s="29" t="s">
        <v>979</v>
      </c>
      <c r="F568" s="29" t="s">
        <v>981</v>
      </c>
      <c r="G568" s="20" t="str">
        <f t="shared" si="1"/>
        <v>Arts &amp; Entertainment, Hobbies &amp; Creative Arts, Collectibles, Sports CollectiblesSports Fan Accessories</v>
      </c>
    </row>
    <row r="569" hidden="1">
      <c r="A569" s="29">
        <v>1074.0</v>
      </c>
      <c r="B569" s="29" t="s">
        <v>895</v>
      </c>
      <c r="C569" s="29" t="s">
        <v>897</v>
      </c>
      <c r="D569" s="29" t="s">
        <v>963</v>
      </c>
      <c r="E569" s="29" t="s">
        <v>979</v>
      </c>
      <c r="F569" s="29" t="s">
        <v>981</v>
      </c>
      <c r="G569" s="20" t="str">
        <f t="shared" si="1"/>
        <v>Arts &amp; Entertainment, Hobbies &amp; Creative Arts, Collectibles, Sports CollectiblesSports Fan Accessories</v>
      </c>
    </row>
    <row r="570" hidden="1">
      <c r="A570" s="29">
        <v>1084.0</v>
      </c>
      <c r="B570" s="29" t="s">
        <v>895</v>
      </c>
      <c r="C570" s="29" t="s">
        <v>897</v>
      </c>
      <c r="D570" s="29" t="s">
        <v>963</v>
      </c>
      <c r="E570" s="29" t="s">
        <v>979</v>
      </c>
      <c r="F570" s="29" t="s">
        <v>981</v>
      </c>
      <c r="G570" s="20" t="str">
        <f t="shared" si="1"/>
        <v>Arts &amp; Entertainment, Hobbies &amp; Creative Arts, Collectibles, Sports CollectiblesSports Fan Accessories</v>
      </c>
    </row>
    <row r="571" hidden="1">
      <c r="A571" s="29">
        <v>4006.0</v>
      </c>
      <c r="B571" s="29" t="s">
        <v>895</v>
      </c>
      <c r="C571" s="29" t="s">
        <v>897</v>
      </c>
      <c r="D571" s="29" t="s">
        <v>963</v>
      </c>
      <c r="E571" s="29" t="s">
        <v>979</v>
      </c>
      <c r="F571" s="29" t="s">
        <v>981</v>
      </c>
      <c r="G571" s="20" t="str">
        <f t="shared" si="1"/>
        <v>Arts &amp; Entertainment, Hobbies &amp; Creative Arts, Collectibles, Sports CollectiblesSports Fan Accessories</v>
      </c>
    </row>
    <row r="572" hidden="1">
      <c r="A572" s="29">
        <v>3576.0</v>
      </c>
      <c r="B572" s="29" t="s">
        <v>895</v>
      </c>
      <c r="C572" s="29" t="s">
        <v>897</v>
      </c>
      <c r="D572" s="29" t="s">
        <v>963</v>
      </c>
      <c r="E572" s="29" t="s">
        <v>979</v>
      </c>
      <c r="F572" s="29" t="s">
        <v>981</v>
      </c>
      <c r="G572" s="20" t="str">
        <f t="shared" si="1"/>
        <v>Arts &amp; Entertainment, Hobbies &amp; Creative Arts, Collectibles, Sports CollectiblesSports Fan Accessories</v>
      </c>
    </row>
    <row r="573" hidden="1">
      <c r="A573" s="29">
        <v>6187.0</v>
      </c>
      <c r="B573" s="29" t="s">
        <v>895</v>
      </c>
      <c r="C573" s="29" t="s">
        <v>897</v>
      </c>
      <c r="D573" s="29" t="s">
        <v>963</v>
      </c>
      <c r="E573" s="29" t="s">
        <v>979</v>
      </c>
      <c r="F573" s="29" t="s">
        <v>981</v>
      </c>
      <c r="G573" s="20" t="str">
        <f t="shared" si="1"/>
        <v>Arts &amp; Entertainment, Hobbies &amp; Creative Arts, Collectibles, Sports CollectiblesSports Fan Accessories</v>
      </c>
    </row>
    <row r="574" hidden="1">
      <c r="A574" s="29">
        <v>3893.0</v>
      </c>
      <c r="B574" s="29" t="s">
        <v>895</v>
      </c>
      <c r="C574" s="29" t="s">
        <v>897</v>
      </c>
      <c r="D574" s="29" t="s">
        <v>963</v>
      </c>
      <c r="E574" s="29" t="s">
        <v>982</v>
      </c>
      <c r="F574" s="62"/>
      <c r="G574" s="20" t="str">
        <f t="shared" si="1"/>
        <v>Arts &amp; Entertainment, Hobbies &amp; Creative Arts, Collectibles, Vintage Advertisements</v>
      </c>
    </row>
    <row r="575" hidden="1">
      <c r="A575" s="29">
        <v>3577.0</v>
      </c>
      <c r="B575" s="29" t="s">
        <v>895</v>
      </c>
      <c r="C575" s="29" t="s">
        <v>897</v>
      </c>
      <c r="D575" s="29" t="s">
        <v>983</v>
      </c>
      <c r="F575" s="62"/>
      <c r="G575" s="20" t="str">
        <f t="shared" si="1"/>
        <v>Arts &amp; Entertainment, Hobbies &amp; Creative Arts, Homebrewing &amp; Winemaking Supplies, </v>
      </c>
    </row>
    <row r="576" hidden="1">
      <c r="A576" s="29">
        <v>3014.0</v>
      </c>
      <c r="B576" s="29" t="s">
        <v>895</v>
      </c>
      <c r="C576" s="29" t="s">
        <v>897</v>
      </c>
      <c r="D576" s="29" t="s">
        <v>983</v>
      </c>
      <c r="E576" s="29" t="s">
        <v>984</v>
      </c>
      <c r="F576" s="62"/>
      <c r="G576" s="20" t="str">
        <f t="shared" si="1"/>
        <v>Arts &amp; Entertainment, Hobbies &amp; Creative Arts, Homebrewing &amp; Winemaking Supplies, Beer Brewing Grains &amp; Malts</v>
      </c>
    </row>
    <row r="577" hidden="1">
      <c r="A577" s="29">
        <v>502980.0</v>
      </c>
      <c r="B577" s="29" t="s">
        <v>895</v>
      </c>
      <c r="C577" s="29" t="s">
        <v>897</v>
      </c>
      <c r="D577" s="29" t="s">
        <v>983</v>
      </c>
      <c r="E577" s="29" t="s">
        <v>985</v>
      </c>
      <c r="F577" s="62"/>
      <c r="G577" s="20" t="str">
        <f t="shared" si="1"/>
        <v>Arts &amp; Entertainment, Hobbies &amp; Creative Arts, Homebrewing &amp; Winemaking Supplies, Bottling Bottles</v>
      </c>
    </row>
    <row r="578" hidden="1">
      <c r="A578" s="29">
        <v>499891.0</v>
      </c>
      <c r="B578" s="29" t="s">
        <v>895</v>
      </c>
      <c r="C578" s="29" t="s">
        <v>897</v>
      </c>
      <c r="D578" s="29" t="s">
        <v>983</v>
      </c>
      <c r="E578" s="29" t="s">
        <v>986</v>
      </c>
      <c r="F578" s="62"/>
      <c r="G578" s="20" t="str">
        <f t="shared" si="1"/>
        <v>Arts &amp; Entertainment, Hobbies &amp; Creative Arts, Homebrewing &amp; Winemaking Supplies, Homebrewing &amp; Winemaking Kits</v>
      </c>
    </row>
    <row r="579" hidden="1">
      <c r="A579" s="29">
        <v>2579.0</v>
      </c>
      <c r="B579" s="29" t="s">
        <v>895</v>
      </c>
      <c r="C579" s="29" t="s">
        <v>897</v>
      </c>
      <c r="D579" s="29" t="s">
        <v>983</v>
      </c>
      <c r="E579" s="29" t="s">
        <v>987</v>
      </c>
      <c r="F579" s="62"/>
      <c r="G579" s="20" t="str">
        <f t="shared" si="1"/>
        <v>Arts &amp; Entertainment, Hobbies &amp; Creative Arts, Homebrewing &amp; Winemaking Supplies, Wine Making</v>
      </c>
    </row>
    <row r="580" hidden="1">
      <c r="A580" s="29">
        <v>33.0</v>
      </c>
      <c r="B580" s="29" t="s">
        <v>895</v>
      </c>
      <c r="C580" s="29" t="s">
        <v>897</v>
      </c>
      <c r="D580" s="29" t="s">
        <v>988</v>
      </c>
      <c r="E580" s="62"/>
      <c r="F580" s="62"/>
      <c r="G580" s="20" t="str">
        <f t="shared" si="1"/>
        <v>Arts &amp; Entertainment, Hobbies &amp; Creative Arts, Juggling, </v>
      </c>
    </row>
    <row r="581" hidden="1">
      <c r="A581" s="29">
        <v>35.0</v>
      </c>
      <c r="B581" s="29" t="s">
        <v>895</v>
      </c>
      <c r="C581" s="29" t="s">
        <v>897</v>
      </c>
      <c r="D581" s="29" t="s">
        <v>989</v>
      </c>
      <c r="E581" s="62"/>
      <c r="F581" s="62"/>
      <c r="G581" s="20" t="str">
        <f t="shared" si="1"/>
        <v>Arts &amp; Entertainment, Hobbies &amp; Creative Arts, Magic &amp; Novelties, </v>
      </c>
    </row>
    <row r="582" hidden="1">
      <c r="A582" s="29">
        <v>5999.0</v>
      </c>
      <c r="B582" s="29" t="s">
        <v>895</v>
      </c>
      <c r="C582" s="29" t="s">
        <v>897</v>
      </c>
      <c r="D582" s="29" t="s">
        <v>990</v>
      </c>
      <c r="E582" s="62"/>
      <c r="F582" s="62"/>
      <c r="G582" s="20" t="str">
        <f t="shared" si="1"/>
        <v>Arts &amp; Entertainment, Hobbies &amp; Creative Arts, Model Making, </v>
      </c>
    </row>
    <row r="583" hidden="1">
      <c r="A583" s="29">
        <v>3885.0</v>
      </c>
      <c r="B583" s="29" t="s">
        <v>895</v>
      </c>
      <c r="C583" s="29" t="s">
        <v>897</v>
      </c>
      <c r="D583" s="29" t="s">
        <v>990</v>
      </c>
      <c r="E583" s="29" t="s">
        <v>991</v>
      </c>
      <c r="F583" s="62"/>
      <c r="G583" s="20" t="str">
        <f t="shared" si="1"/>
        <v>Arts &amp; Entertainment, Hobbies &amp; Creative Arts, Model Making, Model Rocketry</v>
      </c>
    </row>
    <row r="584" hidden="1">
      <c r="A584" s="29">
        <v>5151.0</v>
      </c>
      <c r="B584" s="29" t="s">
        <v>895</v>
      </c>
      <c r="C584" s="29" t="s">
        <v>897</v>
      </c>
      <c r="D584" s="29" t="s">
        <v>990</v>
      </c>
      <c r="E584" s="29" t="s">
        <v>992</v>
      </c>
      <c r="F584" s="62"/>
      <c r="G584" s="20" t="str">
        <f t="shared" si="1"/>
        <v>Arts &amp; Entertainment, Hobbies &amp; Creative Arts, Model Making, Model Train Accessories</v>
      </c>
    </row>
    <row r="585" hidden="1">
      <c r="A585" s="29">
        <v>5150.0</v>
      </c>
      <c r="B585" s="29" t="s">
        <v>895</v>
      </c>
      <c r="C585" s="29" t="s">
        <v>897</v>
      </c>
      <c r="D585" s="29" t="s">
        <v>990</v>
      </c>
      <c r="E585" s="29" t="s">
        <v>993</v>
      </c>
      <c r="F585" s="62"/>
      <c r="G585" s="20" t="str">
        <f t="shared" si="1"/>
        <v>Arts &amp; Entertainment, Hobbies &amp; Creative Arts, Model Making, Model Trains &amp; Train Sets</v>
      </c>
    </row>
    <row r="586" hidden="1">
      <c r="A586" s="29">
        <v>4175.0</v>
      </c>
      <c r="B586" s="29" t="s">
        <v>895</v>
      </c>
      <c r="C586" s="29" t="s">
        <v>897</v>
      </c>
      <c r="D586" s="29" t="s">
        <v>990</v>
      </c>
      <c r="E586" s="29" t="s">
        <v>994</v>
      </c>
      <c r="F586" s="62"/>
      <c r="G586" s="20" t="str">
        <f t="shared" si="1"/>
        <v>Arts &amp; Entertainment, Hobbies &amp; Creative Arts, Model Making, Scale Model Kits</v>
      </c>
    </row>
    <row r="587" hidden="1">
      <c r="A587" s="29">
        <v>55.0</v>
      </c>
      <c r="B587" s="29" t="s">
        <v>895</v>
      </c>
      <c r="C587" s="29" t="s">
        <v>897</v>
      </c>
      <c r="D587" s="29" t="s">
        <v>995</v>
      </c>
      <c r="F587" s="62"/>
      <c r="G587" s="20" t="str">
        <f t="shared" si="1"/>
        <v>Arts &amp; Entertainment, Hobbies &amp; Creative Arts, Musical Instrument &amp; Orchestra Accessories, </v>
      </c>
    </row>
    <row r="588" hidden="1">
      <c r="A588" s="29">
        <v>57.0</v>
      </c>
      <c r="B588" s="29" t="s">
        <v>895</v>
      </c>
      <c r="C588" s="29" t="s">
        <v>897</v>
      </c>
      <c r="D588" s="29" t="s">
        <v>995</v>
      </c>
      <c r="E588" s="29" t="s">
        <v>996</v>
      </c>
      <c r="F588" s="62"/>
      <c r="G588" s="20" t="str">
        <f t="shared" si="1"/>
        <v>Arts &amp; Entertainment, Hobbies &amp; Creative Arts, Musical Instrument &amp; Orchestra Accessories, Brass Instrument Accessories</v>
      </c>
    </row>
    <row r="589" hidden="1">
      <c r="A589" s="29">
        <v>4797.0</v>
      </c>
      <c r="B589" s="29" t="s">
        <v>895</v>
      </c>
      <c r="C589" s="29" t="s">
        <v>897</v>
      </c>
      <c r="D589" s="29" t="s">
        <v>995</v>
      </c>
      <c r="E589" s="29" t="s">
        <v>996</v>
      </c>
      <c r="F589" s="29" t="s">
        <v>997</v>
      </c>
      <c r="G589" s="20" t="str">
        <f t="shared" si="1"/>
        <v>Arts &amp; Entertainment, Hobbies &amp; Creative Arts, Musical Instrument &amp; Orchestra Accessories, Brass Instrument AccessoriesBrass Instrument Care &amp; Cleaning</v>
      </c>
    </row>
    <row r="590" hidden="1">
      <c r="A590" s="29">
        <v>4891.0</v>
      </c>
      <c r="B590" s="29" t="s">
        <v>895</v>
      </c>
      <c r="C590" s="29" t="s">
        <v>897</v>
      </c>
      <c r="D590" s="29" t="s">
        <v>995</v>
      </c>
      <c r="E590" s="29" t="s">
        <v>996</v>
      </c>
      <c r="F590" s="29" t="s">
        <v>997</v>
      </c>
      <c r="G590" s="20" t="str">
        <f t="shared" si="1"/>
        <v>Arts &amp; Entertainment, Hobbies &amp; Creative Arts, Musical Instrument &amp; Orchestra Accessories, Brass Instrument AccessoriesBrass Instrument Care &amp; Cleaning</v>
      </c>
    </row>
    <row r="591" hidden="1">
      <c r="A591" s="29">
        <v>4892.0</v>
      </c>
      <c r="B591" s="29" t="s">
        <v>895</v>
      </c>
      <c r="C591" s="29" t="s">
        <v>897</v>
      </c>
      <c r="D591" s="29" t="s">
        <v>995</v>
      </c>
      <c r="E591" s="29" t="s">
        <v>996</v>
      </c>
      <c r="F591" s="29" t="s">
        <v>997</v>
      </c>
      <c r="G591" s="20" t="str">
        <f t="shared" si="1"/>
        <v>Arts &amp; Entertainment, Hobbies &amp; Creative Arts, Musical Instrument &amp; Orchestra Accessories, Brass Instrument AccessoriesBrass Instrument Care &amp; Cleaning</v>
      </c>
    </row>
    <row r="592" hidden="1">
      <c r="A592" s="29">
        <v>4890.0</v>
      </c>
      <c r="B592" s="29" t="s">
        <v>895</v>
      </c>
      <c r="C592" s="29" t="s">
        <v>897</v>
      </c>
      <c r="D592" s="29" t="s">
        <v>995</v>
      </c>
      <c r="E592" s="29" t="s">
        <v>996</v>
      </c>
      <c r="F592" s="29" t="s">
        <v>997</v>
      </c>
      <c r="G592" s="20" t="str">
        <f t="shared" si="1"/>
        <v>Arts &amp; Entertainment, Hobbies &amp; Creative Arts, Musical Instrument &amp; Orchestra Accessories, Brass Instrument AccessoriesBrass Instrument Care &amp; Cleaning</v>
      </c>
    </row>
    <row r="593" hidden="1">
      <c r="A593" s="29">
        <v>4893.0</v>
      </c>
      <c r="B593" s="29" t="s">
        <v>895</v>
      </c>
      <c r="C593" s="29" t="s">
        <v>897</v>
      </c>
      <c r="D593" s="29" t="s">
        <v>995</v>
      </c>
      <c r="E593" s="29" t="s">
        <v>996</v>
      </c>
      <c r="F593" s="29" t="s">
        <v>997</v>
      </c>
      <c r="G593" s="20" t="str">
        <f t="shared" si="1"/>
        <v>Arts &amp; Entertainment, Hobbies &amp; Creative Arts, Musical Instrument &amp; Orchestra Accessories, Brass Instrument AccessoriesBrass Instrument Care &amp; Cleaning</v>
      </c>
    </row>
    <row r="594" hidden="1">
      <c r="A594" s="29">
        <v>4894.0</v>
      </c>
      <c r="B594" s="29" t="s">
        <v>895</v>
      </c>
      <c r="C594" s="29" t="s">
        <v>897</v>
      </c>
      <c r="D594" s="29" t="s">
        <v>995</v>
      </c>
      <c r="E594" s="29" t="s">
        <v>996</v>
      </c>
      <c r="F594" s="29" t="s">
        <v>997</v>
      </c>
      <c r="G594" s="20" t="str">
        <f t="shared" si="1"/>
        <v>Arts &amp; Entertainment, Hobbies &amp; Creative Arts, Musical Instrument &amp; Orchestra Accessories, Brass Instrument AccessoriesBrass Instrument Care &amp; Cleaning</v>
      </c>
    </row>
    <row r="595" hidden="1">
      <c r="A595" s="29">
        <v>4895.0</v>
      </c>
      <c r="B595" s="29" t="s">
        <v>895</v>
      </c>
      <c r="C595" s="29" t="s">
        <v>897</v>
      </c>
      <c r="D595" s="29" t="s">
        <v>995</v>
      </c>
      <c r="E595" s="29" t="s">
        <v>996</v>
      </c>
      <c r="F595" s="29" t="s">
        <v>997</v>
      </c>
      <c r="G595" s="20" t="str">
        <f t="shared" si="1"/>
        <v>Arts &amp; Entertainment, Hobbies &amp; Creative Arts, Musical Instrument &amp; Orchestra Accessories, Brass Instrument AccessoriesBrass Instrument Care &amp; Cleaning</v>
      </c>
    </row>
    <row r="596" hidden="1">
      <c r="A596" s="29">
        <v>505310.0</v>
      </c>
      <c r="B596" s="29" t="s">
        <v>895</v>
      </c>
      <c r="C596" s="29" t="s">
        <v>897</v>
      </c>
      <c r="D596" s="29" t="s">
        <v>995</v>
      </c>
      <c r="E596" s="29" t="s">
        <v>996</v>
      </c>
      <c r="F596" s="29" t="s">
        <v>998</v>
      </c>
      <c r="G596" s="20" t="str">
        <f t="shared" si="1"/>
        <v>Arts &amp; Entertainment, Hobbies &amp; Creative Arts, Musical Instrument &amp; Orchestra Accessories, Brass Instrument AccessoriesBrass Instrument Cases &amp; Gigbags</v>
      </c>
    </row>
    <row r="597" hidden="1">
      <c r="A597" s="29">
        <v>505308.0</v>
      </c>
      <c r="B597" s="29" t="s">
        <v>895</v>
      </c>
      <c r="C597" s="29" t="s">
        <v>897</v>
      </c>
      <c r="D597" s="29" t="s">
        <v>995</v>
      </c>
      <c r="E597" s="29" t="s">
        <v>996</v>
      </c>
      <c r="F597" s="29" t="s">
        <v>999</v>
      </c>
      <c r="G597" s="20" t="str">
        <f t="shared" si="1"/>
        <v>Arts &amp; Entertainment, Hobbies &amp; Creative Arts, Musical Instrument &amp; Orchestra Accessories, Brass Instrument AccessoriesBrass Instrument Mouthpieces</v>
      </c>
    </row>
    <row r="598" hidden="1">
      <c r="A598" s="29">
        <v>505768.0</v>
      </c>
      <c r="B598" s="29" t="s">
        <v>895</v>
      </c>
      <c r="C598" s="29" t="s">
        <v>897</v>
      </c>
      <c r="D598" s="29" t="s">
        <v>995</v>
      </c>
      <c r="E598" s="29" t="s">
        <v>996</v>
      </c>
      <c r="F598" s="29" t="s">
        <v>1000</v>
      </c>
      <c r="G598" s="20" t="str">
        <f t="shared" si="1"/>
        <v>Arts &amp; Entertainment, Hobbies &amp; Creative Arts, Musical Instrument &amp; Orchestra Accessories, Brass Instrument AccessoriesBrass Instrument Mutes</v>
      </c>
    </row>
    <row r="599" hidden="1">
      <c r="A599" s="29">
        <v>4798.0</v>
      </c>
      <c r="B599" s="29" t="s">
        <v>895</v>
      </c>
      <c r="C599" s="29" t="s">
        <v>897</v>
      </c>
      <c r="D599" s="29" t="s">
        <v>995</v>
      </c>
      <c r="E599" s="29" t="s">
        <v>996</v>
      </c>
      <c r="F599" s="29" t="s">
        <v>1001</v>
      </c>
      <c r="G599" s="20" t="str">
        <f t="shared" si="1"/>
        <v>Arts &amp; Entertainment, Hobbies &amp; Creative Arts, Musical Instrument &amp; Orchestra Accessories, Brass Instrument AccessoriesBrass Instrument Replacement Parts</v>
      </c>
    </row>
    <row r="600" hidden="1">
      <c r="A600" s="29">
        <v>505309.0</v>
      </c>
      <c r="B600" s="29" t="s">
        <v>895</v>
      </c>
      <c r="C600" s="29" t="s">
        <v>897</v>
      </c>
      <c r="D600" s="29" t="s">
        <v>995</v>
      </c>
      <c r="E600" s="29" t="s">
        <v>996</v>
      </c>
      <c r="F600" s="29" t="s">
        <v>1002</v>
      </c>
      <c r="G600" s="20" t="str">
        <f t="shared" si="1"/>
        <v>Arts &amp; Entertainment, Hobbies &amp; Creative Arts, Musical Instrument &amp; Orchestra Accessories, Brass Instrument AccessoriesBrass Instrument Straps &amp; Stands</v>
      </c>
    </row>
    <row r="601" hidden="1">
      <c r="A601" s="29">
        <v>505288.0</v>
      </c>
      <c r="B601" s="29" t="s">
        <v>895</v>
      </c>
      <c r="C601" s="29" t="s">
        <v>897</v>
      </c>
      <c r="D601" s="29" t="s">
        <v>995</v>
      </c>
      <c r="E601" s="29" t="s">
        <v>1003</v>
      </c>
      <c r="F601" s="62"/>
      <c r="G601" s="20" t="str">
        <f t="shared" si="1"/>
        <v>Arts &amp; Entertainment, Hobbies &amp; Creative Arts, Musical Instrument &amp; Orchestra Accessories, Conductor Batons</v>
      </c>
    </row>
    <row r="602" hidden="1">
      <c r="A602" s="29">
        <v>3270.0</v>
      </c>
      <c r="B602" s="29" t="s">
        <v>895</v>
      </c>
      <c r="C602" s="29" t="s">
        <v>897</v>
      </c>
      <c r="D602" s="29" t="s">
        <v>995</v>
      </c>
      <c r="E602" s="29" t="s">
        <v>1004</v>
      </c>
      <c r="F602" s="62"/>
      <c r="G602" s="20" t="str">
        <f t="shared" si="1"/>
        <v>Arts &amp; Entertainment, Hobbies &amp; Creative Arts, Musical Instrument &amp; Orchestra Accessories, Electronic Tuners</v>
      </c>
    </row>
    <row r="603" hidden="1">
      <c r="A603" s="29">
        <v>505365.0</v>
      </c>
      <c r="B603" s="29" t="s">
        <v>895</v>
      </c>
      <c r="C603" s="29" t="s">
        <v>897</v>
      </c>
      <c r="D603" s="29" t="s">
        <v>995</v>
      </c>
      <c r="E603" s="29" t="s">
        <v>1005</v>
      </c>
      <c r="F603" s="62"/>
      <c r="G603" s="20" t="str">
        <f t="shared" si="1"/>
        <v>Arts &amp; Entertainment, Hobbies &amp; Creative Arts, Musical Instrument &amp; Orchestra Accessories, Metronomes</v>
      </c>
    </row>
    <row r="604" hidden="1">
      <c r="A604" s="29">
        <v>505328.0</v>
      </c>
      <c r="B604" s="29" t="s">
        <v>895</v>
      </c>
      <c r="C604" s="29" t="s">
        <v>897</v>
      </c>
      <c r="D604" s="29" t="s">
        <v>995</v>
      </c>
      <c r="E604" s="29" t="s">
        <v>1006</v>
      </c>
      <c r="F604" s="62"/>
      <c r="G604" s="20" t="str">
        <f t="shared" si="1"/>
        <v>Arts &amp; Entertainment, Hobbies &amp; Creative Arts, Musical Instrument &amp; Orchestra Accessories, Music Benches &amp; Stools</v>
      </c>
    </row>
    <row r="605" hidden="1">
      <c r="A605" s="29">
        <v>500001.0</v>
      </c>
      <c r="B605" s="29" t="s">
        <v>895</v>
      </c>
      <c r="C605" s="29" t="s">
        <v>897</v>
      </c>
      <c r="D605" s="29" t="s">
        <v>995</v>
      </c>
      <c r="E605" s="29" t="s">
        <v>1007</v>
      </c>
      <c r="F605" s="62"/>
      <c r="G605" s="20" t="str">
        <f t="shared" si="1"/>
        <v>Arts &amp; Entertainment, Hobbies &amp; Creative Arts, Musical Instrument &amp; Orchestra Accessories, Music Lyres &amp; Flip Folders</v>
      </c>
    </row>
    <row r="606" hidden="1">
      <c r="A606" s="29">
        <v>7277.0</v>
      </c>
      <c r="B606" s="29" t="s">
        <v>895</v>
      </c>
      <c r="C606" s="29" t="s">
        <v>897</v>
      </c>
      <c r="D606" s="29" t="s">
        <v>995</v>
      </c>
      <c r="E606" s="29" t="s">
        <v>1008</v>
      </c>
      <c r="F606" s="62"/>
      <c r="G606" s="20" t="str">
        <f t="shared" si="1"/>
        <v>Arts &amp; Entertainment, Hobbies &amp; Creative Arts, Musical Instrument &amp; Orchestra Accessories, Music Stand Accessories</v>
      </c>
    </row>
    <row r="607" hidden="1">
      <c r="A607" s="29">
        <v>7279.0</v>
      </c>
      <c r="B607" s="29" t="s">
        <v>895</v>
      </c>
      <c r="C607" s="29" t="s">
        <v>897</v>
      </c>
      <c r="D607" s="29" t="s">
        <v>995</v>
      </c>
      <c r="E607" s="29" t="s">
        <v>1008</v>
      </c>
      <c r="F607" s="29" t="s">
        <v>1009</v>
      </c>
      <c r="G607" s="20" t="str">
        <f t="shared" si="1"/>
        <v>Arts &amp; Entertainment, Hobbies &amp; Creative Arts, Musical Instrument &amp; Orchestra Accessories, Music Stand AccessoriesMusic Stand Bags</v>
      </c>
    </row>
    <row r="608" hidden="1">
      <c r="A608" s="29">
        <v>7280.0</v>
      </c>
      <c r="B608" s="29" t="s">
        <v>895</v>
      </c>
      <c r="C608" s="29" t="s">
        <v>897</v>
      </c>
      <c r="D608" s="29" t="s">
        <v>995</v>
      </c>
      <c r="E608" s="29" t="s">
        <v>1008</v>
      </c>
      <c r="F608" s="29" t="s">
        <v>1010</v>
      </c>
      <c r="G608" s="20" t="str">
        <f t="shared" si="1"/>
        <v>Arts &amp; Entertainment, Hobbies &amp; Creative Arts, Musical Instrument &amp; Orchestra Accessories, Music Stand AccessoriesMusic Stand Lights</v>
      </c>
    </row>
    <row r="609" hidden="1">
      <c r="A609" s="29">
        <v>7278.0</v>
      </c>
      <c r="B609" s="29" t="s">
        <v>895</v>
      </c>
      <c r="C609" s="29" t="s">
        <v>897</v>
      </c>
      <c r="D609" s="29" t="s">
        <v>995</v>
      </c>
      <c r="E609" s="29" t="s">
        <v>1008</v>
      </c>
      <c r="F609" s="29" t="s">
        <v>1011</v>
      </c>
      <c r="G609" s="20" t="str">
        <f t="shared" si="1"/>
        <v>Arts &amp; Entertainment, Hobbies &amp; Creative Arts, Musical Instrument &amp; Orchestra Accessories, Music Stand AccessoriesSheet Music Clips</v>
      </c>
    </row>
    <row r="610" hidden="1">
      <c r="A610" s="29">
        <v>4142.0</v>
      </c>
      <c r="B610" s="29" t="s">
        <v>895</v>
      </c>
      <c r="C610" s="29" t="s">
        <v>897</v>
      </c>
      <c r="D610" s="29" t="s">
        <v>995</v>
      </c>
      <c r="E610" s="29" t="s">
        <v>1012</v>
      </c>
      <c r="F610" s="62"/>
      <c r="G610" s="20" t="str">
        <f t="shared" si="1"/>
        <v>Arts &amp; Entertainment, Hobbies &amp; Creative Arts, Musical Instrument &amp; Orchestra Accessories, Music Stands</v>
      </c>
    </row>
    <row r="611" hidden="1">
      <c r="A611" s="29">
        <v>8072.0</v>
      </c>
      <c r="B611" s="29" t="s">
        <v>895</v>
      </c>
      <c r="C611" s="29" t="s">
        <v>897</v>
      </c>
      <c r="D611" s="29" t="s">
        <v>995</v>
      </c>
      <c r="E611" s="29" t="s">
        <v>1013</v>
      </c>
      <c r="G611" s="20" t="str">
        <f t="shared" si="1"/>
        <v>Arts &amp; Entertainment, Hobbies &amp; Creative Arts, Musical Instrument &amp; Orchestra Accessories, Musical Instrument Amplifier Accessories</v>
      </c>
    </row>
    <row r="612" hidden="1">
      <c r="A612" s="29">
        <v>6970.0</v>
      </c>
      <c r="B612" s="29" t="s">
        <v>895</v>
      </c>
      <c r="C612" s="29" t="s">
        <v>897</v>
      </c>
      <c r="D612" s="29" t="s">
        <v>995</v>
      </c>
      <c r="E612" s="29" t="s">
        <v>1013</v>
      </c>
      <c r="F612" s="29" t="s">
        <v>1014</v>
      </c>
      <c r="G612" s="20" t="str">
        <f t="shared" si="1"/>
        <v>Arts &amp; Entertainment, Hobbies &amp; Creative Arts, Musical Instrument &amp; Orchestra Accessories, Musical Instrument Amplifier AccessoriesMusical Instrument Amplifier Cabinets</v>
      </c>
    </row>
    <row r="613" hidden="1">
      <c r="A613" s="29">
        <v>8461.0</v>
      </c>
      <c r="B613" s="29" t="s">
        <v>895</v>
      </c>
      <c r="C613" s="29" t="s">
        <v>897</v>
      </c>
      <c r="D613" s="29" t="s">
        <v>995</v>
      </c>
      <c r="E613" s="29" t="s">
        <v>1013</v>
      </c>
      <c r="F613" s="29" t="s">
        <v>1015</v>
      </c>
      <c r="G613" s="20" t="str">
        <f t="shared" si="1"/>
        <v>Arts &amp; Entertainment, Hobbies &amp; Creative Arts, Musical Instrument &amp; Orchestra Accessories, Musical Instrument Amplifier AccessoriesMusical Instrument Amplifier Covers &amp; Cases</v>
      </c>
    </row>
    <row r="614" hidden="1">
      <c r="A614" s="29">
        <v>8073.0</v>
      </c>
      <c r="B614" s="29" t="s">
        <v>895</v>
      </c>
      <c r="C614" s="29" t="s">
        <v>897</v>
      </c>
      <c r="D614" s="29" t="s">
        <v>995</v>
      </c>
      <c r="E614" s="29" t="s">
        <v>1013</v>
      </c>
      <c r="F614" s="29" t="s">
        <v>1016</v>
      </c>
      <c r="G614" s="20" t="str">
        <f t="shared" si="1"/>
        <v>Arts &amp; Entertainment, Hobbies &amp; Creative Arts, Musical Instrument &amp; Orchestra Accessories, Musical Instrument Amplifier AccessoriesMusical Instrument Amplifier Footswitches</v>
      </c>
    </row>
    <row r="615" hidden="1">
      <c r="A615" s="29">
        <v>8462.0</v>
      </c>
      <c r="B615" s="29" t="s">
        <v>895</v>
      </c>
      <c r="C615" s="29" t="s">
        <v>897</v>
      </c>
      <c r="D615" s="29" t="s">
        <v>995</v>
      </c>
      <c r="E615" s="29" t="s">
        <v>1013</v>
      </c>
      <c r="F615" s="29" t="s">
        <v>1017</v>
      </c>
      <c r="G615" s="20" t="str">
        <f t="shared" si="1"/>
        <v>Arts &amp; Entertainment, Hobbies &amp; Creative Arts, Musical Instrument &amp; Orchestra Accessories, Musical Instrument Amplifier AccessoriesMusical Instrument Amplifier Knobs</v>
      </c>
    </row>
    <row r="616" hidden="1">
      <c r="A616" s="29">
        <v>7364.0</v>
      </c>
      <c r="B616" s="29" t="s">
        <v>895</v>
      </c>
      <c r="C616" s="29" t="s">
        <v>897</v>
      </c>
      <c r="D616" s="29" t="s">
        <v>995</v>
      </c>
      <c r="E616" s="29" t="s">
        <v>1013</v>
      </c>
      <c r="F616" s="29" t="s">
        <v>1018</v>
      </c>
      <c r="G616" s="20" t="str">
        <f t="shared" si="1"/>
        <v>Arts &amp; Entertainment, Hobbies &amp; Creative Arts, Musical Instrument &amp; Orchestra Accessories, Musical Instrument Amplifier AccessoriesMusical Instrument Amplifier Stands</v>
      </c>
    </row>
    <row r="617" hidden="1">
      <c r="A617" s="29">
        <v>8480.0</v>
      </c>
      <c r="B617" s="29" t="s">
        <v>895</v>
      </c>
      <c r="C617" s="29" t="s">
        <v>897</v>
      </c>
      <c r="D617" s="29" t="s">
        <v>995</v>
      </c>
      <c r="E617" s="29" t="s">
        <v>1013</v>
      </c>
      <c r="F617" s="29" t="s">
        <v>1019</v>
      </c>
      <c r="G617" s="20" t="str">
        <f t="shared" si="1"/>
        <v>Arts &amp; Entertainment, Hobbies &amp; Creative Arts, Musical Instrument &amp; Orchestra Accessories, Musical Instrument Amplifier AccessoriesMusical Instrument Amplifier Tubes</v>
      </c>
    </row>
    <row r="618" hidden="1">
      <c r="A618" s="29">
        <v>56.0</v>
      </c>
      <c r="B618" s="29" t="s">
        <v>895</v>
      </c>
      <c r="C618" s="29" t="s">
        <v>897</v>
      </c>
      <c r="D618" s="29" t="s">
        <v>995</v>
      </c>
      <c r="E618" s="29" t="s">
        <v>1020</v>
      </c>
      <c r="F618" s="62"/>
      <c r="G618" s="20" t="str">
        <f t="shared" si="1"/>
        <v>Arts &amp; Entertainment, Hobbies &amp; Creative Arts, Musical Instrument &amp; Orchestra Accessories, Musical Instrument Amplifiers</v>
      </c>
    </row>
    <row r="619" hidden="1">
      <c r="A619" s="29">
        <v>60.0</v>
      </c>
      <c r="B619" s="29" t="s">
        <v>895</v>
      </c>
      <c r="C619" s="29" t="s">
        <v>897</v>
      </c>
      <c r="D619" s="29" t="s">
        <v>995</v>
      </c>
      <c r="E619" s="29" t="s">
        <v>1021</v>
      </c>
      <c r="F619" s="62"/>
      <c r="G619" s="20" t="str">
        <f t="shared" si="1"/>
        <v>Arts &amp; Entertainment, Hobbies &amp; Creative Arts, Musical Instrument &amp; Orchestra Accessories, Musical Keyboard Accessories</v>
      </c>
    </row>
    <row r="620" hidden="1">
      <c r="A620" s="29">
        <v>7357.0</v>
      </c>
      <c r="B620" s="29" t="s">
        <v>895</v>
      </c>
      <c r="C620" s="29" t="s">
        <v>897</v>
      </c>
      <c r="D620" s="29" t="s">
        <v>995</v>
      </c>
      <c r="E620" s="29" t="s">
        <v>1021</v>
      </c>
      <c r="F620" s="29" t="s">
        <v>1022</v>
      </c>
      <c r="G620" s="20" t="str">
        <f t="shared" si="1"/>
        <v>Arts &amp; Entertainment, Hobbies &amp; Creative Arts, Musical Instrument &amp; Orchestra Accessories, Musical Keyboard AccessoriesMusical Keyboard Bags &amp; Cases</v>
      </c>
    </row>
    <row r="621" hidden="1">
      <c r="A621" s="29">
        <v>3588.0</v>
      </c>
      <c r="B621" s="29" t="s">
        <v>895</v>
      </c>
      <c r="C621" s="29" t="s">
        <v>897</v>
      </c>
      <c r="D621" s="29" t="s">
        <v>995</v>
      </c>
      <c r="E621" s="29" t="s">
        <v>1021</v>
      </c>
      <c r="F621" s="29" t="s">
        <v>1023</v>
      </c>
      <c r="G621" s="20" t="str">
        <f t="shared" si="1"/>
        <v>Arts &amp; Entertainment, Hobbies &amp; Creative Arts, Musical Instrument &amp; Orchestra Accessories, Musical Keyboard AccessoriesMusical Keyboard Stands</v>
      </c>
    </row>
    <row r="622" hidden="1">
      <c r="A622" s="29">
        <v>3324.0</v>
      </c>
      <c r="B622" s="29" t="s">
        <v>895</v>
      </c>
      <c r="C622" s="29" t="s">
        <v>897</v>
      </c>
      <c r="D622" s="29" t="s">
        <v>995</v>
      </c>
      <c r="E622" s="29" t="s">
        <v>1021</v>
      </c>
      <c r="F622" s="29" t="s">
        <v>1024</v>
      </c>
      <c r="G622" s="20" t="str">
        <f t="shared" si="1"/>
        <v>Arts &amp; Entertainment, Hobbies &amp; Creative Arts, Musical Instrument &amp; Orchestra Accessories, Musical Keyboard AccessoriesSustain Pedals</v>
      </c>
    </row>
    <row r="623" hidden="1">
      <c r="A623" s="29">
        <v>3465.0</v>
      </c>
      <c r="B623" s="29" t="s">
        <v>895</v>
      </c>
      <c r="C623" s="29" t="s">
        <v>897</v>
      </c>
      <c r="D623" s="29" t="s">
        <v>995</v>
      </c>
      <c r="E623" s="29" t="s">
        <v>1025</v>
      </c>
      <c r="F623" s="62"/>
      <c r="G623" s="20" t="str">
        <f t="shared" si="1"/>
        <v>Arts &amp; Entertainment, Hobbies &amp; Creative Arts, Musical Instrument &amp; Orchestra Accessories, Percussion Accessories</v>
      </c>
    </row>
    <row r="624" hidden="1">
      <c r="A624" s="29">
        <v>7100.0</v>
      </c>
      <c r="B624" s="29" t="s">
        <v>895</v>
      </c>
      <c r="C624" s="29" t="s">
        <v>897</v>
      </c>
      <c r="D624" s="29" t="s">
        <v>995</v>
      </c>
      <c r="E624" s="29" t="s">
        <v>1025</v>
      </c>
      <c r="F624" s="29" t="s">
        <v>1026</v>
      </c>
      <c r="G624" s="20" t="str">
        <f t="shared" si="1"/>
        <v>Arts &amp; Entertainment, Hobbies &amp; Creative Arts, Musical Instrument &amp; Orchestra Accessories, Percussion AccessoriesCymbal &amp; Drum Cases</v>
      </c>
    </row>
    <row r="625" hidden="1">
      <c r="A625" s="29">
        <v>7231.0</v>
      </c>
      <c r="B625" s="29" t="s">
        <v>895</v>
      </c>
      <c r="C625" s="29" t="s">
        <v>897</v>
      </c>
      <c r="D625" s="29" t="s">
        <v>995</v>
      </c>
      <c r="E625" s="29" t="s">
        <v>1025</v>
      </c>
      <c r="F625" s="29" t="s">
        <v>1027</v>
      </c>
      <c r="G625" s="20" t="str">
        <f t="shared" si="1"/>
        <v>Arts &amp; Entertainment, Hobbies &amp; Creative Arts, Musical Instrument &amp; Orchestra Accessories, Percussion AccessoriesCymbal &amp; Drum Mutes</v>
      </c>
    </row>
    <row r="626" hidden="1">
      <c r="A626" s="29">
        <v>7153.0</v>
      </c>
      <c r="B626" s="29" t="s">
        <v>895</v>
      </c>
      <c r="C626" s="29" t="s">
        <v>897</v>
      </c>
      <c r="D626" s="29" t="s">
        <v>995</v>
      </c>
      <c r="E626" s="29" t="s">
        <v>1025</v>
      </c>
      <c r="F626" s="29" t="s">
        <v>1028</v>
      </c>
      <c r="G626" s="20" t="str">
        <f t="shared" si="1"/>
        <v>Arts &amp; Entertainment, Hobbies &amp; Creative Arts, Musical Instrument &amp; Orchestra Accessories, Percussion AccessoriesDrum Heads</v>
      </c>
    </row>
    <row r="627" hidden="1">
      <c r="A627" s="29">
        <v>7152.0</v>
      </c>
      <c r="B627" s="29" t="s">
        <v>895</v>
      </c>
      <c r="C627" s="29" t="s">
        <v>897</v>
      </c>
      <c r="D627" s="29" t="s">
        <v>995</v>
      </c>
      <c r="E627" s="29" t="s">
        <v>1025</v>
      </c>
      <c r="F627" s="29" t="s">
        <v>1029</v>
      </c>
      <c r="G627" s="20" t="str">
        <f t="shared" si="1"/>
        <v>Arts &amp; Entertainment, Hobbies &amp; Creative Arts, Musical Instrument &amp; Orchestra Accessories, Percussion AccessoriesDrum Keys</v>
      </c>
    </row>
    <row r="628" hidden="1">
      <c r="A628" s="29">
        <v>7099.0</v>
      </c>
      <c r="B628" s="29" t="s">
        <v>895</v>
      </c>
      <c r="C628" s="29" t="s">
        <v>897</v>
      </c>
      <c r="D628" s="29" t="s">
        <v>995</v>
      </c>
      <c r="E628" s="29" t="s">
        <v>1025</v>
      </c>
      <c r="F628" s="29" t="s">
        <v>1030</v>
      </c>
      <c r="G628" s="20" t="str">
        <f t="shared" si="1"/>
        <v>Arts &amp; Entertainment, Hobbies &amp; Creative Arts, Musical Instrument &amp; Orchestra Accessories, Percussion AccessoriesDrum Kit Hardware</v>
      </c>
    </row>
    <row r="629" hidden="1">
      <c r="A629" s="29">
        <v>7103.0</v>
      </c>
      <c r="B629" s="29" t="s">
        <v>895</v>
      </c>
      <c r="C629" s="29" t="s">
        <v>897</v>
      </c>
      <c r="D629" s="29" t="s">
        <v>995</v>
      </c>
      <c r="E629" s="29" t="s">
        <v>1025</v>
      </c>
      <c r="F629" s="29" t="s">
        <v>1030</v>
      </c>
      <c r="G629" s="20" t="str">
        <f t="shared" si="1"/>
        <v>Arts &amp; Entertainment, Hobbies &amp; Creative Arts, Musical Instrument &amp; Orchestra Accessories, Percussion AccessoriesDrum Kit Hardware</v>
      </c>
    </row>
    <row r="630" hidden="1">
      <c r="A630" s="29">
        <v>7102.0</v>
      </c>
      <c r="B630" s="29" t="s">
        <v>895</v>
      </c>
      <c r="C630" s="29" t="s">
        <v>897</v>
      </c>
      <c r="D630" s="29" t="s">
        <v>995</v>
      </c>
      <c r="E630" s="29" t="s">
        <v>1025</v>
      </c>
      <c r="F630" s="29" t="s">
        <v>1030</v>
      </c>
      <c r="G630" s="20" t="str">
        <f t="shared" si="1"/>
        <v>Arts &amp; Entertainment, Hobbies &amp; Creative Arts, Musical Instrument &amp; Orchestra Accessories, Percussion AccessoriesDrum Kit Hardware</v>
      </c>
    </row>
    <row r="631" hidden="1">
      <c r="A631" s="29">
        <v>7101.0</v>
      </c>
      <c r="B631" s="29" t="s">
        <v>895</v>
      </c>
      <c r="C631" s="29" t="s">
        <v>897</v>
      </c>
      <c r="D631" s="29" t="s">
        <v>995</v>
      </c>
      <c r="E631" s="29" t="s">
        <v>1025</v>
      </c>
      <c r="F631" s="29" t="s">
        <v>1030</v>
      </c>
      <c r="G631" s="20" t="str">
        <f t="shared" si="1"/>
        <v>Arts &amp; Entertainment, Hobbies &amp; Creative Arts, Musical Instrument &amp; Orchestra Accessories, Percussion AccessoriesDrum Kit Hardware</v>
      </c>
    </row>
    <row r="632" hidden="1">
      <c r="A632" s="29">
        <v>7150.0</v>
      </c>
      <c r="B632" s="29" t="s">
        <v>895</v>
      </c>
      <c r="C632" s="29" t="s">
        <v>897</v>
      </c>
      <c r="D632" s="29" t="s">
        <v>995</v>
      </c>
      <c r="E632" s="29" t="s">
        <v>1025</v>
      </c>
      <c r="F632" s="29" t="s">
        <v>1031</v>
      </c>
      <c r="G632" s="20" t="str">
        <f t="shared" si="1"/>
        <v>Arts &amp; Entertainment, Hobbies &amp; Creative Arts, Musical Instrument &amp; Orchestra Accessories, Percussion AccessoriesDrum Stick &amp; Brush Accessories</v>
      </c>
    </row>
    <row r="633" hidden="1">
      <c r="A633" s="29">
        <v>7151.0</v>
      </c>
      <c r="B633" s="29" t="s">
        <v>895</v>
      </c>
      <c r="C633" s="29" t="s">
        <v>897</v>
      </c>
      <c r="D633" s="29" t="s">
        <v>995</v>
      </c>
      <c r="E633" s="29" t="s">
        <v>1025</v>
      </c>
      <c r="F633" s="29" t="s">
        <v>1031</v>
      </c>
      <c r="G633" s="20" t="str">
        <f t="shared" si="1"/>
        <v>Arts &amp; Entertainment, Hobbies &amp; Creative Arts, Musical Instrument &amp; Orchestra Accessories, Percussion AccessoriesDrum Stick &amp; Brush Accessories</v>
      </c>
    </row>
    <row r="634" hidden="1">
      <c r="A634" s="29">
        <v>59.0</v>
      </c>
      <c r="B634" s="29" t="s">
        <v>895</v>
      </c>
      <c r="C634" s="29" t="s">
        <v>897</v>
      </c>
      <c r="D634" s="29" t="s">
        <v>995</v>
      </c>
      <c r="E634" s="29" t="s">
        <v>1025</v>
      </c>
      <c r="F634" s="29" t="s">
        <v>1032</v>
      </c>
      <c r="G634" s="20" t="str">
        <f t="shared" si="1"/>
        <v>Arts &amp; Entertainment, Hobbies &amp; Creative Arts, Musical Instrument &amp; Orchestra Accessories, Percussion AccessoriesDrum Sticks &amp; Brushes</v>
      </c>
    </row>
    <row r="635" hidden="1">
      <c r="A635" s="29">
        <v>7455.0</v>
      </c>
      <c r="B635" s="29" t="s">
        <v>895</v>
      </c>
      <c r="C635" s="29" t="s">
        <v>897</v>
      </c>
      <c r="D635" s="29" t="s">
        <v>995</v>
      </c>
      <c r="E635" s="29" t="s">
        <v>1025</v>
      </c>
      <c r="F635" s="29" t="s">
        <v>1033</v>
      </c>
      <c r="G635" s="20" t="str">
        <f t="shared" si="1"/>
        <v>Arts &amp; Entertainment, Hobbies &amp; Creative Arts, Musical Instrument &amp; Orchestra Accessories, Percussion AccessoriesElectronic Drum Modules</v>
      </c>
    </row>
    <row r="636" hidden="1">
      <c r="A636" s="29">
        <v>7282.0</v>
      </c>
      <c r="B636" s="29" t="s">
        <v>895</v>
      </c>
      <c r="C636" s="29" t="s">
        <v>897</v>
      </c>
      <c r="D636" s="29" t="s">
        <v>995</v>
      </c>
      <c r="E636" s="29" t="s">
        <v>1025</v>
      </c>
      <c r="F636" s="29" t="s">
        <v>1034</v>
      </c>
      <c r="G636" s="20" t="str">
        <f t="shared" si="1"/>
        <v>Arts &amp; Entertainment, Hobbies &amp; Creative Arts, Musical Instrument &amp; Orchestra Accessories, Percussion AccessoriesHand Percussion Accessories</v>
      </c>
    </row>
    <row r="637" hidden="1">
      <c r="A637" s="29">
        <v>7283.0</v>
      </c>
      <c r="B637" s="29" t="s">
        <v>895</v>
      </c>
      <c r="C637" s="29" t="s">
        <v>897</v>
      </c>
      <c r="D637" s="29" t="s">
        <v>995</v>
      </c>
      <c r="E637" s="29" t="s">
        <v>1025</v>
      </c>
      <c r="F637" s="29" t="s">
        <v>1034</v>
      </c>
      <c r="G637" s="20" t="str">
        <f t="shared" si="1"/>
        <v>Arts &amp; Entertainment, Hobbies &amp; Creative Arts, Musical Instrument &amp; Orchestra Accessories, Percussion AccessoriesHand Percussion Accessories</v>
      </c>
    </row>
    <row r="638" hidden="1">
      <c r="A638" s="29">
        <v>7284.0</v>
      </c>
      <c r="B638" s="29" t="s">
        <v>895</v>
      </c>
      <c r="C638" s="29" t="s">
        <v>897</v>
      </c>
      <c r="D638" s="29" t="s">
        <v>995</v>
      </c>
      <c r="E638" s="29" t="s">
        <v>1025</v>
      </c>
      <c r="F638" s="29" t="s">
        <v>1034</v>
      </c>
      <c r="G638" s="20" t="str">
        <f t="shared" si="1"/>
        <v>Arts &amp; Entertainment, Hobbies &amp; Creative Arts, Musical Instrument &amp; Orchestra Accessories, Percussion AccessoriesHand Percussion Accessories</v>
      </c>
    </row>
    <row r="639" hidden="1">
      <c r="A639" s="29">
        <v>4631.0</v>
      </c>
      <c r="B639" s="29" t="s">
        <v>895</v>
      </c>
      <c r="C639" s="29" t="s">
        <v>897</v>
      </c>
      <c r="D639" s="29" t="s">
        <v>995</v>
      </c>
      <c r="E639" s="29" t="s">
        <v>1025</v>
      </c>
      <c r="F639" s="29" t="s">
        <v>1035</v>
      </c>
      <c r="G639" s="20" t="str">
        <f t="shared" si="1"/>
        <v>Arts &amp; Entertainment, Hobbies &amp; Creative Arts, Musical Instrument &amp; Orchestra Accessories, Percussion AccessoriesPercussion Mallets</v>
      </c>
    </row>
    <row r="640" hidden="1">
      <c r="A640" s="29">
        <v>7308.0</v>
      </c>
      <c r="B640" s="29" t="s">
        <v>895</v>
      </c>
      <c r="C640" s="29" t="s">
        <v>897</v>
      </c>
      <c r="D640" s="29" t="s">
        <v>995</v>
      </c>
      <c r="E640" s="29" t="s">
        <v>1025</v>
      </c>
      <c r="F640" s="29" t="s">
        <v>1036</v>
      </c>
      <c r="G640" s="20" t="str">
        <f t="shared" si="1"/>
        <v>Arts &amp; Entertainment, Hobbies &amp; Creative Arts, Musical Instrument &amp; Orchestra Accessories, Percussion AccessoriesPercussion Stands</v>
      </c>
    </row>
    <row r="641" hidden="1">
      <c r="A641" s="29">
        <v>61.0</v>
      </c>
      <c r="B641" s="29" t="s">
        <v>895</v>
      </c>
      <c r="C641" s="29" t="s">
        <v>897</v>
      </c>
      <c r="D641" s="29" t="s">
        <v>995</v>
      </c>
      <c r="E641" s="29" t="s">
        <v>1037</v>
      </c>
      <c r="F641" s="62"/>
      <c r="G641" s="20" t="str">
        <f t="shared" si="1"/>
        <v>Arts &amp; Entertainment, Hobbies &amp; Creative Arts, Musical Instrument &amp; Orchestra Accessories, String Instrument Accessories</v>
      </c>
    </row>
    <row r="642" hidden="1">
      <c r="A642" s="29">
        <v>3502.0</v>
      </c>
      <c r="B642" s="29" t="s">
        <v>895</v>
      </c>
      <c r="C642" s="29" t="s">
        <v>897</v>
      </c>
      <c r="D642" s="29" t="s">
        <v>995</v>
      </c>
      <c r="E642" s="29" t="s">
        <v>1037</v>
      </c>
      <c r="F642" s="29" t="s">
        <v>1038</v>
      </c>
      <c r="G642" s="20" t="str">
        <f t="shared" si="1"/>
        <v>Arts &amp; Entertainment, Hobbies &amp; Creative Arts, Musical Instrument &amp; Orchestra Accessories, String Instrument AccessoriesGuitar Accessories</v>
      </c>
    </row>
    <row r="643" hidden="1">
      <c r="A643" s="29">
        <v>3775.0</v>
      </c>
      <c r="B643" s="29" t="s">
        <v>895</v>
      </c>
      <c r="C643" s="29" t="s">
        <v>897</v>
      </c>
      <c r="D643" s="29" t="s">
        <v>995</v>
      </c>
      <c r="E643" s="29" t="s">
        <v>1037</v>
      </c>
      <c r="F643" s="29" t="s">
        <v>1038</v>
      </c>
      <c r="G643" s="20" t="str">
        <f t="shared" si="1"/>
        <v>Arts &amp; Entertainment, Hobbies &amp; Creative Arts, Musical Instrument &amp; Orchestra Accessories, String Instrument AccessoriesGuitar Accessories</v>
      </c>
    </row>
    <row r="644" hidden="1">
      <c r="A644" s="29">
        <v>5367.0</v>
      </c>
      <c r="B644" s="29" t="s">
        <v>895</v>
      </c>
      <c r="C644" s="29" t="s">
        <v>897</v>
      </c>
      <c r="D644" s="29" t="s">
        <v>995</v>
      </c>
      <c r="E644" s="29" t="s">
        <v>1037</v>
      </c>
      <c r="F644" s="29" t="s">
        <v>1038</v>
      </c>
      <c r="G644" s="20" t="str">
        <f t="shared" si="1"/>
        <v>Arts &amp; Entertainment, Hobbies &amp; Creative Arts, Musical Instrument &amp; Orchestra Accessories, String Instrument AccessoriesGuitar Accessories</v>
      </c>
    </row>
    <row r="645" hidden="1">
      <c r="A645" s="29">
        <v>3412.0</v>
      </c>
      <c r="B645" s="29" t="s">
        <v>895</v>
      </c>
      <c r="C645" s="29" t="s">
        <v>897</v>
      </c>
      <c r="D645" s="29" t="s">
        <v>995</v>
      </c>
      <c r="E645" s="29" t="s">
        <v>1037</v>
      </c>
      <c r="F645" s="29" t="s">
        <v>1038</v>
      </c>
      <c r="G645" s="20" t="str">
        <f t="shared" si="1"/>
        <v>Arts &amp; Entertainment, Hobbies &amp; Creative Arts, Musical Instrument &amp; Orchestra Accessories, String Instrument AccessoriesGuitar Accessories</v>
      </c>
    </row>
    <row r="646" hidden="1">
      <c r="A646" s="29">
        <v>3882.0</v>
      </c>
      <c r="B646" s="29" t="s">
        <v>895</v>
      </c>
      <c r="C646" s="29" t="s">
        <v>897</v>
      </c>
      <c r="D646" s="29" t="s">
        <v>995</v>
      </c>
      <c r="E646" s="29" t="s">
        <v>1037</v>
      </c>
      <c r="F646" s="29" t="s">
        <v>1038</v>
      </c>
      <c r="G646" s="20" t="str">
        <f t="shared" si="1"/>
        <v>Arts &amp; Entertainment, Hobbies &amp; Creative Arts, Musical Instrument &amp; Orchestra Accessories, String Instrument AccessoriesGuitar Accessories</v>
      </c>
    </row>
    <row r="647" hidden="1">
      <c r="A647" s="29">
        <v>503032.0</v>
      </c>
      <c r="B647" s="29" t="s">
        <v>895</v>
      </c>
      <c r="C647" s="29" t="s">
        <v>897</v>
      </c>
      <c r="D647" s="29" t="s">
        <v>995</v>
      </c>
      <c r="E647" s="29" t="s">
        <v>1037</v>
      </c>
      <c r="F647" s="29" t="s">
        <v>1038</v>
      </c>
      <c r="G647" s="20" t="str">
        <f t="shared" si="1"/>
        <v>Arts &amp; Entertainment, Hobbies &amp; Creative Arts, Musical Instrument &amp; Orchestra Accessories, String Instrument AccessoriesGuitar Accessories</v>
      </c>
    </row>
    <row r="648" hidden="1">
      <c r="A648" s="29">
        <v>3392.0</v>
      </c>
      <c r="B648" s="29" t="s">
        <v>895</v>
      </c>
      <c r="C648" s="29" t="s">
        <v>897</v>
      </c>
      <c r="D648" s="29" t="s">
        <v>995</v>
      </c>
      <c r="E648" s="29" t="s">
        <v>1037</v>
      </c>
      <c r="F648" s="29" t="s">
        <v>1038</v>
      </c>
      <c r="G648" s="20" t="str">
        <f t="shared" si="1"/>
        <v>Arts &amp; Entertainment, Hobbies &amp; Creative Arts, Musical Instrument &amp; Orchestra Accessories, String Instrument AccessoriesGuitar Accessories</v>
      </c>
    </row>
    <row r="649" hidden="1">
      <c r="A649" s="29">
        <v>4111.0</v>
      </c>
      <c r="B649" s="29" t="s">
        <v>895</v>
      </c>
      <c r="C649" s="29" t="s">
        <v>897</v>
      </c>
      <c r="D649" s="29" t="s">
        <v>995</v>
      </c>
      <c r="E649" s="29" t="s">
        <v>1037</v>
      </c>
      <c r="F649" s="29" t="s">
        <v>1038</v>
      </c>
      <c r="G649" s="20" t="str">
        <f t="shared" si="1"/>
        <v>Arts &amp; Entertainment, Hobbies &amp; Creative Arts, Musical Instrument &amp; Orchestra Accessories, String Instrument AccessoriesGuitar Accessories</v>
      </c>
    </row>
    <row r="650" hidden="1">
      <c r="A650" s="29">
        <v>5368.0</v>
      </c>
      <c r="B650" s="29" t="s">
        <v>895</v>
      </c>
      <c r="C650" s="29" t="s">
        <v>897</v>
      </c>
      <c r="D650" s="29" t="s">
        <v>995</v>
      </c>
      <c r="E650" s="29" t="s">
        <v>1037</v>
      </c>
      <c r="F650" s="29" t="s">
        <v>1038</v>
      </c>
      <c r="G650" s="20" t="str">
        <f t="shared" si="1"/>
        <v>Arts &amp; Entertainment, Hobbies &amp; Creative Arts, Musical Instrument &amp; Orchestra Accessories, String Instrument AccessoriesGuitar Accessories</v>
      </c>
    </row>
    <row r="651" hidden="1">
      <c r="A651" s="29">
        <v>3646.0</v>
      </c>
      <c r="B651" s="29" t="s">
        <v>895</v>
      </c>
      <c r="C651" s="29" t="s">
        <v>897</v>
      </c>
      <c r="D651" s="29" t="s">
        <v>995</v>
      </c>
      <c r="E651" s="29" t="s">
        <v>1037</v>
      </c>
      <c r="F651" s="29" t="s">
        <v>1038</v>
      </c>
      <c r="G651" s="20" t="str">
        <f t="shared" si="1"/>
        <v>Arts &amp; Entertainment, Hobbies &amp; Creative Arts, Musical Instrument &amp; Orchestra Accessories, String Instrument AccessoriesGuitar Accessories</v>
      </c>
    </row>
    <row r="652" hidden="1">
      <c r="A652" s="29">
        <v>499688.0</v>
      </c>
      <c r="B652" s="29" t="s">
        <v>895</v>
      </c>
      <c r="C652" s="29" t="s">
        <v>897</v>
      </c>
      <c r="D652" s="29" t="s">
        <v>995</v>
      </c>
      <c r="E652" s="29" t="s">
        <v>1037</v>
      </c>
      <c r="F652" s="29" t="s">
        <v>1038</v>
      </c>
      <c r="G652" s="20" t="str">
        <f t="shared" si="1"/>
        <v>Arts &amp; Entertainment, Hobbies &amp; Creative Arts, Musical Instrument &amp; Orchestra Accessories, String Instrument AccessoriesGuitar Accessories</v>
      </c>
    </row>
    <row r="653" hidden="1">
      <c r="A653" s="29">
        <v>503721.0</v>
      </c>
      <c r="B653" s="29" t="s">
        <v>895</v>
      </c>
      <c r="C653" s="29" t="s">
        <v>897</v>
      </c>
      <c r="D653" s="29" t="s">
        <v>995</v>
      </c>
      <c r="E653" s="29" t="s">
        <v>1037</v>
      </c>
      <c r="F653" s="29" t="s">
        <v>1038</v>
      </c>
      <c r="G653" s="20" t="str">
        <f t="shared" si="1"/>
        <v>Arts &amp; Entertainment, Hobbies &amp; Creative Arts, Musical Instrument &amp; Orchestra Accessories, String Instrument AccessoriesGuitar Accessories</v>
      </c>
    </row>
    <row r="654" hidden="1">
      <c r="A654" s="29">
        <v>3178.0</v>
      </c>
      <c r="B654" s="29" t="s">
        <v>895</v>
      </c>
      <c r="C654" s="29" t="s">
        <v>897</v>
      </c>
      <c r="D654" s="29" t="s">
        <v>995</v>
      </c>
      <c r="E654" s="29" t="s">
        <v>1037</v>
      </c>
      <c r="F654" s="29" t="s">
        <v>1038</v>
      </c>
      <c r="G654" s="20" t="str">
        <f t="shared" si="1"/>
        <v>Arts &amp; Entertainment, Hobbies &amp; Creative Arts, Musical Instrument &amp; Orchestra Accessories, String Instrument AccessoriesGuitar Accessories</v>
      </c>
    </row>
    <row r="655" hidden="1">
      <c r="A655" s="29">
        <v>3176.0</v>
      </c>
      <c r="B655" s="29" t="s">
        <v>895</v>
      </c>
      <c r="C655" s="29" t="s">
        <v>897</v>
      </c>
      <c r="D655" s="29" t="s">
        <v>995</v>
      </c>
      <c r="E655" s="29" t="s">
        <v>1037</v>
      </c>
      <c r="F655" s="29" t="s">
        <v>1038</v>
      </c>
      <c r="G655" s="20" t="str">
        <f t="shared" si="1"/>
        <v>Arts &amp; Entertainment, Hobbies &amp; Creative Arts, Musical Instrument &amp; Orchestra Accessories, String Instrument AccessoriesGuitar Accessories</v>
      </c>
    </row>
    <row r="656" hidden="1">
      <c r="A656" s="29">
        <v>503033.0</v>
      </c>
      <c r="B656" s="29" t="s">
        <v>895</v>
      </c>
      <c r="C656" s="29" t="s">
        <v>897</v>
      </c>
      <c r="D656" s="29" t="s">
        <v>995</v>
      </c>
      <c r="E656" s="29" t="s">
        <v>1037</v>
      </c>
      <c r="F656" s="29" t="s">
        <v>1039</v>
      </c>
      <c r="G656" s="20" t="str">
        <f t="shared" si="1"/>
        <v>Arts &amp; Entertainment, Hobbies &amp; Creative Arts, Musical Instrument &amp; Orchestra Accessories, String Instrument AccessoriesOrchestral String Instrument Accessories</v>
      </c>
    </row>
    <row r="657" hidden="1">
      <c r="A657" s="29">
        <v>8209.0</v>
      </c>
      <c r="B657" s="29" t="s">
        <v>895</v>
      </c>
      <c r="C657" s="29" t="s">
        <v>897</v>
      </c>
      <c r="D657" s="29" t="s">
        <v>995</v>
      </c>
      <c r="E657" s="29" t="s">
        <v>1037</v>
      </c>
      <c r="F657" s="29" t="s">
        <v>1039</v>
      </c>
      <c r="G657" s="20" t="str">
        <f t="shared" si="1"/>
        <v>Arts &amp; Entertainment, Hobbies &amp; Creative Arts, Musical Instrument &amp; Orchestra Accessories, String Instrument AccessoriesOrchestral String Instrument Accessories</v>
      </c>
    </row>
    <row r="658" hidden="1">
      <c r="A658" s="29">
        <v>503040.0</v>
      </c>
      <c r="B658" s="29" t="s">
        <v>895</v>
      </c>
      <c r="C658" s="29" t="s">
        <v>897</v>
      </c>
      <c r="D658" s="29" t="s">
        <v>995</v>
      </c>
      <c r="E658" s="29" t="s">
        <v>1037</v>
      </c>
      <c r="F658" s="29" t="s">
        <v>1039</v>
      </c>
      <c r="G658" s="20" t="str">
        <f t="shared" si="1"/>
        <v>Arts &amp; Entertainment, Hobbies &amp; Creative Arts, Musical Instrument &amp; Orchestra Accessories, String Instrument AccessoriesOrchestral String Instrument Accessories</v>
      </c>
    </row>
    <row r="659" hidden="1">
      <c r="A659" s="29">
        <v>503039.0</v>
      </c>
      <c r="B659" s="29" t="s">
        <v>895</v>
      </c>
      <c r="C659" s="29" t="s">
        <v>897</v>
      </c>
      <c r="D659" s="29" t="s">
        <v>995</v>
      </c>
      <c r="E659" s="29" t="s">
        <v>1037</v>
      </c>
      <c r="F659" s="29" t="s">
        <v>1039</v>
      </c>
      <c r="G659" s="20" t="str">
        <f t="shared" si="1"/>
        <v>Arts &amp; Entertainment, Hobbies &amp; Creative Arts, Musical Instrument &amp; Orchestra Accessories, String Instrument AccessoriesOrchestral String Instrument Accessories</v>
      </c>
    </row>
    <row r="660" hidden="1">
      <c r="A660" s="29">
        <v>503038.0</v>
      </c>
      <c r="B660" s="29" t="s">
        <v>895</v>
      </c>
      <c r="C660" s="29" t="s">
        <v>897</v>
      </c>
      <c r="D660" s="29" t="s">
        <v>995</v>
      </c>
      <c r="E660" s="29" t="s">
        <v>1037</v>
      </c>
      <c r="F660" s="29" t="s">
        <v>1039</v>
      </c>
      <c r="G660" s="20" t="str">
        <f t="shared" si="1"/>
        <v>Arts &amp; Entertainment, Hobbies &amp; Creative Arts, Musical Instrument &amp; Orchestra Accessories, String Instrument AccessoriesOrchestral String Instrument Accessories</v>
      </c>
    </row>
    <row r="661" hidden="1">
      <c r="A661" s="29">
        <v>503037.0</v>
      </c>
      <c r="B661" s="29" t="s">
        <v>895</v>
      </c>
      <c r="C661" s="29" t="s">
        <v>897</v>
      </c>
      <c r="D661" s="29" t="s">
        <v>995</v>
      </c>
      <c r="E661" s="29" t="s">
        <v>1037</v>
      </c>
      <c r="F661" s="29" t="s">
        <v>1039</v>
      </c>
      <c r="G661" s="20" t="str">
        <f t="shared" si="1"/>
        <v>Arts &amp; Entertainment, Hobbies &amp; Creative Arts, Musical Instrument &amp; Orchestra Accessories, String Instrument AccessoriesOrchestral String Instrument Accessories</v>
      </c>
    </row>
    <row r="662" hidden="1">
      <c r="A662" s="29">
        <v>503036.0</v>
      </c>
      <c r="B662" s="29" t="s">
        <v>895</v>
      </c>
      <c r="C662" s="29" t="s">
        <v>897</v>
      </c>
      <c r="D662" s="29" t="s">
        <v>995</v>
      </c>
      <c r="E662" s="29" t="s">
        <v>1037</v>
      </c>
      <c r="F662" s="29" t="s">
        <v>1039</v>
      </c>
      <c r="G662" s="20" t="str">
        <f t="shared" si="1"/>
        <v>Arts &amp; Entertainment, Hobbies &amp; Creative Arts, Musical Instrument &amp; Orchestra Accessories, String Instrument AccessoriesOrchestral String Instrument Accessories</v>
      </c>
    </row>
    <row r="663" hidden="1">
      <c r="A663" s="29">
        <v>503035.0</v>
      </c>
      <c r="B663" s="29" t="s">
        <v>895</v>
      </c>
      <c r="C663" s="29" t="s">
        <v>897</v>
      </c>
      <c r="D663" s="29" t="s">
        <v>995</v>
      </c>
      <c r="E663" s="29" t="s">
        <v>1037</v>
      </c>
      <c r="F663" s="29" t="s">
        <v>1039</v>
      </c>
      <c r="G663" s="20" t="str">
        <f t="shared" si="1"/>
        <v>Arts &amp; Entertainment, Hobbies &amp; Creative Arts, Musical Instrument &amp; Orchestra Accessories, String Instrument AccessoriesOrchestral String Instrument Accessories</v>
      </c>
    </row>
    <row r="664" hidden="1">
      <c r="A664" s="29">
        <v>503034.0</v>
      </c>
      <c r="B664" s="29" t="s">
        <v>895</v>
      </c>
      <c r="C664" s="29" t="s">
        <v>897</v>
      </c>
      <c r="D664" s="29" t="s">
        <v>995</v>
      </c>
      <c r="E664" s="29" t="s">
        <v>1037</v>
      </c>
      <c r="F664" s="29" t="s">
        <v>1039</v>
      </c>
      <c r="G664" s="20" t="str">
        <f t="shared" si="1"/>
        <v>Arts &amp; Entertainment, Hobbies &amp; Creative Arts, Musical Instrument &amp; Orchestra Accessories, String Instrument AccessoriesOrchestral String Instrument Accessories</v>
      </c>
    </row>
    <row r="665" hidden="1">
      <c r="A665" s="29">
        <v>4806.0</v>
      </c>
      <c r="B665" s="29" t="s">
        <v>895</v>
      </c>
      <c r="C665" s="29" t="s">
        <v>897</v>
      </c>
      <c r="D665" s="29" t="s">
        <v>995</v>
      </c>
      <c r="E665" s="29" t="s">
        <v>1037</v>
      </c>
      <c r="F665" s="29" t="s">
        <v>1040</v>
      </c>
      <c r="G665" s="20" t="str">
        <f t="shared" si="1"/>
        <v>Arts &amp; Entertainment, Hobbies &amp; Creative Arts, Musical Instrument &amp; Orchestra Accessories, String Instrument AccessoriesString Instrument Care &amp; Cleaning</v>
      </c>
    </row>
    <row r="666" hidden="1">
      <c r="A666" s="29">
        <v>3374.0</v>
      </c>
      <c r="B666" s="29" t="s">
        <v>895</v>
      </c>
      <c r="C666" s="29" t="s">
        <v>897</v>
      </c>
      <c r="D666" s="29" t="s">
        <v>995</v>
      </c>
      <c r="E666" s="29" t="s">
        <v>1037</v>
      </c>
      <c r="F666" s="29" t="s">
        <v>1040</v>
      </c>
      <c r="G666" s="20" t="str">
        <f t="shared" si="1"/>
        <v>Arts &amp; Entertainment, Hobbies &amp; Creative Arts, Musical Instrument &amp; Orchestra Accessories, String Instrument AccessoriesString Instrument Care &amp; Cleaning</v>
      </c>
    </row>
    <row r="667" hidden="1">
      <c r="A667" s="29">
        <v>4911.0</v>
      </c>
      <c r="B667" s="29" t="s">
        <v>895</v>
      </c>
      <c r="C667" s="29" t="s">
        <v>897</v>
      </c>
      <c r="D667" s="29" t="s">
        <v>995</v>
      </c>
      <c r="E667" s="29" t="s">
        <v>1037</v>
      </c>
      <c r="F667" s="29" t="s">
        <v>1040</v>
      </c>
      <c r="G667" s="20" t="str">
        <f t="shared" si="1"/>
        <v>Arts &amp; Entertainment, Hobbies &amp; Creative Arts, Musical Instrument &amp; Orchestra Accessories, String Instrument AccessoriesString Instrument Care &amp; Cleaning</v>
      </c>
    </row>
    <row r="668" hidden="1">
      <c r="A668" s="29">
        <v>4912.0</v>
      </c>
      <c r="B668" s="29" t="s">
        <v>895</v>
      </c>
      <c r="C668" s="29" t="s">
        <v>897</v>
      </c>
      <c r="D668" s="29" t="s">
        <v>995</v>
      </c>
      <c r="E668" s="29" t="s">
        <v>1037</v>
      </c>
      <c r="F668" s="29" t="s">
        <v>1040</v>
      </c>
      <c r="G668" s="20" t="str">
        <f t="shared" si="1"/>
        <v>Arts &amp; Entertainment, Hobbies &amp; Creative Arts, Musical Instrument &amp; Orchestra Accessories, String Instrument AccessoriesString Instrument Care &amp; Cleaning</v>
      </c>
    </row>
    <row r="669" hidden="1">
      <c r="A669" s="29">
        <v>62.0</v>
      </c>
      <c r="B669" s="29" t="s">
        <v>895</v>
      </c>
      <c r="C669" s="29" t="s">
        <v>897</v>
      </c>
      <c r="D669" s="29" t="s">
        <v>995</v>
      </c>
      <c r="E669" s="29" t="s">
        <v>1041</v>
      </c>
      <c r="G669" s="20" t="str">
        <f t="shared" si="1"/>
        <v>Arts &amp; Entertainment, Hobbies &amp; Creative Arts, Musical Instrument &amp; Orchestra Accessories, Woodwind Instrument Accessories</v>
      </c>
    </row>
    <row r="670" hidden="1">
      <c r="A670" s="29">
        <v>4790.0</v>
      </c>
      <c r="B670" s="29" t="s">
        <v>895</v>
      </c>
      <c r="C670" s="29" t="s">
        <v>897</v>
      </c>
      <c r="D670" s="29" t="s">
        <v>995</v>
      </c>
      <c r="E670" s="29" t="s">
        <v>1041</v>
      </c>
      <c r="F670" s="29" t="s">
        <v>1042</v>
      </c>
      <c r="G670" s="20" t="str">
        <f t="shared" si="1"/>
        <v>Arts &amp; Entertainment, Hobbies &amp; Creative Arts, Musical Instrument &amp; Orchestra Accessories, Woodwind Instrument AccessoriesBassoon Accessories</v>
      </c>
    </row>
    <row r="671" hidden="1">
      <c r="A671" s="29">
        <v>4809.0</v>
      </c>
      <c r="B671" s="29" t="s">
        <v>895</v>
      </c>
      <c r="C671" s="29" t="s">
        <v>897</v>
      </c>
      <c r="D671" s="29" t="s">
        <v>995</v>
      </c>
      <c r="E671" s="29" t="s">
        <v>1041</v>
      </c>
      <c r="F671" s="29" t="s">
        <v>1042</v>
      </c>
      <c r="G671" s="20" t="str">
        <f t="shared" si="1"/>
        <v>Arts &amp; Entertainment, Hobbies &amp; Creative Arts, Musical Instrument &amp; Orchestra Accessories, Woodwind Instrument AccessoriesBassoon Accessories</v>
      </c>
    </row>
    <row r="672" hidden="1">
      <c r="A672" s="29">
        <v>4815.0</v>
      </c>
      <c r="B672" s="29" t="s">
        <v>895</v>
      </c>
      <c r="C672" s="29" t="s">
        <v>897</v>
      </c>
      <c r="D672" s="29" t="s">
        <v>995</v>
      </c>
      <c r="E672" s="29" t="s">
        <v>1041</v>
      </c>
      <c r="F672" s="29" t="s">
        <v>1042</v>
      </c>
      <c r="G672" s="20" t="str">
        <f t="shared" si="1"/>
        <v>Arts &amp; Entertainment, Hobbies &amp; Creative Arts, Musical Instrument &amp; Orchestra Accessories, Woodwind Instrument AccessoriesBassoon Accessories</v>
      </c>
    </row>
    <row r="673" hidden="1">
      <c r="A673" s="29">
        <v>4810.0</v>
      </c>
      <c r="B673" s="29" t="s">
        <v>895</v>
      </c>
      <c r="C673" s="29" t="s">
        <v>897</v>
      </c>
      <c r="D673" s="29" t="s">
        <v>995</v>
      </c>
      <c r="E673" s="29" t="s">
        <v>1041</v>
      </c>
      <c r="F673" s="29" t="s">
        <v>1042</v>
      </c>
      <c r="G673" s="20" t="str">
        <f t="shared" si="1"/>
        <v>Arts &amp; Entertainment, Hobbies &amp; Creative Arts, Musical Instrument &amp; Orchestra Accessories, Woodwind Instrument AccessoriesBassoon Accessories</v>
      </c>
    </row>
    <row r="674" hidden="1">
      <c r="A674" s="29">
        <v>4811.0</v>
      </c>
      <c r="B674" s="29" t="s">
        <v>895</v>
      </c>
      <c r="C674" s="29" t="s">
        <v>897</v>
      </c>
      <c r="D674" s="29" t="s">
        <v>995</v>
      </c>
      <c r="E674" s="29" t="s">
        <v>1041</v>
      </c>
      <c r="F674" s="29" t="s">
        <v>1042</v>
      </c>
      <c r="G674" s="20" t="str">
        <f t="shared" si="1"/>
        <v>Arts &amp; Entertainment, Hobbies &amp; Creative Arts, Musical Instrument &amp; Orchestra Accessories, Woodwind Instrument AccessoriesBassoon Accessories</v>
      </c>
    </row>
    <row r="675" hidden="1">
      <c r="A675" s="29">
        <v>4816.0</v>
      </c>
      <c r="B675" s="29" t="s">
        <v>895</v>
      </c>
      <c r="C675" s="29" t="s">
        <v>897</v>
      </c>
      <c r="D675" s="29" t="s">
        <v>995</v>
      </c>
      <c r="E675" s="29" t="s">
        <v>1041</v>
      </c>
      <c r="F675" s="29" t="s">
        <v>1042</v>
      </c>
      <c r="G675" s="20" t="str">
        <f t="shared" si="1"/>
        <v>Arts &amp; Entertainment, Hobbies &amp; Creative Arts, Musical Instrument &amp; Orchestra Accessories, Woodwind Instrument AccessoriesBassoon Accessories</v>
      </c>
    </row>
    <row r="676" hidden="1">
      <c r="A676" s="29">
        <v>4817.0</v>
      </c>
      <c r="B676" s="29" t="s">
        <v>895</v>
      </c>
      <c r="C676" s="29" t="s">
        <v>897</v>
      </c>
      <c r="D676" s="29" t="s">
        <v>995</v>
      </c>
      <c r="E676" s="29" t="s">
        <v>1041</v>
      </c>
      <c r="F676" s="29" t="s">
        <v>1042</v>
      </c>
      <c r="G676" s="20" t="str">
        <f t="shared" si="1"/>
        <v>Arts &amp; Entertainment, Hobbies &amp; Creative Arts, Musical Instrument &amp; Orchestra Accessories, Woodwind Instrument AccessoriesBassoon Accessories</v>
      </c>
    </row>
    <row r="677" hidden="1">
      <c r="A677" s="29">
        <v>4812.0</v>
      </c>
      <c r="B677" s="29" t="s">
        <v>895</v>
      </c>
      <c r="C677" s="29" t="s">
        <v>897</v>
      </c>
      <c r="D677" s="29" t="s">
        <v>995</v>
      </c>
      <c r="E677" s="29" t="s">
        <v>1041</v>
      </c>
      <c r="F677" s="29" t="s">
        <v>1042</v>
      </c>
      <c r="G677" s="20" t="str">
        <f t="shared" si="1"/>
        <v>Arts &amp; Entertainment, Hobbies &amp; Creative Arts, Musical Instrument &amp; Orchestra Accessories, Woodwind Instrument AccessoriesBassoon Accessories</v>
      </c>
    </row>
    <row r="678" hidden="1">
      <c r="A678" s="29">
        <v>4813.0</v>
      </c>
      <c r="B678" s="29" t="s">
        <v>895</v>
      </c>
      <c r="C678" s="29" t="s">
        <v>897</v>
      </c>
      <c r="D678" s="29" t="s">
        <v>995</v>
      </c>
      <c r="E678" s="29" t="s">
        <v>1041</v>
      </c>
      <c r="F678" s="29" t="s">
        <v>1042</v>
      </c>
      <c r="G678" s="20" t="str">
        <f t="shared" si="1"/>
        <v>Arts &amp; Entertainment, Hobbies &amp; Creative Arts, Musical Instrument &amp; Orchestra Accessories, Woodwind Instrument AccessoriesBassoon Accessories</v>
      </c>
    </row>
    <row r="679" hidden="1">
      <c r="A679" s="29">
        <v>4814.0</v>
      </c>
      <c r="B679" s="29" t="s">
        <v>895</v>
      </c>
      <c r="C679" s="29" t="s">
        <v>897</v>
      </c>
      <c r="D679" s="29" t="s">
        <v>995</v>
      </c>
      <c r="E679" s="29" t="s">
        <v>1041</v>
      </c>
      <c r="F679" s="29" t="s">
        <v>1042</v>
      </c>
      <c r="G679" s="20" t="str">
        <f t="shared" si="1"/>
        <v>Arts &amp; Entertainment, Hobbies &amp; Creative Arts, Musical Instrument &amp; Orchestra Accessories, Woodwind Instrument AccessoriesBassoon Accessories</v>
      </c>
    </row>
    <row r="680" hidden="1">
      <c r="A680" s="29">
        <v>4791.0</v>
      </c>
      <c r="B680" s="29" t="s">
        <v>895</v>
      </c>
      <c r="C680" s="29" t="s">
        <v>897</v>
      </c>
      <c r="D680" s="29" t="s">
        <v>995</v>
      </c>
      <c r="E680" s="29" t="s">
        <v>1041</v>
      </c>
      <c r="F680" s="29" t="s">
        <v>1043</v>
      </c>
      <c r="G680" s="20" t="str">
        <f t="shared" si="1"/>
        <v>Arts &amp; Entertainment, Hobbies &amp; Creative Arts, Musical Instrument &amp; Orchestra Accessories, Woodwind Instrument AccessoriesClarinet Accessories</v>
      </c>
    </row>
    <row r="681" hidden="1">
      <c r="A681" s="29">
        <v>4818.0</v>
      </c>
      <c r="B681" s="29" t="s">
        <v>895</v>
      </c>
      <c r="C681" s="29" t="s">
        <v>897</v>
      </c>
      <c r="D681" s="29" t="s">
        <v>995</v>
      </c>
      <c r="E681" s="29" t="s">
        <v>1041</v>
      </c>
      <c r="F681" s="29" t="s">
        <v>1043</v>
      </c>
      <c r="G681" s="20" t="str">
        <f t="shared" si="1"/>
        <v>Arts &amp; Entertainment, Hobbies &amp; Creative Arts, Musical Instrument &amp; Orchestra Accessories, Woodwind Instrument AccessoriesClarinet Accessories</v>
      </c>
    </row>
    <row r="682" hidden="1">
      <c r="A682" s="29">
        <v>4826.0</v>
      </c>
      <c r="B682" s="29" t="s">
        <v>895</v>
      </c>
      <c r="C682" s="29" t="s">
        <v>897</v>
      </c>
      <c r="D682" s="29" t="s">
        <v>995</v>
      </c>
      <c r="E682" s="29" t="s">
        <v>1041</v>
      </c>
      <c r="F682" s="29" t="s">
        <v>1043</v>
      </c>
      <c r="G682" s="20" t="str">
        <f t="shared" si="1"/>
        <v>Arts &amp; Entertainment, Hobbies &amp; Creative Arts, Musical Instrument &amp; Orchestra Accessories, Woodwind Instrument AccessoriesClarinet Accessories</v>
      </c>
    </row>
    <row r="683" hidden="1">
      <c r="A683" s="29">
        <v>4827.0</v>
      </c>
      <c r="B683" s="29" t="s">
        <v>895</v>
      </c>
      <c r="C683" s="29" t="s">
        <v>897</v>
      </c>
      <c r="D683" s="29" t="s">
        <v>995</v>
      </c>
      <c r="E683" s="29" t="s">
        <v>1041</v>
      </c>
      <c r="F683" s="29" t="s">
        <v>1043</v>
      </c>
      <c r="G683" s="20" t="str">
        <f t="shared" si="1"/>
        <v>Arts &amp; Entertainment, Hobbies &amp; Creative Arts, Musical Instrument &amp; Orchestra Accessories, Woodwind Instrument AccessoriesClarinet Accessories</v>
      </c>
    </row>
    <row r="684" hidden="1">
      <c r="A684" s="29">
        <v>4828.0</v>
      </c>
      <c r="B684" s="29" t="s">
        <v>895</v>
      </c>
      <c r="C684" s="29" t="s">
        <v>897</v>
      </c>
      <c r="D684" s="29" t="s">
        <v>995</v>
      </c>
      <c r="E684" s="29" t="s">
        <v>1041</v>
      </c>
      <c r="F684" s="29" t="s">
        <v>1043</v>
      </c>
      <c r="G684" s="20" t="str">
        <f t="shared" si="1"/>
        <v>Arts &amp; Entertainment, Hobbies &amp; Creative Arts, Musical Instrument &amp; Orchestra Accessories, Woodwind Instrument AccessoriesClarinet Accessories</v>
      </c>
    </row>
    <row r="685" hidden="1">
      <c r="A685" s="29">
        <v>4819.0</v>
      </c>
      <c r="B685" s="29" t="s">
        <v>895</v>
      </c>
      <c r="C685" s="29" t="s">
        <v>897</v>
      </c>
      <c r="D685" s="29" t="s">
        <v>995</v>
      </c>
      <c r="E685" s="29" t="s">
        <v>1041</v>
      </c>
      <c r="F685" s="29" t="s">
        <v>1043</v>
      </c>
      <c r="G685" s="20" t="str">
        <f t="shared" si="1"/>
        <v>Arts &amp; Entertainment, Hobbies &amp; Creative Arts, Musical Instrument &amp; Orchestra Accessories, Woodwind Instrument AccessoriesClarinet Accessories</v>
      </c>
    </row>
    <row r="686" hidden="1">
      <c r="A686" s="29">
        <v>4820.0</v>
      </c>
      <c r="B686" s="29" t="s">
        <v>895</v>
      </c>
      <c r="C686" s="29" t="s">
        <v>897</v>
      </c>
      <c r="D686" s="29" t="s">
        <v>995</v>
      </c>
      <c r="E686" s="29" t="s">
        <v>1041</v>
      </c>
      <c r="F686" s="29" t="s">
        <v>1043</v>
      </c>
      <c r="G686" s="20" t="str">
        <f t="shared" si="1"/>
        <v>Arts &amp; Entertainment, Hobbies &amp; Creative Arts, Musical Instrument &amp; Orchestra Accessories, Woodwind Instrument AccessoriesClarinet Accessories</v>
      </c>
    </row>
    <row r="687" hidden="1">
      <c r="A687" s="29">
        <v>4822.0</v>
      </c>
      <c r="B687" s="29" t="s">
        <v>895</v>
      </c>
      <c r="C687" s="29" t="s">
        <v>897</v>
      </c>
      <c r="D687" s="29" t="s">
        <v>995</v>
      </c>
      <c r="E687" s="29" t="s">
        <v>1041</v>
      </c>
      <c r="F687" s="29" t="s">
        <v>1043</v>
      </c>
      <c r="G687" s="20" t="str">
        <f t="shared" si="1"/>
        <v>Arts &amp; Entertainment, Hobbies &amp; Creative Arts, Musical Instrument &amp; Orchestra Accessories, Woodwind Instrument AccessoriesClarinet Accessories</v>
      </c>
    </row>
    <row r="688" hidden="1">
      <c r="A688" s="29">
        <v>4829.0</v>
      </c>
      <c r="B688" s="29" t="s">
        <v>895</v>
      </c>
      <c r="C688" s="29" t="s">
        <v>897</v>
      </c>
      <c r="D688" s="29" t="s">
        <v>995</v>
      </c>
      <c r="E688" s="29" t="s">
        <v>1041</v>
      </c>
      <c r="F688" s="29" t="s">
        <v>1043</v>
      </c>
      <c r="G688" s="20" t="str">
        <f t="shared" si="1"/>
        <v>Arts &amp; Entertainment, Hobbies &amp; Creative Arts, Musical Instrument &amp; Orchestra Accessories, Woodwind Instrument AccessoriesClarinet Accessories</v>
      </c>
    </row>
    <row r="689" hidden="1">
      <c r="A689" s="29">
        <v>4830.0</v>
      </c>
      <c r="B689" s="29" t="s">
        <v>895</v>
      </c>
      <c r="C689" s="29" t="s">
        <v>897</v>
      </c>
      <c r="D689" s="29" t="s">
        <v>995</v>
      </c>
      <c r="E689" s="29" t="s">
        <v>1041</v>
      </c>
      <c r="F689" s="29" t="s">
        <v>1043</v>
      </c>
      <c r="G689" s="20" t="str">
        <f t="shared" si="1"/>
        <v>Arts &amp; Entertainment, Hobbies &amp; Creative Arts, Musical Instrument &amp; Orchestra Accessories, Woodwind Instrument AccessoriesClarinet Accessories</v>
      </c>
    </row>
    <row r="690" hidden="1">
      <c r="A690" s="29">
        <v>4831.0</v>
      </c>
      <c r="B690" s="29" t="s">
        <v>895</v>
      </c>
      <c r="C690" s="29" t="s">
        <v>897</v>
      </c>
      <c r="D690" s="29" t="s">
        <v>995</v>
      </c>
      <c r="E690" s="29" t="s">
        <v>1041</v>
      </c>
      <c r="F690" s="29" t="s">
        <v>1043</v>
      </c>
      <c r="G690" s="20" t="str">
        <f t="shared" si="1"/>
        <v>Arts &amp; Entertainment, Hobbies &amp; Creative Arts, Musical Instrument &amp; Orchestra Accessories, Woodwind Instrument AccessoriesClarinet Accessories</v>
      </c>
    </row>
    <row r="691" hidden="1">
      <c r="A691" s="29">
        <v>4832.0</v>
      </c>
      <c r="B691" s="29" t="s">
        <v>895</v>
      </c>
      <c r="C691" s="29" t="s">
        <v>897</v>
      </c>
      <c r="D691" s="29" t="s">
        <v>995</v>
      </c>
      <c r="E691" s="29" t="s">
        <v>1041</v>
      </c>
      <c r="F691" s="29" t="s">
        <v>1043</v>
      </c>
      <c r="G691" s="20" t="str">
        <f t="shared" si="1"/>
        <v>Arts &amp; Entertainment, Hobbies &amp; Creative Arts, Musical Instrument &amp; Orchestra Accessories, Woodwind Instrument AccessoriesClarinet Accessories</v>
      </c>
    </row>
    <row r="692" hidden="1">
      <c r="A692" s="29">
        <v>4823.0</v>
      </c>
      <c r="B692" s="29" t="s">
        <v>895</v>
      </c>
      <c r="C692" s="29" t="s">
        <v>897</v>
      </c>
      <c r="D692" s="29" t="s">
        <v>995</v>
      </c>
      <c r="E692" s="29" t="s">
        <v>1041</v>
      </c>
      <c r="F692" s="29" t="s">
        <v>1043</v>
      </c>
      <c r="G692" s="20" t="str">
        <f t="shared" si="1"/>
        <v>Arts &amp; Entertainment, Hobbies &amp; Creative Arts, Musical Instrument &amp; Orchestra Accessories, Woodwind Instrument AccessoriesClarinet Accessories</v>
      </c>
    </row>
    <row r="693" hidden="1">
      <c r="A693" s="29">
        <v>4824.0</v>
      </c>
      <c r="B693" s="29" t="s">
        <v>895</v>
      </c>
      <c r="C693" s="29" t="s">
        <v>897</v>
      </c>
      <c r="D693" s="29" t="s">
        <v>995</v>
      </c>
      <c r="E693" s="29" t="s">
        <v>1041</v>
      </c>
      <c r="F693" s="29" t="s">
        <v>1043</v>
      </c>
      <c r="G693" s="20" t="str">
        <f t="shared" si="1"/>
        <v>Arts &amp; Entertainment, Hobbies &amp; Creative Arts, Musical Instrument &amp; Orchestra Accessories, Woodwind Instrument AccessoriesClarinet Accessories</v>
      </c>
    </row>
    <row r="694" hidden="1">
      <c r="A694" s="29">
        <v>4825.0</v>
      </c>
      <c r="B694" s="29" t="s">
        <v>895</v>
      </c>
      <c r="C694" s="29" t="s">
        <v>897</v>
      </c>
      <c r="D694" s="29" t="s">
        <v>995</v>
      </c>
      <c r="E694" s="29" t="s">
        <v>1041</v>
      </c>
      <c r="F694" s="29" t="s">
        <v>1043</v>
      </c>
      <c r="G694" s="20" t="str">
        <f t="shared" si="1"/>
        <v>Arts &amp; Entertainment, Hobbies &amp; Creative Arts, Musical Instrument &amp; Orchestra Accessories, Woodwind Instrument AccessoriesClarinet Accessories</v>
      </c>
    </row>
    <row r="695" hidden="1">
      <c r="A695" s="29">
        <v>4792.0</v>
      </c>
      <c r="B695" s="29" t="s">
        <v>895</v>
      </c>
      <c r="C695" s="29" t="s">
        <v>897</v>
      </c>
      <c r="D695" s="29" t="s">
        <v>995</v>
      </c>
      <c r="E695" s="29" t="s">
        <v>1041</v>
      </c>
      <c r="F695" s="29" t="s">
        <v>1044</v>
      </c>
      <c r="G695" s="20" t="str">
        <f t="shared" si="1"/>
        <v>Arts &amp; Entertainment, Hobbies &amp; Creative Arts, Musical Instrument &amp; Orchestra Accessories, Woodwind Instrument AccessoriesFlute Accessories</v>
      </c>
    </row>
    <row r="696" hidden="1">
      <c r="A696" s="29">
        <v>4833.0</v>
      </c>
      <c r="B696" s="29" t="s">
        <v>895</v>
      </c>
      <c r="C696" s="29" t="s">
        <v>897</v>
      </c>
      <c r="D696" s="29" t="s">
        <v>995</v>
      </c>
      <c r="E696" s="29" t="s">
        <v>1041</v>
      </c>
      <c r="F696" s="29" t="s">
        <v>1044</v>
      </c>
      <c r="G696" s="20" t="str">
        <f t="shared" si="1"/>
        <v>Arts &amp; Entertainment, Hobbies &amp; Creative Arts, Musical Instrument &amp; Orchestra Accessories, Woodwind Instrument AccessoriesFlute Accessories</v>
      </c>
    </row>
    <row r="697" hidden="1">
      <c r="A697" s="29">
        <v>4838.0</v>
      </c>
      <c r="B697" s="29" t="s">
        <v>895</v>
      </c>
      <c r="C697" s="29" t="s">
        <v>897</v>
      </c>
      <c r="D697" s="29" t="s">
        <v>995</v>
      </c>
      <c r="E697" s="29" t="s">
        <v>1041</v>
      </c>
      <c r="F697" s="29" t="s">
        <v>1044</v>
      </c>
      <c r="G697" s="20" t="str">
        <f t="shared" si="1"/>
        <v>Arts &amp; Entertainment, Hobbies &amp; Creative Arts, Musical Instrument &amp; Orchestra Accessories, Woodwind Instrument AccessoriesFlute Accessories</v>
      </c>
    </row>
    <row r="698" hidden="1">
      <c r="A698" s="29">
        <v>4839.0</v>
      </c>
      <c r="B698" s="29" t="s">
        <v>895</v>
      </c>
      <c r="C698" s="29" t="s">
        <v>897</v>
      </c>
      <c r="D698" s="29" t="s">
        <v>995</v>
      </c>
      <c r="E698" s="29" t="s">
        <v>1041</v>
      </c>
      <c r="F698" s="29" t="s">
        <v>1044</v>
      </c>
      <c r="G698" s="20" t="str">
        <f t="shared" si="1"/>
        <v>Arts &amp; Entertainment, Hobbies &amp; Creative Arts, Musical Instrument &amp; Orchestra Accessories, Woodwind Instrument AccessoriesFlute Accessories</v>
      </c>
    </row>
    <row r="699" hidden="1">
      <c r="A699" s="29">
        <v>4840.0</v>
      </c>
      <c r="B699" s="29" t="s">
        <v>895</v>
      </c>
      <c r="C699" s="29" t="s">
        <v>897</v>
      </c>
      <c r="D699" s="29" t="s">
        <v>995</v>
      </c>
      <c r="E699" s="29" t="s">
        <v>1041</v>
      </c>
      <c r="F699" s="29" t="s">
        <v>1044</v>
      </c>
      <c r="G699" s="20" t="str">
        <f t="shared" si="1"/>
        <v>Arts &amp; Entertainment, Hobbies &amp; Creative Arts, Musical Instrument &amp; Orchestra Accessories, Woodwind Instrument AccessoriesFlute Accessories</v>
      </c>
    </row>
    <row r="700" hidden="1">
      <c r="A700" s="29">
        <v>4834.0</v>
      </c>
      <c r="B700" s="29" t="s">
        <v>895</v>
      </c>
      <c r="C700" s="29" t="s">
        <v>897</v>
      </c>
      <c r="D700" s="29" t="s">
        <v>995</v>
      </c>
      <c r="E700" s="29" t="s">
        <v>1041</v>
      </c>
      <c r="F700" s="29" t="s">
        <v>1044</v>
      </c>
      <c r="G700" s="20" t="str">
        <f t="shared" si="1"/>
        <v>Arts &amp; Entertainment, Hobbies &amp; Creative Arts, Musical Instrument &amp; Orchestra Accessories, Woodwind Instrument AccessoriesFlute Accessories</v>
      </c>
    </row>
    <row r="701" hidden="1">
      <c r="A701" s="29">
        <v>4836.0</v>
      </c>
      <c r="B701" s="29" t="s">
        <v>895</v>
      </c>
      <c r="C701" s="29" t="s">
        <v>897</v>
      </c>
      <c r="D701" s="29" t="s">
        <v>995</v>
      </c>
      <c r="E701" s="29" t="s">
        <v>1041</v>
      </c>
      <c r="F701" s="29" t="s">
        <v>1044</v>
      </c>
      <c r="G701" s="20" t="str">
        <f t="shared" si="1"/>
        <v>Arts &amp; Entertainment, Hobbies &amp; Creative Arts, Musical Instrument &amp; Orchestra Accessories, Woodwind Instrument AccessoriesFlute Accessories</v>
      </c>
    </row>
    <row r="702" hidden="1">
      <c r="A702" s="29">
        <v>4841.0</v>
      </c>
      <c r="B702" s="29" t="s">
        <v>895</v>
      </c>
      <c r="C702" s="29" t="s">
        <v>897</v>
      </c>
      <c r="D702" s="29" t="s">
        <v>995</v>
      </c>
      <c r="E702" s="29" t="s">
        <v>1041</v>
      </c>
      <c r="F702" s="29" t="s">
        <v>1044</v>
      </c>
      <c r="G702" s="20" t="str">
        <f t="shared" si="1"/>
        <v>Arts &amp; Entertainment, Hobbies &amp; Creative Arts, Musical Instrument &amp; Orchestra Accessories, Woodwind Instrument AccessoriesFlute Accessories</v>
      </c>
    </row>
    <row r="703" hidden="1">
      <c r="A703" s="29">
        <v>4842.0</v>
      </c>
      <c r="B703" s="29" t="s">
        <v>895</v>
      </c>
      <c r="C703" s="29" t="s">
        <v>897</v>
      </c>
      <c r="D703" s="29" t="s">
        <v>995</v>
      </c>
      <c r="E703" s="29" t="s">
        <v>1041</v>
      </c>
      <c r="F703" s="29" t="s">
        <v>1044</v>
      </c>
      <c r="G703" s="20" t="str">
        <f t="shared" si="1"/>
        <v>Arts &amp; Entertainment, Hobbies &amp; Creative Arts, Musical Instrument &amp; Orchestra Accessories, Woodwind Instrument AccessoriesFlute Accessories</v>
      </c>
    </row>
    <row r="704" hidden="1">
      <c r="A704" s="29">
        <v>4837.0</v>
      </c>
      <c r="B704" s="29" t="s">
        <v>895</v>
      </c>
      <c r="C704" s="29" t="s">
        <v>897</v>
      </c>
      <c r="D704" s="29" t="s">
        <v>995</v>
      </c>
      <c r="E704" s="29" t="s">
        <v>1041</v>
      </c>
      <c r="F704" s="29" t="s">
        <v>1044</v>
      </c>
      <c r="G704" s="20" t="str">
        <f t="shared" si="1"/>
        <v>Arts &amp; Entertainment, Hobbies &amp; Creative Arts, Musical Instrument &amp; Orchestra Accessories, Woodwind Instrument AccessoriesFlute Accessories</v>
      </c>
    </row>
    <row r="705" hidden="1">
      <c r="A705" s="29">
        <v>4955.0</v>
      </c>
      <c r="B705" s="29" t="s">
        <v>895</v>
      </c>
      <c r="C705" s="29" t="s">
        <v>897</v>
      </c>
      <c r="D705" s="29" t="s">
        <v>995</v>
      </c>
      <c r="E705" s="29" t="s">
        <v>1041</v>
      </c>
      <c r="F705" s="29" t="s">
        <v>1045</v>
      </c>
      <c r="G705" s="20" t="str">
        <f t="shared" si="1"/>
        <v>Arts &amp; Entertainment, Hobbies &amp; Creative Arts, Musical Instrument &amp; Orchestra Accessories, Woodwind Instrument AccessoriesHarmonica Accessories</v>
      </c>
    </row>
    <row r="706" hidden="1">
      <c r="A706" s="29">
        <v>4956.0</v>
      </c>
      <c r="B706" s="29" t="s">
        <v>895</v>
      </c>
      <c r="C706" s="29" t="s">
        <v>897</v>
      </c>
      <c r="D706" s="29" t="s">
        <v>995</v>
      </c>
      <c r="E706" s="29" t="s">
        <v>1041</v>
      </c>
      <c r="F706" s="29" t="s">
        <v>1045</v>
      </c>
      <c r="G706" s="20" t="str">
        <f t="shared" si="1"/>
        <v>Arts &amp; Entertainment, Hobbies &amp; Creative Arts, Musical Instrument &amp; Orchestra Accessories, Woodwind Instrument AccessoriesHarmonica Accessories</v>
      </c>
    </row>
    <row r="707" hidden="1">
      <c r="A707" s="29">
        <v>5046.0</v>
      </c>
      <c r="B707" s="29" t="s">
        <v>895</v>
      </c>
      <c r="C707" s="29" t="s">
        <v>897</v>
      </c>
      <c r="D707" s="29" t="s">
        <v>995</v>
      </c>
      <c r="E707" s="29" t="s">
        <v>1041</v>
      </c>
      <c r="F707" s="29" t="s">
        <v>1045</v>
      </c>
      <c r="G707" s="20" t="str">
        <f t="shared" si="1"/>
        <v>Arts &amp; Entertainment, Hobbies &amp; Creative Arts, Musical Instrument &amp; Orchestra Accessories, Woodwind Instrument AccessoriesHarmonica Accessories</v>
      </c>
    </row>
    <row r="708" hidden="1">
      <c r="A708" s="29">
        <v>4793.0</v>
      </c>
      <c r="B708" s="29" t="s">
        <v>895</v>
      </c>
      <c r="C708" s="29" t="s">
        <v>897</v>
      </c>
      <c r="D708" s="29" t="s">
        <v>995</v>
      </c>
      <c r="E708" s="29" t="s">
        <v>1041</v>
      </c>
      <c r="F708" s="29" t="s">
        <v>1046</v>
      </c>
      <c r="G708" s="20" t="str">
        <f t="shared" si="1"/>
        <v>Arts &amp; Entertainment, Hobbies &amp; Creative Arts, Musical Instrument &amp; Orchestra Accessories, Woodwind Instrument AccessoriesOboe &amp; English Horn Accessories</v>
      </c>
    </row>
    <row r="709" hidden="1">
      <c r="A709" s="29">
        <v>4843.0</v>
      </c>
      <c r="B709" s="29" t="s">
        <v>895</v>
      </c>
      <c r="C709" s="29" t="s">
        <v>897</v>
      </c>
      <c r="D709" s="29" t="s">
        <v>995</v>
      </c>
      <c r="E709" s="29" t="s">
        <v>1041</v>
      </c>
      <c r="F709" s="29" t="s">
        <v>1046</v>
      </c>
      <c r="G709" s="20" t="str">
        <f t="shared" si="1"/>
        <v>Arts &amp; Entertainment, Hobbies &amp; Creative Arts, Musical Instrument &amp; Orchestra Accessories, Woodwind Instrument AccessoriesOboe &amp; English Horn Accessories</v>
      </c>
    </row>
    <row r="710" hidden="1">
      <c r="A710" s="29">
        <v>4849.0</v>
      </c>
      <c r="B710" s="29" t="s">
        <v>895</v>
      </c>
      <c r="C710" s="29" t="s">
        <v>897</v>
      </c>
      <c r="D710" s="29" t="s">
        <v>995</v>
      </c>
      <c r="E710" s="29" t="s">
        <v>1041</v>
      </c>
      <c r="F710" s="29" t="s">
        <v>1046</v>
      </c>
      <c r="G710" s="20" t="str">
        <f t="shared" si="1"/>
        <v>Arts &amp; Entertainment, Hobbies &amp; Creative Arts, Musical Instrument &amp; Orchestra Accessories, Woodwind Instrument AccessoriesOboe &amp; English Horn Accessories</v>
      </c>
    </row>
    <row r="711" hidden="1">
      <c r="A711" s="29">
        <v>4850.0</v>
      </c>
      <c r="B711" s="29" t="s">
        <v>895</v>
      </c>
      <c r="C711" s="29" t="s">
        <v>897</v>
      </c>
      <c r="D711" s="29" t="s">
        <v>995</v>
      </c>
      <c r="E711" s="29" t="s">
        <v>1041</v>
      </c>
      <c r="F711" s="29" t="s">
        <v>1046</v>
      </c>
      <c r="G711" s="20" t="str">
        <f t="shared" si="1"/>
        <v>Arts &amp; Entertainment, Hobbies &amp; Creative Arts, Musical Instrument &amp; Orchestra Accessories, Woodwind Instrument AccessoriesOboe &amp; English Horn Accessories</v>
      </c>
    </row>
    <row r="712" hidden="1">
      <c r="A712" s="29">
        <v>4844.0</v>
      </c>
      <c r="B712" s="29" t="s">
        <v>895</v>
      </c>
      <c r="C712" s="29" t="s">
        <v>897</v>
      </c>
      <c r="D712" s="29" t="s">
        <v>995</v>
      </c>
      <c r="E712" s="29" t="s">
        <v>1041</v>
      </c>
      <c r="F712" s="29" t="s">
        <v>1046</v>
      </c>
      <c r="G712" s="20" t="str">
        <f t="shared" si="1"/>
        <v>Arts &amp; Entertainment, Hobbies &amp; Creative Arts, Musical Instrument &amp; Orchestra Accessories, Woodwind Instrument AccessoriesOboe &amp; English Horn Accessories</v>
      </c>
    </row>
    <row r="713" hidden="1">
      <c r="A713" s="29">
        <v>4845.0</v>
      </c>
      <c r="B713" s="29" t="s">
        <v>895</v>
      </c>
      <c r="C713" s="29" t="s">
        <v>897</v>
      </c>
      <c r="D713" s="29" t="s">
        <v>995</v>
      </c>
      <c r="E713" s="29" t="s">
        <v>1041</v>
      </c>
      <c r="F713" s="29" t="s">
        <v>1046</v>
      </c>
      <c r="G713" s="20" t="str">
        <f t="shared" si="1"/>
        <v>Arts &amp; Entertainment, Hobbies &amp; Creative Arts, Musical Instrument &amp; Orchestra Accessories, Woodwind Instrument AccessoriesOboe &amp; English Horn Accessories</v>
      </c>
    </row>
    <row r="714" hidden="1">
      <c r="A714" s="29">
        <v>4851.0</v>
      </c>
      <c r="B714" s="29" t="s">
        <v>895</v>
      </c>
      <c r="C714" s="29" t="s">
        <v>897</v>
      </c>
      <c r="D714" s="29" t="s">
        <v>995</v>
      </c>
      <c r="E714" s="29" t="s">
        <v>1041</v>
      </c>
      <c r="F714" s="29" t="s">
        <v>1046</v>
      </c>
      <c r="G714" s="20" t="str">
        <f t="shared" si="1"/>
        <v>Arts &amp; Entertainment, Hobbies &amp; Creative Arts, Musical Instrument &amp; Orchestra Accessories, Woodwind Instrument AccessoriesOboe &amp; English Horn Accessories</v>
      </c>
    </row>
    <row r="715" hidden="1">
      <c r="A715" s="29">
        <v>4846.0</v>
      </c>
      <c r="B715" s="29" t="s">
        <v>895</v>
      </c>
      <c r="C715" s="29" t="s">
        <v>897</v>
      </c>
      <c r="D715" s="29" t="s">
        <v>995</v>
      </c>
      <c r="E715" s="29" t="s">
        <v>1041</v>
      </c>
      <c r="F715" s="29" t="s">
        <v>1046</v>
      </c>
      <c r="G715" s="20" t="str">
        <f t="shared" si="1"/>
        <v>Arts &amp; Entertainment, Hobbies &amp; Creative Arts, Musical Instrument &amp; Orchestra Accessories, Woodwind Instrument AccessoriesOboe &amp; English Horn Accessories</v>
      </c>
    </row>
    <row r="716" hidden="1">
      <c r="A716" s="29">
        <v>4847.0</v>
      </c>
      <c r="B716" s="29" t="s">
        <v>895</v>
      </c>
      <c r="C716" s="29" t="s">
        <v>897</v>
      </c>
      <c r="D716" s="29" t="s">
        <v>995</v>
      </c>
      <c r="E716" s="29" t="s">
        <v>1041</v>
      </c>
      <c r="F716" s="29" t="s">
        <v>1046</v>
      </c>
      <c r="G716" s="20" t="str">
        <f t="shared" si="1"/>
        <v>Arts &amp; Entertainment, Hobbies &amp; Creative Arts, Musical Instrument &amp; Orchestra Accessories, Woodwind Instrument AccessoriesOboe &amp; English Horn Accessories</v>
      </c>
    </row>
    <row r="717" hidden="1">
      <c r="A717" s="29">
        <v>4848.0</v>
      </c>
      <c r="B717" s="29" t="s">
        <v>895</v>
      </c>
      <c r="C717" s="29" t="s">
        <v>897</v>
      </c>
      <c r="D717" s="29" t="s">
        <v>995</v>
      </c>
      <c r="E717" s="29" t="s">
        <v>1041</v>
      </c>
      <c r="F717" s="29" t="s">
        <v>1046</v>
      </c>
      <c r="G717" s="20" t="str">
        <f t="shared" si="1"/>
        <v>Arts &amp; Entertainment, Hobbies &amp; Creative Arts, Musical Instrument &amp; Orchestra Accessories, Woodwind Instrument AccessoriesOboe &amp; English Horn Accessories</v>
      </c>
    </row>
    <row r="718" hidden="1">
      <c r="A718" s="29">
        <v>503747.0</v>
      </c>
      <c r="B718" s="29" t="s">
        <v>895</v>
      </c>
      <c r="C718" s="29" t="s">
        <v>897</v>
      </c>
      <c r="D718" s="29" t="s">
        <v>995</v>
      </c>
      <c r="E718" s="29" t="s">
        <v>1041</v>
      </c>
      <c r="F718" s="29" t="s">
        <v>1047</v>
      </c>
      <c r="G718" s="20" t="str">
        <f t="shared" si="1"/>
        <v>Arts &amp; Entertainment, Hobbies &amp; Creative Arts, Musical Instrument &amp; Orchestra Accessories, Woodwind Instrument AccessoriesRecorder Accessories</v>
      </c>
    </row>
    <row r="719" hidden="1">
      <c r="A719" s="29">
        <v>503749.0</v>
      </c>
      <c r="B719" s="29" t="s">
        <v>895</v>
      </c>
      <c r="C719" s="29" t="s">
        <v>897</v>
      </c>
      <c r="D719" s="29" t="s">
        <v>995</v>
      </c>
      <c r="E719" s="29" t="s">
        <v>1041</v>
      </c>
      <c r="F719" s="29" t="s">
        <v>1047</v>
      </c>
      <c r="G719" s="20" t="str">
        <f t="shared" si="1"/>
        <v>Arts &amp; Entertainment, Hobbies &amp; Creative Arts, Musical Instrument &amp; Orchestra Accessories, Woodwind Instrument AccessoriesRecorder Accessories</v>
      </c>
    </row>
    <row r="720" hidden="1">
      <c r="A720" s="29">
        <v>503748.0</v>
      </c>
      <c r="B720" s="29" t="s">
        <v>895</v>
      </c>
      <c r="C720" s="29" t="s">
        <v>897</v>
      </c>
      <c r="D720" s="29" t="s">
        <v>995</v>
      </c>
      <c r="E720" s="29" t="s">
        <v>1041</v>
      </c>
      <c r="F720" s="29" t="s">
        <v>1047</v>
      </c>
      <c r="G720" s="20" t="str">
        <f t="shared" si="1"/>
        <v>Arts &amp; Entertainment, Hobbies &amp; Creative Arts, Musical Instrument &amp; Orchestra Accessories, Woodwind Instrument AccessoriesRecorder Accessories</v>
      </c>
    </row>
    <row r="721" hidden="1">
      <c r="A721" s="29">
        <v>503750.0</v>
      </c>
      <c r="B721" s="29" t="s">
        <v>895</v>
      </c>
      <c r="C721" s="29" t="s">
        <v>897</v>
      </c>
      <c r="D721" s="29" t="s">
        <v>995</v>
      </c>
      <c r="E721" s="29" t="s">
        <v>1041</v>
      </c>
      <c r="F721" s="29" t="s">
        <v>1047</v>
      </c>
      <c r="G721" s="20" t="str">
        <f t="shared" si="1"/>
        <v>Arts &amp; Entertainment, Hobbies &amp; Creative Arts, Musical Instrument &amp; Orchestra Accessories, Woodwind Instrument AccessoriesRecorder Accessories</v>
      </c>
    </row>
    <row r="722" hidden="1">
      <c r="A722" s="29">
        <v>4794.0</v>
      </c>
      <c r="B722" s="29" t="s">
        <v>895</v>
      </c>
      <c r="C722" s="29" t="s">
        <v>897</v>
      </c>
      <c r="D722" s="29" t="s">
        <v>995</v>
      </c>
      <c r="E722" s="29" t="s">
        <v>1041</v>
      </c>
      <c r="F722" s="29" t="s">
        <v>1048</v>
      </c>
      <c r="G722" s="20" t="str">
        <f t="shared" si="1"/>
        <v>Arts &amp; Entertainment, Hobbies &amp; Creative Arts, Musical Instrument &amp; Orchestra Accessories, Woodwind Instrument AccessoriesSaxophone Accessories</v>
      </c>
    </row>
    <row r="723" hidden="1">
      <c r="A723" s="29">
        <v>4852.0</v>
      </c>
      <c r="B723" s="29" t="s">
        <v>895</v>
      </c>
      <c r="C723" s="29" t="s">
        <v>897</v>
      </c>
      <c r="D723" s="29" t="s">
        <v>995</v>
      </c>
      <c r="E723" s="29" t="s">
        <v>1041</v>
      </c>
      <c r="F723" s="29" t="s">
        <v>1048</v>
      </c>
      <c r="G723" s="20" t="str">
        <f t="shared" si="1"/>
        <v>Arts &amp; Entertainment, Hobbies &amp; Creative Arts, Musical Instrument &amp; Orchestra Accessories, Woodwind Instrument AccessoriesSaxophone Accessories</v>
      </c>
    </row>
    <row r="724" hidden="1">
      <c r="A724" s="29">
        <v>4860.0</v>
      </c>
      <c r="B724" s="29" t="s">
        <v>895</v>
      </c>
      <c r="C724" s="29" t="s">
        <v>897</v>
      </c>
      <c r="D724" s="29" t="s">
        <v>995</v>
      </c>
      <c r="E724" s="29" t="s">
        <v>1041</v>
      </c>
      <c r="F724" s="29" t="s">
        <v>1048</v>
      </c>
      <c r="G724" s="20" t="str">
        <f t="shared" si="1"/>
        <v>Arts &amp; Entertainment, Hobbies &amp; Creative Arts, Musical Instrument &amp; Orchestra Accessories, Woodwind Instrument AccessoriesSaxophone Accessories</v>
      </c>
    </row>
    <row r="725" hidden="1">
      <c r="A725" s="29">
        <v>4861.0</v>
      </c>
      <c r="B725" s="29" t="s">
        <v>895</v>
      </c>
      <c r="C725" s="29" t="s">
        <v>897</v>
      </c>
      <c r="D725" s="29" t="s">
        <v>995</v>
      </c>
      <c r="E725" s="29" t="s">
        <v>1041</v>
      </c>
      <c r="F725" s="29" t="s">
        <v>1048</v>
      </c>
      <c r="G725" s="20" t="str">
        <f t="shared" si="1"/>
        <v>Arts &amp; Entertainment, Hobbies &amp; Creative Arts, Musical Instrument &amp; Orchestra Accessories, Woodwind Instrument AccessoriesSaxophone Accessories</v>
      </c>
    </row>
    <row r="726" hidden="1">
      <c r="A726" s="29">
        <v>4862.0</v>
      </c>
      <c r="B726" s="29" t="s">
        <v>895</v>
      </c>
      <c r="C726" s="29" t="s">
        <v>897</v>
      </c>
      <c r="D726" s="29" t="s">
        <v>995</v>
      </c>
      <c r="E726" s="29" t="s">
        <v>1041</v>
      </c>
      <c r="F726" s="29" t="s">
        <v>1048</v>
      </c>
      <c r="G726" s="20" t="str">
        <f t="shared" si="1"/>
        <v>Arts &amp; Entertainment, Hobbies &amp; Creative Arts, Musical Instrument &amp; Orchestra Accessories, Woodwind Instrument AccessoriesSaxophone Accessories</v>
      </c>
    </row>
    <row r="727" hidden="1">
      <c r="A727" s="29">
        <v>4853.0</v>
      </c>
      <c r="B727" s="29" t="s">
        <v>895</v>
      </c>
      <c r="C727" s="29" t="s">
        <v>897</v>
      </c>
      <c r="D727" s="29" t="s">
        <v>995</v>
      </c>
      <c r="E727" s="29" t="s">
        <v>1041</v>
      </c>
      <c r="F727" s="29" t="s">
        <v>1048</v>
      </c>
      <c r="G727" s="20" t="str">
        <f t="shared" si="1"/>
        <v>Arts &amp; Entertainment, Hobbies &amp; Creative Arts, Musical Instrument &amp; Orchestra Accessories, Woodwind Instrument AccessoriesSaxophone Accessories</v>
      </c>
    </row>
    <row r="728" hidden="1">
      <c r="A728" s="29">
        <v>4854.0</v>
      </c>
      <c r="B728" s="29" t="s">
        <v>895</v>
      </c>
      <c r="C728" s="29" t="s">
        <v>897</v>
      </c>
      <c r="D728" s="29" t="s">
        <v>995</v>
      </c>
      <c r="E728" s="29" t="s">
        <v>1041</v>
      </c>
      <c r="F728" s="29" t="s">
        <v>1048</v>
      </c>
      <c r="G728" s="20" t="str">
        <f t="shared" si="1"/>
        <v>Arts &amp; Entertainment, Hobbies &amp; Creative Arts, Musical Instrument &amp; Orchestra Accessories, Woodwind Instrument AccessoriesSaxophone Accessories</v>
      </c>
    </row>
    <row r="729" hidden="1">
      <c r="A729" s="29">
        <v>4856.0</v>
      </c>
      <c r="B729" s="29" t="s">
        <v>895</v>
      </c>
      <c r="C729" s="29" t="s">
        <v>897</v>
      </c>
      <c r="D729" s="29" t="s">
        <v>995</v>
      </c>
      <c r="E729" s="29" t="s">
        <v>1041</v>
      </c>
      <c r="F729" s="29" t="s">
        <v>1048</v>
      </c>
      <c r="G729" s="20" t="str">
        <f t="shared" si="1"/>
        <v>Arts &amp; Entertainment, Hobbies &amp; Creative Arts, Musical Instrument &amp; Orchestra Accessories, Woodwind Instrument AccessoriesSaxophone Accessories</v>
      </c>
    </row>
    <row r="730" hidden="1">
      <c r="A730" s="29">
        <v>4863.0</v>
      </c>
      <c r="B730" s="29" t="s">
        <v>895</v>
      </c>
      <c r="C730" s="29" t="s">
        <v>897</v>
      </c>
      <c r="D730" s="29" t="s">
        <v>995</v>
      </c>
      <c r="E730" s="29" t="s">
        <v>1041</v>
      </c>
      <c r="F730" s="29" t="s">
        <v>1048</v>
      </c>
      <c r="G730" s="20" t="str">
        <f t="shared" si="1"/>
        <v>Arts &amp; Entertainment, Hobbies &amp; Creative Arts, Musical Instrument &amp; Orchestra Accessories, Woodwind Instrument AccessoriesSaxophone Accessories</v>
      </c>
    </row>
    <row r="731" hidden="1">
      <c r="A731" s="29">
        <v>4864.0</v>
      </c>
      <c r="B731" s="29" t="s">
        <v>895</v>
      </c>
      <c r="C731" s="29" t="s">
        <v>897</v>
      </c>
      <c r="D731" s="29" t="s">
        <v>995</v>
      </c>
      <c r="E731" s="29" t="s">
        <v>1041</v>
      </c>
      <c r="F731" s="29" t="s">
        <v>1048</v>
      </c>
      <c r="G731" s="20" t="str">
        <f t="shared" si="1"/>
        <v>Arts &amp; Entertainment, Hobbies &amp; Creative Arts, Musical Instrument &amp; Orchestra Accessories, Woodwind Instrument AccessoriesSaxophone Accessories</v>
      </c>
    </row>
    <row r="732" hidden="1">
      <c r="A732" s="29">
        <v>4865.0</v>
      </c>
      <c r="B732" s="29" t="s">
        <v>895</v>
      </c>
      <c r="C732" s="29" t="s">
        <v>897</v>
      </c>
      <c r="D732" s="29" t="s">
        <v>995</v>
      </c>
      <c r="E732" s="29" t="s">
        <v>1041</v>
      </c>
      <c r="F732" s="29" t="s">
        <v>1048</v>
      </c>
      <c r="G732" s="20" t="str">
        <f t="shared" si="1"/>
        <v>Arts &amp; Entertainment, Hobbies &amp; Creative Arts, Musical Instrument &amp; Orchestra Accessories, Woodwind Instrument AccessoriesSaxophone Accessories</v>
      </c>
    </row>
    <row r="733" hidden="1">
      <c r="A733" s="29">
        <v>4857.0</v>
      </c>
      <c r="B733" s="29" t="s">
        <v>895</v>
      </c>
      <c r="C733" s="29" t="s">
        <v>897</v>
      </c>
      <c r="D733" s="29" t="s">
        <v>995</v>
      </c>
      <c r="E733" s="29" t="s">
        <v>1041</v>
      </c>
      <c r="F733" s="29" t="s">
        <v>1048</v>
      </c>
      <c r="G733" s="20" t="str">
        <f t="shared" si="1"/>
        <v>Arts &amp; Entertainment, Hobbies &amp; Creative Arts, Musical Instrument &amp; Orchestra Accessories, Woodwind Instrument AccessoriesSaxophone Accessories</v>
      </c>
    </row>
    <row r="734" hidden="1">
      <c r="A734" s="29">
        <v>4858.0</v>
      </c>
      <c r="B734" s="29" t="s">
        <v>895</v>
      </c>
      <c r="C734" s="29" t="s">
        <v>897</v>
      </c>
      <c r="D734" s="29" t="s">
        <v>995</v>
      </c>
      <c r="E734" s="29" t="s">
        <v>1041</v>
      </c>
      <c r="F734" s="29" t="s">
        <v>1048</v>
      </c>
      <c r="G734" s="20" t="str">
        <f t="shared" si="1"/>
        <v>Arts &amp; Entertainment, Hobbies &amp; Creative Arts, Musical Instrument &amp; Orchestra Accessories, Woodwind Instrument AccessoriesSaxophone Accessories</v>
      </c>
    </row>
    <row r="735" hidden="1">
      <c r="A735" s="29">
        <v>4859.0</v>
      </c>
      <c r="B735" s="29" t="s">
        <v>895</v>
      </c>
      <c r="C735" s="29" t="s">
        <v>897</v>
      </c>
      <c r="D735" s="29" t="s">
        <v>995</v>
      </c>
      <c r="E735" s="29" t="s">
        <v>1041</v>
      </c>
      <c r="F735" s="29" t="s">
        <v>1048</v>
      </c>
      <c r="G735" s="20" t="str">
        <f t="shared" si="1"/>
        <v>Arts &amp; Entertainment, Hobbies &amp; Creative Arts, Musical Instrument &amp; Orchestra Accessories, Woodwind Instrument AccessoriesSaxophone Accessories</v>
      </c>
    </row>
    <row r="736" hidden="1">
      <c r="A736" s="29">
        <v>4866.0</v>
      </c>
      <c r="B736" s="29" t="s">
        <v>895</v>
      </c>
      <c r="C736" s="29" t="s">
        <v>897</v>
      </c>
      <c r="D736" s="29" t="s">
        <v>995</v>
      </c>
      <c r="E736" s="29" t="s">
        <v>1041</v>
      </c>
      <c r="F736" s="29" t="s">
        <v>1049</v>
      </c>
      <c r="G736" s="20" t="str">
        <f t="shared" si="1"/>
        <v>Arts &amp; Entertainment, Hobbies &amp; Creative Arts, Musical Instrument &amp; Orchestra Accessories, Woodwind Instrument AccessoriesWoodwind Cork Grease</v>
      </c>
    </row>
    <row r="737" hidden="1">
      <c r="A737" s="29">
        <v>4867.0</v>
      </c>
      <c r="B737" s="29" t="s">
        <v>895</v>
      </c>
      <c r="C737" s="29" t="s">
        <v>897</v>
      </c>
      <c r="D737" s="29" t="s">
        <v>995</v>
      </c>
      <c r="E737" s="29" t="s">
        <v>1041</v>
      </c>
      <c r="F737" s="29" t="s">
        <v>1050</v>
      </c>
      <c r="G737" s="20" t="str">
        <f t="shared" si="1"/>
        <v>Arts &amp; Entertainment, Hobbies &amp; Creative Arts, Musical Instrument &amp; Orchestra Accessories, Woodwind Instrument AccessoriesWoodwind Polishing Cloths</v>
      </c>
    </row>
    <row r="738" hidden="1">
      <c r="A738" s="29">
        <v>4957.0</v>
      </c>
      <c r="B738" s="29" t="s">
        <v>895</v>
      </c>
      <c r="C738" s="29" t="s">
        <v>897</v>
      </c>
      <c r="D738" s="29" t="s">
        <v>995</v>
      </c>
      <c r="E738" s="29" t="s">
        <v>1041</v>
      </c>
      <c r="F738" s="29" t="s">
        <v>1051</v>
      </c>
      <c r="G738" s="20" t="str">
        <f t="shared" si="1"/>
        <v>Arts &amp; Entertainment, Hobbies &amp; Creative Arts, Musical Instrument &amp; Orchestra Accessories, Woodwind Instrument AccessoriesWoodwind Reed Cases</v>
      </c>
    </row>
    <row r="739" hidden="1">
      <c r="A739" s="29">
        <v>4939.0</v>
      </c>
      <c r="B739" s="29" t="s">
        <v>895</v>
      </c>
      <c r="C739" s="29" t="s">
        <v>897</v>
      </c>
      <c r="D739" s="29" t="s">
        <v>995</v>
      </c>
      <c r="E739" s="29" t="s">
        <v>1041</v>
      </c>
      <c r="F739" s="29" t="s">
        <v>1052</v>
      </c>
      <c r="G739" s="20" t="str">
        <f t="shared" si="1"/>
        <v>Arts &amp; Entertainment, Hobbies &amp; Creative Arts, Musical Instrument &amp; Orchestra Accessories, Woodwind Instrument AccessoriesWoodwind Reed Knives</v>
      </c>
    </row>
    <row r="740" hidden="1">
      <c r="A740" s="29">
        <v>54.0</v>
      </c>
      <c r="B740" s="29" t="s">
        <v>895</v>
      </c>
      <c r="C740" s="29" t="s">
        <v>897</v>
      </c>
      <c r="D740" s="29" t="s">
        <v>1053</v>
      </c>
      <c r="E740" s="62"/>
      <c r="F740" s="62"/>
      <c r="G740" s="20" t="str">
        <f t="shared" si="1"/>
        <v>Arts &amp; Entertainment, Hobbies &amp; Creative Arts, Musical Instruments, </v>
      </c>
    </row>
    <row r="741" hidden="1">
      <c r="A741" s="29">
        <v>4983.0</v>
      </c>
      <c r="B741" s="29" t="s">
        <v>895</v>
      </c>
      <c r="C741" s="29" t="s">
        <v>897</v>
      </c>
      <c r="D741" s="29" t="s">
        <v>1053</v>
      </c>
      <c r="E741" s="29" t="s">
        <v>1054</v>
      </c>
      <c r="F741" s="62"/>
      <c r="G741" s="20" t="str">
        <f t="shared" si="1"/>
        <v>Arts &amp; Entertainment, Hobbies &amp; Creative Arts, Musical Instruments, Accordions &amp; Concertinas</v>
      </c>
    </row>
    <row r="742" hidden="1">
      <c r="A742" s="29">
        <v>4984.0</v>
      </c>
      <c r="B742" s="29" t="s">
        <v>895</v>
      </c>
      <c r="C742" s="29" t="s">
        <v>897</v>
      </c>
      <c r="D742" s="29" t="s">
        <v>1053</v>
      </c>
      <c r="E742" s="29" t="s">
        <v>1055</v>
      </c>
      <c r="F742" s="62"/>
      <c r="G742" s="20" t="str">
        <f t="shared" si="1"/>
        <v>Arts &amp; Entertainment, Hobbies &amp; Creative Arts, Musical Instruments, Bagpipes</v>
      </c>
    </row>
    <row r="743" hidden="1">
      <c r="A743" s="29">
        <v>63.0</v>
      </c>
      <c r="B743" s="29" t="s">
        <v>895</v>
      </c>
      <c r="C743" s="29" t="s">
        <v>897</v>
      </c>
      <c r="D743" s="29" t="s">
        <v>1053</v>
      </c>
      <c r="E743" s="29" t="s">
        <v>1056</v>
      </c>
      <c r="F743" s="62"/>
      <c r="G743" s="20" t="str">
        <f t="shared" si="1"/>
        <v>Arts &amp; Entertainment, Hobbies &amp; Creative Arts, Musical Instruments, Brass Instruments</v>
      </c>
    </row>
    <row r="744" hidden="1">
      <c r="A744" s="29">
        <v>505769.0</v>
      </c>
      <c r="B744" s="29" t="s">
        <v>895</v>
      </c>
      <c r="C744" s="29" t="s">
        <v>897</v>
      </c>
      <c r="D744" s="29" t="s">
        <v>1053</v>
      </c>
      <c r="E744" s="29" t="s">
        <v>1056</v>
      </c>
      <c r="F744" s="29" t="s">
        <v>1057</v>
      </c>
      <c r="G744" s="20" t="str">
        <f t="shared" si="1"/>
        <v>Arts &amp; Entertainment, Hobbies &amp; Creative Arts, Musical Instruments, Brass InstrumentsAlto &amp; Baritone Horns</v>
      </c>
    </row>
    <row r="745" hidden="1">
      <c r="A745" s="29">
        <v>65.0</v>
      </c>
      <c r="B745" s="29" t="s">
        <v>895</v>
      </c>
      <c r="C745" s="29" t="s">
        <v>897</v>
      </c>
      <c r="D745" s="29" t="s">
        <v>1053</v>
      </c>
      <c r="E745" s="29" t="s">
        <v>1056</v>
      </c>
      <c r="F745" s="29" t="s">
        <v>1058</v>
      </c>
      <c r="G745" s="20" t="str">
        <f t="shared" si="1"/>
        <v>Arts &amp; Entertainment, Hobbies &amp; Creative Arts, Musical Instruments, Brass InstrumentsEuphoniums</v>
      </c>
    </row>
    <row r="746" hidden="1">
      <c r="A746" s="29">
        <v>67.0</v>
      </c>
      <c r="B746" s="29" t="s">
        <v>895</v>
      </c>
      <c r="C746" s="29" t="s">
        <v>897</v>
      </c>
      <c r="D746" s="29" t="s">
        <v>1053</v>
      </c>
      <c r="E746" s="29" t="s">
        <v>1056</v>
      </c>
      <c r="F746" s="29" t="s">
        <v>1059</v>
      </c>
      <c r="G746" s="20" t="str">
        <f t="shared" si="1"/>
        <v>Arts &amp; Entertainment, Hobbies &amp; Creative Arts, Musical Instruments, Brass InstrumentsFrench Horns</v>
      </c>
    </row>
    <row r="747" hidden="1">
      <c r="A747" s="29">
        <v>70.0</v>
      </c>
      <c r="B747" s="29" t="s">
        <v>895</v>
      </c>
      <c r="C747" s="29" t="s">
        <v>897</v>
      </c>
      <c r="D747" s="29" t="s">
        <v>1053</v>
      </c>
      <c r="E747" s="29" t="s">
        <v>1056</v>
      </c>
      <c r="F747" s="29" t="s">
        <v>1060</v>
      </c>
      <c r="G747" s="20" t="str">
        <f t="shared" si="1"/>
        <v>Arts &amp; Entertainment, Hobbies &amp; Creative Arts, Musical Instruments, Brass InstrumentsTrombones</v>
      </c>
    </row>
    <row r="748" hidden="1">
      <c r="A748" s="29">
        <v>505770.0</v>
      </c>
      <c r="B748" s="29" t="s">
        <v>895</v>
      </c>
      <c r="C748" s="29" t="s">
        <v>897</v>
      </c>
      <c r="D748" s="29" t="s">
        <v>1053</v>
      </c>
      <c r="E748" s="29" t="s">
        <v>1056</v>
      </c>
      <c r="F748" s="29" t="s">
        <v>1061</v>
      </c>
      <c r="G748" s="20" t="str">
        <f t="shared" si="1"/>
        <v>Arts &amp; Entertainment, Hobbies &amp; Creative Arts, Musical Instruments, Brass InstrumentsTrumpets &amp; Cornets</v>
      </c>
    </row>
    <row r="749" hidden="1">
      <c r="A749" s="29">
        <v>72.0</v>
      </c>
      <c r="B749" s="29" t="s">
        <v>895</v>
      </c>
      <c r="C749" s="29" t="s">
        <v>897</v>
      </c>
      <c r="D749" s="29" t="s">
        <v>1053</v>
      </c>
      <c r="E749" s="29" t="s">
        <v>1056</v>
      </c>
      <c r="F749" s="29" t="s">
        <v>1062</v>
      </c>
      <c r="G749" s="20" t="str">
        <f t="shared" si="1"/>
        <v>Arts &amp; Entertainment, Hobbies &amp; Creative Arts, Musical Instruments, Brass InstrumentsTubas</v>
      </c>
    </row>
    <row r="750" hidden="1">
      <c r="A750" s="29">
        <v>6001.0</v>
      </c>
      <c r="B750" s="29" t="s">
        <v>895</v>
      </c>
      <c r="C750" s="29" t="s">
        <v>897</v>
      </c>
      <c r="D750" s="29" t="s">
        <v>1053</v>
      </c>
      <c r="E750" s="29" t="s">
        <v>1063</v>
      </c>
      <c r="F750" s="62"/>
      <c r="G750" s="20" t="str">
        <f t="shared" si="1"/>
        <v>Arts &amp; Entertainment, Hobbies &amp; Creative Arts, Musical Instruments, Electronic Musical Instruments</v>
      </c>
    </row>
    <row r="751" hidden="1">
      <c r="A751" s="29">
        <v>245.0</v>
      </c>
      <c r="B751" s="29" t="s">
        <v>895</v>
      </c>
      <c r="C751" s="29" t="s">
        <v>897</v>
      </c>
      <c r="D751" s="29" t="s">
        <v>1053</v>
      </c>
      <c r="E751" s="29" t="s">
        <v>1063</v>
      </c>
      <c r="F751" s="29" t="s">
        <v>1064</v>
      </c>
      <c r="G751" s="20" t="str">
        <f t="shared" si="1"/>
        <v>Arts &amp; Entertainment, Hobbies &amp; Creative Arts, Musical Instruments, Electronic Musical InstrumentsAudio Samplers</v>
      </c>
    </row>
    <row r="752" hidden="1">
      <c r="A752" s="29">
        <v>6002.0</v>
      </c>
      <c r="B752" s="29" t="s">
        <v>895</v>
      </c>
      <c r="C752" s="29" t="s">
        <v>897</v>
      </c>
      <c r="D752" s="29" t="s">
        <v>1053</v>
      </c>
      <c r="E752" s="29" t="s">
        <v>1063</v>
      </c>
      <c r="F752" s="29" t="s">
        <v>1065</v>
      </c>
      <c r="G752" s="20" t="str">
        <f t="shared" si="1"/>
        <v>Arts &amp; Entertainment, Hobbies &amp; Creative Arts, Musical Instruments, Electronic Musical InstrumentsMIDI Controllers</v>
      </c>
    </row>
    <row r="753" hidden="1">
      <c r="A753" s="29">
        <v>74.0</v>
      </c>
      <c r="B753" s="29" t="s">
        <v>895</v>
      </c>
      <c r="C753" s="29" t="s">
        <v>897</v>
      </c>
      <c r="D753" s="29" t="s">
        <v>1053</v>
      </c>
      <c r="E753" s="29" t="s">
        <v>1063</v>
      </c>
      <c r="F753" s="29" t="s">
        <v>1066</v>
      </c>
      <c r="G753" s="20" t="str">
        <f t="shared" si="1"/>
        <v>Arts &amp; Entertainment, Hobbies &amp; Creative Arts, Musical Instruments, Electronic Musical InstrumentsMusical Keyboards</v>
      </c>
    </row>
    <row r="754" hidden="1">
      <c r="A754" s="29">
        <v>6003.0</v>
      </c>
      <c r="B754" s="29" t="s">
        <v>895</v>
      </c>
      <c r="C754" s="29" t="s">
        <v>897</v>
      </c>
      <c r="D754" s="29" t="s">
        <v>1053</v>
      </c>
      <c r="E754" s="29" t="s">
        <v>1063</v>
      </c>
      <c r="F754" s="29" t="s">
        <v>1067</v>
      </c>
      <c r="G754" s="20" t="str">
        <f t="shared" si="1"/>
        <v>Arts &amp; Entertainment, Hobbies &amp; Creative Arts, Musical Instruments, Electronic Musical InstrumentsSound Synthesizers</v>
      </c>
    </row>
    <row r="755" hidden="1">
      <c r="A755" s="29">
        <v>75.0</v>
      </c>
      <c r="B755" s="29" t="s">
        <v>895</v>
      </c>
      <c r="C755" s="29" t="s">
        <v>897</v>
      </c>
      <c r="D755" s="29" t="s">
        <v>1053</v>
      </c>
      <c r="E755" s="29" t="s">
        <v>1068</v>
      </c>
      <c r="F755" s="62"/>
      <c r="G755" s="20" t="str">
        <f t="shared" si="1"/>
        <v>Arts &amp; Entertainment, Hobbies &amp; Creative Arts, Musical Instruments, Percussion</v>
      </c>
    </row>
    <row r="756" hidden="1">
      <c r="A756" s="29">
        <v>2917.0</v>
      </c>
      <c r="B756" s="29" t="s">
        <v>895</v>
      </c>
      <c r="C756" s="29" t="s">
        <v>897</v>
      </c>
      <c r="D756" s="29" t="s">
        <v>1053</v>
      </c>
      <c r="E756" s="29" t="s">
        <v>1068</v>
      </c>
      <c r="F756" s="29" t="s">
        <v>1069</v>
      </c>
      <c r="G756" s="20" t="str">
        <f t="shared" si="1"/>
        <v>Arts &amp; Entertainment, Hobbies &amp; Creative Arts, Musical Instruments, PercussionBass Drums</v>
      </c>
    </row>
    <row r="757" hidden="1">
      <c r="A757" s="29">
        <v>3043.0</v>
      </c>
      <c r="B757" s="29" t="s">
        <v>895</v>
      </c>
      <c r="C757" s="29" t="s">
        <v>897</v>
      </c>
      <c r="D757" s="29" t="s">
        <v>1053</v>
      </c>
      <c r="E757" s="29" t="s">
        <v>1068</v>
      </c>
      <c r="F757" s="29" t="s">
        <v>1070</v>
      </c>
      <c r="G757" s="20" t="str">
        <f t="shared" si="1"/>
        <v>Arts &amp; Entertainment, Hobbies &amp; Creative Arts, Musical Instruments, PercussionCymbals</v>
      </c>
    </row>
    <row r="758" hidden="1">
      <c r="A758" s="29">
        <v>2518.0</v>
      </c>
      <c r="B758" s="29" t="s">
        <v>895</v>
      </c>
      <c r="C758" s="29" t="s">
        <v>897</v>
      </c>
      <c r="D758" s="29" t="s">
        <v>1053</v>
      </c>
      <c r="E758" s="29" t="s">
        <v>1068</v>
      </c>
      <c r="F758" s="29" t="s">
        <v>1071</v>
      </c>
      <c r="G758" s="20" t="str">
        <f t="shared" si="1"/>
        <v>Arts &amp; Entertainment, Hobbies &amp; Creative Arts, Musical Instruments, PercussionDrum Kits</v>
      </c>
    </row>
    <row r="759" hidden="1">
      <c r="A759" s="29">
        <v>2856.0</v>
      </c>
      <c r="B759" s="29" t="s">
        <v>895</v>
      </c>
      <c r="C759" s="29" t="s">
        <v>897</v>
      </c>
      <c r="D759" s="29" t="s">
        <v>1053</v>
      </c>
      <c r="E759" s="29" t="s">
        <v>1068</v>
      </c>
      <c r="F759" s="29" t="s">
        <v>1072</v>
      </c>
      <c r="G759" s="20" t="str">
        <f t="shared" si="1"/>
        <v>Arts &amp; Entertainment, Hobbies &amp; Creative Arts, Musical Instruments, PercussionElectronic Drums</v>
      </c>
    </row>
    <row r="760" hidden="1">
      <c r="A760" s="29">
        <v>7431.0</v>
      </c>
      <c r="B760" s="29" t="s">
        <v>895</v>
      </c>
      <c r="C760" s="29" t="s">
        <v>897</v>
      </c>
      <c r="D760" s="29" t="s">
        <v>1053</v>
      </c>
      <c r="E760" s="29" t="s">
        <v>1068</v>
      </c>
      <c r="F760" s="29" t="s">
        <v>1073</v>
      </c>
      <c r="G760" s="20" t="str">
        <f t="shared" si="1"/>
        <v>Arts &amp; Entertainment, Hobbies &amp; Creative Arts, Musical Instruments, PercussionGlockenspiels &amp; Xylophones</v>
      </c>
    </row>
    <row r="761" hidden="1">
      <c r="A761" s="29">
        <v>6098.0</v>
      </c>
      <c r="B761" s="29" t="s">
        <v>895</v>
      </c>
      <c r="C761" s="29" t="s">
        <v>897</v>
      </c>
      <c r="D761" s="29" t="s">
        <v>1053</v>
      </c>
      <c r="E761" s="29" t="s">
        <v>1068</v>
      </c>
      <c r="F761" s="29" t="s">
        <v>1074</v>
      </c>
      <c r="G761" s="20" t="str">
        <f t="shared" si="1"/>
        <v>Arts &amp; Entertainment, Hobbies &amp; Creative Arts, Musical Instruments, PercussionGongs</v>
      </c>
    </row>
    <row r="762" hidden="1">
      <c r="A762" s="29">
        <v>7285.0</v>
      </c>
      <c r="B762" s="29" t="s">
        <v>895</v>
      </c>
      <c r="C762" s="29" t="s">
        <v>897</v>
      </c>
      <c r="D762" s="29" t="s">
        <v>1053</v>
      </c>
      <c r="E762" s="29" t="s">
        <v>1068</v>
      </c>
      <c r="F762" s="29" t="s">
        <v>1075</v>
      </c>
      <c r="G762" s="20" t="str">
        <f t="shared" si="1"/>
        <v>Arts &amp; Entertainment, Hobbies &amp; Creative Arts, Musical Instruments, PercussionHand Percussion</v>
      </c>
    </row>
    <row r="763" hidden="1">
      <c r="A763" s="29">
        <v>7289.0</v>
      </c>
      <c r="B763" s="29" t="s">
        <v>895</v>
      </c>
      <c r="C763" s="29" t="s">
        <v>897</v>
      </c>
      <c r="D763" s="29" t="s">
        <v>1053</v>
      </c>
      <c r="E763" s="29" t="s">
        <v>1068</v>
      </c>
      <c r="F763" s="29" t="s">
        <v>1075</v>
      </c>
      <c r="G763" s="20" t="str">
        <f t="shared" si="1"/>
        <v>Arts &amp; Entertainment, Hobbies &amp; Creative Arts, Musical Instruments, PercussionHand Percussion</v>
      </c>
    </row>
    <row r="764" hidden="1">
      <c r="A764" s="29">
        <v>7288.0</v>
      </c>
      <c r="B764" s="29" t="s">
        <v>895</v>
      </c>
      <c r="C764" s="29" t="s">
        <v>897</v>
      </c>
      <c r="D764" s="29" t="s">
        <v>1053</v>
      </c>
      <c r="E764" s="29" t="s">
        <v>1068</v>
      </c>
      <c r="F764" s="29" t="s">
        <v>1075</v>
      </c>
      <c r="G764" s="20" t="str">
        <f t="shared" si="1"/>
        <v>Arts &amp; Entertainment, Hobbies &amp; Creative Arts, Musical Instruments, PercussionHand Percussion</v>
      </c>
    </row>
    <row r="765" hidden="1">
      <c r="A765" s="29">
        <v>7555.0</v>
      </c>
      <c r="B765" s="29" t="s">
        <v>895</v>
      </c>
      <c r="C765" s="29" t="s">
        <v>897</v>
      </c>
      <c r="D765" s="29" t="s">
        <v>1053</v>
      </c>
      <c r="E765" s="29" t="s">
        <v>1068</v>
      </c>
      <c r="F765" s="29" t="s">
        <v>1075</v>
      </c>
      <c r="G765" s="20" t="str">
        <f t="shared" si="1"/>
        <v>Arts &amp; Entertainment, Hobbies &amp; Creative Arts, Musical Instruments, PercussionHand Percussion</v>
      </c>
    </row>
    <row r="766" hidden="1">
      <c r="A766" s="29">
        <v>7295.0</v>
      </c>
      <c r="B766" s="29" t="s">
        <v>895</v>
      </c>
      <c r="C766" s="29" t="s">
        <v>897</v>
      </c>
      <c r="D766" s="29" t="s">
        <v>1053</v>
      </c>
      <c r="E766" s="29" t="s">
        <v>1068</v>
      </c>
      <c r="F766" s="29" t="s">
        <v>1075</v>
      </c>
      <c r="G766" s="20" t="str">
        <f t="shared" si="1"/>
        <v>Arts &amp; Entertainment, Hobbies &amp; Creative Arts, Musical Instruments, PercussionHand Percussion</v>
      </c>
    </row>
    <row r="767" hidden="1">
      <c r="A767" s="29">
        <v>7298.0</v>
      </c>
      <c r="B767" s="29" t="s">
        <v>895</v>
      </c>
      <c r="C767" s="29" t="s">
        <v>897</v>
      </c>
      <c r="D767" s="29" t="s">
        <v>1053</v>
      </c>
      <c r="E767" s="29" t="s">
        <v>1068</v>
      </c>
      <c r="F767" s="29" t="s">
        <v>1075</v>
      </c>
      <c r="G767" s="20" t="str">
        <f t="shared" si="1"/>
        <v>Arts &amp; Entertainment, Hobbies &amp; Creative Arts, Musical Instruments, PercussionHand Percussion</v>
      </c>
    </row>
    <row r="768" hidden="1">
      <c r="A768" s="29">
        <v>7297.0</v>
      </c>
      <c r="B768" s="29" t="s">
        <v>895</v>
      </c>
      <c r="C768" s="29" t="s">
        <v>897</v>
      </c>
      <c r="D768" s="29" t="s">
        <v>1053</v>
      </c>
      <c r="E768" s="29" t="s">
        <v>1068</v>
      </c>
      <c r="F768" s="29" t="s">
        <v>1075</v>
      </c>
      <c r="G768" s="20" t="str">
        <f t="shared" si="1"/>
        <v>Arts &amp; Entertainment, Hobbies &amp; Creative Arts, Musical Instruments, PercussionHand Percussion</v>
      </c>
    </row>
    <row r="769" hidden="1">
      <c r="A769" s="29">
        <v>7296.0</v>
      </c>
      <c r="B769" s="29" t="s">
        <v>895</v>
      </c>
      <c r="C769" s="29" t="s">
        <v>897</v>
      </c>
      <c r="D769" s="29" t="s">
        <v>1053</v>
      </c>
      <c r="E769" s="29" t="s">
        <v>1068</v>
      </c>
      <c r="F769" s="29" t="s">
        <v>1075</v>
      </c>
      <c r="G769" s="20" t="str">
        <f t="shared" si="1"/>
        <v>Arts &amp; Entertainment, Hobbies &amp; Creative Arts, Musical Instruments, PercussionHand Percussion</v>
      </c>
    </row>
    <row r="770" hidden="1">
      <c r="A770" s="29">
        <v>7300.0</v>
      </c>
      <c r="B770" s="29" t="s">
        <v>895</v>
      </c>
      <c r="C770" s="29" t="s">
        <v>897</v>
      </c>
      <c r="D770" s="29" t="s">
        <v>1053</v>
      </c>
      <c r="E770" s="29" t="s">
        <v>1068</v>
      </c>
      <c r="F770" s="29" t="s">
        <v>1075</v>
      </c>
      <c r="G770" s="20" t="str">
        <f t="shared" si="1"/>
        <v>Arts &amp; Entertainment, Hobbies &amp; Creative Arts, Musical Instruments, PercussionHand Percussion</v>
      </c>
    </row>
    <row r="771" hidden="1">
      <c r="A771" s="29">
        <v>7299.0</v>
      </c>
      <c r="B771" s="29" t="s">
        <v>895</v>
      </c>
      <c r="C771" s="29" t="s">
        <v>897</v>
      </c>
      <c r="D771" s="29" t="s">
        <v>1053</v>
      </c>
      <c r="E771" s="29" t="s">
        <v>1068</v>
      </c>
      <c r="F771" s="29" t="s">
        <v>1075</v>
      </c>
      <c r="G771" s="20" t="str">
        <f t="shared" si="1"/>
        <v>Arts &amp; Entertainment, Hobbies &amp; Creative Arts, Musical Instruments, PercussionHand Percussion</v>
      </c>
    </row>
    <row r="772" hidden="1">
      <c r="A772" s="29">
        <v>7302.0</v>
      </c>
      <c r="B772" s="29" t="s">
        <v>895</v>
      </c>
      <c r="C772" s="29" t="s">
        <v>897</v>
      </c>
      <c r="D772" s="29" t="s">
        <v>1053</v>
      </c>
      <c r="E772" s="29" t="s">
        <v>1068</v>
      </c>
      <c r="F772" s="29" t="s">
        <v>1075</v>
      </c>
      <c r="G772" s="20" t="str">
        <f t="shared" si="1"/>
        <v>Arts &amp; Entertainment, Hobbies &amp; Creative Arts, Musical Instruments, PercussionHand Percussion</v>
      </c>
    </row>
    <row r="773" hidden="1">
      <c r="A773" s="29">
        <v>7301.0</v>
      </c>
      <c r="B773" s="29" t="s">
        <v>895</v>
      </c>
      <c r="C773" s="29" t="s">
        <v>897</v>
      </c>
      <c r="D773" s="29" t="s">
        <v>1053</v>
      </c>
      <c r="E773" s="29" t="s">
        <v>1068</v>
      </c>
      <c r="F773" s="29" t="s">
        <v>1075</v>
      </c>
      <c r="G773" s="20" t="str">
        <f t="shared" si="1"/>
        <v>Arts &amp; Entertainment, Hobbies &amp; Creative Arts, Musical Instruments, PercussionHand Percussion</v>
      </c>
    </row>
    <row r="774" hidden="1">
      <c r="A774" s="29">
        <v>7291.0</v>
      </c>
      <c r="B774" s="29" t="s">
        <v>895</v>
      </c>
      <c r="C774" s="29" t="s">
        <v>897</v>
      </c>
      <c r="D774" s="29" t="s">
        <v>1053</v>
      </c>
      <c r="E774" s="29" t="s">
        <v>1068</v>
      </c>
      <c r="F774" s="29" t="s">
        <v>1075</v>
      </c>
      <c r="G774" s="20" t="str">
        <f t="shared" si="1"/>
        <v>Arts &amp; Entertainment, Hobbies &amp; Creative Arts, Musical Instruments, PercussionHand Percussion</v>
      </c>
    </row>
    <row r="775" hidden="1">
      <c r="A775" s="29">
        <v>7293.0</v>
      </c>
      <c r="B775" s="29" t="s">
        <v>895</v>
      </c>
      <c r="C775" s="29" t="s">
        <v>897</v>
      </c>
      <c r="D775" s="29" t="s">
        <v>1053</v>
      </c>
      <c r="E775" s="29" t="s">
        <v>1068</v>
      </c>
      <c r="F775" s="29" t="s">
        <v>1075</v>
      </c>
      <c r="G775" s="20" t="str">
        <f t="shared" si="1"/>
        <v>Arts &amp; Entertainment, Hobbies &amp; Creative Arts, Musical Instruments, PercussionHand Percussion</v>
      </c>
    </row>
    <row r="776" hidden="1">
      <c r="A776" s="29">
        <v>7286.0</v>
      </c>
      <c r="B776" s="29" t="s">
        <v>895</v>
      </c>
      <c r="C776" s="29" t="s">
        <v>897</v>
      </c>
      <c r="D776" s="29" t="s">
        <v>1053</v>
      </c>
      <c r="E776" s="29" t="s">
        <v>1068</v>
      </c>
      <c r="F776" s="29" t="s">
        <v>1075</v>
      </c>
      <c r="G776" s="20" t="str">
        <f t="shared" si="1"/>
        <v>Arts &amp; Entertainment, Hobbies &amp; Creative Arts, Musical Instruments, PercussionHand Percussion</v>
      </c>
    </row>
    <row r="777" hidden="1">
      <c r="A777" s="29">
        <v>7287.0</v>
      </c>
      <c r="B777" s="29" t="s">
        <v>895</v>
      </c>
      <c r="C777" s="29" t="s">
        <v>897</v>
      </c>
      <c r="D777" s="29" t="s">
        <v>1053</v>
      </c>
      <c r="E777" s="29" t="s">
        <v>1068</v>
      </c>
      <c r="F777" s="29" t="s">
        <v>1075</v>
      </c>
      <c r="G777" s="20" t="str">
        <f t="shared" si="1"/>
        <v>Arts &amp; Entertainment, Hobbies &amp; Creative Arts, Musical Instruments, PercussionHand Percussion</v>
      </c>
    </row>
    <row r="778" hidden="1">
      <c r="A778" s="29">
        <v>7290.0</v>
      </c>
      <c r="B778" s="29" t="s">
        <v>895</v>
      </c>
      <c r="C778" s="29" t="s">
        <v>897</v>
      </c>
      <c r="D778" s="29" t="s">
        <v>1053</v>
      </c>
      <c r="E778" s="29" t="s">
        <v>1068</v>
      </c>
      <c r="F778" s="29" t="s">
        <v>1075</v>
      </c>
      <c r="G778" s="20" t="str">
        <f t="shared" si="1"/>
        <v>Arts &amp; Entertainment, Hobbies &amp; Creative Arts, Musical Instruments, PercussionHand Percussion</v>
      </c>
    </row>
    <row r="779" hidden="1">
      <c r="A779" s="29">
        <v>2515.0</v>
      </c>
      <c r="B779" s="29" t="s">
        <v>895</v>
      </c>
      <c r="C779" s="29" t="s">
        <v>897</v>
      </c>
      <c r="D779" s="29" t="s">
        <v>1053</v>
      </c>
      <c r="E779" s="29" t="s">
        <v>1068</v>
      </c>
      <c r="F779" s="29" t="s">
        <v>1075</v>
      </c>
      <c r="G779" s="20" t="str">
        <f t="shared" si="1"/>
        <v>Arts &amp; Entertainment, Hobbies &amp; Creative Arts, Musical Instruments, PercussionHand Percussion</v>
      </c>
    </row>
    <row r="780" hidden="1">
      <c r="A780" s="29">
        <v>7294.0</v>
      </c>
      <c r="B780" s="29" t="s">
        <v>895</v>
      </c>
      <c r="C780" s="29" t="s">
        <v>897</v>
      </c>
      <c r="D780" s="29" t="s">
        <v>1053</v>
      </c>
      <c r="E780" s="29" t="s">
        <v>1068</v>
      </c>
      <c r="F780" s="29" t="s">
        <v>1075</v>
      </c>
      <c r="G780" s="20" t="str">
        <f t="shared" si="1"/>
        <v>Arts &amp; Entertainment, Hobbies &amp; Creative Arts, Musical Instruments, PercussionHand Percussion</v>
      </c>
    </row>
    <row r="781" hidden="1">
      <c r="A781" s="29">
        <v>3015.0</v>
      </c>
      <c r="B781" s="29" t="s">
        <v>895</v>
      </c>
      <c r="C781" s="29" t="s">
        <v>897</v>
      </c>
      <c r="D781" s="29" t="s">
        <v>1053</v>
      </c>
      <c r="E781" s="29" t="s">
        <v>1068</v>
      </c>
      <c r="F781" s="29" t="s">
        <v>1076</v>
      </c>
      <c r="G781" s="20" t="str">
        <f t="shared" si="1"/>
        <v>Arts &amp; Entertainment, Hobbies &amp; Creative Arts, Musical Instruments, PercussionHi-Hats</v>
      </c>
    </row>
    <row r="782" hidden="1">
      <c r="A782" s="29">
        <v>7232.0</v>
      </c>
      <c r="B782" s="29" t="s">
        <v>895</v>
      </c>
      <c r="C782" s="29" t="s">
        <v>897</v>
      </c>
      <c r="D782" s="29" t="s">
        <v>1053</v>
      </c>
      <c r="E782" s="29" t="s">
        <v>1068</v>
      </c>
      <c r="F782" s="29" t="s">
        <v>1077</v>
      </c>
      <c r="G782" s="20" t="str">
        <f t="shared" si="1"/>
        <v>Arts &amp; Entertainment, Hobbies &amp; Creative Arts, Musical Instruments, PercussionPractice Pads</v>
      </c>
    </row>
    <row r="783" hidden="1">
      <c r="A783" s="29">
        <v>2797.0</v>
      </c>
      <c r="B783" s="29" t="s">
        <v>895</v>
      </c>
      <c r="C783" s="29" t="s">
        <v>897</v>
      </c>
      <c r="D783" s="29" t="s">
        <v>1053</v>
      </c>
      <c r="E783" s="29" t="s">
        <v>1068</v>
      </c>
      <c r="F783" s="29" t="s">
        <v>1078</v>
      </c>
      <c r="G783" s="20" t="str">
        <f t="shared" si="1"/>
        <v>Arts &amp; Entertainment, Hobbies &amp; Creative Arts, Musical Instruments, PercussionSnare Drums</v>
      </c>
    </row>
    <row r="784" hidden="1">
      <c r="A784" s="29">
        <v>3005.0</v>
      </c>
      <c r="B784" s="29" t="s">
        <v>895</v>
      </c>
      <c r="C784" s="29" t="s">
        <v>897</v>
      </c>
      <c r="D784" s="29" t="s">
        <v>1053</v>
      </c>
      <c r="E784" s="29" t="s">
        <v>1068</v>
      </c>
      <c r="F784" s="29" t="s">
        <v>1079</v>
      </c>
      <c r="G784" s="20" t="str">
        <f t="shared" si="1"/>
        <v>Arts &amp; Entertainment, Hobbies &amp; Creative Arts, Musical Instruments, PercussionTom-Toms</v>
      </c>
    </row>
    <row r="785" hidden="1">
      <c r="A785" s="29">
        <v>76.0</v>
      </c>
      <c r="B785" s="29" t="s">
        <v>895</v>
      </c>
      <c r="C785" s="29" t="s">
        <v>897</v>
      </c>
      <c r="D785" s="29" t="s">
        <v>1053</v>
      </c>
      <c r="E785" s="29" t="s">
        <v>1080</v>
      </c>
      <c r="F785" s="62"/>
      <c r="G785" s="20" t="str">
        <f t="shared" si="1"/>
        <v>Arts &amp; Entertainment, Hobbies &amp; Creative Arts, Musical Instruments, Pianos</v>
      </c>
    </row>
    <row r="786" hidden="1">
      <c r="A786" s="29">
        <v>77.0</v>
      </c>
      <c r="B786" s="29" t="s">
        <v>895</v>
      </c>
      <c r="C786" s="29" t="s">
        <v>897</v>
      </c>
      <c r="D786" s="29" t="s">
        <v>1053</v>
      </c>
      <c r="E786" s="29" t="s">
        <v>1081</v>
      </c>
      <c r="F786" s="62"/>
      <c r="G786" s="20" t="str">
        <f t="shared" si="1"/>
        <v>Arts &amp; Entertainment, Hobbies &amp; Creative Arts, Musical Instruments, String Instruments</v>
      </c>
    </row>
    <row r="787" hidden="1">
      <c r="A787" s="29">
        <v>79.0</v>
      </c>
      <c r="B787" s="29" t="s">
        <v>895</v>
      </c>
      <c r="C787" s="29" t="s">
        <v>897</v>
      </c>
      <c r="D787" s="29" t="s">
        <v>1053</v>
      </c>
      <c r="E787" s="29" t="s">
        <v>1081</v>
      </c>
      <c r="F787" s="29" t="s">
        <v>1082</v>
      </c>
      <c r="G787" s="20" t="str">
        <f t="shared" si="1"/>
        <v>Arts &amp; Entertainment, Hobbies &amp; Creative Arts, Musical Instruments, String InstrumentsCellos</v>
      </c>
    </row>
    <row r="788" hidden="1">
      <c r="A788" s="29">
        <v>80.0</v>
      </c>
      <c r="B788" s="29" t="s">
        <v>895</v>
      </c>
      <c r="C788" s="29" t="s">
        <v>897</v>
      </c>
      <c r="D788" s="29" t="s">
        <v>1053</v>
      </c>
      <c r="E788" s="29" t="s">
        <v>1081</v>
      </c>
      <c r="F788" s="29" t="s">
        <v>1083</v>
      </c>
      <c r="G788" s="20" t="str">
        <f t="shared" si="1"/>
        <v>Arts &amp; Entertainment, Hobbies &amp; Creative Arts, Musical Instruments, String InstrumentsGuitars</v>
      </c>
    </row>
    <row r="789" hidden="1">
      <c r="A789" s="29">
        <v>84.0</v>
      </c>
      <c r="B789" s="29" t="s">
        <v>895</v>
      </c>
      <c r="C789" s="29" t="s">
        <v>897</v>
      </c>
      <c r="D789" s="29" t="s">
        <v>1053</v>
      </c>
      <c r="E789" s="29" t="s">
        <v>1081</v>
      </c>
      <c r="F789" s="29" t="s">
        <v>1084</v>
      </c>
      <c r="G789" s="20" t="str">
        <f t="shared" si="1"/>
        <v>Arts &amp; Entertainment, Hobbies &amp; Creative Arts, Musical Instruments, String InstrumentsHarps</v>
      </c>
    </row>
    <row r="790" hidden="1">
      <c r="A790" s="29">
        <v>78.0</v>
      </c>
      <c r="B790" s="29" t="s">
        <v>895</v>
      </c>
      <c r="C790" s="29" t="s">
        <v>897</v>
      </c>
      <c r="D790" s="29" t="s">
        <v>1053</v>
      </c>
      <c r="E790" s="29" t="s">
        <v>1081</v>
      </c>
      <c r="F790" s="29" t="s">
        <v>1085</v>
      </c>
      <c r="G790" s="20" t="str">
        <f t="shared" si="1"/>
        <v>Arts &amp; Entertainment, Hobbies &amp; Creative Arts, Musical Instruments, String InstrumentsUpright Basses</v>
      </c>
    </row>
    <row r="791" hidden="1">
      <c r="A791" s="29">
        <v>85.0</v>
      </c>
      <c r="B791" s="29" t="s">
        <v>895</v>
      </c>
      <c r="C791" s="29" t="s">
        <v>897</v>
      </c>
      <c r="D791" s="29" t="s">
        <v>1053</v>
      </c>
      <c r="E791" s="29" t="s">
        <v>1081</v>
      </c>
      <c r="F791" s="29" t="s">
        <v>1086</v>
      </c>
      <c r="G791" s="20" t="str">
        <f t="shared" si="1"/>
        <v>Arts &amp; Entertainment, Hobbies &amp; Creative Arts, Musical Instruments, String InstrumentsViolas</v>
      </c>
    </row>
    <row r="792" hidden="1">
      <c r="A792" s="29">
        <v>86.0</v>
      </c>
      <c r="B792" s="29" t="s">
        <v>895</v>
      </c>
      <c r="C792" s="29" t="s">
        <v>897</v>
      </c>
      <c r="D792" s="29" t="s">
        <v>1053</v>
      </c>
      <c r="E792" s="29" t="s">
        <v>1081</v>
      </c>
      <c r="F792" s="29" t="s">
        <v>1087</v>
      </c>
      <c r="G792" s="20" t="str">
        <f t="shared" si="1"/>
        <v>Arts &amp; Entertainment, Hobbies &amp; Creative Arts, Musical Instruments, String InstrumentsViolins</v>
      </c>
    </row>
    <row r="793" hidden="1">
      <c r="A793" s="29">
        <v>87.0</v>
      </c>
      <c r="B793" s="29" t="s">
        <v>895</v>
      </c>
      <c r="C793" s="29" t="s">
        <v>897</v>
      </c>
      <c r="D793" s="29" t="s">
        <v>1053</v>
      </c>
      <c r="E793" s="29" t="s">
        <v>1088</v>
      </c>
      <c r="F793" s="62"/>
      <c r="G793" s="20" t="str">
        <f t="shared" si="1"/>
        <v>Arts &amp; Entertainment, Hobbies &amp; Creative Arts, Musical Instruments, Woodwinds</v>
      </c>
    </row>
    <row r="794" hidden="1">
      <c r="A794" s="29">
        <v>4540.0</v>
      </c>
      <c r="B794" s="29" t="s">
        <v>895</v>
      </c>
      <c r="C794" s="29" t="s">
        <v>897</v>
      </c>
      <c r="D794" s="29" t="s">
        <v>1053</v>
      </c>
      <c r="E794" s="29" t="s">
        <v>1088</v>
      </c>
      <c r="F794" s="29" t="s">
        <v>1089</v>
      </c>
      <c r="G794" s="20" t="str">
        <f t="shared" si="1"/>
        <v>Arts &amp; Entertainment, Hobbies &amp; Creative Arts, Musical Instruments, WoodwindsBassoons</v>
      </c>
    </row>
    <row r="795" hidden="1">
      <c r="A795" s="29">
        <v>88.0</v>
      </c>
      <c r="B795" s="29" t="s">
        <v>895</v>
      </c>
      <c r="C795" s="29" t="s">
        <v>897</v>
      </c>
      <c r="D795" s="29" t="s">
        <v>1053</v>
      </c>
      <c r="E795" s="29" t="s">
        <v>1088</v>
      </c>
      <c r="F795" s="29" t="s">
        <v>1090</v>
      </c>
      <c r="G795" s="20" t="str">
        <f t="shared" si="1"/>
        <v>Arts &amp; Entertainment, Hobbies &amp; Creative Arts, Musical Instruments, WoodwindsClarinets</v>
      </c>
    </row>
    <row r="796" hidden="1">
      <c r="A796" s="29">
        <v>89.0</v>
      </c>
      <c r="B796" s="29" t="s">
        <v>895</v>
      </c>
      <c r="C796" s="29" t="s">
        <v>897</v>
      </c>
      <c r="D796" s="29" t="s">
        <v>1053</v>
      </c>
      <c r="E796" s="29" t="s">
        <v>1088</v>
      </c>
      <c r="F796" s="29" t="s">
        <v>1091</v>
      </c>
      <c r="G796" s="20" t="str">
        <f t="shared" si="1"/>
        <v>Arts &amp; Entertainment, Hobbies &amp; Creative Arts, Musical Instruments, WoodwindsFlutes</v>
      </c>
    </row>
    <row r="797" hidden="1">
      <c r="A797" s="29">
        <v>7188.0</v>
      </c>
      <c r="B797" s="29" t="s">
        <v>895</v>
      </c>
      <c r="C797" s="29" t="s">
        <v>897</v>
      </c>
      <c r="D797" s="29" t="s">
        <v>1053</v>
      </c>
      <c r="E797" s="29" t="s">
        <v>1088</v>
      </c>
      <c r="F797" s="29" t="s">
        <v>1092</v>
      </c>
      <c r="G797" s="20" t="str">
        <f t="shared" si="1"/>
        <v>Arts &amp; Entertainment, Hobbies &amp; Creative Arts, Musical Instruments, WoodwindsFlutophones</v>
      </c>
    </row>
    <row r="798" hidden="1">
      <c r="A798" s="29">
        <v>4743.0</v>
      </c>
      <c r="B798" s="29" t="s">
        <v>895</v>
      </c>
      <c r="C798" s="29" t="s">
        <v>897</v>
      </c>
      <c r="D798" s="29" t="s">
        <v>1053</v>
      </c>
      <c r="E798" s="29" t="s">
        <v>1088</v>
      </c>
      <c r="F798" s="29" t="s">
        <v>1093</v>
      </c>
      <c r="G798" s="20" t="str">
        <f t="shared" si="1"/>
        <v>Arts &amp; Entertainment, Hobbies &amp; Creative Arts, Musical Instruments, WoodwindsHarmonicas</v>
      </c>
    </row>
    <row r="799" hidden="1">
      <c r="A799" s="29">
        <v>4744.0</v>
      </c>
      <c r="B799" s="29" t="s">
        <v>895</v>
      </c>
      <c r="C799" s="29" t="s">
        <v>897</v>
      </c>
      <c r="D799" s="29" t="s">
        <v>1053</v>
      </c>
      <c r="E799" s="29" t="s">
        <v>1088</v>
      </c>
      <c r="F799" s="29" t="s">
        <v>1094</v>
      </c>
      <c r="G799" s="20" t="str">
        <f t="shared" si="1"/>
        <v>Arts &amp; Entertainment, Hobbies &amp; Creative Arts, Musical Instruments, WoodwindsJew's Harps</v>
      </c>
    </row>
    <row r="800" hidden="1">
      <c r="A800" s="29">
        <v>5481.0</v>
      </c>
      <c r="B800" s="29" t="s">
        <v>895</v>
      </c>
      <c r="C800" s="29" t="s">
        <v>897</v>
      </c>
      <c r="D800" s="29" t="s">
        <v>1053</v>
      </c>
      <c r="E800" s="29" t="s">
        <v>1088</v>
      </c>
      <c r="F800" s="29" t="s">
        <v>1095</v>
      </c>
      <c r="G800" s="20" t="str">
        <f t="shared" si="1"/>
        <v>Arts &amp; Entertainment, Hobbies &amp; Creative Arts, Musical Instruments, WoodwindsMelodicas</v>
      </c>
    </row>
    <row r="801" hidden="1">
      <c r="A801" s="29">
        <v>7250.0</v>
      </c>
      <c r="B801" s="29" t="s">
        <v>895</v>
      </c>
      <c r="C801" s="29" t="s">
        <v>897</v>
      </c>
      <c r="D801" s="29" t="s">
        <v>1053</v>
      </c>
      <c r="E801" s="29" t="s">
        <v>1088</v>
      </c>
      <c r="F801" s="29" t="s">
        <v>1096</v>
      </c>
      <c r="G801" s="20" t="str">
        <f t="shared" si="1"/>
        <v>Arts &amp; Entertainment, Hobbies &amp; Creative Arts, Musical Instruments, WoodwindsMusical Pipes</v>
      </c>
    </row>
    <row r="802" hidden="1">
      <c r="A802" s="29">
        <v>4541.0</v>
      </c>
      <c r="B802" s="29" t="s">
        <v>895</v>
      </c>
      <c r="C802" s="29" t="s">
        <v>897</v>
      </c>
      <c r="D802" s="29" t="s">
        <v>1053</v>
      </c>
      <c r="E802" s="29" t="s">
        <v>1088</v>
      </c>
      <c r="F802" s="29" t="s">
        <v>1097</v>
      </c>
      <c r="G802" s="20" t="str">
        <f t="shared" si="1"/>
        <v>Arts &amp; Entertainment, Hobbies &amp; Creative Arts, Musical Instruments, WoodwindsOboes &amp; English Horns</v>
      </c>
    </row>
    <row r="803" hidden="1">
      <c r="A803" s="29">
        <v>7249.0</v>
      </c>
      <c r="B803" s="29" t="s">
        <v>895</v>
      </c>
      <c r="C803" s="29" t="s">
        <v>897</v>
      </c>
      <c r="D803" s="29" t="s">
        <v>1053</v>
      </c>
      <c r="E803" s="29" t="s">
        <v>1088</v>
      </c>
      <c r="F803" s="29" t="s">
        <v>1098</v>
      </c>
      <c r="G803" s="20" t="str">
        <f t="shared" si="1"/>
        <v>Arts &amp; Entertainment, Hobbies &amp; Creative Arts, Musical Instruments, WoodwindsOcarinas</v>
      </c>
    </row>
    <row r="804" hidden="1">
      <c r="A804" s="29">
        <v>90.0</v>
      </c>
      <c r="B804" s="29" t="s">
        <v>895</v>
      </c>
      <c r="C804" s="29" t="s">
        <v>897</v>
      </c>
      <c r="D804" s="29" t="s">
        <v>1053</v>
      </c>
      <c r="E804" s="29" t="s">
        <v>1088</v>
      </c>
      <c r="F804" s="29" t="s">
        <v>1099</v>
      </c>
      <c r="G804" s="20" t="str">
        <f t="shared" si="1"/>
        <v>Arts &amp; Entertainment, Hobbies &amp; Creative Arts, Musical Instruments, WoodwindsRecorders</v>
      </c>
    </row>
    <row r="805" hidden="1">
      <c r="A805" s="29">
        <v>91.0</v>
      </c>
      <c r="B805" s="29" t="s">
        <v>895</v>
      </c>
      <c r="C805" s="29" t="s">
        <v>897</v>
      </c>
      <c r="D805" s="29" t="s">
        <v>1053</v>
      </c>
      <c r="E805" s="29" t="s">
        <v>1088</v>
      </c>
      <c r="F805" s="29" t="s">
        <v>1100</v>
      </c>
      <c r="G805" s="20" t="str">
        <f t="shared" si="1"/>
        <v>Arts &amp; Entertainment, Hobbies &amp; Creative Arts, Musical Instruments, WoodwindsSaxophones</v>
      </c>
    </row>
    <row r="806" hidden="1">
      <c r="A806" s="29">
        <v>6721.0</v>
      </c>
      <c r="B806" s="29" t="s">
        <v>895</v>
      </c>
      <c r="C806" s="29" t="s">
        <v>897</v>
      </c>
      <c r="D806" s="29" t="s">
        <v>1053</v>
      </c>
      <c r="E806" s="29" t="s">
        <v>1088</v>
      </c>
      <c r="F806" s="29" t="s">
        <v>1101</v>
      </c>
      <c r="G806" s="20" t="str">
        <f t="shared" si="1"/>
        <v>Arts &amp; Entertainment, Hobbies &amp; Creative Arts, Musical Instruments, WoodwindsTin Whistles</v>
      </c>
    </row>
    <row r="807" hidden="1">
      <c r="A807" s="29">
        <v>6728.0</v>
      </c>
      <c r="B807" s="29" t="s">
        <v>895</v>
      </c>
      <c r="C807" s="29" t="s">
        <v>897</v>
      </c>
      <c r="D807" s="29" t="s">
        <v>1053</v>
      </c>
      <c r="E807" s="29" t="s">
        <v>1088</v>
      </c>
      <c r="F807" s="29" t="s">
        <v>1102</v>
      </c>
      <c r="G807" s="20" t="str">
        <f t="shared" si="1"/>
        <v>Arts &amp; Entertainment, Hobbies &amp; Creative Arts, Musical Instruments, WoodwindsTrain Whistles</v>
      </c>
    </row>
    <row r="808" hidden="1">
      <c r="A808" s="29">
        <v>5709.0</v>
      </c>
      <c r="B808" s="29" t="s">
        <v>895</v>
      </c>
      <c r="C808" s="29" t="s">
        <v>1103</v>
      </c>
      <c r="D808" s="62"/>
      <c r="E808" s="62"/>
      <c r="F808" s="62"/>
      <c r="G808" s="20" t="str">
        <f t="shared" si="1"/>
        <v>Arts &amp; Entertainment, Party &amp; Celebration, , </v>
      </c>
    </row>
    <row r="809" hidden="1">
      <c r="A809" s="29">
        <v>2559.0</v>
      </c>
      <c r="B809" s="29" t="s">
        <v>895</v>
      </c>
      <c r="C809" s="29" t="s">
        <v>1103</v>
      </c>
      <c r="D809" s="29" t="s">
        <v>1104</v>
      </c>
      <c r="E809" s="62"/>
      <c r="F809" s="62"/>
      <c r="G809" s="20" t="str">
        <f t="shared" si="1"/>
        <v>Arts &amp; Entertainment, Party &amp; Celebration, Gift Giving, </v>
      </c>
    </row>
    <row r="810" hidden="1">
      <c r="A810" s="29">
        <v>6100.0</v>
      </c>
      <c r="B810" s="29" t="s">
        <v>895</v>
      </c>
      <c r="C810" s="29" t="s">
        <v>1103</v>
      </c>
      <c r="D810" s="29" t="s">
        <v>1104</v>
      </c>
      <c r="E810" s="29" t="s">
        <v>1105</v>
      </c>
      <c r="F810" s="62"/>
      <c r="G810" s="20" t="str">
        <f t="shared" si="1"/>
        <v>Arts &amp; Entertainment, Party &amp; Celebration, Gift Giving, Corsage &amp; Boutonnière Pins</v>
      </c>
    </row>
    <row r="811" hidden="1">
      <c r="A811" s="29">
        <v>5916.0</v>
      </c>
      <c r="B811" s="29" t="s">
        <v>895</v>
      </c>
      <c r="C811" s="29" t="s">
        <v>1103</v>
      </c>
      <c r="D811" s="29" t="s">
        <v>1104</v>
      </c>
      <c r="E811" s="29" t="s">
        <v>1106</v>
      </c>
      <c r="F811" s="62"/>
      <c r="G811" s="20" t="str">
        <f t="shared" si="1"/>
        <v>Arts &amp; Entertainment, Party &amp; Celebration, Gift Giving, Corsages &amp; Boutonnières</v>
      </c>
    </row>
    <row r="812" hidden="1">
      <c r="A812" s="29">
        <v>2899.0</v>
      </c>
      <c r="B812" s="29" t="s">
        <v>895</v>
      </c>
      <c r="C812" s="29" t="s">
        <v>1103</v>
      </c>
      <c r="D812" s="29" t="s">
        <v>1104</v>
      </c>
      <c r="E812" s="29" t="s">
        <v>1107</v>
      </c>
      <c r="F812" s="62"/>
      <c r="G812" s="20" t="str">
        <f t="shared" si="1"/>
        <v>Arts &amp; Entertainment, Party &amp; Celebration, Gift Giving, Fresh Cut Flowers</v>
      </c>
    </row>
    <row r="813" hidden="1">
      <c r="A813" s="29">
        <v>53.0</v>
      </c>
      <c r="B813" s="29" t="s">
        <v>895</v>
      </c>
      <c r="C813" s="29" t="s">
        <v>1103</v>
      </c>
      <c r="D813" s="29" t="s">
        <v>1104</v>
      </c>
      <c r="E813" s="29" t="s">
        <v>1108</v>
      </c>
      <c r="F813" s="62"/>
      <c r="G813" s="20" t="str">
        <f t="shared" si="1"/>
        <v>Arts &amp; Entertainment, Party &amp; Celebration, Gift Giving, Gift Cards &amp; Certificates</v>
      </c>
    </row>
    <row r="814" hidden="1">
      <c r="A814" s="29">
        <v>94.0</v>
      </c>
      <c r="B814" s="29" t="s">
        <v>895</v>
      </c>
      <c r="C814" s="29" t="s">
        <v>1103</v>
      </c>
      <c r="D814" s="29" t="s">
        <v>1104</v>
      </c>
      <c r="E814" s="29" t="s">
        <v>1109</v>
      </c>
      <c r="F814" s="62"/>
      <c r="G814" s="20" t="str">
        <f t="shared" si="1"/>
        <v>Arts &amp; Entertainment, Party &amp; Celebration, Gift Giving, Gift Wrapping</v>
      </c>
    </row>
    <row r="815" hidden="1">
      <c r="A815" s="29">
        <v>5838.0</v>
      </c>
      <c r="B815" s="29" t="s">
        <v>895</v>
      </c>
      <c r="C815" s="29" t="s">
        <v>1103</v>
      </c>
      <c r="D815" s="29" t="s">
        <v>1104</v>
      </c>
      <c r="E815" s="29" t="s">
        <v>1109</v>
      </c>
      <c r="F815" s="29" t="s">
        <v>1110</v>
      </c>
      <c r="G815" s="20" t="str">
        <f t="shared" si="1"/>
        <v>Arts &amp; Entertainment, Party &amp; Celebration, Gift Giving, Gift WrappingGift Bags</v>
      </c>
    </row>
    <row r="816" hidden="1">
      <c r="A816" s="29">
        <v>5091.0</v>
      </c>
      <c r="B816" s="29" t="s">
        <v>895</v>
      </c>
      <c r="C816" s="29" t="s">
        <v>1103</v>
      </c>
      <c r="D816" s="29" t="s">
        <v>1104</v>
      </c>
      <c r="E816" s="29" t="s">
        <v>1109</v>
      </c>
      <c r="F816" s="29" t="s">
        <v>1111</v>
      </c>
      <c r="G816" s="20" t="str">
        <f t="shared" si="1"/>
        <v>Arts &amp; Entertainment, Party &amp; Celebration, Gift Giving, Gift WrappingGift Boxes &amp; Tins</v>
      </c>
    </row>
    <row r="817" hidden="1">
      <c r="A817" s="29">
        <v>8213.0</v>
      </c>
      <c r="B817" s="29" t="s">
        <v>895</v>
      </c>
      <c r="C817" s="29" t="s">
        <v>1103</v>
      </c>
      <c r="D817" s="29" t="s">
        <v>1104</v>
      </c>
      <c r="E817" s="29" t="s">
        <v>1109</v>
      </c>
      <c r="F817" s="29" t="s">
        <v>1112</v>
      </c>
      <c r="G817" s="20" t="str">
        <f t="shared" si="1"/>
        <v>Arts &amp; Entertainment, Party &amp; Celebration, Gift Giving, Gift WrappingGift Tags &amp; Labels</v>
      </c>
    </row>
    <row r="818" hidden="1">
      <c r="A818" s="29">
        <v>6712.0</v>
      </c>
      <c r="B818" s="29" t="s">
        <v>895</v>
      </c>
      <c r="C818" s="29" t="s">
        <v>1103</v>
      </c>
      <c r="D818" s="29" t="s">
        <v>1104</v>
      </c>
      <c r="E818" s="29" t="s">
        <v>1109</v>
      </c>
      <c r="F818" s="29" t="s">
        <v>1113</v>
      </c>
      <c r="G818" s="20" t="str">
        <f t="shared" si="1"/>
        <v>Arts &amp; Entertainment, Party &amp; Celebration, Gift Giving, Gift WrappingTissue Paper</v>
      </c>
    </row>
    <row r="819" hidden="1">
      <c r="A819" s="29">
        <v>2816.0</v>
      </c>
      <c r="B819" s="29" t="s">
        <v>895</v>
      </c>
      <c r="C819" s="29" t="s">
        <v>1103</v>
      </c>
      <c r="D819" s="29" t="s">
        <v>1104</v>
      </c>
      <c r="E819" s="29" t="s">
        <v>1109</v>
      </c>
      <c r="F819" s="29" t="s">
        <v>1114</v>
      </c>
      <c r="G819" s="20" t="str">
        <f t="shared" si="1"/>
        <v>Arts &amp; Entertainment, Party &amp; Celebration, Gift Giving, Gift WrappingWrapping Paper</v>
      </c>
    </row>
    <row r="820" hidden="1">
      <c r="A820" s="29">
        <v>95.0</v>
      </c>
      <c r="B820" s="29" t="s">
        <v>895</v>
      </c>
      <c r="C820" s="29" t="s">
        <v>1103</v>
      </c>
      <c r="D820" s="29" t="s">
        <v>1104</v>
      </c>
      <c r="E820" s="29" t="s">
        <v>1115</v>
      </c>
      <c r="F820" s="62"/>
      <c r="G820" s="20" t="str">
        <f t="shared" si="1"/>
        <v>Arts &amp; Entertainment, Party &amp; Celebration, Gift Giving, Greeting &amp; Note Cards</v>
      </c>
    </row>
    <row r="821" hidden="1">
      <c r="A821" s="29">
        <v>96.0</v>
      </c>
      <c r="B821" s="29" t="s">
        <v>895</v>
      </c>
      <c r="C821" s="29" t="s">
        <v>1103</v>
      </c>
      <c r="D821" s="29" t="s">
        <v>1116</v>
      </c>
      <c r="E821" s="62"/>
      <c r="F821" s="62"/>
      <c r="G821" s="20" t="str">
        <f t="shared" si="1"/>
        <v>Arts &amp; Entertainment, Party &amp; Celebration, Party Supplies, </v>
      </c>
    </row>
    <row r="822" hidden="1">
      <c r="A822" s="29">
        <v>328061.0</v>
      </c>
      <c r="B822" s="29" t="s">
        <v>895</v>
      </c>
      <c r="C822" s="29" t="s">
        <v>1103</v>
      </c>
      <c r="D822" s="29" t="s">
        <v>1116</v>
      </c>
      <c r="E822" s="29" t="s">
        <v>1117</v>
      </c>
      <c r="F822" s="62"/>
      <c r="G822" s="20" t="str">
        <f t="shared" si="1"/>
        <v>Arts &amp; Entertainment, Party &amp; Celebration, Party Supplies, Advice Cards</v>
      </c>
    </row>
    <row r="823" hidden="1">
      <c r="A823" s="29">
        <v>6311.0</v>
      </c>
      <c r="B823" s="29" t="s">
        <v>895</v>
      </c>
      <c r="C823" s="29" t="s">
        <v>1103</v>
      </c>
      <c r="D823" s="29" t="s">
        <v>1116</v>
      </c>
      <c r="E823" s="29" t="s">
        <v>1118</v>
      </c>
      <c r="F823" s="62"/>
      <c r="G823" s="20" t="str">
        <f t="shared" si="1"/>
        <v>Arts &amp; Entertainment, Party &amp; Celebration, Party Supplies, Balloon Kits</v>
      </c>
    </row>
    <row r="824" hidden="1">
      <c r="A824" s="29">
        <v>2587.0</v>
      </c>
      <c r="B824" s="29" t="s">
        <v>895</v>
      </c>
      <c r="C824" s="29" t="s">
        <v>1103</v>
      </c>
      <c r="D824" s="29" t="s">
        <v>1116</v>
      </c>
      <c r="E824" s="29" t="s">
        <v>1119</v>
      </c>
      <c r="F824" s="62"/>
      <c r="G824" s="20" t="str">
        <f t="shared" si="1"/>
        <v>Arts &amp; Entertainment, Party &amp; Celebration, Party Supplies, Balloons</v>
      </c>
    </row>
    <row r="825" hidden="1">
      <c r="A825" s="29">
        <v>2531.0</v>
      </c>
      <c r="B825" s="29" t="s">
        <v>895</v>
      </c>
      <c r="C825" s="29" t="s">
        <v>1103</v>
      </c>
      <c r="D825" s="29" t="s">
        <v>1116</v>
      </c>
      <c r="E825" s="29" t="s">
        <v>1120</v>
      </c>
      <c r="F825" s="62"/>
      <c r="G825" s="20" t="str">
        <f t="shared" si="1"/>
        <v>Arts &amp; Entertainment, Party &amp; Celebration, Party Supplies, Banners</v>
      </c>
    </row>
    <row r="826" hidden="1">
      <c r="A826" s="29">
        <v>4730.0</v>
      </c>
      <c r="B826" s="29" t="s">
        <v>895</v>
      </c>
      <c r="C826" s="29" t="s">
        <v>1103</v>
      </c>
      <c r="D826" s="29" t="s">
        <v>1116</v>
      </c>
      <c r="E826" s="29" t="s">
        <v>1121</v>
      </c>
      <c r="F826" s="62"/>
      <c r="G826" s="20" t="str">
        <f t="shared" si="1"/>
        <v>Arts &amp; Entertainment, Party &amp; Celebration, Party Supplies, Birthday Candles</v>
      </c>
    </row>
    <row r="827" hidden="1">
      <c r="A827" s="29">
        <v>505763.0</v>
      </c>
      <c r="B827" s="29" t="s">
        <v>895</v>
      </c>
      <c r="C827" s="29" t="s">
        <v>1103</v>
      </c>
      <c r="D827" s="29" t="s">
        <v>1116</v>
      </c>
      <c r="E827" s="29" t="s">
        <v>1122</v>
      </c>
      <c r="F827" s="62"/>
      <c r="G827" s="20" t="str">
        <f t="shared" si="1"/>
        <v>Arts &amp; Entertainment, Party &amp; Celebration, Party Supplies, Chair Sashes</v>
      </c>
    </row>
    <row r="828" hidden="1">
      <c r="A828" s="29">
        <v>7007.0</v>
      </c>
      <c r="B828" s="29" t="s">
        <v>895</v>
      </c>
      <c r="C828" s="29" t="s">
        <v>1103</v>
      </c>
      <c r="D828" s="29" t="s">
        <v>1116</v>
      </c>
      <c r="E828" s="29" t="s">
        <v>1123</v>
      </c>
      <c r="F828" s="62"/>
      <c r="G828" s="20" t="str">
        <f t="shared" si="1"/>
        <v>Arts &amp; Entertainment, Party &amp; Celebration, Party Supplies, Cocktail Decorations</v>
      </c>
    </row>
    <row r="829" hidden="1">
      <c r="A829" s="29">
        <v>2781.0</v>
      </c>
      <c r="B829" s="29" t="s">
        <v>895</v>
      </c>
      <c r="C829" s="29" t="s">
        <v>1103</v>
      </c>
      <c r="D829" s="29" t="s">
        <v>1116</v>
      </c>
      <c r="E829" s="29" t="s">
        <v>1124</v>
      </c>
      <c r="F829" s="62"/>
      <c r="G829" s="20" t="str">
        <f t="shared" si="1"/>
        <v>Arts &amp; Entertainment, Party &amp; Celebration, Party Supplies, Confetti</v>
      </c>
    </row>
    <row r="830" hidden="1">
      <c r="A830" s="29">
        <v>8216.0</v>
      </c>
      <c r="B830" s="29" t="s">
        <v>895</v>
      </c>
      <c r="C830" s="29" t="s">
        <v>1103</v>
      </c>
      <c r="D830" s="29" t="s">
        <v>1116</v>
      </c>
      <c r="E830" s="29" t="s">
        <v>1125</v>
      </c>
      <c r="F830" s="62"/>
      <c r="G830" s="20" t="str">
        <f t="shared" si="1"/>
        <v>Arts &amp; Entertainment, Party &amp; Celebration, Party Supplies, Decorative Pom-Poms</v>
      </c>
    </row>
    <row r="831" hidden="1">
      <c r="A831" s="29">
        <v>3735.0</v>
      </c>
      <c r="B831" s="29" t="s">
        <v>895</v>
      </c>
      <c r="C831" s="29" t="s">
        <v>1103</v>
      </c>
      <c r="D831" s="29" t="s">
        <v>1116</v>
      </c>
      <c r="E831" s="29" t="s">
        <v>1126</v>
      </c>
      <c r="F831" s="62"/>
      <c r="G831" s="20" t="str">
        <f t="shared" si="1"/>
        <v>Arts &amp; Entertainment, Party &amp; Celebration, Party Supplies, Drinking Games</v>
      </c>
    </row>
    <row r="832" hidden="1">
      <c r="A832" s="29">
        <v>3361.0</v>
      </c>
      <c r="B832" s="29" t="s">
        <v>895</v>
      </c>
      <c r="C832" s="29" t="s">
        <v>1103</v>
      </c>
      <c r="D832" s="29" t="s">
        <v>1116</v>
      </c>
      <c r="E832" s="29" t="s">
        <v>1126</v>
      </c>
      <c r="F832" s="29" t="s">
        <v>1127</v>
      </c>
      <c r="G832" s="20" t="str">
        <f t="shared" si="1"/>
        <v>Arts &amp; Entertainment, Party &amp; Celebration, Party Supplies, Drinking GamesBeer Pong</v>
      </c>
    </row>
    <row r="833" hidden="1">
      <c r="A833" s="29">
        <v>3440.0</v>
      </c>
      <c r="B833" s="29" t="s">
        <v>895</v>
      </c>
      <c r="C833" s="29" t="s">
        <v>1103</v>
      </c>
      <c r="D833" s="29" t="s">
        <v>1116</v>
      </c>
      <c r="E833" s="29" t="s">
        <v>1126</v>
      </c>
      <c r="F833" s="29" t="s">
        <v>1127</v>
      </c>
      <c r="G833" s="20" t="str">
        <f t="shared" si="1"/>
        <v>Arts &amp; Entertainment, Party &amp; Celebration, Party Supplies, Drinking GamesBeer Pong</v>
      </c>
    </row>
    <row r="834" hidden="1">
      <c r="A834" s="29">
        <v>5043.0</v>
      </c>
      <c r="B834" s="29" t="s">
        <v>895</v>
      </c>
      <c r="C834" s="29" t="s">
        <v>1103</v>
      </c>
      <c r="D834" s="29" t="s">
        <v>1116</v>
      </c>
      <c r="E834" s="29" t="s">
        <v>1128</v>
      </c>
      <c r="F834" s="62"/>
      <c r="G834" s="20" t="str">
        <f t="shared" si="1"/>
        <v>Arts &amp; Entertainment, Party &amp; Celebration, Party Supplies, Drinking Straws &amp; Stirrers</v>
      </c>
    </row>
    <row r="835" hidden="1">
      <c r="A835" s="29">
        <v>1484.0</v>
      </c>
      <c r="B835" s="29" t="s">
        <v>895</v>
      </c>
      <c r="C835" s="29" t="s">
        <v>1103</v>
      </c>
      <c r="D835" s="29" t="s">
        <v>1116</v>
      </c>
      <c r="E835" s="29" t="s">
        <v>1129</v>
      </c>
      <c r="F835" s="62"/>
      <c r="G835" s="20" t="str">
        <f t="shared" si="1"/>
        <v>Arts &amp; Entertainment, Party &amp; Celebration, Party Supplies, Envelope Seals</v>
      </c>
    </row>
    <row r="836" hidden="1">
      <c r="A836" s="29">
        <v>8038.0</v>
      </c>
      <c r="B836" s="29" t="s">
        <v>895</v>
      </c>
      <c r="C836" s="29" t="s">
        <v>1103</v>
      </c>
      <c r="D836" s="29" t="s">
        <v>1116</v>
      </c>
      <c r="E836" s="29" t="s">
        <v>1130</v>
      </c>
      <c r="F836" s="62"/>
      <c r="G836" s="20" t="str">
        <f t="shared" si="1"/>
        <v>Arts &amp; Entertainment, Party &amp; Celebration, Party Supplies, Event Programs</v>
      </c>
    </row>
    <row r="837" hidden="1">
      <c r="A837" s="29">
        <v>4914.0</v>
      </c>
      <c r="B837" s="29" t="s">
        <v>895</v>
      </c>
      <c r="C837" s="29" t="s">
        <v>1103</v>
      </c>
      <c r="D837" s="29" t="s">
        <v>1116</v>
      </c>
      <c r="E837" s="29" t="s">
        <v>1131</v>
      </c>
      <c r="F837" s="62"/>
      <c r="G837" s="20" t="str">
        <f t="shared" si="1"/>
        <v>Arts &amp; Entertainment, Party &amp; Celebration, Party Supplies, Fireworks &amp; Firecrackers</v>
      </c>
    </row>
    <row r="838" hidden="1">
      <c r="A838" s="29">
        <v>8110.0</v>
      </c>
      <c r="B838" s="29" t="s">
        <v>895</v>
      </c>
      <c r="C838" s="29" t="s">
        <v>1103</v>
      </c>
      <c r="D838" s="29" t="s">
        <v>1116</v>
      </c>
      <c r="E838" s="29" t="s">
        <v>1132</v>
      </c>
      <c r="F838" s="62"/>
      <c r="G838" s="20" t="str">
        <f t="shared" si="1"/>
        <v>Arts &amp; Entertainment, Party &amp; Celebration, Party Supplies, Inflatable Party Decorations</v>
      </c>
    </row>
    <row r="839" hidden="1">
      <c r="A839" s="29">
        <v>1371.0</v>
      </c>
      <c r="B839" s="29" t="s">
        <v>895</v>
      </c>
      <c r="C839" s="29" t="s">
        <v>1103</v>
      </c>
      <c r="D839" s="29" t="s">
        <v>1116</v>
      </c>
      <c r="E839" s="29" t="s">
        <v>1133</v>
      </c>
      <c r="F839" s="62"/>
      <c r="G839" s="20" t="str">
        <f t="shared" si="1"/>
        <v>Arts &amp; Entertainment, Party &amp; Celebration, Party Supplies, Invitations</v>
      </c>
    </row>
    <row r="840" hidden="1">
      <c r="A840" s="29">
        <v>2783.0</v>
      </c>
      <c r="B840" s="29" t="s">
        <v>895</v>
      </c>
      <c r="C840" s="29" t="s">
        <v>1103</v>
      </c>
      <c r="D840" s="29" t="s">
        <v>1116</v>
      </c>
      <c r="E840" s="29" t="s">
        <v>1134</v>
      </c>
      <c r="F840" s="62"/>
      <c r="G840" s="20" t="str">
        <f t="shared" si="1"/>
        <v>Arts &amp; Entertainment, Party &amp; Celebration, Party Supplies, Noisemakers &amp; Party Blowers</v>
      </c>
    </row>
    <row r="841" hidden="1">
      <c r="A841" s="29">
        <v>5452.0</v>
      </c>
      <c r="B841" s="29" t="s">
        <v>895</v>
      </c>
      <c r="C841" s="29" t="s">
        <v>1103</v>
      </c>
      <c r="D841" s="29" t="s">
        <v>1116</v>
      </c>
      <c r="E841" s="29" t="s">
        <v>1135</v>
      </c>
      <c r="F841" s="62"/>
      <c r="G841" s="20" t="str">
        <f t="shared" si="1"/>
        <v>Arts &amp; Entertainment, Party &amp; Celebration, Party Supplies, Party Favors</v>
      </c>
    </row>
    <row r="842" hidden="1">
      <c r="A842" s="29">
        <v>5453.0</v>
      </c>
      <c r="B842" s="29" t="s">
        <v>895</v>
      </c>
      <c r="C842" s="29" t="s">
        <v>1103</v>
      </c>
      <c r="D842" s="29" t="s">
        <v>1116</v>
      </c>
      <c r="E842" s="29" t="s">
        <v>1135</v>
      </c>
      <c r="F842" s="29" t="s">
        <v>1136</v>
      </c>
      <c r="G842" s="20" t="str">
        <f t="shared" si="1"/>
        <v>Arts &amp; Entertainment, Party &amp; Celebration, Party Supplies, Party FavorsWedding Favors</v>
      </c>
    </row>
    <row r="843" hidden="1">
      <c r="A843" s="29">
        <v>7160.0</v>
      </c>
      <c r="B843" s="29" t="s">
        <v>895</v>
      </c>
      <c r="C843" s="29" t="s">
        <v>1103</v>
      </c>
      <c r="D843" s="29" t="s">
        <v>1116</v>
      </c>
      <c r="E843" s="29" t="s">
        <v>1137</v>
      </c>
      <c r="F843" s="62"/>
      <c r="G843" s="20" t="str">
        <f t="shared" si="1"/>
        <v>Arts &amp; Entertainment, Party &amp; Celebration, Party Supplies, Party Games</v>
      </c>
    </row>
    <row r="844" hidden="1">
      <c r="A844" s="29">
        <v>6906.0</v>
      </c>
      <c r="B844" s="29" t="s">
        <v>895</v>
      </c>
      <c r="C844" s="29" t="s">
        <v>1103</v>
      </c>
      <c r="D844" s="29" t="s">
        <v>1116</v>
      </c>
      <c r="E844" s="29" t="s">
        <v>1138</v>
      </c>
      <c r="F844" s="62"/>
      <c r="G844" s="20" t="str">
        <f t="shared" si="1"/>
        <v>Arts &amp; Entertainment, Party &amp; Celebration, Party Supplies, Party Hats</v>
      </c>
    </row>
    <row r="845" hidden="1">
      <c r="A845" s="29">
        <v>502981.0</v>
      </c>
      <c r="B845" s="29" t="s">
        <v>895</v>
      </c>
      <c r="C845" s="29" t="s">
        <v>1103</v>
      </c>
      <c r="D845" s="29" t="s">
        <v>1116</v>
      </c>
      <c r="E845" s="29" t="s">
        <v>1139</v>
      </c>
      <c r="F845" s="62"/>
      <c r="G845" s="20" t="str">
        <f t="shared" si="1"/>
        <v>Arts &amp; Entertainment, Party &amp; Celebration, Party Supplies, Party Streamers &amp; Curtains</v>
      </c>
    </row>
    <row r="846" hidden="1">
      <c r="A846" s="29">
        <v>502972.0</v>
      </c>
      <c r="B846" s="29" t="s">
        <v>895</v>
      </c>
      <c r="C846" s="29" t="s">
        <v>1103</v>
      </c>
      <c r="D846" s="29" t="s">
        <v>1116</v>
      </c>
      <c r="E846" s="29" t="s">
        <v>1140</v>
      </c>
      <c r="F846" s="62"/>
      <c r="G846" s="20" t="str">
        <f t="shared" si="1"/>
        <v>Arts &amp; Entertainment, Party &amp; Celebration, Party Supplies, Party Supply Kits</v>
      </c>
    </row>
    <row r="847" hidden="1">
      <c r="A847" s="29">
        <v>3994.0</v>
      </c>
      <c r="B847" s="29" t="s">
        <v>895</v>
      </c>
      <c r="C847" s="29" t="s">
        <v>1103</v>
      </c>
      <c r="D847" s="29" t="s">
        <v>1116</v>
      </c>
      <c r="E847" s="29" t="s">
        <v>1141</v>
      </c>
      <c r="F847" s="62"/>
      <c r="G847" s="20" t="str">
        <f t="shared" si="1"/>
        <v>Arts &amp; Entertainment, Party &amp; Celebration, Party Supplies, Piñatas</v>
      </c>
    </row>
    <row r="848" hidden="1">
      <c r="A848" s="29">
        <v>5472.0</v>
      </c>
      <c r="B848" s="29" t="s">
        <v>895</v>
      </c>
      <c r="C848" s="29" t="s">
        <v>1103</v>
      </c>
      <c r="D848" s="29" t="s">
        <v>1116</v>
      </c>
      <c r="E848" s="29" t="s">
        <v>1142</v>
      </c>
      <c r="F848" s="62"/>
      <c r="G848" s="20" t="str">
        <f t="shared" si="1"/>
        <v>Arts &amp; Entertainment, Party &amp; Celebration, Party Supplies, Place Card Holders</v>
      </c>
    </row>
    <row r="849" hidden="1">
      <c r="A849" s="29">
        <v>2104.0</v>
      </c>
      <c r="B849" s="29" t="s">
        <v>895</v>
      </c>
      <c r="C849" s="29" t="s">
        <v>1103</v>
      </c>
      <c r="D849" s="29" t="s">
        <v>1116</v>
      </c>
      <c r="E849" s="29" t="s">
        <v>1143</v>
      </c>
      <c r="F849" s="62"/>
      <c r="G849" s="20" t="str">
        <f t="shared" si="1"/>
        <v>Arts &amp; Entertainment, Party &amp; Celebration, Party Supplies, Place Cards</v>
      </c>
    </row>
    <row r="850" hidden="1">
      <c r="A850" s="29">
        <v>1887.0</v>
      </c>
      <c r="B850" s="29" t="s">
        <v>895</v>
      </c>
      <c r="C850" s="29" t="s">
        <v>1103</v>
      </c>
      <c r="D850" s="29" t="s">
        <v>1116</v>
      </c>
      <c r="E850" s="29" t="s">
        <v>1144</v>
      </c>
      <c r="F850" s="62"/>
      <c r="G850" s="20" t="str">
        <f t="shared" si="1"/>
        <v>Arts &amp; Entertainment, Party &amp; Celebration, Party Supplies, Response Cards</v>
      </c>
    </row>
    <row r="851" hidden="1">
      <c r="A851" s="29">
        <v>4915.0</v>
      </c>
      <c r="B851" s="29" t="s">
        <v>895</v>
      </c>
      <c r="C851" s="29" t="s">
        <v>1103</v>
      </c>
      <c r="D851" s="29" t="s">
        <v>1116</v>
      </c>
      <c r="E851" s="29" t="s">
        <v>1145</v>
      </c>
      <c r="F851" s="62"/>
      <c r="G851" s="20" t="str">
        <f t="shared" si="1"/>
        <v>Arts &amp; Entertainment, Party &amp; Celebration, Party Supplies, Sparklers</v>
      </c>
    </row>
    <row r="852" hidden="1">
      <c r="A852" s="29">
        <v>7097.0</v>
      </c>
      <c r="B852" s="29" t="s">
        <v>895</v>
      </c>
      <c r="C852" s="29" t="s">
        <v>1103</v>
      </c>
      <c r="D852" s="29" t="s">
        <v>1116</v>
      </c>
      <c r="E852" s="29" t="s">
        <v>1146</v>
      </c>
      <c r="G852" s="20" t="str">
        <f t="shared" si="1"/>
        <v>Arts &amp; Entertainment, Party &amp; Celebration, Party Supplies, Special Occasion Card Boxes &amp; Holders</v>
      </c>
    </row>
    <row r="853" hidden="1">
      <c r="A853" s="29">
        <v>4351.0</v>
      </c>
      <c r="B853" s="29" t="s">
        <v>895</v>
      </c>
      <c r="C853" s="29" t="s">
        <v>1103</v>
      </c>
      <c r="D853" s="29" t="s">
        <v>1116</v>
      </c>
      <c r="E853" s="29" t="s">
        <v>1147</v>
      </c>
      <c r="F853" s="62"/>
      <c r="G853" s="20" t="str">
        <f t="shared" si="1"/>
        <v>Arts &amp; Entertainment, Party &amp; Celebration, Party Supplies, Spray String</v>
      </c>
    </row>
    <row r="854" hidden="1">
      <c r="A854" s="29">
        <v>408.0</v>
      </c>
      <c r="B854" s="29" t="s">
        <v>895</v>
      </c>
      <c r="C854" s="29" t="s">
        <v>1103</v>
      </c>
      <c r="D854" s="29" t="s">
        <v>1148</v>
      </c>
      <c r="E854" s="62"/>
      <c r="F854" s="62"/>
      <c r="G854" s="20" t="str">
        <f t="shared" si="1"/>
        <v>Arts &amp; Entertainment, Party &amp; Celebration, Special Effects, </v>
      </c>
    </row>
    <row r="855" hidden="1">
      <c r="A855" s="29">
        <v>5711.0</v>
      </c>
      <c r="B855" s="29" t="s">
        <v>895</v>
      </c>
      <c r="C855" s="29" t="s">
        <v>1103</v>
      </c>
      <c r="D855" s="29" t="s">
        <v>1148</v>
      </c>
      <c r="E855" s="29" t="s">
        <v>1149</v>
      </c>
      <c r="F855" s="62"/>
      <c r="G855" s="20" t="str">
        <f t="shared" si="1"/>
        <v>Arts &amp; Entertainment, Party &amp; Celebration, Special Effects, Disco Balls</v>
      </c>
    </row>
    <row r="856" hidden="1">
      <c r="A856" s="29">
        <v>409.0</v>
      </c>
      <c r="B856" s="29" t="s">
        <v>895</v>
      </c>
      <c r="C856" s="29" t="s">
        <v>1103</v>
      </c>
      <c r="D856" s="29" t="s">
        <v>1148</v>
      </c>
      <c r="E856" s="29" t="s">
        <v>1150</v>
      </c>
      <c r="F856" s="62"/>
      <c r="G856" s="20" t="str">
        <f t="shared" si="1"/>
        <v>Arts &amp; Entertainment, Party &amp; Celebration, Special Effects, Fog Machines</v>
      </c>
    </row>
    <row r="857" hidden="1">
      <c r="A857" s="29">
        <v>5967.0</v>
      </c>
      <c r="B857" s="29" t="s">
        <v>895</v>
      </c>
      <c r="C857" s="29" t="s">
        <v>1103</v>
      </c>
      <c r="D857" s="29" t="s">
        <v>1148</v>
      </c>
      <c r="E857" s="29" t="s">
        <v>1151</v>
      </c>
      <c r="F857" s="62"/>
      <c r="G857" s="20" t="str">
        <f t="shared" si="1"/>
        <v>Arts &amp; Entertainment, Party &amp; Celebration, Special Effects, Special Effects Controllers</v>
      </c>
    </row>
    <row r="858" hidden="1">
      <c r="A858" s="29">
        <v>503028.0</v>
      </c>
      <c r="B858" s="29" t="s">
        <v>895</v>
      </c>
      <c r="C858" s="29" t="s">
        <v>1103</v>
      </c>
      <c r="D858" s="29" t="s">
        <v>1148</v>
      </c>
      <c r="E858" s="29" t="s">
        <v>1152</v>
      </c>
      <c r="F858" s="62"/>
      <c r="G858" s="20" t="str">
        <f t="shared" si="1"/>
        <v>Arts &amp; Entertainment, Party &amp; Celebration, Special Effects, Special Effects Light Stands</v>
      </c>
    </row>
    <row r="859" hidden="1">
      <c r="A859" s="29">
        <v>410.0</v>
      </c>
      <c r="B859" s="29" t="s">
        <v>895</v>
      </c>
      <c r="C859" s="29" t="s">
        <v>1103</v>
      </c>
      <c r="D859" s="29" t="s">
        <v>1148</v>
      </c>
      <c r="E859" s="29" t="s">
        <v>1153</v>
      </c>
      <c r="F859" s="62"/>
      <c r="G859" s="20" t="str">
        <f t="shared" si="1"/>
        <v>Arts &amp; Entertainment, Party &amp; Celebration, Special Effects, Special Effects Lighting</v>
      </c>
    </row>
    <row r="860" hidden="1">
      <c r="A860" s="29">
        <v>5868.0</v>
      </c>
      <c r="B860" s="29" t="s">
        <v>895</v>
      </c>
      <c r="C860" s="29" t="s">
        <v>1103</v>
      </c>
      <c r="D860" s="29" t="s">
        <v>1154</v>
      </c>
      <c r="E860" s="62"/>
      <c r="F860" s="62"/>
      <c r="G860" s="20" t="str">
        <f t="shared" si="1"/>
        <v>Arts &amp; Entertainment, Party &amp; Celebration, Trophies &amp; Awards, </v>
      </c>
    </row>
    <row r="861" hidden="1">
      <c r="A861" s="29">
        <v>543656.0</v>
      </c>
      <c r="B861" s="29" t="s">
        <v>895</v>
      </c>
      <c r="C861" s="29" t="s">
        <v>1103</v>
      </c>
      <c r="D861" s="29" t="s">
        <v>1154</v>
      </c>
      <c r="E861" s="29" t="s">
        <v>1155</v>
      </c>
      <c r="F861" s="62"/>
      <c r="G861" s="20" t="str">
        <f t="shared" si="1"/>
        <v>Arts &amp; Entertainment, Party &amp; Celebration, Trophies &amp; Awards, Award Certificates</v>
      </c>
    </row>
    <row r="862" hidden="1">
      <c r="A862" s="29">
        <v>543655.0</v>
      </c>
      <c r="B862" s="29" t="s">
        <v>895</v>
      </c>
      <c r="C862" s="29" t="s">
        <v>1103</v>
      </c>
      <c r="D862" s="29" t="s">
        <v>1154</v>
      </c>
      <c r="E862" s="29" t="s">
        <v>1156</v>
      </c>
      <c r="F862" s="62"/>
      <c r="G862" s="20" t="str">
        <f t="shared" si="1"/>
        <v>Arts &amp; Entertainment, Party &amp; Celebration, Trophies &amp; Awards, Award Pins &amp; Medals</v>
      </c>
    </row>
    <row r="863" hidden="1">
      <c r="A863" s="29">
        <v>543657.0</v>
      </c>
      <c r="B863" s="29" t="s">
        <v>895</v>
      </c>
      <c r="C863" s="29" t="s">
        <v>1103</v>
      </c>
      <c r="D863" s="29" t="s">
        <v>1154</v>
      </c>
      <c r="E863" s="29" t="s">
        <v>1157</v>
      </c>
      <c r="F863" s="62"/>
      <c r="G863" s="20" t="str">
        <f t="shared" si="1"/>
        <v>Arts &amp; Entertainment, Party &amp; Celebration, Trophies &amp; Awards, Award Plaques</v>
      </c>
    </row>
    <row r="864" hidden="1">
      <c r="A864" s="29">
        <v>543654.0</v>
      </c>
      <c r="B864" s="29" t="s">
        <v>895</v>
      </c>
      <c r="C864" s="29" t="s">
        <v>1103</v>
      </c>
      <c r="D864" s="29" t="s">
        <v>1154</v>
      </c>
      <c r="E864" s="29" t="s">
        <v>1158</v>
      </c>
      <c r="F864" s="62"/>
      <c r="G864" s="20" t="str">
        <f t="shared" si="1"/>
        <v>Arts &amp; Entertainment, Party &amp; Celebration, Trophies &amp; Awards, Award Ribbons</v>
      </c>
    </row>
    <row r="865" hidden="1">
      <c r="A865" s="29">
        <v>543653.0</v>
      </c>
      <c r="B865" s="29" t="s">
        <v>895</v>
      </c>
      <c r="C865" s="29" t="s">
        <v>1103</v>
      </c>
      <c r="D865" s="29" t="s">
        <v>1154</v>
      </c>
      <c r="E865" s="29" t="s">
        <v>1159</v>
      </c>
      <c r="F865" s="62"/>
      <c r="G865" s="20" t="str">
        <f t="shared" si="1"/>
        <v>Arts &amp; Entertainment, Party &amp; Celebration, Trophies &amp; Awards, Trophies</v>
      </c>
    </row>
    <row r="866" hidden="1">
      <c r="A866" s="29">
        <v>537.0</v>
      </c>
      <c r="B866" s="29" t="s">
        <v>1160</v>
      </c>
      <c r="C866" s="62"/>
      <c r="D866" s="62"/>
      <c r="E866" s="62"/>
      <c r="F866" s="62"/>
      <c r="G866" s="20" t="str">
        <f t="shared" si="1"/>
        <v>Baby &amp; Toddler, , , </v>
      </c>
    </row>
    <row r="867" hidden="1">
      <c r="A867" s="29">
        <v>4678.0</v>
      </c>
      <c r="B867" s="29" t="s">
        <v>1160</v>
      </c>
      <c r="C867" s="29" t="s">
        <v>1161</v>
      </c>
      <c r="D867" s="62"/>
      <c r="E867" s="62"/>
      <c r="F867" s="62"/>
      <c r="G867" s="20" t="str">
        <f t="shared" si="1"/>
        <v>Baby &amp; Toddler, Baby Bathing, , </v>
      </c>
    </row>
    <row r="868" hidden="1">
      <c r="A868" s="29">
        <v>4679.0</v>
      </c>
      <c r="B868" s="29" t="s">
        <v>1160</v>
      </c>
      <c r="C868" s="29" t="s">
        <v>1161</v>
      </c>
      <c r="D868" s="29" t="s">
        <v>1162</v>
      </c>
      <c r="F868" s="62"/>
      <c r="G868" s="20" t="str">
        <f t="shared" si="1"/>
        <v>Baby &amp; Toddler, Baby Bathing, Baby Bathtubs &amp; Bath Seats, </v>
      </c>
    </row>
    <row r="869" hidden="1">
      <c r="A869" s="29">
        <v>7082.0</v>
      </c>
      <c r="B869" s="29" t="s">
        <v>1160</v>
      </c>
      <c r="C869" s="29" t="s">
        <v>1161</v>
      </c>
      <c r="D869" s="29" t="s">
        <v>1163</v>
      </c>
      <c r="E869" s="62"/>
      <c r="F869" s="62"/>
      <c r="G869" s="20" t="str">
        <f t="shared" si="1"/>
        <v>Baby &amp; Toddler, Baby Bathing, Shower Visors, </v>
      </c>
    </row>
    <row r="870" hidden="1">
      <c r="A870" s="29">
        <v>5859.0</v>
      </c>
      <c r="B870" s="29" t="s">
        <v>1160</v>
      </c>
      <c r="C870" s="29" t="s">
        <v>1164</v>
      </c>
      <c r="D870" s="62"/>
      <c r="E870" s="62"/>
      <c r="F870" s="62"/>
      <c r="G870" s="20" t="str">
        <f t="shared" si="1"/>
        <v>Baby &amp; Toddler, Baby Gift Sets, , </v>
      </c>
    </row>
    <row r="871" hidden="1">
      <c r="A871" s="29">
        <v>5252.0</v>
      </c>
      <c r="B871" s="29" t="s">
        <v>1160</v>
      </c>
      <c r="C871" s="29" t="s">
        <v>1165</v>
      </c>
      <c r="D871" s="62"/>
      <c r="E871" s="62"/>
      <c r="F871" s="62"/>
      <c r="G871" s="20" t="str">
        <f t="shared" si="1"/>
        <v>Baby &amp; Toddler, Baby Health, , </v>
      </c>
    </row>
    <row r="872" hidden="1">
      <c r="A872" s="29">
        <v>6290.0</v>
      </c>
      <c r="B872" s="29" t="s">
        <v>1160</v>
      </c>
      <c r="C872" s="29" t="s">
        <v>1165</v>
      </c>
      <c r="D872" s="29" t="s">
        <v>1166</v>
      </c>
      <c r="F872" s="62"/>
      <c r="G872" s="20" t="str">
        <f t="shared" si="1"/>
        <v>Baby &amp; Toddler, Baby Health, Baby Health &amp; Grooming Kits, </v>
      </c>
    </row>
    <row r="873" hidden="1">
      <c r="A873" s="29">
        <v>5253.0</v>
      </c>
      <c r="B873" s="29" t="s">
        <v>1160</v>
      </c>
      <c r="C873" s="29" t="s">
        <v>1165</v>
      </c>
      <c r="D873" s="29" t="s">
        <v>1167</v>
      </c>
      <c r="E873" s="62"/>
      <c r="F873" s="62"/>
      <c r="G873" s="20" t="str">
        <f t="shared" si="1"/>
        <v>Baby &amp; Toddler, Baby Health, Nasal Aspirators, </v>
      </c>
    </row>
    <row r="874" hidden="1">
      <c r="A874" s="29">
        <v>7016.0</v>
      </c>
      <c r="B874" s="29" t="s">
        <v>1160</v>
      </c>
      <c r="C874" s="29" t="s">
        <v>1165</v>
      </c>
      <c r="D874" s="29" t="s">
        <v>1168</v>
      </c>
      <c r="E874" s="62"/>
      <c r="F874" s="62"/>
      <c r="G874" s="20" t="str">
        <f t="shared" si="1"/>
        <v>Baby &amp; Toddler, Baby Health, Pacifier Clips &amp; Holders, </v>
      </c>
    </row>
    <row r="875" hidden="1">
      <c r="A875" s="29">
        <v>7309.0</v>
      </c>
      <c r="B875" s="29" t="s">
        <v>1160</v>
      </c>
      <c r="C875" s="29" t="s">
        <v>1165</v>
      </c>
      <c r="D875" s="29" t="s">
        <v>1169</v>
      </c>
      <c r="E875" s="62"/>
      <c r="F875" s="62"/>
      <c r="G875" s="20" t="str">
        <f t="shared" si="1"/>
        <v>Baby &amp; Toddler, Baby Health, Pacifier Wipes, </v>
      </c>
    </row>
    <row r="876" hidden="1">
      <c r="A876" s="29">
        <v>566.0</v>
      </c>
      <c r="B876" s="29" t="s">
        <v>1160</v>
      </c>
      <c r="C876" s="29" t="s">
        <v>1165</v>
      </c>
      <c r="D876" s="29" t="s">
        <v>1170</v>
      </c>
      <c r="E876" s="62"/>
      <c r="F876" s="62"/>
      <c r="G876" s="20" t="str">
        <f t="shared" si="1"/>
        <v>Baby &amp; Toddler, Baby Health, Pacifiers &amp; Teethers, </v>
      </c>
    </row>
    <row r="877" hidden="1">
      <c r="A877" s="29">
        <v>540.0</v>
      </c>
      <c r="B877" s="29" t="s">
        <v>1160</v>
      </c>
      <c r="C877" s="29" t="s">
        <v>1171</v>
      </c>
      <c r="D877" s="62"/>
      <c r="E877" s="62"/>
      <c r="F877" s="62"/>
      <c r="G877" s="20" t="str">
        <f t="shared" si="1"/>
        <v>Baby &amp; Toddler, Baby Safety, , </v>
      </c>
    </row>
    <row r="878" hidden="1">
      <c r="A878" s="29">
        <v>6869.0</v>
      </c>
      <c r="B878" s="29" t="s">
        <v>1160</v>
      </c>
      <c r="C878" s="29" t="s">
        <v>1171</v>
      </c>
      <c r="D878" s="29" t="s">
        <v>1172</v>
      </c>
      <c r="F878" s="62"/>
      <c r="G878" s="20" t="str">
        <f t="shared" si="1"/>
        <v>Baby &amp; Toddler, Baby Safety, Baby &amp; Pet Gate Accessories, </v>
      </c>
    </row>
    <row r="879" hidden="1">
      <c r="A879" s="29">
        <v>542.0</v>
      </c>
      <c r="B879" s="29" t="s">
        <v>1160</v>
      </c>
      <c r="C879" s="29" t="s">
        <v>1171</v>
      </c>
      <c r="D879" s="29" t="s">
        <v>1173</v>
      </c>
      <c r="E879" s="62"/>
      <c r="F879" s="62"/>
      <c r="G879" s="20" t="str">
        <f t="shared" si="1"/>
        <v>Baby &amp; Toddler, Baby Safety, Baby &amp; Pet Gates, </v>
      </c>
    </row>
    <row r="880" hidden="1">
      <c r="A880" s="29">
        <v>541.0</v>
      </c>
      <c r="B880" s="29" t="s">
        <v>1160</v>
      </c>
      <c r="C880" s="29" t="s">
        <v>1171</v>
      </c>
      <c r="D880" s="29" t="s">
        <v>1174</v>
      </c>
      <c r="E880" s="62"/>
      <c r="F880" s="62"/>
      <c r="G880" s="20" t="str">
        <f t="shared" si="1"/>
        <v>Baby &amp; Toddler, Baby Safety, Baby Monitors, </v>
      </c>
    </row>
    <row r="881" hidden="1">
      <c r="A881" s="29">
        <v>5049.0</v>
      </c>
      <c r="B881" s="29" t="s">
        <v>1160</v>
      </c>
      <c r="C881" s="29" t="s">
        <v>1171</v>
      </c>
      <c r="D881" s="29" t="s">
        <v>1175</v>
      </c>
      <c r="F881" s="62"/>
      <c r="G881" s="20" t="str">
        <f t="shared" si="1"/>
        <v>Baby &amp; Toddler, Baby Safety, Baby Safety Harnesses &amp; Leashes, </v>
      </c>
    </row>
    <row r="882" hidden="1">
      <c r="A882" s="29">
        <v>543.0</v>
      </c>
      <c r="B882" s="29" t="s">
        <v>1160</v>
      </c>
      <c r="C882" s="29" t="s">
        <v>1171</v>
      </c>
      <c r="D882" s="29" t="s">
        <v>1176</v>
      </c>
      <c r="F882" s="62"/>
      <c r="G882" s="20" t="str">
        <f t="shared" si="1"/>
        <v>Baby &amp; Toddler, Baby Safety, Baby Safety Locks &amp; Guards, </v>
      </c>
    </row>
    <row r="883" hidden="1">
      <c r="A883" s="29">
        <v>544.0</v>
      </c>
      <c r="B883" s="29" t="s">
        <v>1160</v>
      </c>
      <c r="C883" s="29" t="s">
        <v>1171</v>
      </c>
      <c r="D883" s="29" t="s">
        <v>1177</v>
      </c>
      <c r="E883" s="62"/>
      <c r="F883" s="62"/>
      <c r="G883" s="20" t="str">
        <f t="shared" si="1"/>
        <v>Baby &amp; Toddler, Baby Safety, Baby Safety Rails, </v>
      </c>
    </row>
    <row r="884" hidden="1">
      <c r="A884" s="29">
        <v>2847.0</v>
      </c>
      <c r="B884" s="29" t="s">
        <v>1160</v>
      </c>
      <c r="C884" s="29" t="s">
        <v>1178</v>
      </c>
      <c r="D884" s="62"/>
      <c r="E884" s="62"/>
      <c r="F884" s="62"/>
      <c r="G884" s="20" t="str">
        <f t="shared" si="1"/>
        <v>Baby &amp; Toddler, Baby Toys &amp; Activity Equipment, , </v>
      </c>
    </row>
    <row r="885" hidden="1">
      <c r="A885" s="29">
        <v>3661.0</v>
      </c>
      <c r="B885" s="29" t="s">
        <v>1160</v>
      </c>
      <c r="C885" s="29" t="s">
        <v>1178</v>
      </c>
      <c r="D885" s="29" t="s">
        <v>1179</v>
      </c>
      <c r="E885" s="62"/>
      <c r="F885" s="62"/>
      <c r="G885" s="20" t="str">
        <f t="shared" si="1"/>
        <v>Baby &amp; Toddler, Baby Toys &amp; Activity Equipment, Alphabet Toys, </v>
      </c>
    </row>
    <row r="886" hidden="1">
      <c r="A886" s="29">
        <v>7198.0</v>
      </c>
      <c r="B886" s="29" t="s">
        <v>1160</v>
      </c>
      <c r="C886" s="29" t="s">
        <v>1178</v>
      </c>
      <c r="D886" s="29" t="s">
        <v>1180</v>
      </c>
      <c r="E886" s="62"/>
      <c r="F886" s="62"/>
      <c r="G886" s="20" t="str">
        <f t="shared" si="1"/>
        <v>Baby &amp; Toddler, Baby Toys &amp; Activity Equipment, Baby Activity Toys, </v>
      </c>
    </row>
    <row r="887" hidden="1">
      <c r="A887" s="29">
        <v>555.0</v>
      </c>
      <c r="B887" s="29" t="s">
        <v>1160</v>
      </c>
      <c r="C887" s="29" t="s">
        <v>1178</v>
      </c>
      <c r="D887" s="29" t="s">
        <v>1181</v>
      </c>
      <c r="F887" s="62"/>
      <c r="G887" s="20" t="str">
        <f t="shared" si="1"/>
        <v>Baby &amp; Toddler, Baby Toys &amp; Activity Equipment, Baby Bouncers &amp; Rockers, </v>
      </c>
    </row>
    <row r="888" hidden="1">
      <c r="A888" s="29">
        <v>560.0</v>
      </c>
      <c r="B888" s="29" t="s">
        <v>1160</v>
      </c>
      <c r="C888" s="29" t="s">
        <v>1178</v>
      </c>
      <c r="D888" s="29" t="s">
        <v>1182</v>
      </c>
      <c r="E888" s="62"/>
      <c r="F888" s="62"/>
      <c r="G888" s="20" t="str">
        <f t="shared" si="1"/>
        <v>Baby &amp; Toddler, Baby Toys &amp; Activity Equipment, Baby Jumpers &amp; Swings, </v>
      </c>
    </row>
    <row r="889" hidden="1">
      <c r="A889" s="29">
        <v>7191.0</v>
      </c>
      <c r="B889" s="29" t="s">
        <v>1160</v>
      </c>
      <c r="C889" s="29" t="s">
        <v>1178</v>
      </c>
      <c r="D889" s="29" t="s">
        <v>1183</v>
      </c>
      <c r="E889" s="62"/>
      <c r="F889" s="62"/>
      <c r="G889" s="20" t="str">
        <f t="shared" si="1"/>
        <v>Baby &amp; Toddler, Baby Toys &amp; Activity Equipment, Baby Mobile Accessories, </v>
      </c>
    </row>
    <row r="890" hidden="1">
      <c r="A890" s="29">
        <v>1242.0</v>
      </c>
      <c r="B890" s="29" t="s">
        <v>1160</v>
      </c>
      <c r="C890" s="29" t="s">
        <v>1178</v>
      </c>
      <c r="D890" s="29" t="s">
        <v>1184</v>
      </c>
      <c r="E890" s="62"/>
      <c r="F890" s="62"/>
      <c r="G890" s="20" t="str">
        <f t="shared" si="1"/>
        <v>Baby &amp; Toddler, Baby Toys &amp; Activity Equipment, Baby Mobiles, </v>
      </c>
    </row>
    <row r="891" hidden="1">
      <c r="A891" s="29">
        <v>7360.0</v>
      </c>
      <c r="B891" s="29" t="s">
        <v>1160</v>
      </c>
      <c r="C891" s="29" t="s">
        <v>1178</v>
      </c>
      <c r="D891" s="29" t="s">
        <v>1185</v>
      </c>
      <c r="E891" s="62"/>
      <c r="F891" s="62"/>
      <c r="G891" s="20" t="str">
        <f t="shared" si="1"/>
        <v>Baby &amp; Toddler, Baby Toys &amp; Activity Equipment, Baby Soothers, </v>
      </c>
    </row>
    <row r="892" hidden="1">
      <c r="A892" s="29">
        <v>1241.0</v>
      </c>
      <c r="B892" s="29" t="s">
        <v>1160</v>
      </c>
      <c r="C892" s="29" t="s">
        <v>1178</v>
      </c>
      <c r="D892" s="29" t="s">
        <v>1186</v>
      </c>
      <c r="F892" s="62"/>
      <c r="G892" s="20" t="str">
        <f t="shared" si="1"/>
        <v>Baby &amp; Toddler, Baby Toys &amp; Activity Equipment, Baby Walkers &amp; Entertainers, </v>
      </c>
    </row>
    <row r="893" hidden="1">
      <c r="A893" s="29">
        <v>1243.0</v>
      </c>
      <c r="B893" s="29" t="s">
        <v>1160</v>
      </c>
      <c r="C893" s="29" t="s">
        <v>1178</v>
      </c>
      <c r="D893" s="29" t="s">
        <v>1187</v>
      </c>
      <c r="E893" s="62"/>
      <c r="F893" s="62"/>
      <c r="G893" s="20" t="str">
        <f t="shared" si="1"/>
        <v>Baby &amp; Toddler, Baby Toys &amp; Activity Equipment, Play Mats &amp; Gyms, </v>
      </c>
    </row>
    <row r="894" hidden="1">
      <c r="A894" s="29">
        <v>543613.0</v>
      </c>
      <c r="B894" s="29" t="s">
        <v>1160</v>
      </c>
      <c r="C894" s="29" t="s">
        <v>1178</v>
      </c>
      <c r="D894" s="29" t="s">
        <v>1187</v>
      </c>
      <c r="E894" s="29" t="s">
        <v>1188</v>
      </c>
      <c r="F894" s="62"/>
      <c r="G894" s="20" t="str">
        <f t="shared" si="1"/>
        <v>Baby &amp; Toddler, Baby Toys &amp; Activity Equipment, Play Mats &amp; Gyms, Play Gyms</v>
      </c>
    </row>
    <row r="895" hidden="1">
      <c r="A895" s="29">
        <v>543612.0</v>
      </c>
      <c r="B895" s="29" t="s">
        <v>1160</v>
      </c>
      <c r="C895" s="29" t="s">
        <v>1178</v>
      </c>
      <c r="D895" s="29" t="s">
        <v>1187</v>
      </c>
      <c r="E895" s="29" t="s">
        <v>1189</v>
      </c>
      <c r="F895" s="62"/>
      <c r="G895" s="20" t="str">
        <f t="shared" si="1"/>
        <v>Baby &amp; Toddler, Baby Toys &amp; Activity Equipment, Play Mats &amp; Gyms, Play Mats</v>
      </c>
    </row>
    <row r="896" hidden="1">
      <c r="A896" s="29">
        <v>539.0</v>
      </c>
      <c r="B896" s="29" t="s">
        <v>1160</v>
      </c>
      <c r="C896" s="29" t="s">
        <v>1178</v>
      </c>
      <c r="D896" s="29" t="s">
        <v>1190</v>
      </c>
      <c r="E896" s="62"/>
      <c r="F896" s="62"/>
      <c r="G896" s="20" t="str">
        <f t="shared" si="1"/>
        <v>Baby &amp; Toddler, Baby Toys &amp; Activity Equipment, Play Yards, </v>
      </c>
    </row>
    <row r="897" hidden="1">
      <c r="A897" s="29">
        <v>3459.0</v>
      </c>
      <c r="B897" s="29" t="s">
        <v>1160</v>
      </c>
      <c r="C897" s="29" t="s">
        <v>1178</v>
      </c>
      <c r="D897" s="29" t="s">
        <v>1191</v>
      </c>
      <c r="E897" s="62"/>
      <c r="F897" s="62"/>
      <c r="G897" s="20" t="str">
        <f t="shared" si="1"/>
        <v>Baby &amp; Toddler, Baby Toys &amp; Activity Equipment, Push &amp; Pull Toys, </v>
      </c>
    </row>
    <row r="898" hidden="1">
      <c r="A898" s="29">
        <v>1244.0</v>
      </c>
      <c r="B898" s="29" t="s">
        <v>1160</v>
      </c>
      <c r="C898" s="29" t="s">
        <v>1178</v>
      </c>
      <c r="D898" s="29" t="s">
        <v>1192</v>
      </c>
      <c r="E898" s="62"/>
      <c r="F898" s="62"/>
      <c r="G898" s="20" t="str">
        <f t="shared" si="1"/>
        <v>Baby &amp; Toddler, Baby Toys &amp; Activity Equipment, Rattles, </v>
      </c>
    </row>
    <row r="899" hidden="1">
      <c r="A899" s="29">
        <v>3860.0</v>
      </c>
      <c r="B899" s="29" t="s">
        <v>1160</v>
      </c>
      <c r="C899" s="29" t="s">
        <v>1178</v>
      </c>
      <c r="D899" s="29" t="s">
        <v>1193</v>
      </c>
      <c r="E899" s="62"/>
      <c r="F899" s="62"/>
      <c r="G899" s="20" t="str">
        <f t="shared" si="1"/>
        <v>Baby &amp; Toddler, Baby Toys &amp; Activity Equipment, Sorting &amp; Stacking Toys, </v>
      </c>
    </row>
    <row r="900" hidden="1">
      <c r="A900" s="29">
        <v>2764.0</v>
      </c>
      <c r="B900" s="29" t="s">
        <v>1160</v>
      </c>
      <c r="C900" s="29" t="s">
        <v>1194</v>
      </c>
      <c r="D900" s="62"/>
      <c r="E900" s="62"/>
      <c r="F900" s="62"/>
      <c r="G900" s="20" t="str">
        <f t="shared" si="1"/>
        <v>Baby &amp; Toddler, Baby Transport, , </v>
      </c>
    </row>
    <row r="901" hidden="1">
      <c r="A901" s="29">
        <v>547.0</v>
      </c>
      <c r="B901" s="29" t="s">
        <v>1160</v>
      </c>
      <c r="C901" s="29" t="s">
        <v>1194</v>
      </c>
      <c r="D901" s="29" t="s">
        <v>1195</v>
      </c>
      <c r="F901" s="62"/>
      <c r="G901" s="20" t="str">
        <f t="shared" si="1"/>
        <v>Baby &amp; Toddler, Baby Transport, Baby &amp; Toddler Car Seats, </v>
      </c>
    </row>
    <row r="902" hidden="1">
      <c r="A902" s="29">
        <v>538.0</v>
      </c>
      <c r="B902" s="29" t="s">
        <v>1160</v>
      </c>
      <c r="C902" s="29" t="s">
        <v>1194</v>
      </c>
      <c r="D902" s="29" t="s">
        <v>1196</v>
      </c>
      <c r="E902" s="62"/>
      <c r="F902" s="62"/>
      <c r="G902" s="20" t="str">
        <f t="shared" si="1"/>
        <v>Baby &amp; Toddler, Baby Transport, Baby Carriers, </v>
      </c>
    </row>
    <row r="903" hidden="1">
      <c r="A903" s="29">
        <v>568.0</v>
      </c>
      <c r="B903" s="29" t="s">
        <v>1160</v>
      </c>
      <c r="C903" s="29" t="s">
        <v>1194</v>
      </c>
      <c r="D903" s="29" t="s">
        <v>1197</v>
      </c>
      <c r="E903" s="62"/>
      <c r="F903" s="62"/>
      <c r="G903" s="20" t="str">
        <f t="shared" si="1"/>
        <v>Baby &amp; Toddler, Baby Transport, Baby Strollers, </v>
      </c>
    </row>
    <row r="904" hidden="1">
      <c r="A904" s="29">
        <v>4386.0</v>
      </c>
      <c r="B904" s="29" t="s">
        <v>1160</v>
      </c>
      <c r="C904" s="29" t="s">
        <v>1198</v>
      </c>
      <c r="D904" s="62"/>
      <c r="E904" s="62"/>
      <c r="F904" s="62"/>
      <c r="G904" s="20" t="str">
        <f t="shared" si="1"/>
        <v>Baby &amp; Toddler, Baby Transport Accessories, , </v>
      </c>
    </row>
    <row r="905" hidden="1">
      <c r="A905" s="29">
        <v>4486.0</v>
      </c>
      <c r="B905" s="29" t="s">
        <v>1160</v>
      </c>
      <c r="C905" s="29" t="s">
        <v>1198</v>
      </c>
      <c r="D905" s="29" t="s">
        <v>1199</v>
      </c>
      <c r="F905" s="62"/>
      <c r="G905" s="20" t="str">
        <f t="shared" si="1"/>
        <v>Baby &amp; Toddler, Baby Transport Accessories, Baby &amp; Toddler Car Seat Accessories, </v>
      </c>
    </row>
    <row r="906" hidden="1">
      <c r="A906" s="29">
        <v>4916.0</v>
      </c>
      <c r="B906" s="29" t="s">
        <v>1160</v>
      </c>
      <c r="C906" s="29" t="s">
        <v>1198</v>
      </c>
      <c r="D906" s="29" t="s">
        <v>1200</v>
      </c>
      <c r="F906" s="62"/>
      <c r="G906" s="20" t="str">
        <f t="shared" si="1"/>
        <v>Baby &amp; Toddler, Baby Transport Accessories, Baby Carrier Accessories, </v>
      </c>
    </row>
    <row r="907" hidden="1">
      <c r="A907" s="29">
        <v>4387.0</v>
      </c>
      <c r="B907" s="29" t="s">
        <v>1160</v>
      </c>
      <c r="C907" s="29" t="s">
        <v>1198</v>
      </c>
      <c r="D907" s="29" t="s">
        <v>1201</v>
      </c>
      <c r="F907" s="62"/>
      <c r="G907" s="20" t="str">
        <f t="shared" si="1"/>
        <v>Baby &amp; Toddler, Baby Transport Accessories, Baby Stroller Accessories, </v>
      </c>
    </row>
    <row r="908" hidden="1">
      <c r="A908" s="29">
        <v>8537.0</v>
      </c>
      <c r="B908" s="29" t="s">
        <v>1160</v>
      </c>
      <c r="C908" s="29" t="s">
        <v>1198</v>
      </c>
      <c r="D908" s="29" t="s">
        <v>1202</v>
      </c>
      <c r="F908" s="62"/>
      <c r="G908" s="20" t="str">
        <f t="shared" si="1"/>
        <v>Baby &amp; Toddler, Baby Transport Accessories, Baby Transport Liners &amp; Sacks, </v>
      </c>
    </row>
    <row r="909" hidden="1">
      <c r="A909" s="29">
        <v>5845.0</v>
      </c>
      <c r="B909" s="29" t="s">
        <v>1160</v>
      </c>
      <c r="C909" s="29" t="s">
        <v>1198</v>
      </c>
      <c r="D909" s="29" t="s">
        <v>1203</v>
      </c>
      <c r="F909" s="62"/>
      <c r="G909" s="20" t="str">
        <f t="shared" si="1"/>
        <v>Baby &amp; Toddler, Baby Transport Accessories, Shopping Cart &amp; High Chair Covers, </v>
      </c>
    </row>
    <row r="910" hidden="1">
      <c r="A910" s="29">
        <v>548.0</v>
      </c>
      <c r="B910" s="29" t="s">
        <v>1160</v>
      </c>
      <c r="C910" s="29" t="s">
        <v>1204</v>
      </c>
      <c r="D910" s="62"/>
      <c r="E910" s="62"/>
      <c r="F910" s="62"/>
      <c r="G910" s="20" t="str">
        <f t="shared" si="1"/>
        <v>Baby &amp; Toddler, Diapering, , </v>
      </c>
    </row>
    <row r="911" hidden="1">
      <c r="A911" s="29">
        <v>7200.0</v>
      </c>
      <c r="B911" s="29" t="s">
        <v>1160</v>
      </c>
      <c r="C911" s="29" t="s">
        <v>1204</v>
      </c>
      <c r="D911" s="29" t="s">
        <v>1205</v>
      </c>
      <c r="F911" s="62"/>
      <c r="G911" s="20" t="str">
        <f t="shared" si="1"/>
        <v>Baby &amp; Toddler, Diapering, Baby Wipe Dispensers &amp; Warmers, </v>
      </c>
    </row>
    <row r="912" hidden="1">
      <c r="A912" s="29">
        <v>553.0</v>
      </c>
      <c r="B912" s="29" t="s">
        <v>1160</v>
      </c>
      <c r="C912" s="29" t="s">
        <v>1204</v>
      </c>
      <c r="D912" s="29" t="s">
        <v>1206</v>
      </c>
      <c r="E912" s="62"/>
      <c r="F912" s="62"/>
      <c r="G912" s="20" t="str">
        <f t="shared" si="1"/>
        <v>Baby &amp; Toddler, Diapering, Baby Wipes, </v>
      </c>
    </row>
    <row r="913" hidden="1">
      <c r="A913" s="29">
        <v>502999.0</v>
      </c>
      <c r="B913" s="29" t="s">
        <v>1160</v>
      </c>
      <c r="C913" s="29" t="s">
        <v>1204</v>
      </c>
      <c r="D913" s="29" t="s">
        <v>1207</v>
      </c>
      <c r="F913" s="62"/>
      <c r="G913" s="20" t="str">
        <f t="shared" si="1"/>
        <v>Baby &amp; Toddler, Diapering, Changing Mat &amp; Tray Covers, </v>
      </c>
    </row>
    <row r="914" hidden="1">
      <c r="A914" s="29">
        <v>5628.0</v>
      </c>
      <c r="B914" s="29" t="s">
        <v>1160</v>
      </c>
      <c r="C914" s="29" t="s">
        <v>1204</v>
      </c>
      <c r="D914" s="29" t="s">
        <v>1208</v>
      </c>
      <c r="E914" s="62"/>
      <c r="F914" s="62"/>
      <c r="G914" s="20" t="str">
        <f t="shared" si="1"/>
        <v>Baby &amp; Toddler, Diapering, Changing Mats &amp; Trays, </v>
      </c>
    </row>
    <row r="915" hidden="1">
      <c r="A915" s="29">
        <v>7014.0</v>
      </c>
      <c r="B915" s="29" t="s">
        <v>1160</v>
      </c>
      <c r="C915" s="29" t="s">
        <v>1204</v>
      </c>
      <c r="D915" s="29" t="s">
        <v>1209</v>
      </c>
      <c r="E915" s="62"/>
      <c r="F915" s="62"/>
      <c r="G915" s="20" t="str">
        <f t="shared" si="1"/>
        <v>Baby &amp; Toddler, Diapering, Diaper Kits, </v>
      </c>
    </row>
    <row r="916" hidden="1">
      <c r="A916" s="29">
        <v>6949.0</v>
      </c>
      <c r="B916" s="29" t="s">
        <v>1160</v>
      </c>
      <c r="C916" s="29" t="s">
        <v>1204</v>
      </c>
      <c r="D916" s="29" t="s">
        <v>1210</v>
      </c>
      <c r="E916" s="62"/>
      <c r="F916" s="62"/>
      <c r="G916" s="20" t="str">
        <f t="shared" si="1"/>
        <v>Baby &amp; Toddler, Diapering, Diaper Liners, </v>
      </c>
    </row>
    <row r="917" hidden="1">
      <c r="A917" s="29">
        <v>6883.0</v>
      </c>
      <c r="B917" s="29" t="s">
        <v>1160</v>
      </c>
      <c r="C917" s="29" t="s">
        <v>1204</v>
      </c>
      <c r="D917" s="29" t="s">
        <v>1211</v>
      </c>
      <c r="E917" s="62"/>
      <c r="F917" s="62"/>
      <c r="G917" s="20" t="str">
        <f t="shared" si="1"/>
        <v>Baby &amp; Toddler, Diapering, Diaper Organizers, </v>
      </c>
    </row>
    <row r="918" hidden="1">
      <c r="A918" s="29">
        <v>7001.0</v>
      </c>
      <c r="B918" s="29" t="s">
        <v>1160</v>
      </c>
      <c r="C918" s="29" t="s">
        <v>1204</v>
      </c>
      <c r="D918" s="29" t="s">
        <v>1212</v>
      </c>
      <c r="E918" s="62"/>
      <c r="F918" s="62"/>
      <c r="G918" s="20" t="str">
        <f t="shared" si="1"/>
        <v>Baby &amp; Toddler, Diapering, Diaper Pail Accessories, </v>
      </c>
    </row>
    <row r="919" hidden="1">
      <c r="A919" s="29">
        <v>550.0</v>
      </c>
      <c r="B919" s="29" t="s">
        <v>1160</v>
      </c>
      <c r="C919" s="29" t="s">
        <v>1204</v>
      </c>
      <c r="D919" s="29" t="s">
        <v>1213</v>
      </c>
      <c r="E919" s="62"/>
      <c r="F919" s="62"/>
      <c r="G919" s="20" t="str">
        <f t="shared" si="1"/>
        <v>Baby &amp; Toddler, Diapering, Diaper Pails, </v>
      </c>
    </row>
    <row r="920" hidden="1">
      <c r="A920" s="29">
        <v>2949.0</v>
      </c>
      <c r="B920" s="29" t="s">
        <v>1160</v>
      </c>
      <c r="C920" s="29" t="s">
        <v>1204</v>
      </c>
      <c r="D920" s="29" t="s">
        <v>1214</v>
      </c>
      <c r="E920" s="62"/>
      <c r="F920" s="62"/>
      <c r="G920" s="20" t="str">
        <f t="shared" si="1"/>
        <v>Baby &amp; Toddler, Diapering, Diaper Rash Treatments, </v>
      </c>
    </row>
    <row r="921" hidden="1">
      <c r="A921" s="29">
        <v>6971.0</v>
      </c>
      <c r="B921" s="29" t="s">
        <v>1160</v>
      </c>
      <c r="C921" s="29" t="s">
        <v>1204</v>
      </c>
      <c r="D921" s="29" t="s">
        <v>1215</v>
      </c>
      <c r="E921" s="62"/>
      <c r="F921" s="62"/>
      <c r="G921" s="20" t="str">
        <f t="shared" si="1"/>
        <v>Baby &amp; Toddler, Diapering, Diaper Wet Bags, </v>
      </c>
    </row>
    <row r="922" hidden="1">
      <c r="A922" s="29">
        <v>551.0</v>
      </c>
      <c r="B922" s="29" t="s">
        <v>1160</v>
      </c>
      <c r="C922" s="29" t="s">
        <v>1204</v>
      </c>
      <c r="D922" s="29" t="s">
        <v>1216</v>
      </c>
      <c r="E922" s="62"/>
      <c r="F922" s="62"/>
      <c r="G922" s="20" t="str">
        <f t="shared" si="1"/>
        <v>Baby &amp; Toddler, Diapering, Diapers, </v>
      </c>
    </row>
    <row r="923" hidden="1">
      <c r="A923" s="29">
        <v>561.0</v>
      </c>
      <c r="B923" s="29" t="s">
        <v>1160</v>
      </c>
      <c r="C923" s="29" t="s">
        <v>1217</v>
      </c>
      <c r="D923" s="62"/>
      <c r="E923" s="62"/>
      <c r="F923" s="62"/>
      <c r="G923" s="20" t="str">
        <f t="shared" si="1"/>
        <v>Baby &amp; Toddler, Nursing &amp; Feeding, , </v>
      </c>
    </row>
    <row r="924" hidden="1">
      <c r="A924" s="29">
        <v>562.0</v>
      </c>
      <c r="B924" s="29" t="s">
        <v>1160</v>
      </c>
      <c r="C924" s="29" t="s">
        <v>1217</v>
      </c>
      <c r="D924" s="29" t="s">
        <v>1218</v>
      </c>
      <c r="E924" s="62"/>
      <c r="F924" s="62"/>
      <c r="G924" s="20" t="str">
        <f t="shared" si="1"/>
        <v>Baby &amp; Toddler, Nursing &amp; Feeding, Baby &amp; Toddler Food, </v>
      </c>
    </row>
    <row r="925" hidden="1">
      <c r="A925" s="29">
        <v>5721.0</v>
      </c>
      <c r="B925" s="29" t="s">
        <v>1160</v>
      </c>
      <c r="C925" s="29" t="s">
        <v>1217</v>
      </c>
      <c r="D925" s="29" t="s">
        <v>1218</v>
      </c>
      <c r="E925" s="29" t="s">
        <v>1219</v>
      </c>
      <c r="F925" s="62"/>
      <c r="G925" s="20" t="str">
        <f t="shared" si="1"/>
        <v>Baby &amp; Toddler, Nursing &amp; Feeding, Baby &amp; Toddler Food, Baby Cereal</v>
      </c>
    </row>
    <row r="926" hidden="1">
      <c r="A926" s="29">
        <v>5718.0</v>
      </c>
      <c r="B926" s="29" t="s">
        <v>1160</v>
      </c>
      <c r="C926" s="29" t="s">
        <v>1217</v>
      </c>
      <c r="D926" s="29" t="s">
        <v>1218</v>
      </c>
      <c r="E926" s="29" t="s">
        <v>1220</v>
      </c>
      <c r="F926" s="62"/>
      <c r="G926" s="20" t="str">
        <f t="shared" si="1"/>
        <v>Baby &amp; Toddler, Nursing &amp; Feeding, Baby &amp; Toddler Food, Baby Drinks</v>
      </c>
    </row>
    <row r="927" hidden="1">
      <c r="A927" s="29">
        <v>5719.0</v>
      </c>
      <c r="B927" s="29" t="s">
        <v>1160</v>
      </c>
      <c r="C927" s="29" t="s">
        <v>1217</v>
      </c>
      <c r="D927" s="29" t="s">
        <v>1218</v>
      </c>
      <c r="E927" s="29" t="s">
        <v>1221</v>
      </c>
      <c r="F927" s="62"/>
      <c r="G927" s="20" t="str">
        <f t="shared" si="1"/>
        <v>Baby &amp; Toddler, Nursing &amp; Feeding, Baby &amp; Toddler Food, Baby Food</v>
      </c>
    </row>
    <row r="928" hidden="1">
      <c r="A928" s="29">
        <v>563.0</v>
      </c>
      <c r="B928" s="29" t="s">
        <v>1160</v>
      </c>
      <c r="C928" s="29" t="s">
        <v>1217</v>
      </c>
      <c r="D928" s="29" t="s">
        <v>1218</v>
      </c>
      <c r="E928" s="29" t="s">
        <v>1222</v>
      </c>
      <c r="F928" s="62"/>
      <c r="G928" s="20" t="str">
        <f t="shared" si="1"/>
        <v>Baby &amp; Toddler, Nursing &amp; Feeding, Baby &amp; Toddler Food, Baby Formula</v>
      </c>
    </row>
    <row r="929" hidden="1">
      <c r="A929" s="29">
        <v>5720.0</v>
      </c>
      <c r="B929" s="29" t="s">
        <v>1160</v>
      </c>
      <c r="C929" s="29" t="s">
        <v>1217</v>
      </c>
      <c r="D929" s="29" t="s">
        <v>1218</v>
      </c>
      <c r="E929" s="29" t="s">
        <v>1223</v>
      </c>
      <c r="F929" s="62"/>
      <c r="G929" s="20" t="str">
        <f t="shared" si="1"/>
        <v>Baby &amp; Toddler, Nursing &amp; Feeding, Baby &amp; Toddler Food, Baby Snacks</v>
      </c>
    </row>
    <row r="930" hidden="1">
      <c r="A930" s="29">
        <v>8436.0</v>
      </c>
      <c r="B930" s="29" t="s">
        <v>1160</v>
      </c>
      <c r="C930" s="29" t="s">
        <v>1217</v>
      </c>
      <c r="D930" s="29" t="s">
        <v>1218</v>
      </c>
      <c r="E930" s="29" t="s">
        <v>1224</v>
      </c>
      <c r="F930" s="62"/>
      <c r="G930" s="20" t="str">
        <f t="shared" si="1"/>
        <v>Baby &amp; Toddler, Nursing &amp; Feeding, Baby &amp; Toddler Food, Toddler Nutrition Drinks &amp; Shakes</v>
      </c>
    </row>
    <row r="931" hidden="1">
      <c r="A931" s="29">
        <v>5630.0</v>
      </c>
      <c r="B931" s="29" t="s">
        <v>1160</v>
      </c>
      <c r="C931" s="29" t="s">
        <v>1217</v>
      </c>
      <c r="D931" s="29" t="s">
        <v>1225</v>
      </c>
      <c r="F931" s="62"/>
      <c r="G931" s="20" t="str">
        <f t="shared" si="1"/>
        <v>Baby &amp; Toddler, Nursing &amp; Feeding, Baby Bottle Nipples &amp; Liners, </v>
      </c>
    </row>
    <row r="932" hidden="1">
      <c r="A932" s="29">
        <v>543637.0</v>
      </c>
      <c r="B932" s="29" t="s">
        <v>1160</v>
      </c>
      <c r="C932" s="29" t="s">
        <v>1217</v>
      </c>
      <c r="D932" s="29" t="s">
        <v>1225</v>
      </c>
      <c r="E932" s="29" t="s">
        <v>1226</v>
      </c>
      <c r="F932" s="62"/>
      <c r="G932" s="20" t="str">
        <f t="shared" si="1"/>
        <v>Baby &amp; Toddler, Nursing &amp; Feeding, Baby Bottle Nipples &amp; Liners, Baby Bottle Liners</v>
      </c>
    </row>
    <row r="933" hidden="1">
      <c r="A933" s="29">
        <v>543636.0</v>
      </c>
      <c r="B933" s="29" t="s">
        <v>1160</v>
      </c>
      <c r="C933" s="29" t="s">
        <v>1217</v>
      </c>
      <c r="D933" s="29" t="s">
        <v>1225</v>
      </c>
      <c r="E933" s="29" t="s">
        <v>1227</v>
      </c>
      <c r="F933" s="62"/>
      <c r="G933" s="20" t="str">
        <f t="shared" si="1"/>
        <v>Baby &amp; Toddler, Nursing &amp; Feeding, Baby Bottle Nipples &amp; Liners, Baby Bottle Nipples</v>
      </c>
    </row>
    <row r="934" hidden="1">
      <c r="A934" s="29">
        <v>564.0</v>
      </c>
      <c r="B934" s="29" t="s">
        <v>1160</v>
      </c>
      <c r="C934" s="29" t="s">
        <v>1217</v>
      </c>
      <c r="D934" s="29" t="s">
        <v>1228</v>
      </c>
      <c r="E934" s="62"/>
      <c r="F934" s="62"/>
      <c r="G934" s="20" t="str">
        <f t="shared" si="1"/>
        <v>Baby &amp; Toddler, Nursing &amp; Feeding, Baby Bottles, </v>
      </c>
    </row>
    <row r="935" hidden="1">
      <c r="A935" s="29">
        <v>4768.0</v>
      </c>
      <c r="B935" s="29" t="s">
        <v>1160</v>
      </c>
      <c r="C935" s="29" t="s">
        <v>1217</v>
      </c>
      <c r="D935" s="29" t="s">
        <v>1229</v>
      </c>
      <c r="E935" s="62"/>
      <c r="F935" s="62"/>
      <c r="G935" s="20" t="str">
        <f t="shared" si="1"/>
        <v>Baby &amp; Toddler, Nursing &amp; Feeding, Baby Care Timers, </v>
      </c>
    </row>
    <row r="936" hidden="1">
      <c r="A936" s="29">
        <v>2125.0</v>
      </c>
      <c r="B936" s="29" t="s">
        <v>1160</v>
      </c>
      <c r="C936" s="29" t="s">
        <v>1217</v>
      </c>
      <c r="D936" s="29" t="s">
        <v>1230</v>
      </c>
      <c r="E936" s="62"/>
      <c r="F936" s="62"/>
      <c r="G936" s="20" t="str">
        <f t="shared" si="1"/>
        <v>Baby &amp; Toddler, Nursing &amp; Feeding, Bibs, </v>
      </c>
    </row>
    <row r="937" hidden="1">
      <c r="A937" s="29">
        <v>5296.0</v>
      </c>
      <c r="B937" s="29" t="s">
        <v>1160</v>
      </c>
      <c r="C937" s="29" t="s">
        <v>1217</v>
      </c>
      <c r="D937" s="29" t="s">
        <v>1231</v>
      </c>
      <c r="F937" s="62"/>
      <c r="G937" s="20" t="str">
        <f t="shared" si="1"/>
        <v>Baby &amp; Toddler, Nursing &amp; Feeding, Bottle Warmers &amp; Sterilizers, </v>
      </c>
    </row>
    <row r="938" hidden="1">
      <c r="A938" s="29">
        <v>7234.0</v>
      </c>
      <c r="B938" s="29" t="s">
        <v>1160</v>
      </c>
      <c r="C938" s="29" t="s">
        <v>1217</v>
      </c>
      <c r="D938" s="29" t="s">
        <v>1232</v>
      </c>
      <c r="F938" s="62"/>
      <c r="G938" s="20" t="str">
        <f t="shared" si="1"/>
        <v>Baby &amp; Toddler, Nursing &amp; Feeding, Breast Milk Storage Containers, </v>
      </c>
    </row>
    <row r="939" hidden="1">
      <c r="A939" s="29">
        <v>505366.0</v>
      </c>
      <c r="B939" s="29" t="s">
        <v>1160</v>
      </c>
      <c r="C939" s="29" t="s">
        <v>1217</v>
      </c>
      <c r="D939" s="29" t="s">
        <v>1233</v>
      </c>
      <c r="F939" s="62"/>
      <c r="G939" s="20" t="str">
        <f t="shared" si="1"/>
        <v>Baby &amp; Toddler, Nursing &amp; Feeding, Breast Pump Accessories, </v>
      </c>
    </row>
    <row r="940" hidden="1">
      <c r="A940" s="29">
        <v>565.0</v>
      </c>
      <c r="B940" s="29" t="s">
        <v>1160</v>
      </c>
      <c r="C940" s="29" t="s">
        <v>1217</v>
      </c>
      <c r="D940" s="29" t="s">
        <v>1234</v>
      </c>
      <c r="E940" s="62"/>
      <c r="F940" s="62"/>
      <c r="G940" s="20" t="str">
        <f t="shared" si="1"/>
        <v>Baby &amp; Toddler, Nursing &amp; Feeding, Breast Pumps, </v>
      </c>
    </row>
    <row r="941" hidden="1">
      <c r="A941" s="29">
        <v>5629.0</v>
      </c>
      <c r="B941" s="29" t="s">
        <v>1160</v>
      </c>
      <c r="C941" s="29" t="s">
        <v>1217</v>
      </c>
      <c r="D941" s="29" t="s">
        <v>1235</v>
      </c>
      <c r="E941" s="62"/>
      <c r="F941" s="62"/>
      <c r="G941" s="20" t="str">
        <f t="shared" si="1"/>
        <v>Baby &amp; Toddler, Nursing &amp; Feeding, Burp Cloths, </v>
      </c>
    </row>
    <row r="942" hidden="1">
      <c r="A942" s="29">
        <v>5843.0</v>
      </c>
      <c r="B942" s="29" t="s">
        <v>1160</v>
      </c>
      <c r="C942" s="29" t="s">
        <v>1217</v>
      </c>
      <c r="D942" s="29" t="s">
        <v>1236</v>
      </c>
      <c r="E942" s="62"/>
      <c r="F942" s="62"/>
      <c r="G942" s="20" t="str">
        <f t="shared" si="1"/>
        <v>Baby &amp; Toddler, Nursing &amp; Feeding, Nursing Covers, </v>
      </c>
    </row>
    <row r="943" hidden="1">
      <c r="A943" s="29">
        <v>503762.0</v>
      </c>
      <c r="B943" s="29" t="s">
        <v>1160</v>
      </c>
      <c r="C943" s="29" t="s">
        <v>1217</v>
      </c>
      <c r="D943" s="29" t="s">
        <v>1237</v>
      </c>
      <c r="E943" s="62"/>
      <c r="F943" s="62"/>
      <c r="G943" s="20" t="str">
        <f t="shared" si="1"/>
        <v>Baby &amp; Toddler, Nursing &amp; Feeding, Nursing Pads &amp; Shields, </v>
      </c>
    </row>
    <row r="944" hidden="1">
      <c r="A944" s="29">
        <v>8075.0</v>
      </c>
      <c r="B944" s="29" t="s">
        <v>1160</v>
      </c>
      <c r="C944" s="29" t="s">
        <v>1217</v>
      </c>
      <c r="D944" s="29" t="s">
        <v>1238</v>
      </c>
      <c r="E944" s="62"/>
      <c r="F944" s="62"/>
      <c r="G944" s="20" t="str">
        <f t="shared" si="1"/>
        <v>Baby &amp; Toddler, Nursing &amp; Feeding, Nursing Pillow Covers, </v>
      </c>
    </row>
    <row r="945" hidden="1">
      <c r="A945" s="29">
        <v>5298.0</v>
      </c>
      <c r="B945" s="29" t="s">
        <v>1160</v>
      </c>
      <c r="C945" s="29" t="s">
        <v>1217</v>
      </c>
      <c r="D945" s="29" t="s">
        <v>1239</v>
      </c>
      <c r="E945" s="62"/>
      <c r="F945" s="62"/>
      <c r="G945" s="20" t="str">
        <f t="shared" si="1"/>
        <v>Baby &amp; Toddler, Nursing &amp; Feeding, Nursing Pillows, </v>
      </c>
    </row>
    <row r="946" hidden="1">
      <c r="A946" s="29">
        <v>6950.0</v>
      </c>
      <c r="B946" s="29" t="s">
        <v>1160</v>
      </c>
      <c r="C946" s="29" t="s">
        <v>1217</v>
      </c>
      <c r="D946" s="29" t="s">
        <v>1240</v>
      </c>
      <c r="E946" s="62"/>
      <c r="F946" s="62"/>
      <c r="G946" s="20" t="str">
        <f t="shared" si="1"/>
        <v>Baby &amp; Toddler, Nursing &amp; Feeding, Sippy Cups, </v>
      </c>
    </row>
    <row r="947" hidden="1">
      <c r="A947" s="29">
        <v>6952.0</v>
      </c>
      <c r="B947" s="29" t="s">
        <v>1160</v>
      </c>
      <c r="C947" s="29" t="s">
        <v>1241</v>
      </c>
      <c r="D947" s="62"/>
      <c r="E947" s="62"/>
      <c r="F947" s="62"/>
      <c r="G947" s="20" t="str">
        <f t="shared" si="1"/>
        <v>Baby &amp; Toddler, Potty Training, , </v>
      </c>
    </row>
    <row r="948" hidden="1">
      <c r="A948" s="29">
        <v>552.0</v>
      </c>
      <c r="B948" s="29" t="s">
        <v>1160</v>
      </c>
      <c r="C948" s="29" t="s">
        <v>1241</v>
      </c>
      <c r="D948" s="29" t="s">
        <v>1242</v>
      </c>
      <c r="E948" s="62"/>
      <c r="F948" s="62"/>
      <c r="G948" s="20" t="str">
        <f t="shared" si="1"/>
        <v>Baby &amp; Toddler, Potty Training, Potty Seats, </v>
      </c>
    </row>
    <row r="949" hidden="1">
      <c r="A949" s="29">
        <v>6953.0</v>
      </c>
      <c r="B949" s="29" t="s">
        <v>1160</v>
      </c>
      <c r="C949" s="29" t="s">
        <v>1241</v>
      </c>
      <c r="D949" s="29" t="s">
        <v>1243</v>
      </c>
      <c r="E949" s="62"/>
      <c r="F949" s="62"/>
      <c r="G949" s="20" t="str">
        <f t="shared" si="1"/>
        <v>Baby &amp; Toddler, Potty Training, Potty Training Kits, </v>
      </c>
    </row>
    <row r="950" hidden="1">
      <c r="A950" s="29">
        <v>6899.0</v>
      </c>
      <c r="B950" s="29" t="s">
        <v>1160</v>
      </c>
      <c r="C950" s="29" t="s">
        <v>1244</v>
      </c>
      <c r="D950" s="62"/>
      <c r="E950" s="62"/>
      <c r="F950" s="62"/>
      <c r="G950" s="20" t="str">
        <f t="shared" si="1"/>
        <v>Baby &amp; Toddler, Swaddling &amp; Receiving Blankets, , </v>
      </c>
    </row>
    <row r="951" hidden="1">
      <c r="A951" s="29">
        <v>543664.0</v>
      </c>
      <c r="B951" s="29" t="s">
        <v>1160</v>
      </c>
      <c r="C951" s="29" t="s">
        <v>1244</v>
      </c>
      <c r="D951" s="29" t="s">
        <v>1245</v>
      </c>
      <c r="E951" s="62"/>
      <c r="F951" s="62"/>
      <c r="G951" s="20" t="str">
        <f t="shared" si="1"/>
        <v>Baby &amp; Toddler, Swaddling &amp; Receiving Blankets, Receiving Blankets, </v>
      </c>
    </row>
    <row r="952" hidden="1">
      <c r="A952" s="29">
        <v>543665.0</v>
      </c>
      <c r="B952" s="29" t="s">
        <v>1160</v>
      </c>
      <c r="C952" s="29" t="s">
        <v>1244</v>
      </c>
      <c r="D952" s="29" t="s">
        <v>1246</v>
      </c>
      <c r="E952" s="62"/>
      <c r="F952" s="62"/>
      <c r="G952" s="20" t="str">
        <f t="shared" si="1"/>
        <v>Baby &amp; Toddler, Swaddling &amp; Receiving Blankets, Swaddling Blankets, </v>
      </c>
    </row>
    <row r="953" hidden="1">
      <c r="A953" s="29">
        <v>111.0</v>
      </c>
      <c r="B953" s="29" t="s">
        <v>1247</v>
      </c>
      <c r="C953" s="62"/>
      <c r="D953" s="62"/>
      <c r="E953" s="62"/>
      <c r="F953" s="62"/>
      <c r="G953" s="20" t="str">
        <f t="shared" si="1"/>
        <v>Business &amp; Industrial, , , </v>
      </c>
    </row>
    <row r="954" hidden="1">
      <c r="A954" s="29">
        <v>5863.0</v>
      </c>
      <c r="B954" s="29" t="s">
        <v>1247</v>
      </c>
      <c r="C954" s="29" t="s">
        <v>1248</v>
      </c>
      <c r="D954" s="62"/>
      <c r="E954" s="62"/>
      <c r="F954" s="62"/>
      <c r="G954" s="20" t="str">
        <f t="shared" si="1"/>
        <v>Business &amp; Industrial, Advertising &amp; Marketing, , </v>
      </c>
    </row>
    <row r="955" hidden="1">
      <c r="A955" s="29">
        <v>5884.0</v>
      </c>
      <c r="B955" s="29" t="s">
        <v>1247</v>
      </c>
      <c r="C955" s="29" t="s">
        <v>1248</v>
      </c>
      <c r="D955" s="29" t="s">
        <v>1249</v>
      </c>
      <c r="E955" s="62"/>
      <c r="F955" s="62"/>
      <c r="G955" s="20" t="str">
        <f t="shared" si="1"/>
        <v>Business &amp; Industrial, Advertising &amp; Marketing, Brochures, </v>
      </c>
    </row>
    <row r="956" hidden="1">
      <c r="A956" s="29">
        <v>5864.0</v>
      </c>
      <c r="B956" s="29" t="s">
        <v>1247</v>
      </c>
      <c r="C956" s="29" t="s">
        <v>1248</v>
      </c>
      <c r="D956" s="29" t="s">
        <v>1250</v>
      </c>
      <c r="E956" s="62"/>
      <c r="F956" s="62"/>
      <c r="G956" s="20" t="str">
        <f t="shared" si="1"/>
        <v>Business &amp; Industrial, Advertising &amp; Marketing, Trade Show Counters, </v>
      </c>
    </row>
    <row r="957" hidden="1">
      <c r="A957" s="29">
        <v>5865.0</v>
      </c>
      <c r="B957" s="29" t="s">
        <v>1247</v>
      </c>
      <c r="C957" s="29" t="s">
        <v>1248</v>
      </c>
      <c r="D957" s="29" t="s">
        <v>1251</v>
      </c>
      <c r="E957" s="62"/>
      <c r="F957" s="62"/>
      <c r="G957" s="20" t="str">
        <f t="shared" si="1"/>
        <v>Business &amp; Industrial, Advertising &amp; Marketing, Trade Show Displays, </v>
      </c>
    </row>
    <row r="958" hidden="1">
      <c r="A958" s="29">
        <v>112.0</v>
      </c>
      <c r="B958" s="29" t="s">
        <v>1247</v>
      </c>
      <c r="C958" s="29" t="s">
        <v>1252</v>
      </c>
      <c r="D958" s="62"/>
      <c r="E958" s="62"/>
      <c r="F958" s="62"/>
      <c r="G958" s="20" t="str">
        <f t="shared" si="1"/>
        <v>Business &amp; Industrial, Agriculture, , </v>
      </c>
    </row>
    <row r="959" hidden="1">
      <c r="A959" s="29">
        <v>6991.0</v>
      </c>
      <c r="B959" s="29" t="s">
        <v>1247</v>
      </c>
      <c r="C959" s="29" t="s">
        <v>1252</v>
      </c>
      <c r="D959" s="29" t="s">
        <v>1253</v>
      </c>
      <c r="E959" s="62"/>
      <c r="F959" s="62"/>
      <c r="G959" s="20" t="str">
        <f t="shared" si="1"/>
        <v>Business &amp; Industrial, Agriculture, Animal Husbandry, </v>
      </c>
    </row>
    <row r="960" hidden="1">
      <c r="A960" s="29">
        <v>499997.0</v>
      </c>
      <c r="B960" s="29" t="s">
        <v>1247</v>
      </c>
      <c r="C960" s="29" t="s">
        <v>1252</v>
      </c>
      <c r="D960" s="29" t="s">
        <v>1253</v>
      </c>
      <c r="E960" s="29" t="s">
        <v>1254</v>
      </c>
      <c r="F960" s="62"/>
      <c r="G960" s="20" t="str">
        <f t="shared" si="1"/>
        <v>Business &amp; Industrial, Agriculture, Animal Husbandry, Egg Incubators</v>
      </c>
    </row>
    <row r="961" hidden="1">
      <c r="A961" s="29">
        <v>505821.0</v>
      </c>
      <c r="B961" s="29" t="s">
        <v>1247</v>
      </c>
      <c r="C961" s="29" t="s">
        <v>1252</v>
      </c>
      <c r="D961" s="29" t="s">
        <v>1253</v>
      </c>
      <c r="E961" s="29" t="s">
        <v>1255</v>
      </c>
      <c r="F961" s="62"/>
      <c r="G961" s="20" t="str">
        <f t="shared" si="1"/>
        <v>Business &amp; Industrial, Agriculture, Animal Husbandry, Livestock Feed</v>
      </c>
    </row>
    <row r="962" hidden="1">
      <c r="A962" s="29">
        <v>543545.0</v>
      </c>
      <c r="B962" s="29" t="s">
        <v>1247</v>
      </c>
      <c r="C962" s="29" t="s">
        <v>1252</v>
      </c>
      <c r="D962" s="29" t="s">
        <v>1253</v>
      </c>
      <c r="E962" s="29" t="s">
        <v>1255</v>
      </c>
      <c r="F962" s="29" t="s">
        <v>1256</v>
      </c>
      <c r="G962" s="20" t="str">
        <f t="shared" si="1"/>
        <v>Business &amp; Industrial, Agriculture, Animal Husbandry, Livestock FeedCattle Feed</v>
      </c>
    </row>
    <row r="963" hidden="1">
      <c r="A963" s="29">
        <v>543544.0</v>
      </c>
      <c r="B963" s="29" t="s">
        <v>1247</v>
      </c>
      <c r="C963" s="29" t="s">
        <v>1252</v>
      </c>
      <c r="D963" s="29" t="s">
        <v>1253</v>
      </c>
      <c r="E963" s="29" t="s">
        <v>1255</v>
      </c>
      <c r="F963" s="29" t="s">
        <v>1257</v>
      </c>
      <c r="G963" s="20" t="str">
        <f t="shared" si="1"/>
        <v>Business &amp; Industrial, Agriculture, Animal Husbandry, Livestock FeedChicken Feed</v>
      </c>
    </row>
    <row r="964" hidden="1">
      <c r="A964" s="29">
        <v>543547.0</v>
      </c>
      <c r="B964" s="29" t="s">
        <v>1247</v>
      </c>
      <c r="C964" s="29" t="s">
        <v>1252</v>
      </c>
      <c r="D964" s="29" t="s">
        <v>1253</v>
      </c>
      <c r="E964" s="29" t="s">
        <v>1255</v>
      </c>
      <c r="F964" s="29" t="s">
        <v>1258</v>
      </c>
      <c r="G964" s="20" t="str">
        <f t="shared" si="1"/>
        <v>Business &amp; Industrial, Agriculture, Animal Husbandry, Livestock FeedGoat &amp; Sheep Feed</v>
      </c>
    </row>
    <row r="965" hidden="1">
      <c r="A965" s="29">
        <v>543548.0</v>
      </c>
      <c r="B965" s="29" t="s">
        <v>1247</v>
      </c>
      <c r="C965" s="29" t="s">
        <v>1252</v>
      </c>
      <c r="D965" s="29" t="s">
        <v>1253</v>
      </c>
      <c r="E965" s="29" t="s">
        <v>1255</v>
      </c>
      <c r="F965" s="29" t="s">
        <v>1259</v>
      </c>
      <c r="G965" s="20" t="str">
        <f t="shared" si="1"/>
        <v>Business &amp; Industrial, Agriculture, Animal Husbandry, Livestock FeedMixed Herd Feed</v>
      </c>
    </row>
    <row r="966" hidden="1">
      <c r="A966" s="29">
        <v>543546.0</v>
      </c>
      <c r="B966" s="29" t="s">
        <v>1247</v>
      </c>
      <c r="C966" s="29" t="s">
        <v>1252</v>
      </c>
      <c r="D966" s="29" t="s">
        <v>1253</v>
      </c>
      <c r="E966" s="29" t="s">
        <v>1255</v>
      </c>
      <c r="F966" s="29" t="s">
        <v>1260</v>
      </c>
      <c r="G966" s="20" t="str">
        <f t="shared" si="1"/>
        <v>Business &amp; Industrial, Agriculture, Animal Husbandry, Livestock FeedPig Feed</v>
      </c>
    </row>
    <row r="967" hidden="1">
      <c r="A967" s="29">
        <v>6990.0</v>
      </c>
      <c r="B967" s="29" t="s">
        <v>1247</v>
      </c>
      <c r="C967" s="29" t="s">
        <v>1252</v>
      </c>
      <c r="D967" s="29" t="s">
        <v>1253</v>
      </c>
      <c r="E967" s="29" t="s">
        <v>1261</v>
      </c>
      <c r="F967" s="62"/>
      <c r="G967" s="20" t="str">
        <f t="shared" si="1"/>
        <v>Business &amp; Industrial, Agriculture, Animal Husbandry, Livestock Feeders &amp; Waterers</v>
      </c>
    </row>
    <row r="968" hidden="1">
      <c r="A968" s="29">
        <v>499946.0</v>
      </c>
      <c r="B968" s="29" t="s">
        <v>1247</v>
      </c>
      <c r="C968" s="29" t="s">
        <v>1252</v>
      </c>
      <c r="D968" s="29" t="s">
        <v>1253</v>
      </c>
      <c r="E968" s="29" t="s">
        <v>1262</v>
      </c>
      <c r="F968" s="62"/>
      <c r="G968" s="20" t="str">
        <f t="shared" si="1"/>
        <v>Business &amp; Industrial, Agriculture, Animal Husbandry, Livestock Halters</v>
      </c>
    </row>
    <row r="969" hidden="1">
      <c r="A969" s="29">
        <v>7261.0</v>
      </c>
      <c r="B969" s="29" t="s">
        <v>1247</v>
      </c>
      <c r="C969" s="29" t="s">
        <v>1263</v>
      </c>
      <c r="D969" s="62"/>
      <c r="E969" s="62"/>
      <c r="F969" s="62"/>
      <c r="G969" s="20" t="str">
        <f t="shared" si="1"/>
        <v>Business &amp; Industrial, Automation Control Components, , </v>
      </c>
    </row>
    <row r="970" hidden="1">
      <c r="A970" s="29">
        <v>7263.0</v>
      </c>
      <c r="B970" s="29" t="s">
        <v>1247</v>
      </c>
      <c r="C970" s="29" t="s">
        <v>1263</v>
      </c>
      <c r="D970" s="29" t="s">
        <v>1264</v>
      </c>
      <c r="F970" s="62"/>
      <c r="G970" s="20" t="str">
        <f t="shared" si="1"/>
        <v>Business &amp; Industrial, Automation Control Components, Programmable Logic Controllers, </v>
      </c>
    </row>
    <row r="971" hidden="1">
      <c r="A971" s="29">
        <v>7262.0</v>
      </c>
      <c r="B971" s="29" t="s">
        <v>1247</v>
      </c>
      <c r="C971" s="29" t="s">
        <v>1263</v>
      </c>
      <c r="D971" s="29" t="s">
        <v>1265</v>
      </c>
      <c r="F971" s="62"/>
      <c r="G971" s="20" t="str">
        <f t="shared" si="1"/>
        <v>Business &amp; Industrial, Automation Control Components, Variable Frequency &amp; Adjustable Speed Drives, </v>
      </c>
    </row>
    <row r="972" hidden="1">
      <c r="A972" s="29">
        <v>114.0</v>
      </c>
      <c r="B972" s="29" t="s">
        <v>1247</v>
      </c>
      <c r="C972" s="29" t="s">
        <v>1266</v>
      </c>
      <c r="D972" s="62"/>
      <c r="E972" s="62"/>
      <c r="F972" s="62"/>
      <c r="G972" s="20" t="str">
        <f t="shared" si="1"/>
        <v>Business &amp; Industrial, Construction, , </v>
      </c>
    </row>
    <row r="973" hidden="1">
      <c r="A973" s="29">
        <v>134.0</v>
      </c>
      <c r="B973" s="29" t="s">
        <v>1247</v>
      </c>
      <c r="C973" s="29" t="s">
        <v>1266</v>
      </c>
      <c r="D973" s="29" t="s">
        <v>1267</v>
      </c>
      <c r="E973" s="62"/>
      <c r="F973" s="62"/>
      <c r="G973" s="20" t="str">
        <f t="shared" si="1"/>
        <v>Business &amp; Industrial, Construction, Surveying, </v>
      </c>
    </row>
    <row r="974" hidden="1">
      <c r="A974" s="29">
        <v>8278.0</v>
      </c>
      <c r="B974" s="29" t="s">
        <v>1247</v>
      </c>
      <c r="C974" s="29" t="s">
        <v>1266</v>
      </c>
      <c r="D974" s="29" t="s">
        <v>1268</v>
      </c>
      <c r="E974" s="62"/>
      <c r="F974" s="62"/>
      <c r="G974" s="20" t="str">
        <f t="shared" si="1"/>
        <v>Business &amp; Industrial, Construction, Traffic Cones &amp; Barrels, </v>
      </c>
    </row>
    <row r="975" hidden="1">
      <c r="A975" s="29">
        <v>7497.0</v>
      </c>
      <c r="B975" s="29" t="s">
        <v>1247</v>
      </c>
      <c r="C975" s="29" t="s">
        <v>1269</v>
      </c>
      <c r="D975" s="62"/>
      <c r="E975" s="62"/>
      <c r="F975" s="62"/>
      <c r="G975" s="20" t="str">
        <f t="shared" si="1"/>
        <v>Business &amp; Industrial, Dentistry, , </v>
      </c>
    </row>
    <row r="976" hidden="1">
      <c r="A976" s="29">
        <v>7500.0</v>
      </c>
      <c r="B976" s="29" t="s">
        <v>1247</v>
      </c>
      <c r="C976" s="29" t="s">
        <v>1269</v>
      </c>
      <c r="D976" s="29" t="s">
        <v>1270</v>
      </c>
      <c r="E976" s="62"/>
      <c r="F976" s="62"/>
      <c r="G976" s="20" t="str">
        <f t="shared" si="1"/>
        <v>Business &amp; Industrial, Dentistry, Dental Cement, </v>
      </c>
    </row>
    <row r="977" hidden="1">
      <c r="A977" s="29">
        <v>7499.0</v>
      </c>
      <c r="B977" s="29" t="s">
        <v>1247</v>
      </c>
      <c r="C977" s="29" t="s">
        <v>1269</v>
      </c>
      <c r="D977" s="29" t="s">
        <v>1271</v>
      </c>
      <c r="E977" s="62"/>
      <c r="F977" s="62"/>
      <c r="G977" s="20" t="str">
        <f t="shared" si="1"/>
        <v>Business &amp; Industrial, Dentistry, Dental Tools, </v>
      </c>
    </row>
    <row r="978" hidden="1">
      <c r="A978" s="29">
        <v>8490.0</v>
      </c>
      <c r="B978" s="29" t="s">
        <v>1247</v>
      </c>
      <c r="C978" s="29" t="s">
        <v>1269</v>
      </c>
      <c r="D978" s="29" t="s">
        <v>1271</v>
      </c>
      <c r="E978" s="29" t="s">
        <v>1272</v>
      </c>
      <c r="F978" s="62"/>
      <c r="G978" s="20" t="str">
        <f t="shared" si="1"/>
        <v>Business &amp; Industrial, Dentistry, Dental Tools, Dappen Dishes</v>
      </c>
    </row>
    <row r="979" hidden="1">
      <c r="A979" s="29">
        <v>7498.0</v>
      </c>
      <c r="B979" s="29" t="s">
        <v>1247</v>
      </c>
      <c r="C979" s="29" t="s">
        <v>1269</v>
      </c>
      <c r="D979" s="29" t="s">
        <v>1271</v>
      </c>
      <c r="E979" s="29" t="s">
        <v>1273</v>
      </c>
      <c r="F979" s="62"/>
      <c r="G979" s="20" t="str">
        <f t="shared" si="1"/>
        <v>Business &amp; Industrial, Dentistry, Dental Tools, Dental Mirrors</v>
      </c>
    </row>
    <row r="980" hidden="1">
      <c r="A980" s="29">
        <v>7531.0</v>
      </c>
      <c r="B980" s="29" t="s">
        <v>1247</v>
      </c>
      <c r="C980" s="29" t="s">
        <v>1269</v>
      </c>
      <c r="D980" s="29" t="s">
        <v>1271</v>
      </c>
      <c r="E980" s="29" t="s">
        <v>1274</v>
      </c>
      <c r="F980" s="62"/>
      <c r="G980" s="20" t="str">
        <f t="shared" si="1"/>
        <v>Business &amp; Industrial, Dentistry, Dental Tools, Dental Tool Sets</v>
      </c>
    </row>
    <row r="981" hidden="1">
      <c r="A981" s="29">
        <v>8121.0</v>
      </c>
      <c r="B981" s="29" t="s">
        <v>1247</v>
      </c>
      <c r="C981" s="29" t="s">
        <v>1269</v>
      </c>
      <c r="D981" s="29" t="s">
        <v>1271</v>
      </c>
      <c r="E981" s="29" t="s">
        <v>1275</v>
      </c>
      <c r="F981" s="62"/>
      <c r="G981" s="20" t="str">
        <f t="shared" si="1"/>
        <v>Business &amp; Industrial, Dentistry, Dental Tools, Prophy Cups</v>
      </c>
    </row>
    <row r="982" hidden="1">
      <c r="A982" s="29">
        <v>8120.0</v>
      </c>
      <c r="B982" s="29" t="s">
        <v>1247</v>
      </c>
      <c r="C982" s="29" t="s">
        <v>1269</v>
      </c>
      <c r="D982" s="29" t="s">
        <v>1271</v>
      </c>
      <c r="E982" s="29" t="s">
        <v>1276</v>
      </c>
      <c r="F982" s="62"/>
      <c r="G982" s="20" t="str">
        <f t="shared" si="1"/>
        <v>Business &amp; Industrial, Dentistry, Dental Tools, Prophy Heads</v>
      </c>
    </row>
    <row r="983" hidden="1">
      <c r="A983" s="29">
        <v>8130.0</v>
      </c>
      <c r="B983" s="29" t="s">
        <v>1247</v>
      </c>
      <c r="C983" s="29" t="s">
        <v>1269</v>
      </c>
      <c r="D983" s="29" t="s">
        <v>1277</v>
      </c>
      <c r="E983" s="62"/>
      <c r="F983" s="62"/>
      <c r="G983" s="20" t="str">
        <f t="shared" si="1"/>
        <v>Business &amp; Industrial, Dentistry, Prophy Paste, </v>
      </c>
    </row>
    <row r="984" hidden="1">
      <c r="A984" s="29">
        <v>2155.0</v>
      </c>
      <c r="B984" s="29" t="s">
        <v>1247</v>
      </c>
      <c r="C984" s="29" t="s">
        <v>1278</v>
      </c>
      <c r="D984" s="62"/>
      <c r="E984" s="62"/>
      <c r="F984" s="62"/>
      <c r="G984" s="20" t="str">
        <f t="shared" si="1"/>
        <v>Business &amp; Industrial, Film &amp; Television, , </v>
      </c>
    </row>
    <row r="985" hidden="1">
      <c r="A985" s="29">
        <v>1813.0</v>
      </c>
      <c r="B985" s="29" t="s">
        <v>1247</v>
      </c>
      <c r="C985" s="29" t="s">
        <v>1279</v>
      </c>
      <c r="D985" s="62"/>
      <c r="E985" s="62"/>
      <c r="F985" s="62"/>
      <c r="G985" s="20" t="str">
        <f t="shared" si="1"/>
        <v>Business &amp; Industrial, Finance &amp; Insurance, , </v>
      </c>
    </row>
    <row r="986" hidden="1">
      <c r="A986" s="29">
        <v>7565.0</v>
      </c>
      <c r="B986" s="29" t="s">
        <v>1247</v>
      </c>
      <c r="C986" s="29" t="s">
        <v>1279</v>
      </c>
      <c r="D986" s="29" t="s">
        <v>1280</v>
      </c>
      <c r="E986" s="62"/>
      <c r="F986" s="62"/>
      <c r="G986" s="20" t="str">
        <f t="shared" si="1"/>
        <v>Business &amp; Industrial, Finance &amp; Insurance, Bullion, </v>
      </c>
    </row>
    <row r="987" hidden="1">
      <c r="A987" s="29">
        <v>135.0</v>
      </c>
      <c r="B987" s="29" t="s">
        <v>1247</v>
      </c>
      <c r="C987" s="29" t="s">
        <v>1281</v>
      </c>
      <c r="D987" s="62"/>
      <c r="E987" s="62"/>
      <c r="F987" s="62"/>
      <c r="G987" s="20" t="str">
        <f t="shared" si="1"/>
        <v>Business &amp; Industrial, Food Service, , </v>
      </c>
    </row>
    <row r="988" hidden="1">
      <c r="A988" s="29">
        <v>7303.0</v>
      </c>
      <c r="B988" s="29" t="s">
        <v>1247</v>
      </c>
      <c r="C988" s="29" t="s">
        <v>1281</v>
      </c>
      <c r="D988" s="29" t="s">
        <v>1282</v>
      </c>
      <c r="E988" s="62"/>
      <c r="F988" s="62"/>
      <c r="G988" s="20" t="str">
        <f t="shared" si="1"/>
        <v>Business &amp; Industrial, Food Service, Bakery Boxes, </v>
      </c>
    </row>
    <row r="989" hidden="1">
      <c r="A989" s="29">
        <v>4217.0</v>
      </c>
      <c r="B989" s="29" t="s">
        <v>1247</v>
      </c>
      <c r="C989" s="29" t="s">
        <v>1281</v>
      </c>
      <c r="D989" s="29" t="s">
        <v>1283</v>
      </c>
      <c r="E989" s="62"/>
      <c r="F989" s="62"/>
      <c r="G989" s="20" t="str">
        <f t="shared" si="1"/>
        <v>Business &amp; Industrial, Food Service, Bus Tubs, </v>
      </c>
    </row>
    <row r="990" hidden="1">
      <c r="A990" s="29">
        <v>8532.0</v>
      </c>
      <c r="B990" s="29" t="s">
        <v>1247</v>
      </c>
      <c r="C990" s="29" t="s">
        <v>1281</v>
      </c>
      <c r="D990" s="29" t="s">
        <v>1284</v>
      </c>
      <c r="E990" s="62"/>
      <c r="F990" s="62"/>
      <c r="G990" s="20" t="str">
        <f t="shared" si="1"/>
        <v>Business &amp; Industrial, Food Service, Check Presenters, </v>
      </c>
    </row>
    <row r="991" hidden="1">
      <c r="A991" s="29">
        <v>5102.0</v>
      </c>
      <c r="B991" s="29" t="s">
        <v>1247</v>
      </c>
      <c r="C991" s="29" t="s">
        <v>1281</v>
      </c>
      <c r="D991" s="29" t="s">
        <v>1285</v>
      </c>
      <c r="F991" s="62"/>
      <c r="G991" s="20" t="str">
        <f t="shared" si="1"/>
        <v>Business &amp; Industrial, Food Service, Concession Food Containers, </v>
      </c>
    </row>
    <row r="992" hidden="1">
      <c r="A992" s="29">
        <v>8059.0</v>
      </c>
      <c r="B992" s="29" t="s">
        <v>1247</v>
      </c>
      <c r="C992" s="29" t="s">
        <v>1281</v>
      </c>
      <c r="D992" s="29" t="s">
        <v>1286</v>
      </c>
      <c r="E992" s="62"/>
      <c r="F992" s="62"/>
      <c r="G992" s="20" t="str">
        <f t="shared" si="1"/>
        <v>Business &amp; Industrial, Food Service, Disposable Lids, </v>
      </c>
    </row>
    <row r="993" hidden="1">
      <c r="A993" s="29">
        <v>7088.0</v>
      </c>
      <c r="B993" s="29" t="s">
        <v>1247</v>
      </c>
      <c r="C993" s="29" t="s">
        <v>1281</v>
      </c>
      <c r="D993" s="29" t="s">
        <v>1287</v>
      </c>
      <c r="E993" s="62"/>
      <c r="F993" s="62"/>
      <c r="G993" s="20" t="str">
        <f t="shared" si="1"/>
        <v>Business &amp; Industrial, Food Service, Disposable Serveware, </v>
      </c>
    </row>
    <row r="994" hidden="1">
      <c r="A994" s="29">
        <v>7089.0</v>
      </c>
      <c r="B994" s="29" t="s">
        <v>1247</v>
      </c>
      <c r="C994" s="29" t="s">
        <v>1281</v>
      </c>
      <c r="D994" s="29" t="s">
        <v>1287</v>
      </c>
      <c r="E994" s="29" t="s">
        <v>1288</v>
      </c>
      <c r="F994" s="62"/>
      <c r="G994" s="20" t="str">
        <f t="shared" si="1"/>
        <v>Business &amp; Industrial, Food Service, Disposable Serveware, Disposable Serving Trays</v>
      </c>
    </row>
    <row r="995" hidden="1">
      <c r="A995" s="29">
        <v>4632.0</v>
      </c>
      <c r="B995" s="29" t="s">
        <v>1247</v>
      </c>
      <c r="C995" s="29" t="s">
        <v>1281</v>
      </c>
      <c r="D995" s="29" t="s">
        <v>1289</v>
      </c>
      <c r="E995" s="62"/>
      <c r="F995" s="62"/>
      <c r="G995" s="20" t="str">
        <f t="shared" si="1"/>
        <v>Business &amp; Industrial, Food Service, Disposable Tableware, </v>
      </c>
    </row>
    <row r="996" hidden="1">
      <c r="A996" s="29">
        <v>5098.0</v>
      </c>
      <c r="B996" s="29" t="s">
        <v>1247</v>
      </c>
      <c r="C996" s="29" t="s">
        <v>1281</v>
      </c>
      <c r="D996" s="29" t="s">
        <v>1289</v>
      </c>
      <c r="E996" s="29" t="s">
        <v>1290</v>
      </c>
      <c r="F996" s="62"/>
      <c r="G996" s="20" t="str">
        <f t="shared" si="1"/>
        <v>Business &amp; Industrial, Food Service, Disposable Tableware, Disposable Bowls</v>
      </c>
    </row>
    <row r="997" hidden="1">
      <c r="A997" s="29">
        <v>5099.0</v>
      </c>
      <c r="B997" s="29" t="s">
        <v>1247</v>
      </c>
      <c r="C997" s="29" t="s">
        <v>1281</v>
      </c>
      <c r="D997" s="29" t="s">
        <v>1289</v>
      </c>
      <c r="E997" s="29" t="s">
        <v>1291</v>
      </c>
      <c r="F997" s="62"/>
      <c r="G997" s="20" t="str">
        <f t="shared" si="1"/>
        <v>Business &amp; Industrial, Food Service, Disposable Tableware, Disposable Cups</v>
      </c>
    </row>
    <row r="998" hidden="1">
      <c r="A998" s="29">
        <v>5100.0</v>
      </c>
      <c r="B998" s="29" t="s">
        <v>1247</v>
      </c>
      <c r="C998" s="29" t="s">
        <v>1281</v>
      </c>
      <c r="D998" s="29" t="s">
        <v>1289</v>
      </c>
      <c r="E998" s="29" t="s">
        <v>1292</v>
      </c>
      <c r="F998" s="62"/>
      <c r="G998" s="20" t="str">
        <f t="shared" si="1"/>
        <v>Business &amp; Industrial, Food Service, Disposable Tableware, Disposable Cutlery</v>
      </c>
    </row>
    <row r="999" hidden="1">
      <c r="A999" s="29">
        <v>5101.0</v>
      </c>
      <c r="B999" s="29" t="s">
        <v>1247</v>
      </c>
      <c r="C999" s="29" t="s">
        <v>1281</v>
      </c>
      <c r="D999" s="29" t="s">
        <v>1289</v>
      </c>
      <c r="E999" s="29" t="s">
        <v>1293</v>
      </c>
      <c r="F999" s="62"/>
      <c r="G999" s="20" t="str">
        <f t="shared" si="1"/>
        <v>Business &amp; Industrial, Food Service, Disposable Tableware, Disposable Plates</v>
      </c>
    </row>
    <row r="1000" hidden="1">
      <c r="A1000" s="29">
        <v>4096.0</v>
      </c>
      <c r="B1000" s="29" t="s">
        <v>1247</v>
      </c>
      <c r="C1000" s="29" t="s">
        <v>1281</v>
      </c>
      <c r="D1000" s="29" t="s">
        <v>1294</v>
      </c>
      <c r="E1000" s="62"/>
      <c r="F1000" s="62"/>
      <c r="G1000" s="20" t="str">
        <f t="shared" si="1"/>
        <v>Business &amp; Industrial, Food Service, Food Service Baskets, </v>
      </c>
    </row>
    <row r="1001" hidden="1">
      <c r="A1001" s="29">
        <v>4742.0</v>
      </c>
      <c r="B1001" s="29" t="s">
        <v>1247</v>
      </c>
      <c r="C1001" s="29" t="s">
        <v>1281</v>
      </c>
      <c r="D1001" s="29" t="s">
        <v>1295</v>
      </c>
      <c r="E1001" s="62"/>
      <c r="F1001" s="62"/>
      <c r="G1001" s="20" t="str">
        <f t="shared" si="1"/>
        <v>Business &amp; Industrial, Food Service, Food Service Carts, </v>
      </c>
    </row>
    <row r="1002" hidden="1">
      <c r="A1002" s="29">
        <v>6786.0</v>
      </c>
      <c r="B1002" s="29" t="s">
        <v>1247</v>
      </c>
      <c r="C1002" s="29" t="s">
        <v>1281</v>
      </c>
      <c r="D1002" s="29" t="s">
        <v>1296</v>
      </c>
      <c r="E1002" s="62"/>
      <c r="F1002" s="62"/>
      <c r="G1002" s="20" t="str">
        <f t="shared" si="1"/>
        <v>Business &amp; Industrial, Food Service, Food Washers &amp; Dryers, </v>
      </c>
    </row>
    <row r="1003" hidden="1">
      <c r="A1003" s="29">
        <v>6517.0</v>
      </c>
      <c r="B1003" s="29" t="s">
        <v>1247</v>
      </c>
      <c r="C1003" s="29" t="s">
        <v>1281</v>
      </c>
      <c r="D1003" s="29" t="s">
        <v>1297</v>
      </c>
      <c r="E1003" s="62"/>
      <c r="F1003" s="62"/>
      <c r="G1003" s="20" t="str">
        <f t="shared" si="1"/>
        <v>Business &amp; Industrial, Food Service, Hot Dog Rollers, </v>
      </c>
    </row>
    <row r="1004" hidden="1">
      <c r="A1004" s="29">
        <v>7353.0</v>
      </c>
      <c r="B1004" s="29" t="s">
        <v>1247</v>
      </c>
      <c r="C1004" s="29" t="s">
        <v>1281</v>
      </c>
      <c r="D1004" s="29" t="s">
        <v>1298</v>
      </c>
      <c r="E1004" s="62"/>
      <c r="F1004" s="62"/>
      <c r="G1004" s="20" t="str">
        <f t="shared" si="1"/>
        <v>Business &amp; Industrial, Food Service, Ice Bins, </v>
      </c>
    </row>
    <row r="1005" hidden="1">
      <c r="A1005" s="29">
        <v>5104.0</v>
      </c>
      <c r="B1005" s="29" t="s">
        <v>1247</v>
      </c>
      <c r="C1005" s="29" t="s">
        <v>1281</v>
      </c>
      <c r="D1005" s="29" t="s">
        <v>1299</v>
      </c>
      <c r="E1005" s="62"/>
      <c r="F1005" s="62"/>
      <c r="G1005" s="20" t="str">
        <f t="shared" si="1"/>
        <v>Business &amp; Industrial, Food Service, Plate &amp; Dish Warmers, </v>
      </c>
    </row>
    <row r="1006" hidden="1">
      <c r="A1006" s="29">
        <v>8533.0</v>
      </c>
      <c r="B1006" s="29" t="s">
        <v>1247</v>
      </c>
      <c r="C1006" s="29" t="s">
        <v>1281</v>
      </c>
      <c r="D1006" s="29" t="s">
        <v>1300</v>
      </c>
      <c r="E1006" s="62"/>
      <c r="F1006" s="62"/>
      <c r="G1006" s="20" t="str">
        <f t="shared" si="1"/>
        <v>Business &amp; Industrial, Food Service, Sneeze Guards, </v>
      </c>
    </row>
    <row r="1007" hidden="1">
      <c r="A1007" s="29">
        <v>5097.0</v>
      </c>
      <c r="B1007" s="29" t="s">
        <v>1247</v>
      </c>
      <c r="C1007" s="29" t="s">
        <v>1281</v>
      </c>
      <c r="D1007" s="29" t="s">
        <v>1301</v>
      </c>
      <c r="E1007" s="62"/>
      <c r="F1007" s="62"/>
      <c r="G1007" s="20" t="str">
        <f t="shared" si="1"/>
        <v>Business &amp; Industrial, Food Service, Take-Out Containers, </v>
      </c>
    </row>
    <row r="1008" hidden="1">
      <c r="A1008" s="29">
        <v>7553.0</v>
      </c>
      <c r="B1008" s="29" t="s">
        <v>1247</v>
      </c>
      <c r="C1008" s="29" t="s">
        <v>1281</v>
      </c>
      <c r="D1008" s="29" t="s">
        <v>1302</v>
      </c>
      <c r="E1008" s="62"/>
      <c r="F1008" s="62"/>
      <c r="G1008" s="20" t="str">
        <f t="shared" si="1"/>
        <v>Business &amp; Industrial, Food Service, Tilt Skillets, </v>
      </c>
    </row>
    <row r="1009" hidden="1">
      <c r="A1009" s="29">
        <v>137.0</v>
      </c>
      <c r="B1009" s="29" t="s">
        <v>1247</v>
      </c>
      <c r="C1009" s="29" t="s">
        <v>1281</v>
      </c>
      <c r="D1009" s="29" t="s">
        <v>1303</v>
      </c>
      <c r="E1009" s="62"/>
      <c r="F1009" s="62"/>
      <c r="G1009" s="20" t="str">
        <f t="shared" si="1"/>
        <v>Business &amp; Industrial, Food Service, Vending Machines, </v>
      </c>
    </row>
    <row r="1010" hidden="1">
      <c r="A1010" s="29">
        <v>1827.0</v>
      </c>
      <c r="B1010" s="29" t="s">
        <v>1247</v>
      </c>
      <c r="C1010" s="29" t="s">
        <v>1304</v>
      </c>
      <c r="D1010" s="62"/>
      <c r="E1010" s="62"/>
      <c r="F1010" s="62"/>
      <c r="G1010" s="20" t="str">
        <f t="shared" si="1"/>
        <v>Business &amp; Industrial, Forestry &amp; Logging, , </v>
      </c>
    </row>
    <row r="1011" hidden="1">
      <c r="A1011" s="29">
        <v>7240.0</v>
      </c>
      <c r="B1011" s="29" t="s">
        <v>1247</v>
      </c>
      <c r="C1011" s="29" t="s">
        <v>1305</v>
      </c>
      <c r="D1011" s="62"/>
      <c r="E1011" s="62"/>
      <c r="F1011" s="62"/>
      <c r="G1011" s="20" t="str">
        <f t="shared" si="1"/>
        <v>Business &amp; Industrial, Hairdressing &amp; Cosmetology, , </v>
      </c>
    </row>
    <row r="1012" hidden="1">
      <c r="A1012" s="29">
        <v>505670.0</v>
      </c>
      <c r="B1012" s="29" t="s">
        <v>1247</v>
      </c>
      <c r="C1012" s="29" t="s">
        <v>1305</v>
      </c>
      <c r="D1012" s="29" t="s">
        <v>1306</v>
      </c>
      <c r="F1012" s="62"/>
      <c r="G1012" s="20" t="str">
        <f t="shared" si="1"/>
        <v>Business &amp; Industrial, Hairdressing &amp; Cosmetology, Hairdressing Capes &amp; Neck Covers, </v>
      </c>
    </row>
    <row r="1013" hidden="1">
      <c r="A1013" s="29">
        <v>7242.0</v>
      </c>
      <c r="B1013" s="29" t="s">
        <v>1247</v>
      </c>
      <c r="C1013" s="29" t="s">
        <v>1305</v>
      </c>
      <c r="D1013" s="29" t="s">
        <v>1307</v>
      </c>
      <c r="E1013" s="62"/>
      <c r="F1013" s="62"/>
      <c r="G1013" s="20" t="str">
        <f t="shared" si="1"/>
        <v>Business &amp; Industrial, Hairdressing &amp; Cosmetology, Pedicure Chairs, </v>
      </c>
    </row>
    <row r="1014" hidden="1">
      <c r="A1014" s="29">
        <v>7241.0</v>
      </c>
      <c r="B1014" s="29" t="s">
        <v>1247</v>
      </c>
      <c r="C1014" s="29" t="s">
        <v>1305</v>
      </c>
      <c r="D1014" s="29" t="s">
        <v>1308</v>
      </c>
      <c r="E1014" s="62"/>
      <c r="F1014" s="62"/>
      <c r="G1014" s="20" t="str">
        <f t="shared" si="1"/>
        <v>Business &amp; Industrial, Hairdressing &amp; Cosmetology, Salon Chairs, </v>
      </c>
    </row>
    <row r="1015" hidden="1">
      <c r="A1015" s="29">
        <v>1795.0</v>
      </c>
      <c r="B1015" s="29" t="s">
        <v>1247</v>
      </c>
      <c r="C1015" s="29" t="s">
        <v>1309</v>
      </c>
      <c r="D1015" s="62"/>
      <c r="E1015" s="62"/>
      <c r="F1015" s="62"/>
      <c r="G1015" s="20" t="str">
        <f t="shared" si="1"/>
        <v>Business &amp; Industrial, Heavy Machinery, , </v>
      </c>
    </row>
    <row r="1016" hidden="1">
      <c r="A1016" s="29">
        <v>2072.0</v>
      </c>
      <c r="B1016" s="29" t="s">
        <v>1247</v>
      </c>
      <c r="C1016" s="29" t="s">
        <v>1309</v>
      </c>
      <c r="D1016" s="29" t="s">
        <v>1310</v>
      </c>
      <c r="E1016" s="62"/>
      <c r="F1016" s="62"/>
      <c r="G1016" s="20" t="str">
        <f t="shared" si="1"/>
        <v>Business &amp; Industrial, Heavy Machinery, Chippers, </v>
      </c>
    </row>
    <row r="1017" hidden="1">
      <c r="A1017" s="29">
        <v>1475.0</v>
      </c>
      <c r="B1017" s="29" t="s">
        <v>1247</v>
      </c>
      <c r="C1017" s="29" t="s">
        <v>1311</v>
      </c>
      <c r="D1017" s="62"/>
      <c r="E1017" s="62"/>
      <c r="F1017" s="62"/>
      <c r="G1017" s="20" t="str">
        <f t="shared" si="1"/>
        <v>Business &amp; Industrial, Hotel &amp; Hospitality, , </v>
      </c>
    </row>
    <row r="1018" hidden="1">
      <c r="A1018" s="29">
        <v>5830.0</v>
      </c>
      <c r="B1018" s="29" t="s">
        <v>1247</v>
      </c>
      <c r="C1018" s="29" t="s">
        <v>1312</v>
      </c>
      <c r="D1018" s="62"/>
      <c r="E1018" s="62"/>
      <c r="F1018" s="62"/>
      <c r="G1018" s="20" t="str">
        <f t="shared" si="1"/>
        <v>Business &amp; Industrial, Industrial Storage, , </v>
      </c>
    </row>
    <row r="1019" hidden="1">
      <c r="A1019" s="29">
        <v>5832.0</v>
      </c>
      <c r="B1019" s="29" t="s">
        <v>1247</v>
      </c>
      <c r="C1019" s="29" t="s">
        <v>1312</v>
      </c>
      <c r="D1019" s="29" t="s">
        <v>1313</v>
      </c>
      <c r="E1019" s="62"/>
      <c r="F1019" s="62"/>
      <c r="G1019" s="20" t="str">
        <f t="shared" si="1"/>
        <v>Business &amp; Industrial, Industrial Storage, Industrial Cabinets, </v>
      </c>
    </row>
    <row r="1020" hidden="1">
      <c r="A1020" s="29">
        <v>5833.0</v>
      </c>
      <c r="B1020" s="29" t="s">
        <v>1247</v>
      </c>
      <c r="C1020" s="29" t="s">
        <v>1312</v>
      </c>
      <c r="D1020" s="29" t="s">
        <v>1314</v>
      </c>
      <c r="E1020" s="62"/>
      <c r="F1020" s="62"/>
      <c r="G1020" s="20" t="str">
        <f t="shared" si="1"/>
        <v>Business &amp; Industrial, Industrial Storage, Industrial Shelving, </v>
      </c>
    </row>
    <row r="1021" hidden="1">
      <c r="A1021" s="29">
        <v>5831.0</v>
      </c>
      <c r="B1021" s="29" t="s">
        <v>1247</v>
      </c>
      <c r="C1021" s="29" t="s">
        <v>1312</v>
      </c>
      <c r="D1021" s="29" t="s">
        <v>1315</v>
      </c>
      <c r="E1021" s="62"/>
      <c r="F1021" s="62"/>
      <c r="G1021" s="20" t="str">
        <f t="shared" si="1"/>
        <v>Business &amp; Industrial, Industrial Storage, Shipping Containers, </v>
      </c>
    </row>
    <row r="1022" hidden="1">
      <c r="A1022" s="29">
        <v>8274.0</v>
      </c>
      <c r="B1022" s="29" t="s">
        <v>1247</v>
      </c>
      <c r="C1022" s="29" t="s">
        <v>1312</v>
      </c>
      <c r="D1022" s="29" t="s">
        <v>1316</v>
      </c>
      <c r="F1022" s="62"/>
      <c r="G1022" s="20" t="str">
        <f t="shared" si="1"/>
        <v>Business &amp; Industrial, Industrial Storage, Wire Partitions, Enclosures &amp; Doors, </v>
      </c>
    </row>
    <row r="1023" hidden="1">
      <c r="A1023" s="29">
        <v>8025.0</v>
      </c>
      <c r="B1023" s="29" t="s">
        <v>1247</v>
      </c>
      <c r="C1023" s="29" t="s">
        <v>1317</v>
      </c>
      <c r="D1023" s="62"/>
      <c r="E1023" s="62"/>
      <c r="F1023" s="62"/>
      <c r="G1023" s="20" t="str">
        <f t="shared" si="1"/>
        <v>Business &amp; Industrial, Industrial Storage Accessories, , </v>
      </c>
    </row>
    <row r="1024" hidden="1">
      <c r="A1024" s="29">
        <v>500086.0</v>
      </c>
      <c r="B1024" s="29" t="s">
        <v>1247</v>
      </c>
      <c r="C1024" s="29" t="s">
        <v>1318</v>
      </c>
      <c r="D1024" s="62"/>
      <c r="E1024" s="62"/>
      <c r="F1024" s="62"/>
      <c r="G1024" s="20" t="str">
        <f t="shared" si="1"/>
        <v>Business &amp; Industrial, Janitorial Carts &amp; Caddies, , </v>
      </c>
    </row>
    <row r="1025" hidden="1">
      <c r="A1025" s="29">
        <v>1556.0</v>
      </c>
      <c r="B1025" s="29" t="s">
        <v>1247</v>
      </c>
      <c r="C1025" s="29" t="s">
        <v>1319</v>
      </c>
      <c r="D1025" s="62"/>
      <c r="E1025" s="62"/>
      <c r="F1025" s="62"/>
      <c r="G1025" s="20" t="str">
        <f t="shared" si="1"/>
        <v>Business &amp; Industrial, Law Enforcement, , </v>
      </c>
    </row>
    <row r="1026" hidden="1">
      <c r="A1026" s="29">
        <v>1906.0</v>
      </c>
      <c r="B1026" s="29" t="s">
        <v>1247</v>
      </c>
      <c r="C1026" s="29" t="s">
        <v>1319</v>
      </c>
      <c r="D1026" s="29" t="s">
        <v>1320</v>
      </c>
      <c r="E1026" s="62"/>
      <c r="F1026" s="62"/>
      <c r="G1026" s="20" t="str">
        <f t="shared" si="1"/>
        <v>Business &amp; Industrial, Law Enforcement, Cuffs, </v>
      </c>
    </row>
    <row r="1027" hidden="1">
      <c r="A1027" s="29">
        <v>361.0</v>
      </c>
      <c r="B1027" s="29" t="s">
        <v>1247</v>
      </c>
      <c r="C1027" s="29" t="s">
        <v>1319</v>
      </c>
      <c r="D1027" s="29" t="s">
        <v>1321</v>
      </c>
      <c r="E1027" s="62"/>
      <c r="F1027" s="62"/>
      <c r="G1027" s="20" t="str">
        <f t="shared" si="1"/>
        <v>Business &amp; Industrial, Law Enforcement, Metal Detectors, </v>
      </c>
    </row>
    <row r="1028" hidden="1">
      <c r="A1028" s="29">
        <v>1470.0</v>
      </c>
      <c r="B1028" s="29" t="s">
        <v>1247</v>
      </c>
      <c r="C1028" s="29" t="s">
        <v>1322</v>
      </c>
      <c r="D1028" s="62"/>
      <c r="E1028" s="62"/>
      <c r="F1028" s="62"/>
      <c r="G1028" s="20" t="str">
        <f t="shared" si="1"/>
        <v>Business &amp; Industrial, Manufacturing, , </v>
      </c>
    </row>
    <row r="1029" hidden="1">
      <c r="A1029" s="29">
        <v>6987.0</v>
      </c>
      <c r="B1029" s="29" t="s">
        <v>1247</v>
      </c>
      <c r="C1029" s="29" t="s">
        <v>1323</v>
      </c>
      <c r="D1029" s="62"/>
      <c r="E1029" s="62"/>
      <c r="F1029" s="62"/>
      <c r="G1029" s="20" t="str">
        <f t="shared" si="1"/>
        <v>Business &amp; Industrial, Material Handling, , </v>
      </c>
    </row>
    <row r="1030" hidden="1">
      <c r="A1030" s="29">
        <v>6988.0</v>
      </c>
      <c r="B1030" s="29" t="s">
        <v>1247</v>
      </c>
      <c r="C1030" s="29" t="s">
        <v>1323</v>
      </c>
      <c r="D1030" s="29" t="s">
        <v>1324</v>
      </c>
      <c r="E1030" s="62"/>
      <c r="F1030" s="62"/>
      <c r="G1030" s="20" t="str">
        <f t="shared" si="1"/>
        <v>Business &amp; Industrial, Material Handling, Conveyors, </v>
      </c>
    </row>
    <row r="1031" hidden="1">
      <c r="A1031" s="29">
        <v>131.0</v>
      </c>
      <c r="B1031" s="29" t="s">
        <v>1247</v>
      </c>
      <c r="C1031" s="29" t="s">
        <v>1323</v>
      </c>
      <c r="D1031" s="29" t="s">
        <v>1325</v>
      </c>
      <c r="E1031" s="62"/>
      <c r="F1031" s="62"/>
      <c r="G1031" s="20" t="str">
        <f t="shared" si="1"/>
        <v>Business &amp; Industrial, Material Handling, Lifts &amp; Hoists, </v>
      </c>
    </row>
    <row r="1032" hidden="1">
      <c r="A1032" s="29">
        <v>503768.0</v>
      </c>
      <c r="B1032" s="29" t="s">
        <v>1247</v>
      </c>
      <c r="C1032" s="29" t="s">
        <v>1323</v>
      </c>
      <c r="D1032" s="29" t="s">
        <v>1325</v>
      </c>
      <c r="E1032" s="29" t="s">
        <v>1326</v>
      </c>
      <c r="F1032" s="62"/>
      <c r="G1032" s="20" t="str">
        <f t="shared" si="1"/>
        <v>Business &amp; Industrial, Material Handling, Lifts &amp; Hoists, Hoists, Cranes &amp; Trolleys</v>
      </c>
    </row>
    <row r="1033" hidden="1">
      <c r="A1033" s="29">
        <v>503771.0</v>
      </c>
      <c r="B1033" s="29" t="s">
        <v>1247</v>
      </c>
      <c r="C1033" s="29" t="s">
        <v>1323</v>
      </c>
      <c r="D1033" s="29" t="s">
        <v>1325</v>
      </c>
      <c r="E1033" s="29" t="s">
        <v>1327</v>
      </c>
      <c r="F1033" s="62"/>
      <c r="G1033" s="20" t="str">
        <f t="shared" si="1"/>
        <v>Business &amp; Industrial, Material Handling, Lifts &amp; Hoists, Jacks &amp; Lift Trucks</v>
      </c>
    </row>
    <row r="1034" hidden="1">
      <c r="A1034" s="29">
        <v>503767.0</v>
      </c>
      <c r="B1034" s="29" t="s">
        <v>1247</v>
      </c>
      <c r="C1034" s="29" t="s">
        <v>1323</v>
      </c>
      <c r="D1034" s="29" t="s">
        <v>1325</v>
      </c>
      <c r="E1034" s="29" t="s">
        <v>1328</v>
      </c>
      <c r="F1034" s="62"/>
      <c r="G1034" s="20" t="str">
        <f t="shared" si="1"/>
        <v>Business &amp; Industrial, Material Handling, Lifts &amp; Hoists, Personnel Lifts</v>
      </c>
    </row>
    <row r="1035" hidden="1">
      <c r="A1035" s="29">
        <v>503769.0</v>
      </c>
      <c r="B1035" s="29" t="s">
        <v>1247</v>
      </c>
      <c r="C1035" s="29" t="s">
        <v>1323</v>
      </c>
      <c r="D1035" s="29" t="s">
        <v>1325</v>
      </c>
      <c r="E1035" s="29" t="s">
        <v>1329</v>
      </c>
      <c r="F1035" s="62"/>
      <c r="G1035" s="20" t="str">
        <f t="shared" si="1"/>
        <v>Business &amp; Industrial, Material Handling, Lifts &amp; Hoists, Pulleys, Blocks &amp; Sheaves</v>
      </c>
    </row>
    <row r="1036" hidden="1">
      <c r="A1036" s="29">
        <v>503772.0</v>
      </c>
      <c r="B1036" s="29" t="s">
        <v>1247</v>
      </c>
      <c r="C1036" s="29" t="s">
        <v>1323</v>
      </c>
      <c r="D1036" s="29" t="s">
        <v>1325</v>
      </c>
      <c r="E1036" s="29" t="s">
        <v>1330</v>
      </c>
      <c r="F1036" s="62"/>
      <c r="G1036" s="20" t="str">
        <f t="shared" si="1"/>
        <v>Business &amp; Industrial, Material Handling, Lifts &amp; Hoists, Winches</v>
      </c>
    </row>
    <row r="1037" hidden="1">
      <c r="A1037" s="29">
        <v>503011.0</v>
      </c>
      <c r="B1037" s="29" t="s">
        <v>1247</v>
      </c>
      <c r="C1037" s="29" t="s">
        <v>1323</v>
      </c>
      <c r="D1037" s="29" t="s">
        <v>1331</v>
      </c>
      <c r="F1037" s="62"/>
      <c r="G1037" s="20" t="str">
        <f t="shared" si="1"/>
        <v>Business &amp; Industrial, Material Handling, Pallets &amp; Loading Platforms, </v>
      </c>
    </row>
    <row r="1038" hidden="1">
      <c r="A1038" s="29">
        <v>2496.0</v>
      </c>
      <c r="B1038" s="29" t="s">
        <v>1247</v>
      </c>
      <c r="C1038" s="29" t="s">
        <v>1332</v>
      </c>
      <c r="D1038" s="62"/>
      <c r="E1038" s="62"/>
      <c r="F1038" s="62"/>
      <c r="G1038" s="20" t="str">
        <f t="shared" si="1"/>
        <v>Business &amp; Industrial, Medical, , </v>
      </c>
    </row>
    <row r="1039" hidden="1">
      <c r="A1039" s="29">
        <v>6275.0</v>
      </c>
      <c r="B1039" s="29" t="s">
        <v>1247</v>
      </c>
      <c r="C1039" s="29" t="s">
        <v>1332</v>
      </c>
      <c r="D1039" s="29" t="s">
        <v>1333</v>
      </c>
      <c r="E1039" s="62"/>
      <c r="F1039" s="62"/>
      <c r="G1039" s="20" t="str">
        <f t="shared" si="1"/>
        <v>Business &amp; Industrial, Medical, Hospital Curtains, </v>
      </c>
    </row>
    <row r="1040" hidden="1">
      <c r="A1040" s="29">
        <v>1898.0</v>
      </c>
      <c r="B1040" s="29" t="s">
        <v>1247</v>
      </c>
      <c r="C1040" s="29" t="s">
        <v>1332</v>
      </c>
      <c r="D1040" s="29" t="s">
        <v>1334</v>
      </c>
      <c r="E1040" s="62"/>
      <c r="F1040" s="62"/>
      <c r="G1040" s="20" t="str">
        <f t="shared" si="1"/>
        <v>Business &amp; Industrial, Medical, Hospital Gowns, </v>
      </c>
    </row>
    <row r="1041" hidden="1">
      <c r="A1041" s="29">
        <v>6303.0</v>
      </c>
      <c r="B1041" s="29" t="s">
        <v>1247</v>
      </c>
      <c r="C1041" s="29" t="s">
        <v>1332</v>
      </c>
      <c r="D1041" s="29" t="s">
        <v>1335</v>
      </c>
      <c r="E1041" s="62"/>
      <c r="F1041" s="62"/>
      <c r="G1041" s="20" t="str">
        <f t="shared" si="1"/>
        <v>Business &amp; Industrial, Medical, Medical Bedding, </v>
      </c>
    </row>
    <row r="1042" hidden="1">
      <c r="A1042" s="29">
        <v>3477.0</v>
      </c>
      <c r="B1042" s="29" t="s">
        <v>1247</v>
      </c>
      <c r="C1042" s="29" t="s">
        <v>1332</v>
      </c>
      <c r="D1042" s="29" t="s">
        <v>1336</v>
      </c>
      <c r="E1042" s="62"/>
      <c r="F1042" s="62"/>
      <c r="G1042" s="20" t="str">
        <f t="shared" si="1"/>
        <v>Business &amp; Industrial, Medical, Medical Equipment, </v>
      </c>
    </row>
    <row r="1043" hidden="1">
      <c r="A1043" s="29">
        <v>3230.0</v>
      </c>
      <c r="B1043" s="29" t="s">
        <v>1247</v>
      </c>
      <c r="C1043" s="29" t="s">
        <v>1332</v>
      </c>
      <c r="D1043" s="29" t="s">
        <v>1336</v>
      </c>
      <c r="E1043" s="29" t="s">
        <v>1337</v>
      </c>
      <c r="F1043" s="62"/>
      <c r="G1043" s="20" t="str">
        <f t="shared" si="1"/>
        <v>Business &amp; Industrial, Medical, Medical Equipment, Automated External Defibrillators</v>
      </c>
    </row>
    <row r="1044" hidden="1">
      <c r="A1044" s="29">
        <v>503006.0</v>
      </c>
      <c r="B1044" s="29" t="s">
        <v>1247</v>
      </c>
      <c r="C1044" s="29" t="s">
        <v>1332</v>
      </c>
      <c r="D1044" s="29" t="s">
        <v>1336</v>
      </c>
      <c r="E1044" s="29" t="s">
        <v>1338</v>
      </c>
      <c r="F1044" s="62"/>
      <c r="G1044" s="20" t="str">
        <f t="shared" si="1"/>
        <v>Business &amp; Industrial, Medical, Medical Equipment, Gait Belts</v>
      </c>
    </row>
    <row r="1045" hidden="1">
      <c r="A1045" s="29">
        <v>6972.0</v>
      </c>
      <c r="B1045" s="29" t="s">
        <v>1247</v>
      </c>
      <c r="C1045" s="29" t="s">
        <v>1332</v>
      </c>
      <c r="D1045" s="29" t="s">
        <v>1336</v>
      </c>
      <c r="E1045" s="29" t="s">
        <v>1339</v>
      </c>
      <c r="G1045" s="20" t="str">
        <f t="shared" si="1"/>
        <v>Business &amp; Industrial, Medical, Medical Equipment, Medical Reflex Hammers &amp; Tuning Forks</v>
      </c>
    </row>
    <row r="1046" hidden="1">
      <c r="A1046" s="29">
        <v>499858.0</v>
      </c>
      <c r="B1046" s="29" t="s">
        <v>1247</v>
      </c>
      <c r="C1046" s="29" t="s">
        <v>1332</v>
      </c>
      <c r="D1046" s="29" t="s">
        <v>1336</v>
      </c>
      <c r="E1046" s="29" t="s">
        <v>1340</v>
      </c>
      <c r="F1046" s="62"/>
      <c r="G1046" s="20" t="str">
        <f t="shared" si="1"/>
        <v>Business &amp; Industrial, Medical, Medical Equipment, Medical Stretchers &amp; Gurneys</v>
      </c>
    </row>
    <row r="1047" hidden="1">
      <c r="A1047" s="29">
        <v>4245.0</v>
      </c>
      <c r="B1047" s="29" t="s">
        <v>1247</v>
      </c>
      <c r="C1047" s="29" t="s">
        <v>1332</v>
      </c>
      <c r="D1047" s="29" t="s">
        <v>1336</v>
      </c>
      <c r="E1047" s="29" t="s">
        <v>1341</v>
      </c>
      <c r="F1047" s="62"/>
      <c r="G1047" s="20" t="str">
        <f t="shared" si="1"/>
        <v>Business &amp; Industrial, Medical, Medical Equipment, Otoscopes &amp; Ophthalmoscopes</v>
      </c>
    </row>
    <row r="1048" hidden="1">
      <c r="A1048" s="29">
        <v>7522.0</v>
      </c>
      <c r="B1048" s="29" t="s">
        <v>1247</v>
      </c>
      <c r="C1048" s="29" t="s">
        <v>1332</v>
      </c>
      <c r="D1048" s="29" t="s">
        <v>1336</v>
      </c>
      <c r="E1048" s="29" t="s">
        <v>1342</v>
      </c>
      <c r="F1048" s="62"/>
      <c r="G1048" s="20" t="str">
        <f t="shared" si="1"/>
        <v>Business &amp; Industrial, Medical, Medical Equipment, Patient Lifts</v>
      </c>
    </row>
    <row r="1049" hidden="1">
      <c r="A1049" s="29">
        <v>4364.0</v>
      </c>
      <c r="B1049" s="29" t="s">
        <v>1247</v>
      </c>
      <c r="C1049" s="29" t="s">
        <v>1332</v>
      </c>
      <c r="D1049" s="29" t="s">
        <v>1336</v>
      </c>
      <c r="E1049" s="29" t="s">
        <v>1343</v>
      </c>
      <c r="F1049" s="62"/>
      <c r="G1049" s="20" t="str">
        <f t="shared" si="1"/>
        <v>Business &amp; Industrial, Medical, Medical Equipment, Stethoscopes</v>
      </c>
    </row>
    <row r="1050" hidden="1">
      <c r="A1050" s="29">
        <v>6714.0</v>
      </c>
      <c r="B1050" s="29" t="s">
        <v>1247</v>
      </c>
      <c r="C1050" s="29" t="s">
        <v>1332</v>
      </c>
      <c r="D1050" s="29" t="s">
        <v>1336</v>
      </c>
      <c r="E1050" s="29" t="s">
        <v>1344</v>
      </c>
      <c r="F1050" s="62"/>
      <c r="G1050" s="20" t="str">
        <f t="shared" si="1"/>
        <v>Business &amp; Industrial, Medical, Medical Equipment, Vital Signs Monitor Accessories</v>
      </c>
    </row>
    <row r="1051" hidden="1">
      <c r="A1051" s="29">
        <v>6280.0</v>
      </c>
      <c r="B1051" s="29" t="s">
        <v>1247</v>
      </c>
      <c r="C1051" s="29" t="s">
        <v>1332</v>
      </c>
      <c r="D1051" s="29" t="s">
        <v>1336</v>
      </c>
      <c r="E1051" s="29" t="s">
        <v>1345</v>
      </c>
      <c r="F1051" s="62"/>
      <c r="G1051" s="20" t="str">
        <f t="shared" si="1"/>
        <v>Business &amp; Industrial, Medical, Medical Equipment, Vital Signs Monitors</v>
      </c>
    </row>
    <row r="1052" hidden="1">
      <c r="A1052" s="29">
        <v>5167.0</v>
      </c>
      <c r="B1052" s="29" t="s">
        <v>1247</v>
      </c>
      <c r="C1052" s="29" t="s">
        <v>1332</v>
      </c>
      <c r="D1052" s="29" t="s">
        <v>1346</v>
      </c>
      <c r="E1052" s="62"/>
      <c r="F1052" s="62"/>
      <c r="G1052" s="20" t="str">
        <f t="shared" si="1"/>
        <v>Business &amp; Industrial, Medical, Medical Furniture, </v>
      </c>
    </row>
    <row r="1053" hidden="1">
      <c r="A1053" s="29">
        <v>5168.0</v>
      </c>
      <c r="B1053" s="29" t="s">
        <v>1247</v>
      </c>
      <c r="C1053" s="29" t="s">
        <v>1332</v>
      </c>
      <c r="D1053" s="29" t="s">
        <v>1346</v>
      </c>
      <c r="E1053" s="29" t="s">
        <v>1347</v>
      </c>
      <c r="F1053" s="62"/>
      <c r="G1053" s="20" t="str">
        <f t="shared" si="1"/>
        <v>Business &amp; Industrial, Medical, Medical Furniture, Chiropractic Tables</v>
      </c>
    </row>
    <row r="1054" hidden="1">
      <c r="A1054" s="29">
        <v>5169.0</v>
      </c>
      <c r="B1054" s="29" t="s">
        <v>1247</v>
      </c>
      <c r="C1054" s="29" t="s">
        <v>1332</v>
      </c>
      <c r="D1054" s="29" t="s">
        <v>1346</v>
      </c>
      <c r="E1054" s="29" t="s">
        <v>1348</v>
      </c>
      <c r="F1054" s="62"/>
      <c r="G1054" s="20" t="str">
        <f t="shared" si="1"/>
        <v>Business &amp; Industrial, Medical, Medical Furniture, Examination Chairs &amp; Tables</v>
      </c>
    </row>
    <row r="1055" hidden="1">
      <c r="A1055" s="29">
        <v>4435.0</v>
      </c>
      <c r="B1055" s="29" t="s">
        <v>1247</v>
      </c>
      <c r="C1055" s="29" t="s">
        <v>1332</v>
      </c>
      <c r="D1055" s="29" t="s">
        <v>1346</v>
      </c>
      <c r="E1055" s="29" t="s">
        <v>1349</v>
      </c>
      <c r="F1055" s="62"/>
      <c r="G1055" s="20" t="str">
        <f t="shared" si="1"/>
        <v>Business &amp; Industrial, Medical, Medical Furniture, Homecare &amp; Hospital Beds</v>
      </c>
    </row>
    <row r="1056" hidden="1">
      <c r="A1056" s="29">
        <v>5170.0</v>
      </c>
      <c r="B1056" s="29" t="s">
        <v>1247</v>
      </c>
      <c r="C1056" s="29" t="s">
        <v>1332</v>
      </c>
      <c r="D1056" s="29" t="s">
        <v>1346</v>
      </c>
      <c r="E1056" s="29" t="s">
        <v>1350</v>
      </c>
      <c r="F1056" s="62"/>
      <c r="G1056" s="20" t="str">
        <f t="shared" si="1"/>
        <v>Business &amp; Industrial, Medical, Medical Furniture, Medical Cabinets</v>
      </c>
    </row>
    <row r="1057" hidden="1">
      <c r="A1057" s="29">
        <v>5171.0</v>
      </c>
      <c r="B1057" s="29" t="s">
        <v>1247</v>
      </c>
      <c r="C1057" s="29" t="s">
        <v>1332</v>
      </c>
      <c r="D1057" s="29" t="s">
        <v>1346</v>
      </c>
      <c r="E1057" s="29" t="s">
        <v>1351</v>
      </c>
      <c r="F1057" s="62"/>
      <c r="G1057" s="20" t="str">
        <f t="shared" si="1"/>
        <v>Business &amp; Industrial, Medical, Medical Furniture, Medical Carts</v>
      </c>
    </row>
    <row r="1058" hidden="1">
      <c r="A1058" s="29">
        <v>5173.0</v>
      </c>
      <c r="B1058" s="29" t="s">
        <v>1247</v>
      </c>
      <c r="C1058" s="29" t="s">
        <v>1332</v>
      </c>
      <c r="D1058" s="29" t="s">
        <v>1346</v>
      </c>
      <c r="E1058" s="29" t="s">
        <v>1351</v>
      </c>
      <c r="F1058" s="29" t="s">
        <v>1352</v>
      </c>
      <c r="G1058" s="20" t="str">
        <f t="shared" si="1"/>
        <v>Business &amp; Industrial, Medical, Medical Furniture, Medical CartsCrash Carts</v>
      </c>
    </row>
    <row r="1059" hidden="1">
      <c r="A1059" s="29">
        <v>5174.0</v>
      </c>
      <c r="B1059" s="29" t="s">
        <v>1247</v>
      </c>
      <c r="C1059" s="29" t="s">
        <v>1332</v>
      </c>
      <c r="D1059" s="29" t="s">
        <v>1346</v>
      </c>
      <c r="E1059" s="29" t="s">
        <v>1351</v>
      </c>
      <c r="F1059" s="29" t="s">
        <v>1353</v>
      </c>
      <c r="G1059" s="20" t="str">
        <f t="shared" si="1"/>
        <v>Business &amp; Industrial, Medical, Medical Furniture, Medical CartsIV Poles &amp; Carts</v>
      </c>
    </row>
    <row r="1060" hidden="1">
      <c r="A1060" s="29">
        <v>5172.0</v>
      </c>
      <c r="B1060" s="29" t="s">
        <v>1247</v>
      </c>
      <c r="C1060" s="29" t="s">
        <v>1332</v>
      </c>
      <c r="D1060" s="29" t="s">
        <v>1346</v>
      </c>
      <c r="E1060" s="29" t="s">
        <v>1354</v>
      </c>
      <c r="F1060" s="62"/>
      <c r="G1060" s="20" t="str">
        <f t="shared" si="1"/>
        <v>Business &amp; Industrial, Medical, Medical Furniture, Surgical Tables</v>
      </c>
    </row>
    <row r="1061" hidden="1">
      <c r="A1061" s="29">
        <v>230913.0</v>
      </c>
      <c r="B1061" s="29" t="s">
        <v>1247</v>
      </c>
      <c r="C1061" s="29" t="s">
        <v>1332</v>
      </c>
      <c r="D1061" s="29" t="s">
        <v>1355</v>
      </c>
      <c r="E1061" s="62"/>
      <c r="F1061" s="62"/>
      <c r="G1061" s="20" t="str">
        <f t="shared" si="1"/>
        <v>Business &amp; Industrial, Medical, Medical Instruments, </v>
      </c>
    </row>
    <row r="1062" hidden="1">
      <c r="A1062" s="29">
        <v>6281.0</v>
      </c>
      <c r="B1062" s="29" t="s">
        <v>1247</v>
      </c>
      <c r="C1062" s="29" t="s">
        <v>1332</v>
      </c>
      <c r="D1062" s="29" t="s">
        <v>1355</v>
      </c>
      <c r="E1062" s="29" t="s">
        <v>1356</v>
      </c>
      <c r="F1062" s="62"/>
      <c r="G1062" s="20" t="str">
        <f t="shared" si="1"/>
        <v>Business &amp; Industrial, Medical, Medical Instruments, Medical Forceps</v>
      </c>
    </row>
    <row r="1063" hidden="1">
      <c r="A1063" s="29">
        <v>232166.0</v>
      </c>
      <c r="B1063" s="29" t="s">
        <v>1247</v>
      </c>
      <c r="C1063" s="29" t="s">
        <v>1332</v>
      </c>
      <c r="D1063" s="29" t="s">
        <v>1355</v>
      </c>
      <c r="E1063" s="29" t="s">
        <v>1357</v>
      </c>
      <c r="F1063" s="62"/>
      <c r="G1063" s="20" t="str">
        <f t="shared" si="1"/>
        <v>Business &amp; Industrial, Medical, Medical Instruments, Scalpel Blades</v>
      </c>
    </row>
    <row r="1064" hidden="1">
      <c r="A1064" s="29">
        <v>8026.0</v>
      </c>
      <c r="B1064" s="29" t="s">
        <v>1247</v>
      </c>
      <c r="C1064" s="29" t="s">
        <v>1332</v>
      </c>
      <c r="D1064" s="29" t="s">
        <v>1355</v>
      </c>
      <c r="E1064" s="29" t="s">
        <v>1358</v>
      </c>
      <c r="F1064" s="62"/>
      <c r="G1064" s="20" t="str">
        <f t="shared" si="1"/>
        <v>Business &amp; Industrial, Medical, Medical Instruments, Scalpels</v>
      </c>
    </row>
    <row r="1065" hidden="1">
      <c r="A1065" s="29">
        <v>499935.0</v>
      </c>
      <c r="B1065" s="29" t="s">
        <v>1247</v>
      </c>
      <c r="C1065" s="29" t="s">
        <v>1332</v>
      </c>
      <c r="D1065" s="29" t="s">
        <v>1355</v>
      </c>
      <c r="E1065" s="29" t="s">
        <v>1359</v>
      </c>
      <c r="F1065" s="62"/>
      <c r="G1065" s="20" t="str">
        <f t="shared" si="1"/>
        <v>Business &amp; Industrial, Medical, Medical Instruments, Surgical Needles &amp; Sutures</v>
      </c>
    </row>
    <row r="1066" hidden="1">
      <c r="A1066" s="29">
        <v>2907.0</v>
      </c>
      <c r="B1066" s="29" t="s">
        <v>1247</v>
      </c>
      <c r="C1066" s="29" t="s">
        <v>1332</v>
      </c>
      <c r="D1066" s="29" t="s">
        <v>1360</v>
      </c>
      <c r="E1066" s="62"/>
      <c r="F1066" s="62"/>
      <c r="G1066" s="20" t="str">
        <f t="shared" si="1"/>
        <v>Business &amp; Industrial, Medical, Medical Supplies, </v>
      </c>
    </row>
    <row r="1067" hidden="1">
      <c r="A1067" s="29">
        <v>511.0</v>
      </c>
      <c r="B1067" s="29" t="s">
        <v>1247</v>
      </c>
      <c r="C1067" s="29" t="s">
        <v>1332</v>
      </c>
      <c r="D1067" s="29" t="s">
        <v>1360</v>
      </c>
      <c r="E1067" s="29" t="s">
        <v>1361</v>
      </c>
      <c r="F1067" s="62"/>
      <c r="G1067" s="20" t="str">
        <f t="shared" si="1"/>
        <v>Business &amp; Industrial, Medical, Medical Supplies, Disposable Gloves</v>
      </c>
    </row>
    <row r="1068" hidden="1">
      <c r="A1068" s="29">
        <v>7063.0</v>
      </c>
      <c r="B1068" s="29" t="s">
        <v>1247</v>
      </c>
      <c r="C1068" s="29" t="s">
        <v>1332</v>
      </c>
      <c r="D1068" s="29" t="s">
        <v>1360</v>
      </c>
      <c r="E1068" s="29" t="s">
        <v>1362</v>
      </c>
      <c r="F1068" s="62"/>
      <c r="G1068" s="20" t="str">
        <f t="shared" si="1"/>
        <v>Business &amp; Industrial, Medical, Medical Supplies, Finger Cots</v>
      </c>
    </row>
    <row r="1069" hidden="1">
      <c r="A1069" s="29">
        <v>499696.0</v>
      </c>
      <c r="B1069" s="29" t="s">
        <v>1247</v>
      </c>
      <c r="C1069" s="29" t="s">
        <v>1332</v>
      </c>
      <c r="D1069" s="29" t="s">
        <v>1360</v>
      </c>
      <c r="E1069" s="29" t="s">
        <v>1363</v>
      </c>
      <c r="F1069" s="62"/>
      <c r="G1069" s="20" t="str">
        <f t="shared" si="1"/>
        <v>Business &amp; Industrial, Medical, Medical Supplies, Medical Needles &amp; Syringes</v>
      </c>
    </row>
    <row r="1070" hidden="1">
      <c r="A1070" s="29">
        <v>543672.0</v>
      </c>
      <c r="B1070" s="29" t="s">
        <v>1247</v>
      </c>
      <c r="C1070" s="29" t="s">
        <v>1332</v>
      </c>
      <c r="D1070" s="29" t="s">
        <v>1360</v>
      </c>
      <c r="E1070" s="29" t="s">
        <v>1363</v>
      </c>
      <c r="F1070" s="29" t="s">
        <v>1364</v>
      </c>
      <c r="G1070" s="20" t="str">
        <f t="shared" si="1"/>
        <v>Business &amp; Industrial, Medical, Medical Supplies, Medical Needles &amp; SyringesMedical Needle &amp; Syringe Sets</v>
      </c>
    </row>
    <row r="1071" hidden="1">
      <c r="A1071" s="29">
        <v>543670.0</v>
      </c>
      <c r="B1071" s="29" t="s">
        <v>1247</v>
      </c>
      <c r="C1071" s="29" t="s">
        <v>1332</v>
      </c>
      <c r="D1071" s="29" t="s">
        <v>1360</v>
      </c>
      <c r="E1071" s="29" t="s">
        <v>1363</v>
      </c>
      <c r="F1071" s="29" t="s">
        <v>1365</v>
      </c>
      <c r="G1071" s="20" t="str">
        <f t="shared" si="1"/>
        <v>Business &amp; Industrial, Medical, Medical Supplies, Medical Needles &amp; SyringesMedical Needles</v>
      </c>
    </row>
    <row r="1072" hidden="1">
      <c r="A1072" s="29">
        <v>543671.0</v>
      </c>
      <c r="B1072" s="29" t="s">
        <v>1247</v>
      </c>
      <c r="C1072" s="29" t="s">
        <v>1332</v>
      </c>
      <c r="D1072" s="29" t="s">
        <v>1360</v>
      </c>
      <c r="E1072" s="29" t="s">
        <v>1363</v>
      </c>
      <c r="F1072" s="29" t="s">
        <v>1366</v>
      </c>
      <c r="G1072" s="20" t="str">
        <f t="shared" si="1"/>
        <v>Business &amp; Industrial, Medical, Medical Supplies, Medical Needles &amp; SyringesMedical Syringes</v>
      </c>
    </row>
    <row r="1073" hidden="1">
      <c r="A1073" s="29">
        <v>505828.0</v>
      </c>
      <c r="B1073" s="29" t="s">
        <v>1247</v>
      </c>
      <c r="C1073" s="29" t="s">
        <v>1332</v>
      </c>
      <c r="D1073" s="29" t="s">
        <v>1360</v>
      </c>
      <c r="E1073" s="29" t="s">
        <v>1367</v>
      </c>
      <c r="F1073" s="62"/>
      <c r="G1073" s="20" t="str">
        <f t="shared" si="1"/>
        <v>Business &amp; Industrial, Medical, Medical Supplies, Ostomy Supplies</v>
      </c>
    </row>
    <row r="1074" hidden="1">
      <c r="A1074" s="29">
        <v>7324.0</v>
      </c>
      <c r="B1074" s="29" t="s">
        <v>1247</v>
      </c>
      <c r="C1074" s="29" t="s">
        <v>1332</v>
      </c>
      <c r="D1074" s="29" t="s">
        <v>1360</v>
      </c>
      <c r="E1074" s="29" t="s">
        <v>1368</v>
      </c>
      <c r="F1074" s="62"/>
      <c r="G1074" s="20" t="str">
        <f t="shared" si="1"/>
        <v>Business &amp; Industrial, Medical, Medical Supplies, Tongue Depressors</v>
      </c>
    </row>
    <row r="1075" hidden="1">
      <c r="A1075" s="29">
        <v>6490.0</v>
      </c>
      <c r="B1075" s="29" t="s">
        <v>1247</v>
      </c>
      <c r="C1075" s="29" t="s">
        <v>1332</v>
      </c>
      <c r="D1075" s="29" t="s">
        <v>1369</v>
      </c>
      <c r="F1075" s="62"/>
      <c r="G1075" s="20" t="str">
        <f t="shared" si="1"/>
        <v>Business &amp; Industrial, Medical, Medical Teaching Equipment, </v>
      </c>
    </row>
    <row r="1076" hidden="1">
      <c r="A1076" s="29">
        <v>6491.0</v>
      </c>
      <c r="B1076" s="29" t="s">
        <v>1247</v>
      </c>
      <c r="C1076" s="29" t="s">
        <v>1332</v>
      </c>
      <c r="D1076" s="29" t="s">
        <v>1369</v>
      </c>
      <c r="E1076" s="29" t="s">
        <v>1370</v>
      </c>
      <c r="G1076" s="20" t="str">
        <f t="shared" si="1"/>
        <v>Business &amp; Industrial, Medical, Medical Teaching Equipment, Medical &amp; Emergency Response Training Mannequins</v>
      </c>
    </row>
    <row r="1077" hidden="1">
      <c r="A1077" s="29">
        <v>5602.0</v>
      </c>
      <c r="B1077" s="29" t="s">
        <v>1247</v>
      </c>
      <c r="C1077" s="29" t="s">
        <v>1332</v>
      </c>
      <c r="D1077" s="29" t="s">
        <v>1371</v>
      </c>
      <c r="E1077" s="62"/>
      <c r="F1077" s="62"/>
      <c r="G1077" s="20" t="str">
        <f t="shared" si="1"/>
        <v>Business &amp; Industrial, Medical, Scrub Caps, </v>
      </c>
    </row>
    <row r="1078" hidden="1">
      <c r="A1078" s="29">
        <v>2928.0</v>
      </c>
      <c r="B1078" s="29" t="s">
        <v>1247</v>
      </c>
      <c r="C1078" s="29" t="s">
        <v>1332</v>
      </c>
      <c r="D1078" s="29" t="s">
        <v>1372</v>
      </c>
      <c r="E1078" s="62"/>
      <c r="F1078" s="62"/>
      <c r="G1078" s="20" t="str">
        <f t="shared" si="1"/>
        <v>Business &amp; Industrial, Medical, Scrubs, </v>
      </c>
    </row>
    <row r="1079" hidden="1">
      <c r="A1079" s="29">
        <v>1645.0</v>
      </c>
      <c r="B1079" s="29" t="s">
        <v>1247</v>
      </c>
      <c r="C1079" s="29" t="s">
        <v>1332</v>
      </c>
      <c r="D1079" s="29" t="s">
        <v>1373</v>
      </c>
      <c r="E1079" s="62"/>
      <c r="F1079" s="62"/>
      <c r="G1079" s="20" t="str">
        <f t="shared" si="1"/>
        <v>Business &amp; Industrial, Medical, Surgical Gowns, </v>
      </c>
    </row>
    <row r="1080" hidden="1">
      <c r="A1080" s="29">
        <v>2187.0</v>
      </c>
      <c r="B1080" s="29" t="s">
        <v>1247</v>
      </c>
      <c r="C1080" s="29" t="s">
        <v>1374</v>
      </c>
      <c r="D1080" s="62"/>
      <c r="E1080" s="62"/>
      <c r="F1080" s="62"/>
      <c r="G1080" s="20" t="str">
        <f t="shared" si="1"/>
        <v>Business &amp; Industrial, Mining &amp; Quarrying, , </v>
      </c>
    </row>
    <row r="1081" hidden="1">
      <c r="A1081" s="29">
        <v>4285.0</v>
      </c>
      <c r="B1081" s="29" t="s">
        <v>1247</v>
      </c>
      <c r="C1081" s="29" t="s">
        <v>1375</v>
      </c>
      <c r="D1081" s="62"/>
      <c r="E1081" s="62"/>
      <c r="F1081" s="62"/>
      <c r="G1081" s="20" t="str">
        <f t="shared" si="1"/>
        <v>Business &amp; Industrial, Piercing &amp; Tattooing, , </v>
      </c>
    </row>
    <row r="1082" hidden="1">
      <c r="A1082" s="29">
        <v>4350.0</v>
      </c>
      <c r="B1082" s="29" t="s">
        <v>1247</v>
      </c>
      <c r="C1082" s="29" t="s">
        <v>1375</v>
      </c>
      <c r="D1082" s="29" t="s">
        <v>1376</v>
      </c>
      <c r="E1082" s="62"/>
      <c r="F1082" s="62"/>
      <c r="G1082" s="20" t="str">
        <f t="shared" si="1"/>
        <v>Business &amp; Industrial, Piercing &amp; Tattooing, Piercing Supplies, </v>
      </c>
    </row>
    <row r="1083" hidden="1">
      <c r="A1083" s="29">
        <v>4122.0</v>
      </c>
      <c r="B1083" s="29" t="s">
        <v>1247</v>
      </c>
      <c r="C1083" s="29" t="s">
        <v>1375</v>
      </c>
      <c r="D1083" s="29" t="s">
        <v>1376</v>
      </c>
      <c r="E1083" s="29" t="s">
        <v>1377</v>
      </c>
      <c r="F1083" s="62"/>
      <c r="G1083" s="20" t="str">
        <f t="shared" si="1"/>
        <v>Business &amp; Industrial, Piercing &amp; Tattooing, Piercing Supplies, Piercing Needles</v>
      </c>
    </row>
    <row r="1084" hidden="1">
      <c r="A1084" s="29">
        <v>4326.0</v>
      </c>
      <c r="B1084" s="29" t="s">
        <v>1247</v>
      </c>
      <c r="C1084" s="29" t="s">
        <v>1375</v>
      </c>
      <c r="D1084" s="29" t="s">
        <v>1378</v>
      </c>
      <c r="E1084" s="62"/>
      <c r="F1084" s="62"/>
      <c r="G1084" s="20" t="str">
        <f t="shared" si="1"/>
        <v>Business &amp; Industrial, Piercing &amp; Tattooing, Tattooing Supplies, </v>
      </c>
    </row>
    <row r="1085" hidden="1">
      <c r="A1085" s="29">
        <v>5853.0</v>
      </c>
      <c r="B1085" s="29" t="s">
        <v>1247</v>
      </c>
      <c r="C1085" s="29" t="s">
        <v>1375</v>
      </c>
      <c r="D1085" s="29" t="s">
        <v>1378</v>
      </c>
      <c r="E1085" s="29" t="s">
        <v>1379</v>
      </c>
      <c r="F1085" s="62"/>
      <c r="G1085" s="20" t="str">
        <f t="shared" si="1"/>
        <v>Business &amp; Industrial, Piercing &amp; Tattooing, Tattooing Supplies, Tattoo Cover-Ups</v>
      </c>
    </row>
    <row r="1086" hidden="1">
      <c r="A1086" s="29">
        <v>4215.0</v>
      </c>
      <c r="B1086" s="29" t="s">
        <v>1247</v>
      </c>
      <c r="C1086" s="29" t="s">
        <v>1375</v>
      </c>
      <c r="D1086" s="29" t="s">
        <v>1378</v>
      </c>
      <c r="E1086" s="29" t="s">
        <v>1380</v>
      </c>
      <c r="F1086" s="62"/>
      <c r="G1086" s="20" t="str">
        <f t="shared" si="1"/>
        <v>Business &amp; Industrial, Piercing &amp; Tattooing, Tattooing Supplies, Tattooing Inks</v>
      </c>
    </row>
    <row r="1087" hidden="1">
      <c r="A1087" s="29">
        <v>4379.0</v>
      </c>
      <c r="B1087" s="29" t="s">
        <v>1247</v>
      </c>
      <c r="C1087" s="29" t="s">
        <v>1375</v>
      </c>
      <c r="D1087" s="29" t="s">
        <v>1378</v>
      </c>
      <c r="E1087" s="29" t="s">
        <v>1381</v>
      </c>
      <c r="F1087" s="62"/>
      <c r="G1087" s="20" t="str">
        <f t="shared" si="1"/>
        <v>Business &amp; Industrial, Piercing &amp; Tattooing, Tattooing Supplies, Tattooing Machines</v>
      </c>
    </row>
    <row r="1088" hidden="1">
      <c r="A1088" s="29">
        <v>4072.0</v>
      </c>
      <c r="B1088" s="29" t="s">
        <v>1247</v>
      </c>
      <c r="C1088" s="29" t="s">
        <v>1375</v>
      </c>
      <c r="D1088" s="29" t="s">
        <v>1378</v>
      </c>
      <c r="E1088" s="29" t="s">
        <v>1382</v>
      </c>
      <c r="F1088" s="62"/>
      <c r="G1088" s="20" t="str">
        <f t="shared" si="1"/>
        <v>Business &amp; Industrial, Piercing &amp; Tattooing, Tattooing Supplies, Tattooing Needles</v>
      </c>
    </row>
    <row r="1089" hidden="1">
      <c r="A1089" s="29">
        <v>138.0</v>
      </c>
      <c r="B1089" s="29" t="s">
        <v>1247</v>
      </c>
      <c r="C1089" s="29" t="s">
        <v>1383</v>
      </c>
      <c r="D1089" s="62"/>
      <c r="E1089" s="62"/>
      <c r="F1089" s="62"/>
      <c r="G1089" s="20" t="str">
        <f t="shared" si="1"/>
        <v>Business &amp; Industrial, Retail, , </v>
      </c>
    </row>
    <row r="1090" hidden="1">
      <c r="A1090" s="29">
        <v>4244.0</v>
      </c>
      <c r="B1090" s="29" t="s">
        <v>1247</v>
      </c>
      <c r="C1090" s="29" t="s">
        <v>1383</v>
      </c>
      <c r="D1090" s="29" t="s">
        <v>1384</v>
      </c>
      <c r="E1090" s="62"/>
      <c r="F1090" s="62"/>
      <c r="G1090" s="20" t="str">
        <f t="shared" si="1"/>
        <v>Business &amp; Industrial, Retail, Clothing Display Racks, </v>
      </c>
    </row>
    <row r="1091" hidden="1">
      <c r="A1091" s="29">
        <v>3803.0</v>
      </c>
      <c r="B1091" s="29" t="s">
        <v>1247</v>
      </c>
      <c r="C1091" s="29" t="s">
        <v>1383</v>
      </c>
      <c r="D1091" s="29" t="s">
        <v>1385</v>
      </c>
      <c r="E1091" s="62"/>
      <c r="F1091" s="62"/>
      <c r="G1091" s="20" t="str">
        <f t="shared" si="1"/>
        <v>Business &amp; Industrial, Retail, Display Mannequins, </v>
      </c>
    </row>
    <row r="1092" hidden="1">
      <c r="A1092" s="29">
        <v>7128.0</v>
      </c>
      <c r="B1092" s="29" t="s">
        <v>1247</v>
      </c>
      <c r="C1092" s="29" t="s">
        <v>1383</v>
      </c>
      <c r="D1092" s="29" t="s">
        <v>1386</v>
      </c>
      <c r="E1092" s="62"/>
      <c r="F1092" s="62"/>
      <c r="G1092" s="20" t="str">
        <f t="shared" si="1"/>
        <v>Business &amp; Industrial, Retail, Mannequin Parts, </v>
      </c>
    </row>
    <row r="1093" hidden="1">
      <c r="A1093" s="29">
        <v>4181.0</v>
      </c>
      <c r="B1093" s="29" t="s">
        <v>1247</v>
      </c>
      <c r="C1093" s="29" t="s">
        <v>1383</v>
      </c>
      <c r="D1093" s="29" t="s">
        <v>1387</v>
      </c>
      <c r="E1093" s="62"/>
      <c r="F1093" s="62"/>
      <c r="G1093" s="20" t="str">
        <f t="shared" si="1"/>
        <v>Business &amp; Industrial, Retail, Money Handling, </v>
      </c>
    </row>
    <row r="1094" hidden="1">
      <c r="A1094" s="29">
        <v>4290.0</v>
      </c>
      <c r="B1094" s="29" t="s">
        <v>1247</v>
      </c>
      <c r="C1094" s="29" t="s">
        <v>1383</v>
      </c>
      <c r="D1094" s="29" t="s">
        <v>1387</v>
      </c>
      <c r="E1094" s="29" t="s">
        <v>1388</v>
      </c>
      <c r="F1094" s="62"/>
      <c r="G1094" s="20" t="str">
        <f t="shared" si="1"/>
        <v>Business &amp; Industrial, Retail, Money Handling, Banknote Verifiers</v>
      </c>
    </row>
    <row r="1095" hidden="1">
      <c r="A1095" s="29">
        <v>505825.0</v>
      </c>
      <c r="B1095" s="29" t="s">
        <v>1247</v>
      </c>
      <c r="C1095" s="29" t="s">
        <v>1383</v>
      </c>
      <c r="D1095" s="29" t="s">
        <v>1387</v>
      </c>
      <c r="E1095" s="29" t="s">
        <v>1389</v>
      </c>
      <c r="G1095" s="20" t="str">
        <f t="shared" si="1"/>
        <v>Business &amp; Industrial, Retail, Money Handling, Cash Register &amp; POS Terminal Accessories</v>
      </c>
    </row>
    <row r="1096" hidden="1">
      <c r="A1096" s="29">
        <v>4283.0</v>
      </c>
      <c r="B1096" s="29" t="s">
        <v>1247</v>
      </c>
      <c r="C1096" s="29" t="s">
        <v>1383</v>
      </c>
      <c r="D1096" s="29" t="s">
        <v>1387</v>
      </c>
      <c r="E1096" s="29" t="s">
        <v>1389</v>
      </c>
      <c r="F1096" s="29" t="s">
        <v>1390</v>
      </c>
      <c r="G1096" s="20" t="str">
        <f t="shared" si="1"/>
        <v>Business &amp; Industrial, Retail, Money Handling, Cash Register &amp; POS Terminal AccessoriesCash Drawers &amp; Trays</v>
      </c>
    </row>
    <row r="1097" hidden="1">
      <c r="A1097" s="29">
        <v>505808.0</v>
      </c>
      <c r="B1097" s="29" t="s">
        <v>1247</v>
      </c>
      <c r="C1097" s="29" t="s">
        <v>1383</v>
      </c>
      <c r="D1097" s="29" t="s">
        <v>1387</v>
      </c>
      <c r="E1097" s="29" t="s">
        <v>1389</v>
      </c>
      <c r="F1097" s="29" t="s">
        <v>1391</v>
      </c>
      <c r="G1097" s="20" t="str">
        <f t="shared" si="1"/>
        <v>Business &amp; Industrial, Retail, Money Handling, Cash Register &amp; POS Terminal AccessoriesCredit Card Terminals</v>
      </c>
    </row>
    <row r="1098" hidden="1">
      <c r="A1098" s="29">
        <v>5310.0</v>
      </c>
      <c r="B1098" s="29" t="s">
        <v>1247</v>
      </c>
      <c r="C1098" s="29" t="s">
        <v>1383</v>
      </c>
      <c r="D1098" s="29" t="s">
        <v>1387</v>
      </c>
      <c r="E1098" s="29" t="s">
        <v>1389</v>
      </c>
      <c r="F1098" s="29" t="s">
        <v>1392</v>
      </c>
      <c r="G1098" s="20" t="str">
        <f t="shared" si="1"/>
        <v>Business &amp; Industrial, Retail, Money Handling, Cash Register &amp; POS Terminal AccessoriesSignature Capture Pads</v>
      </c>
    </row>
    <row r="1099" hidden="1">
      <c r="A1099" s="29">
        <v>505824.0</v>
      </c>
      <c r="B1099" s="29" t="s">
        <v>1247</v>
      </c>
      <c r="C1099" s="29" t="s">
        <v>1383</v>
      </c>
      <c r="D1099" s="29" t="s">
        <v>1387</v>
      </c>
      <c r="E1099" s="29" t="s">
        <v>1393</v>
      </c>
      <c r="F1099" s="62"/>
      <c r="G1099" s="20" t="str">
        <f t="shared" si="1"/>
        <v>Business &amp; Industrial, Retail, Money Handling, Cash Registers &amp; POS Terminals</v>
      </c>
    </row>
    <row r="1100" hidden="1">
      <c r="A1100" s="29">
        <v>543647.0</v>
      </c>
      <c r="B1100" s="29" t="s">
        <v>1247</v>
      </c>
      <c r="C1100" s="29" t="s">
        <v>1383</v>
      </c>
      <c r="D1100" s="29" t="s">
        <v>1387</v>
      </c>
      <c r="E1100" s="29" t="s">
        <v>1393</v>
      </c>
      <c r="F1100" s="29" t="s">
        <v>1394</v>
      </c>
      <c r="G1100" s="20" t="str">
        <f t="shared" si="1"/>
        <v>Business &amp; Industrial, Retail, Money Handling, Cash Registers &amp; POS TerminalsCash Registers</v>
      </c>
    </row>
    <row r="1101" hidden="1">
      <c r="A1101" s="29">
        <v>543648.0</v>
      </c>
      <c r="B1101" s="29" t="s">
        <v>1247</v>
      </c>
      <c r="C1101" s="29" t="s">
        <v>1383</v>
      </c>
      <c r="D1101" s="29" t="s">
        <v>1387</v>
      </c>
      <c r="E1101" s="29" t="s">
        <v>1393</v>
      </c>
      <c r="F1101" s="29" t="s">
        <v>1395</v>
      </c>
      <c r="G1101" s="20" t="str">
        <f t="shared" si="1"/>
        <v>Business &amp; Industrial, Retail, Money Handling, Cash Registers &amp; POS TerminalsPOS Terminals</v>
      </c>
    </row>
    <row r="1102" hidden="1">
      <c r="A1102" s="29">
        <v>4151.0</v>
      </c>
      <c r="B1102" s="29" t="s">
        <v>1247</v>
      </c>
      <c r="C1102" s="29" t="s">
        <v>1383</v>
      </c>
      <c r="D1102" s="29" t="s">
        <v>1387</v>
      </c>
      <c r="E1102" s="29" t="s">
        <v>1396</v>
      </c>
      <c r="F1102" s="62"/>
      <c r="G1102" s="20" t="str">
        <f t="shared" si="1"/>
        <v>Business &amp; Industrial, Retail, Money Handling, Coin &amp; Bill Counters</v>
      </c>
    </row>
    <row r="1103" hidden="1">
      <c r="A1103" s="29">
        <v>3273.0</v>
      </c>
      <c r="B1103" s="29" t="s">
        <v>1247</v>
      </c>
      <c r="C1103" s="29" t="s">
        <v>1383</v>
      </c>
      <c r="D1103" s="29" t="s">
        <v>1387</v>
      </c>
      <c r="E1103" s="29" t="s">
        <v>1397</v>
      </c>
      <c r="F1103" s="62"/>
      <c r="G1103" s="20" t="str">
        <f t="shared" si="1"/>
        <v>Business &amp; Industrial, Retail, Money Handling, Money Changers</v>
      </c>
    </row>
    <row r="1104" hidden="1">
      <c r="A1104" s="29">
        <v>4329.0</v>
      </c>
      <c r="B1104" s="29" t="s">
        <v>1247</v>
      </c>
      <c r="C1104" s="29" t="s">
        <v>1383</v>
      </c>
      <c r="D1104" s="29" t="s">
        <v>1387</v>
      </c>
      <c r="E1104" s="29" t="s">
        <v>1398</v>
      </c>
      <c r="F1104" s="62"/>
      <c r="G1104" s="20" t="str">
        <f t="shared" si="1"/>
        <v>Business &amp; Industrial, Retail, Money Handling, Money Deposit Bags</v>
      </c>
    </row>
    <row r="1105" hidden="1">
      <c r="A1105" s="29">
        <v>4055.0</v>
      </c>
      <c r="B1105" s="29" t="s">
        <v>1247</v>
      </c>
      <c r="C1105" s="29" t="s">
        <v>1383</v>
      </c>
      <c r="D1105" s="29" t="s">
        <v>1387</v>
      </c>
      <c r="E1105" s="29" t="s">
        <v>1399</v>
      </c>
      <c r="G1105" s="20" t="str">
        <f t="shared" si="1"/>
        <v>Business &amp; Industrial, Retail, Money Handling, Paper Coin Wrappers &amp; Bill Straps</v>
      </c>
    </row>
    <row r="1106" hidden="1">
      <c r="A1106" s="29">
        <v>1837.0</v>
      </c>
      <c r="B1106" s="29" t="s">
        <v>1247</v>
      </c>
      <c r="C1106" s="29" t="s">
        <v>1383</v>
      </c>
      <c r="D1106" s="29" t="s">
        <v>1400</v>
      </c>
      <c r="F1106" s="62"/>
      <c r="G1106" s="20" t="str">
        <f t="shared" si="1"/>
        <v>Business &amp; Industrial, Retail, Paper &amp; Plastic Shopping Bags, </v>
      </c>
    </row>
    <row r="1107" hidden="1">
      <c r="A1107" s="29">
        <v>4127.0</v>
      </c>
      <c r="B1107" s="29" t="s">
        <v>1247</v>
      </c>
      <c r="C1107" s="29" t="s">
        <v>1383</v>
      </c>
      <c r="D1107" s="29" t="s">
        <v>1401</v>
      </c>
      <c r="E1107" s="62"/>
      <c r="F1107" s="62"/>
      <c r="G1107" s="20" t="str">
        <f t="shared" si="1"/>
        <v>Business &amp; Industrial, Retail, Pricing Guns, </v>
      </c>
    </row>
    <row r="1108" hidden="1">
      <c r="A1108" s="29">
        <v>4160.0</v>
      </c>
      <c r="B1108" s="29" t="s">
        <v>1247</v>
      </c>
      <c r="C1108" s="29" t="s">
        <v>1383</v>
      </c>
      <c r="D1108" s="29" t="s">
        <v>1402</v>
      </c>
      <c r="E1108" s="62"/>
      <c r="F1108" s="62"/>
      <c r="G1108" s="20" t="str">
        <f t="shared" si="1"/>
        <v>Business &amp; Industrial, Retail, Retail Display Cases, </v>
      </c>
    </row>
    <row r="1109" hidden="1">
      <c r="A1109" s="29">
        <v>499897.0</v>
      </c>
      <c r="B1109" s="29" t="s">
        <v>1247</v>
      </c>
      <c r="C1109" s="29" t="s">
        <v>1383</v>
      </c>
      <c r="D1109" s="29" t="s">
        <v>1403</v>
      </c>
      <c r="F1109" s="62"/>
      <c r="G1109" s="20" t="str">
        <f t="shared" si="1"/>
        <v>Business &amp; Industrial, Retail, Retail Display Props &amp; Models, </v>
      </c>
    </row>
    <row r="1110" hidden="1">
      <c r="A1110" s="29">
        <v>1624.0</v>
      </c>
      <c r="B1110" s="29" t="s">
        <v>1247</v>
      </c>
      <c r="C1110" s="29" t="s">
        <v>1404</v>
      </c>
      <c r="D1110" s="62"/>
      <c r="E1110" s="62"/>
      <c r="F1110" s="62"/>
      <c r="G1110" s="20" t="str">
        <f t="shared" si="1"/>
        <v>Business &amp; Industrial, Science &amp; Laboratory, , </v>
      </c>
    </row>
    <row r="1111" hidden="1">
      <c r="A1111" s="29">
        <v>6975.0</v>
      </c>
      <c r="B1111" s="29" t="s">
        <v>1247</v>
      </c>
      <c r="C1111" s="29" t="s">
        <v>1404</v>
      </c>
      <c r="D1111" s="29" t="s">
        <v>1405</v>
      </c>
      <c r="E1111" s="62"/>
      <c r="F1111" s="62"/>
      <c r="G1111" s="20" t="str">
        <f t="shared" si="1"/>
        <v>Business &amp; Industrial, Science &amp; Laboratory, Biochemicals, </v>
      </c>
    </row>
    <row r="1112" hidden="1">
      <c r="A1112" s="29">
        <v>7325.0</v>
      </c>
      <c r="B1112" s="29" t="s">
        <v>1247</v>
      </c>
      <c r="C1112" s="29" t="s">
        <v>1404</v>
      </c>
      <c r="D1112" s="29" t="s">
        <v>1406</v>
      </c>
      <c r="E1112" s="62"/>
      <c r="F1112" s="62"/>
      <c r="G1112" s="20" t="str">
        <f t="shared" si="1"/>
        <v>Business &amp; Industrial, Science &amp; Laboratory, Dissection Kits, </v>
      </c>
    </row>
    <row r="1113" hidden="1">
      <c r="A1113" s="29">
        <v>3002.0</v>
      </c>
      <c r="B1113" s="29" t="s">
        <v>1247</v>
      </c>
      <c r="C1113" s="29" t="s">
        <v>1404</v>
      </c>
      <c r="D1113" s="29" t="s">
        <v>1407</v>
      </c>
      <c r="E1113" s="62"/>
      <c r="F1113" s="62"/>
      <c r="G1113" s="20" t="str">
        <f t="shared" si="1"/>
        <v>Business &amp; Industrial, Science &amp; Laboratory, Laboratory Chemicals, </v>
      </c>
    </row>
    <row r="1114" hidden="1">
      <c r="A1114" s="29">
        <v>4335.0</v>
      </c>
      <c r="B1114" s="29" t="s">
        <v>1247</v>
      </c>
      <c r="C1114" s="29" t="s">
        <v>1404</v>
      </c>
      <c r="D1114" s="29" t="s">
        <v>1408</v>
      </c>
      <c r="E1114" s="62"/>
      <c r="F1114" s="62"/>
      <c r="G1114" s="20" t="str">
        <f t="shared" si="1"/>
        <v>Business &amp; Industrial, Science &amp; Laboratory, Laboratory Equipment, </v>
      </c>
    </row>
    <row r="1115" hidden="1">
      <c r="A1115" s="29">
        <v>4116.0</v>
      </c>
      <c r="B1115" s="29" t="s">
        <v>1247</v>
      </c>
      <c r="C1115" s="29" t="s">
        <v>1404</v>
      </c>
      <c r="D1115" s="29" t="s">
        <v>1408</v>
      </c>
      <c r="E1115" s="29" t="s">
        <v>1409</v>
      </c>
      <c r="F1115" s="62"/>
      <c r="G1115" s="20" t="str">
        <f t="shared" si="1"/>
        <v>Business &amp; Industrial, Science &amp; Laboratory, Laboratory Equipment, Autoclaves</v>
      </c>
    </row>
    <row r="1116" hidden="1">
      <c r="A1116" s="29">
        <v>4336.0</v>
      </c>
      <c r="B1116" s="29" t="s">
        <v>1247</v>
      </c>
      <c r="C1116" s="29" t="s">
        <v>1404</v>
      </c>
      <c r="D1116" s="29" t="s">
        <v>1408</v>
      </c>
      <c r="E1116" s="29" t="s">
        <v>1410</v>
      </c>
      <c r="F1116" s="62"/>
      <c r="G1116" s="20" t="str">
        <f t="shared" si="1"/>
        <v>Business &amp; Industrial, Science &amp; Laboratory, Laboratory Equipment, Centrifuges</v>
      </c>
    </row>
    <row r="1117" hidden="1">
      <c r="A1117" s="29">
        <v>7218.0</v>
      </c>
      <c r="B1117" s="29" t="s">
        <v>1247</v>
      </c>
      <c r="C1117" s="29" t="s">
        <v>1404</v>
      </c>
      <c r="D1117" s="29" t="s">
        <v>1408</v>
      </c>
      <c r="E1117" s="29" t="s">
        <v>1411</v>
      </c>
      <c r="F1117" s="62"/>
      <c r="G1117" s="20" t="str">
        <f t="shared" si="1"/>
        <v>Business &amp; Industrial, Science &amp; Laboratory, Laboratory Equipment, Dry Ice Makers</v>
      </c>
    </row>
    <row r="1118" hidden="1">
      <c r="A1118" s="29">
        <v>500057.0</v>
      </c>
      <c r="B1118" s="29" t="s">
        <v>1247</v>
      </c>
      <c r="C1118" s="29" t="s">
        <v>1404</v>
      </c>
      <c r="D1118" s="29" t="s">
        <v>1408</v>
      </c>
      <c r="E1118" s="29" t="s">
        <v>1412</v>
      </c>
      <c r="F1118" s="62"/>
      <c r="G1118" s="20" t="str">
        <f t="shared" si="1"/>
        <v>Business &amp; Industrial, Science &amp; Laboratory, Laboratory Equipment, Freeze-Drying Machines</v>
      </c>
    </row>
    <row r="1119" hidden="1">
      <c r="A1119" s="29">
        <v>4474.0</v>
      </c>
      <c r="B1119" s="29" t="s">
        <v>1247</v>
      </c>
      <c r="C1119" s="29" t="s">
        <v>1404</v>
      </c>
      <c r="D1119" s="29" t="s">
        <v>1408</v>
      </c>
      <c r="E1119" s="29" t="s">
        <v>1413</v>
      </c>
      <c r="F1119" s="62"/>
      <c r="G1119" s="20" t="str">
        <f t="shared" si="1"/>
        <v>Business &amp; Industrial, Science &amp; Laboratory, Laboratory Equipment, Laboratory Blenders</v>
      </c>
    </row>
    <row r="1120" hidden="1">
      <c r="A1120" s="29">
        <v>500114.0</v>
      </c>
      <c r="B1120" s="29" t="s">
        <v>1247</v>
      </c>
      <c r="C1120" s="29" t="s">
        <v>1404</v>
      </c>
      <c r="D1120" s="29" t="s">
        <v>1408</v>
      </c>
      <c r="E1120" s="29" t="s">
        <v>1414</v>
      </c>
      <c r="F1120" s="62"/>
      <c r="G1120" s="20" t="str">
        <f t="shared" si="1"/>
        <v>Business &amp; Industrial, Science &amp; Laboratory, Laboratory Equipment, Laboratory Freezers</v>
      </c>
    </row>
    <row r="1121" hidden="1">
      <c r="A1121" s="29">
        <v>503722.0</v>
      </c>
      <c r="B1121" s="29" t="s">
        <v>1247</v>
      </c>
      <c r="C1121" s="29" t="s">
        <v>1404</v>
      </c>
      <c r="D1121" s="29" t="s">
        <v>1408</v>
      </c>
      <c r="E1121" s="29" t="s">
        <v>1415</v>
      </c>
      <c r="F1121" s="62"/>
      <c r="G1121" s="20" t="str">
        <f t="shared" si="1"/>
        <v>Business &amp; Industrial, Science &amp; Laboratory, Laboratory Equipment, Laboratory Funnels</v>
      </c>
    </row>
    <row r="1122" hidden="1">
      <c r="A1122" s="29">
        <v>4133.0</v>
      </c>
      <c r="B1122" s="29" t="s">
        <v>1247</v>
      </c>
      <c r="C1122" s="29" t="s">
        <v>1404</v>
      </c>
      <c r="D1122" s="29" t="s">
        <v>1408</v>
      </c>
      <c r="E1122" s="29" t="s">
        <v>1416</v>
      </c>
      <c r="F1122" s="62"/>
      <c r="G1122" s="20" t="str">
        <f t="shared" si="1"/>
        <v>Business &amp; Industrial, Science &amp; Laboratory, Laboratory Equipment, Laboratory Hot Plates</v>
      </c>
    </row>
    <row r="1123" hidden="1">
      <c r="A1123" s="29">
        <v>4231.0</v>
      </c>
      <c r="B1123" s="29" t="s">
        <v>1247</v>
      </c>
      <c r="C1123" s="29" t="s">
        <v>1404</v>
      </c>
      <c r="D1123" s="29" t="s">
        <v>1408</v>
      </c>
      <c r="E1123" s="29" t="s">
        <v>1417</v>
      </c>
      <c r="F1123" s="62"/>
      <c r="G1123" s="20" t="str">
        <f t="shared" si="1"/>
        <v>Business &amp; Industrial, Science &amp; Laboratory, Laboratory Equipment, Laboratory Ovens</v>
      </c>
    </row>
    <row r="1124" hidden="1">
      <c r="A1124" s="29">
        <v>4555.0</v>
      </c>
      <c r="B1124" s="29" t="s">
        <v>1247</v>
      </c>
      <c r="C1124" s="29" t="s">
        <v>1404</v>
      </c>
      <c r="D1124" s="29" t="s">
        <v>1408</v>
      </c>
      <c r="E1124" s="29" t="s">
        <v>1418</v>
      </c>
      <c r="F1124" s="62"/>
      <c r="G1124" s="20" t="str">
        <f t="shared" si="1"/>
        <v>Business &amp; Industrial, Science &amp; Laboratory, Laboratory Equipment, Microscope Accessories</v>
      </c>
    </row>
    <row r="1125" hidden="1">
      <c r="A1125" s="29">
        <v>4557.0</v>
      </c>
      <c r="B1125" s="29" t="s">
        <v>1247</v>
      </c>
      <c r="C1125" s="29" t="s">
        <v>1404</v>
      </c>
      <c r="D1125" s="29" t="s">
        <v>1408</v>
      </c>
      <c r="E1125" s="29" t="s">
        <v>1418</v>
      </c>
      <c r="F1125" s="29" t="s">
        <v>1419</v>
      </c>
      <c r="G1125" s="20" t="str">
        <f t="shared" si="1"/>
        <v>Business &amp; Industrial, Science &amp; Laboratory, Laboratory Equipment, Microscope AccessoriesMicroscope Cameras</v>
      </c>
    </row>
    <row r="1126" hidden="1">
      <c r="A1126" s="29">
        <v>4556.0</v>
      </c>
      <c r="B1126" s="29" t="s">
        <v>1247</v>
      </c>
      <c r="C1126" s="29" t="s">
        <v>1404</v>
      </c>
      <c r="D1126" s="29" t="s">
        <v>1408</v>
      </c>
      <c r="E1126" s="29" t="s">
        <v>1418</v>
      </c>
      <c r="F1126" s="29" t="s">
        <v>1420</v>
      </c>
      <c r="G1126" s="20" t="str">
        <f t="shared" si="1"/>
        <v>Business &amp; Industrial, Science &amp; Laboratory, Laboratory Equipment, Microscope AccessoriesMicroscope Eyepieces &amp; Adapters</v>
      </c>
    </row>
    <row r="1127" hidden="1">
      <c r="A1127" s="29">
        <v>4665.0</v>
      </c>
      <c r="B1127" s="29" t="s">
        <v>1247</v>
      </c>
      <c r="C1127" s="29" t="s">
        <v>1404</v>
      </c>
      <c r="D1127" s="29" t="s">
        <v>1408</v>
      </c>
      <c r="E1127" s="29" t="s">
        <v>1418</v>
      </c>
      <c r="F1127" s="29" t="s">
        <v>1421</v>
      </c>
      <c r="G1127" s="20" t="str">
        <f t="shared" si="1"/>
        <v>Business &amp; Industrial, Science &amp; Laboratory, Laboratory Equipment, Microscope AccessoriesMicroscope Objective Lenses</v>
      </c>
    </row>
    <row r="1128" hidden="1">
      <c r="A1128" s="29">
        <v>4664.0</v>
      </c>
      <c r="B1128" s="29" t="s">
        <v>1247</v>
      </c>
      <c r="C1128" s="29" t="s">
        <v>1404</v>
      </c>
      <c r="D1128" s="29" t="s">
        <v>1408</v>
      </c>
      <c r="E1128" s="29" t="s">
        <v>1418</v>
      </c>
      <c r="F1128" s="29" t="s">
        <v>1422</v>
      </c>
      <c r="G1128" s="20" t="str">
        <f t="shared" si="1"/>
        <v>Business &amp; Industrial, Science &amp; Laboratory, Laboratory Equipment, Microscope AccessoriesMicroscope Replacement Bulbs</v>
      </c>
    </row>
    <row r="1129" hidden="1">
      <c r="A1129" s="29">
        <v>4558.0</v>
      </c>
      <c r="B1129" s="29" t="s">
        <v>1247</v>
      </c>
      <c r="C1129" s="29" t="s">
        <v>1404</v>
      </c>
      <c r="D1129" s="29" t="s">
        <v>1408</v>
      </c>
      <c r="E1129" s="29" t="s">
        <v>1418</v>
      </c>
      <c r="F1129" s="29" t="s">
        <v>1423</v>
      </c>
      <c r="G1129" s="20" t="str">
        <f t="shared" si="1"/>
        <v>Business &amp; Industrial, Science &amp; Laboratory, Laboratory Equipment, Microscope AccessoriesMicroscope Slides</v>
      </c>
    </row>
    <row r="1130" hidden="1">
      <c r="A1130" s="29">
        <v>158.0</v>
      </c>
      <c r="B1130" s="29" t="s">
        <v>1247</v>
      </c>
      <c r="C1130" s="29" t="s">
        <v>1404</v>
      </c>
      <c r="D1130" s="29" t="s">
        <v>1408</v>
      </c>
      <c r="E1130" s="29" t="s">
        <v>1424</v>
      </c>
      <c r="F1130" s="62"/>
      <c r="G1130" s="20" t="str">
        <f t="shared" si="1"/>
        <v>Business &amp; Industrial, Science &amp; Laboratory, Laboratory Equipment, Microscopes</v>
      </c>
    </row>
    <row r="1131" hidden="1">
      <c r="A1131" s="29">
        <v>7437.0</v>
      </c>
      <c r="B1131" s="29" t="s">
        <v>1247</v>
      </c>
      <c r="C1131" s="29" t="s">
        <v>1404</v>
      </c>
      <c r="D1131" s="29" t="s">
        <v>1408</v>
      </c>
      <c r="E1131" s="29" t="s">
        <v>1425</v>
      </c>
      <c r="F1131" s="62"/>
      <c r="G1131" s="20" t="str">
        <f t="shared" si="1"/>
        <v>Business &amp; Industrial, Science &amp; Laboratory, Laboratory Equipment, Microtomes</v>
      </c>
    </row>
    <row r="1132" hidden="1">
      <c r="A1132" s="29">
        <v>7468.0</v>
      </c>
      <c r="B1132" s="29" t="s">
        <v>1247</v>
      </c>
      <c r="C1132" s="29" t="s">
        <v>1404</v>
      </c>
      <c r="D1132" s="29" t="s">
        <v>1408</v>
      </c>
      <c r="E1132" s="29" t="s">
        <v>1426</v>
      </c>
      <c r="F1132" s="62"/>
      <c r="G1132" s="20" t="str">
        <f t="shared" si="1"/>
        <v>Business &amp; Industrial, Science &amp; Laboratory, Laboratory Equipment, Spectrometer Accessories</v>
      </c>
    </row>
    <row r="1133" hidden="1">
      <c r="A1133" s="29">
        <v>7393.0</v>
      </c>
      <c r="B1133" s="29" t="s">
        <v>1247</v>
      </c>
      <c r="C1133" s="29" t="s">
        <v>1404</v>
      </c>
      <c r="D1133" s="29" t="s">
        <v>1408</v>
      </c>
      <c r="E1133" s="29" t="s">
        <v>1427</v>
      </c>
      <c r="F1133" s="62"/>
      <c r="G1133" s="20" t="str">
        <f t="shared" si="1"/>
        <v>Business &amp; Industrial, Science &amp; Laboratory, Laboratory Equipment, Spectrometers</v>
      </c>
    </row>
    <row r="1134" hidden="1">
      <c r="A1134" s="29">
        <v>8119.0</v>
      </c>
      <c r="B1134" s="29" t="s">
        <v>1247</v>
      </c>
      <c r="C1134" s="29" t="s">
        <v>1404</v>
      </c>
      <c r="D1134" s="29" t="s">
        <v>1428</v>
      </c>
      <c r="E1134" s="62"/>
      <c r="F1134" s="62"/>
      <c r="G1134" s="20" t="str">
        <f t="shared" si="1"/>
        <v>Business &amp; Industrial, Science &amp; Laboratory, Laboratory Specimens, </v>
      </c>
    </row>
    <row r="1135" hidden="1">
      <c r="A1135" s="29">
        <v>4255.0</v>
      </c>
      <c r="B1135" s="29" t="s">
        <v>1247</v>
      </c>
      <c r="C1135" s="29" t="s">
        <v>1404</v>
      </c>
      <c r="D1135" s="29" t="s">
        <v>1429</v>
      </c>
      <c r="E1135" s="62"/>
      <c r="F1135" s="62"/>
      <c r="G1135" s="20" t="str">
        <f t="shared" si="1"/>
        <v>Business &amp; Industrial, Science &amp; Laboratory, Laboratory Supplies, </v>
      </c>
    </row>
    <row r="1136" hidden="1">
      <c r="A1136" s="29">
        <v>4310.0</v>
      </c>
      <c r="B1136" s="29" t="s">
        <v>1247</v>
      </c>
      <c r="C1136" s="29" t="s">
        <v>1404</v>
      </c>
      <c r="D1136" s="29" t="s">
        <v>1429</v>
      </c>
      <c r="E1136" s="29" t="s">
        <v>1430</v>
      </c>
      <c r="F1136" s="62"/>
      <c r="G1136" s="20" t="str">
        <f t="shared" si="1"/>
        <v>Business &amp; Industrial, Science &amp; Laboratory, Laboratory Supplies, Beakers</v>
      </c>
    </row>
    <row r="1137" hidden="1">
      <c r="A1137" s="29">
        <v>4061.0</v>
      </c>
      <c r="B1137" s="29" t="s">
        <v>1247</v>
      </c>
      <c r="C1137" s="29" t="s">
        <v>1404</v>
      </c>
      <c r="D1137" s="29" t="s">
        <v>1429</v>
      </c>
      <c r="E1137" s="29" t="s">
        <v>1431</v>
      </c>
      <c r="F1137" s="62"/>
      <c r="G1137" s="20" t="str">
        <f t="shared" si="1"/>
        <v>Business &amp; Industrial, Science &amp; Laboratory, Laboratory Supplies, Graduated Cylinders</v>
      </c>
    </row>
    <row r="1138" hidden="1">
      <c r="A1138" s="29">
        <v>4036.0</v>
      </c>
      <c r="B1138" s="29" t="s">
        <v>1247</v>
      </c>
      <c r="C1138" s="29" t="s">
        <v>1404</v>
      </c>
      <c r="D1138" s="29" t="s">
        <v>1429</v>
      </c>
      <c r="E1138" s="29" t="s">
        <v>1432</v>
      </c>
      <c r="F1138" s="62"/>
      <c r="G1138" s="20" t="str">
        <f t="shared" si="1"/>
        <v>Business &amp; Industrial, Science &amp; Laboratory, Laboratory Supplies, Laboratory Flasks</v>
      </c>
    </row>
    <row r="1139" hidden="1">
      <c r="A1139" s="29">
        <v>4276.0</v>
      </c>
      <c r="B1139" s="29" t="s">
        <v>1247</v>
      </c>
      <c r="C1139" s="29" t="s">
        <v>1404</v>
      </c>
      <c r="D1139" s="29" t="s">
        <v>1429</v>
      </c>
      <c r="E1139" s="29" t="s">
        <v>1433</v>
      </c>
      <c r="F1139" s="62"/>
      <c r="G1139" s="20" t="str">
        <f t="shared" si="1"/>
        <v>Business &amp; Industrial, Science &amp; Laboratory, Laboratory Supplies, Petri Dishes</v>
      </c>
    </row>
    <row r="1140" hidden="1">
      <c r="A1140" s="29">
        <v>4075.0</v>
      </c>
      <c r="B1140" s="29" t="s">
        <v>1247</v>
      </c>
      <c r="C1140" s="29" t="s">
        <v>1404</v>
      </c>
      <c r="D1140" s="29" t="s">
        <v>1429</v>
      </c>
      <c r="E1140" s="29" t="s">
        <v>1434</v>
      </c>
      <c r="F1140" s="62"/>
      <c r="G1140" s="20" t="str">
        <f t="shared" si="1"/>
        <v>Business &amp; Industrial, Science &amp; Laboratory, Laboratory Supplies, Pipettes</v>
      </c>
    </row>
    <row r="1141" hidden="1">
      <c r="A1141" s="29">
        <v>4155.0</v>
      </c>
      <c r="B1141" s="29" t="s">
        <v>1247</v>
      </c>
      <c r="C1141" s="29" t="s">
        <v>1404</v>
      </c>
      <c r="D1141" s="29" t="s">
        <v>1429</v>
      </c>
      <c r="E1141" s="29" t="s">
        <v>1435</v>
      </c>
      <c r="F1141" s="62"/>
      <c r="G1141" s="20" t="str">
        <f t="shared" si="1"/>
        <v>Business &amp; Industrial, Science &amp; Laboratory, Laboratory Supplies, Test Tube Racks</v>
      </c>
    </row>
    <row r="1142" hidden="1">
      <c r="A1142" s="29">
        <v>4306.0</v>
      </c>
      <c r="B1142" s="29" t="s">
        <v>1247</v>
      </c>
      <c r="C1142" s="29" t="s">
        <v>1404</v>
      </c>
      <c r="D1142" s="29" t="s">
        <v>1429</v>
      </c>
      <c r="E1142" s="29" t="s">
        <v>1436</v>
      </c>
      <c r="F1142" s="62"/>
      <c r="G1142" s="20" t="str">
        <f t="shared" si="1"/>
        <v>Business &amp; Industrial, Science &amp; Laboratory, Laboratory Supplies, Test Tubes</v>
      </c>
    </row>
    <row r="1143" hidden="1">
      <c r="A1143" s="29">
        <v>4140.0</v>
      </c>
      <c r="B1143" s="29" t="s">
        <v>1247</v>
      </c>
      <c r="C1143" s="29" t="s">
        <v>1404</v>
      </c>
      <c r="D1143" s="29" t="s">
        <v>1429</v>
      </c>
      <c r="E1143" s="29" t="s">
        <v>1437</v>
      </c>
      <c r="F1143" s="62"/>
      <c r="G1143" s="20" t="str">
        <f t="shared" si="1"/>
        <v>Business &amp; Industrial, Science &amp; Laboratory, Laboratory Supplies, Wash Bottles</v>
      </c>
    </row>
    <row r="1144" hidden="1">
      <c r="A1144" s="29">
        <v>976.0</v>
      </c>
      <c r="B1144" s="29" t="s">
        <v>1247</v>
      </c>
      <c r="C1144" s="29" t="s">
        <v>1438</v>
      </c>
      <c r="D1144" s="62"/>
      <c r="E1144" s="62"/>
      <c r="F1144" s="62"/>
      <c r="G1144" s="20" t="str">
        <f t="shared" si="1"/>
        <v>Business &amp; Industrial, Signage, , </v>
      </c>
    </row>
    <row r="1145" hidden="1">
      <c r="A1145" s="29">
        <v>7322.0</v>
      </c>
      <c r="B1145" s="29" t="s">
        <v>1247</v>
      </c>
      <c r="C1145" s="29" t="s">
        <v>1438</v>
      </c>
      <c r="D1145" s="29" t="s">
        <v>1439</v>
      </c>
      <c r="E1145" s="62"/>
      <c r="F1145" s="62"/>
      <c r="G1145" s="20" t="str">
        <f t="shared" si="1"/>
        <v>Business &amp; Industrial, Signage, Business Hour Signs, </v>
      </c>
    </row>
    <row r="1146" hidden="1">
      <c r="A1146" s="29">
        <v>8155.0</v>
      </c>
      <c r="B1146" s="29" t="s">
        <v>1247</v>
      </c>
      <c r="C1146" s="29" t="s">
        <v>1438</v>
      </c>
      <c r="D1146" s="29" t="s">
        <v>1440</v>
      </c>
      <c r="E1146" s="62"/>
      <c r="F1146" s="62"/>
      <c r="G1146" s="20" t="str">
        <f t="shared" si="1"/>
        <v>Business &amp; Industrial, Signage, Digital Signs, </v>
      </c>
    </row>
    <row r="1147" hidden="1">
      <c r="A1147" s="29">
        <v>4297.0</v>
      </c>
      <c r="B1147" s="29" t="s">
        <v>1247</v>
      </c>
      <c r="C1147" s="29" t="s">
        <v>1438</v>
      </c>
      <c r="D1147" s="29" t="s">
        <v>1441</v>
      </c>
      <c r="E1147" s="62"/>
      <c r="F1147" s="62"/>
      <c r="G1147" s="20" t="str">
        <f t="shared" si="1"/>
        <v>Business &amp; Industrial, Signage, Electric Signs, </v>
      </c>
    </row>
    <row r="1148" hidden="1">
      <c r="A1148" s="29">
        <v>4131.0</v>
      </c>
      <c r="B1148" s="29" t="s">
        <v>1247</v>
      </c>
      <c r="C1148" s="29" t="s">
        <v>1438</v>
      </c>
      <c r="D1148" s="29" t="s">
        <v>1441</v>
      </c>
      <c r="E1148" s="29" t="s">
        <v>1442</v>
      </c>
      <c r="F1148" s="62"/>
      <c r="G1148" s="20" t="str">
        <f t="shared" si="1"/>
        <v>Business &amp; Industrial, Signage, Electric Signs, LED Signs</v>
      </c>
    </row>
    <row r="1149" hidden="1">
      <c r="A1149" s="29">
        <v>4070.0</v>
      </c>
      <c r="B1149" s="29" t="s">
        <v>1247</v>
      </c>
      <c r="C1149" s="29" t="s">
        <v>1438</v>
      </c>
      <c r="D1149" s="29" t="s">
        <v>1441</v>
      </c>
      <c r="E1149" s="29" t="s">
        <v>1443</v>
      </c>
      <c r="F1149" s="62"/>
      <c r="G1149" s="20" t="str">
        <f t="shared" si="1"/>
        <v>Business &amp; Industrial, Signage, Electric Signs, Neon Signs</v>
      </c>
    </row>
    <row r="1150" hidden="1">
      <c r="A1150" s="29">
        <v>5894.0</v>
      </c>
      <c r="B1150" s="29" t="s">
        <v>1247</v>
      </c>
      <c r="C1150" s="29" t="s">
        <v>1438</v>
      </c>
      <c r="D1150" s="29" t="s">
        <v>1444</v>
      </c>
      <c r="E1150" s="62"/>
      <c r="F1150" s="62"/>
      <c r="G1150" s="20" t="str">
        <f t="shared" si="1"/>
        <v>Business &amp; Industrial, Signage, Emergency &amp; Exit Signs, </v>
      </c>
    </row>
    <row r="1151" hidden="1">
      <c r="A1151" s="29">
        <v>5897.0</v>
      </c>
      <c r="B1151" s="29" t="s">
        <v>1247</v>
      </c>
      <c r="C1151" s="29" t="s">
        <v>1438</v>
      </c>
      <c r="D1151" s="29" t="s">
        <v>1445</v>
      </c>
      <c r="F1151" s="62"/>
      <c r="G1151" s="20" t="str">
        <f t="shared" si="1"/>
        <v>Business &amp; Industrial, Signage, Facility Identification Signs, </v>
      </c>
    </row>
    <row r="1152" hidden="1">
      <c r="A1152" s="29">
        <v>7323.0</v>
      </c>
      <c r="B1152" s="29" t="s">
        <v>1247</v>
      </c>
      <c r="C1152" s="29" t="s">
        <v>1438</v>
      </c>
      <c r="D1152" s="29" t="s">
        <v>1446</v>
      </c>
      <c r="E1152" s="62"/>
      <c r="F1152" s="62"/>
      <c r="G1152" s="20" t="str">
        <f t="shared" si="1"/>
        <v>Business &amp; Industrial, Signage, Open &amp; Closed Signs, </v>
      </c>
    </row>
    <row r="1153" hidden="1">
      <c r="A1153" s="29">
        <v>5896.0</v>
      </c>
      <c r="B1153" s="29" t="s">
        <v>1247</v>
      </c>
      <c r="C1153" s="29" t="s">
        <v>1438</v>
      </c>
      <c r="D1153" s="29" t="s">
        <v>1447</v>
      </c>
      <c r="E1153" s="62"/>
      <c r="F1153" s="62"/>
      <c r="G1153" s="20" t="str">
        <f t="shared" si="1"/>
        <v>Business &amp; Industrial, Signage, Parking Signs &amp; Permits, </v>
      </c>
    </row>
    <row r="1154" hidden="1">
      <c r="A1154" s="29">
        <v>5900.0</v>
      </c>
      <c r="B1154" s="29" t="s">
        <v>1247</v>
      </c>
      <c r="C1154" s="29" t="s">
        <v>1438</v>
      </c>
      <c r="D1154" s="29" t="s">
        <v>1448</v>
      </c>
      <c r="E1154" s="62"/>
      <c r="F1154" s="62"/>
      <c r="G1154" s="20" t="str">
        <f t="shared" si="1"/>
        <v>Business &amp; Industrial, Signage, Policy Signs, </v>
      </c>
    </row>
    <row r="1155" hidden="1">
      <c r="A1155" s="29">
        <v>5898.0</v>
      </c>
      <c r="B1155" s="29" t="s">
        <v>1247</v>
      </c>
      <c r="C1155" s="29" t="s">
        <v>1438</v>
      </c>
      <c r="D1155" s="29" t="s">
        <v>1449</v>
      </c>
      <c r="E1155" s="62"/>
      <c r="F1155" s="62"/>
      <c r="G1155" s="20" t="str">
        <f t="shared" si="1"/>
        <v>Business &amp; Industrial, Signage, Retail &amp; Sale Signs, </v>
      </c>
    </row>
    <row r="1156" hidden="1">
      <c r="A1156" s="29">
        <v>5895.0</v>
      </c>
      <c r="B1156" s="29" t="s">
        <v>1247</v>
      </c>
      <c r="C1156" s="29" t="s">
        <v>1438</v>
      </c>
      <c r="D1156" s="29" t="s">
        <v>1450</v>
      </c>
      <c r="E1156" s="62"/>
      <c r="F1156" s="62"/>
      <c r="G1156" s="20" t="str">
        <f t="shared" si="1"/>
        <v>Business &amp; Industrial, Signage, Road &amp; Traffic Signs, </v>
      </c>
    </row>
    <row r="1157" hidden="1">
      <c r="A1157" s="29">
        <v>5892.0</v>
      </c>
      <c r="B1157" s="29" t="s">
        <v>1247</v>
      </c>
      <c r="C1157" s="29" t="s">
        <v>1438</v>
      </c>
      <c r="D1157" s="29" t="s">
        <v>1451</v>
      </c>
      <c r="E1157" s="62"/>
      <c r="F1157" s="62"/>
      <c r="G1157" s="20" t="str">
        <f t="shared" si="1"/>
        <v>Business &amp; Industrial, Signage, Safety &amp; Warning Signs, </v>
      </c>
    </row>
    <row r="1158" hidden="1">
      <c r="A1158" s="29">
        <v>5893.0</v>
      </c>
      <c r="B1158" s="29" t="s">
        <v>1247</v>
      </c>
      <c r="C1158" s="29" t="s">
        <v>1438</v>
      </c>
      <c r="D1158" s="29" t="s">
        <v>1452</v>
      </c>
      <c r="E1158" s="62"/>
      <c r="F1158" s="62"/>
      <c r="G1158" s="20" t="str">
        <f t="shared" si="1"/>
        <v>Business &amp; Industrial, Signage, Security Signs, </v>
      </c>
    </row>
    <row r="1159" hidden="1">
      <c r="A1159" s="29">
        <v>5899.0</v>
      </c>
      <c r="B1159" s="29" t="s">
        <v>1247</v>
      </c>
      <c r="C1159" s="29" t="s">
        <v>1438</v>
      </c>
      <c r="D1159" s="29" t="s">
        <v>1453</v>
      </c>
      <c r="E1159" s="62"/>
      <c r="F1159" s="62"/>
      <c r="G1159" s="20" t="str">
        <f t="shared" si="1"/>
        <v>Business &amp; Industrial, Signage, Sidewalk &amp; Yard Signs, </v>
      </c>
    </row>
    <row r="1160" hidden="1">
      <c r="A1160" s="29">
        <v>2047.0</v>
      </c>
      <c r="B1160" s="29" t="s">
        <v>1247</v>
      </c>
      <c r="C1160" s="29" t="s">
        <v>1454</v>
      </c>
      <c r="D1160" s="62"/>
      <c r="E1160" s="62"/>
      <c r="F1160" s="62"/>
      <c r="G1160" s="20" t="str">
        <f t="shared" si="1"/>
        <v>Business &amp; Industrial, Work Safety Protective Gear, , </v>
      </c>
    </row>
    <row r="1161" hidden="1">
      <c r="A1161" s="29">
        <v>2389.0</v>
      </c>
      <c r="B1161" s="29" t="s">
        <v>1247</v>
      </c>
      <c r="C1161" s="29" t="s">
        <v>1454</v>
      </c>
      <c r="D1161" s="29" t="s">
        <v>1455</v>
      </c>
      <c r="E1161" s="62"/>
      <c r="F1161" s="62"/>
      <c r="G1161" s="20" t="str">
        <f t="shared" si="1"/>
        <v>Business &amp; Industrial, Work Safety Protective Gear, Bullet Proof Vests, </v>
      </c>
    </row>
    <row r="1162" hidden="1">
      <c r="A1162" s="29">
        <v>8269.0</v>
      </c>
      <c r="B1162" s="29" t="s">
        <v>1247</v>
      </c>
      <c r="C1162" s="29" t="s">
        <v>1454</v>
      </c>
      <c r="D1162" s="29" t="s">
        <v>1456</v>
      </c>
      <c r="F1162" s="62"/>
      <c r="G1162" s="20" t="str">
        <f t="shared" si="1"/>
        <v>Business &amp; Industrial, Work Safety Protective Gear, Gas Mask &amp; Respirator Accessories, </v>
      </c>
    </row>
    <row r="1163" hidden="1">
      <c r="A1163" s="29">
        <v>2723.0</v>
      </c>
      <c r="B1163" s="29" t="s">
        <v>1247</v>
      </c>
      <c r="C1163" s="29" t="s">
        <v>1454</v>
      </c>
      <c r="D1163" s="29" t="s">
        <v>1457</v>
      </c>
      <c r="E1163" s="62"/>
      <c r="F1163" s="62"/>
      <c r="G1163" s="20" t="str">
        <f t="shared" si="1"/>
        <v>Business &amp; Industrial, Work Safety Protective Gear, Hardhats, </v>
      </c>
    </row>
    <row r="1164" hidden="1">
      <c r="A1164" s="29">
        <v>2808.0</v>
      </c>
      <c r="B1164" s="29" t="s">
        <v>1247</v>
      </c>
      <c r="C1164" s="29" t="s">
        <v>1454</v>
      </c>
      <c r="D1164" s="29" t="s">
        <v>1458</v>
      </c>
      <c r="E1164" s="62"/>
      <c r="F1164" s="62"/>
      <c r="G1164" s="20" t="str">
        <f t="shared" si="1"/>
        <v>Business &amp; Industrial, Work Safety Protective Gear, Hazardous Material Suits, </v>
      </c>
    </row>
    <row r="1165" hidden="1">
      <c r="A1165" s="29">
        <v>6764.0</v>
      </c>
      <c r="B1165" s="29" t="s">
        <v>1247</v>
      </c>
      <c r="C1165" s="29" t="s">
        <v>1454</v>
      </c>
      <c r="D1165" s="29" t="s">
        <v>1459</v>
      </c>
      <c r="E1165" s="62"/>
      <c r="F1165" s="62"/>
      <c r="G1165" s="20" t="str">
        <f t="shared" si="1"/>
        <v>Business &amp; Industrial, Work Safety Protective Gear, Protective Aprons, </v>
      </c>
    </row>
    <row r="1166" hidden="1">
      <c r="A1166" s="29">
        <v>2227.0</v>
      </c>
      <c r="B1166" s="29" t="s">
        <v>1247</v>
      </c>
      <c r="C1166" s="29" t="s">
        <v>1454</v>
      </c>
      <c r="D1166" s="29" t="s">
        <v>1460</v>
      </c>
      <c r="E1166" s="62"/>
      <c r="F1166" s="62"/>
      <c r="G1166" s="20" t="str">
        <f t="shared" si="1"/>
        <v>Business &amp; Industrial, Work Safety Protective Gear, Protective Eyewear, </v>
      </c>
    </row>
    <row r="1167" hidden="1">
      <c r="A1167" s="29">
        <v>503724.0</v>
      </c>
      <c r="B1167" s="29" t="s">
        <v>1247</v>
      </c>
      <c r="C1167" s="29" t="s">
        <v>1454</v>
      </c>
      <c r="D1167" s="29" t="s">
        <v>1461</v>
      </c>
      <c r="E1167" s="62"/>
      <c r="F1167" s="62"/>
      <c r="G1167" s="20" t="str">
        <f t="shared" si="1"/>
        <v>Business &amp; Industrial, Work Safety Protective Gear, Protective Masks, </v>
      </c>
    </row>
    <row r="1168" hidden="1">
      <c r="A1168" s="29">
        <v>7407.0</v>
      </c>
      <c r="B1168" s="29" t="s">
        <v>1247</v>
      </c>
      <c r="C1168" s="29" t="s">
        <v>1454</v>
      </c>
      <c r="D1168" s="29" t="s">
        <v>1461</v>
      </c>
      <c r="E1168" s="29" t="s">
        <v>1462</v>
      </c>
      <c r="F1168" s="62"/>
      <c r="G1168" s="20" t="str">
        <f t="shared" si="1"/>
        <v>Business &amp; Industrial, Work Safety Protective Gear, Protective Masks, Dust Masks</v>
      </c>
    </row>
    <row r="1169" hidden="1">
      <c r="A1169" s="29">
        <v>2349.0</v>
      </c>
      <c r="B1169" s="29" t="s">
        <v>1247</v>
      </c>
      <c r="C1169" s="29" t="s">
        <v>1454</v>
      </c>
      <c r="D1169" s="29" t="s">
        <v>1461</v>
      </c>
      <c r="E1169" s="29" t="s">
        <v>1463</v>
      </c>
      <c r="F1169" s="62"/>
      <c r="G1169" s="20" t="str">
        <f t="shared" si="1"/>
        <v>Business &amp; Industrial, Work Safety Protective Gear, Protective Masks, Fireman's Masks</v>
      </c>
    </row>
    <row r="1170" hidden="1">
      <c r="A1170" s="29">
        <v>2473.0</v>
      </c>
      <c r="B1170" s="29" t="s">
        <v>1247</v>
      </c>
      <c r="C1170" s="29" t="s">
        <v>1454</v>
      </c>
      <c r="D1170" s="29" t="s">
        <v>1461</v>
      </c>
      <c r="E1170" s="29" t="s">
        <v>1464</v>
      </c>
      <c r="F1170" s="62"/>
      <c r="G1170" s="20" t="str">
        <f t="shared" si="1"/>
        <v>Business &amp; Industrial, Work Safety Protective Gear, Protective Masks, Gas Masks &amp; Respirators</v>
      </c>
    </row>
    <row r="1171" hidden="1">
      <c r="A1171" s="29">
        <v>513.0</v>
      </c>
      <c r="B1171" s="29" t="s">
        <v>1247</v>
      </c>
      <c r="C1171" s="29" t="s">
        <v>1454</v>
      </c>
      <c r="D1171" s="29" t="s">
        <v>1461</v>
      </c>
      <c r="E1171" s="29" t="s">
        <v>1465</v>
      </c>
      <c r="F1171" s="62"/>
      <c r="G1171" s="20" t="str">
        <f t="shared" si="1"/>
        <v>Business &amp; Industrial, Work Safety Protective Gear, Protective Masks, Medical Masks</v>
      </c>
    </row>
    <row r="1172" hidden="1">
      <c r="A1172" s="29">
        <v>5591.0</v>
      </c>
      <c r="B1172" s="29" t="s">
        <v>1247</v>
      </c>
      <c r="C1172" s="29" t="s">
        <v>1454</v>
      </c>
      <c r="D1172" s="29" t="s">
        <v>1466</v>
      </c>
      <c r="E1172" s="62"/>
      <c r="F1172" s="62"/>
      <c r="G1172" s="20" t="str">
        <f t="shared" si="1"/>
        <v>Business &amp; Industrial, Work Safety Protective Gear, Safety Gloves, </v>
      </c>
    </row>
    <row r="1173" hidden="1">
      <c r="A1173" s="29">
        <v>499961.0</v>
      </c>
      <c r="B1173" s="29" t="s">
        <v>1247</v>
      </c>
      <c r="C1173" s="29" t="s">
        <v>1454</v>
      </c>
      <c r="D1173" s="29" t="s">
        <v>1467</v>
      </c>
      <c r="E1173" s="62"/>
      <c r="F1173" s="62"/>
      <c r="G1173" s="20" t="str">
        <f t="shared" si="1"/>
        <v>Business &amp; Industrial, Work Safety Protective Gear, Safety Knee Pads, </v>
      </c>
    </row>
    <row r="1174" hidden="1">
      <c r="A1174" s="29">
        <v>499927.0</v>
      </c>
      <c r="B1174" s="29" t="s">
        <v>1247</v>
      </c>
      <c r="C1174" s="29" t="s">
        <v>1454</v>
      </c>
      <c r="D1174" s="29" t="s">
        <v>1468</v>
      </c>
      <c r="E1174" s="62"/>
      <c r="F1174" s="62"/>
      <c r="G1174" s="20" t="str">
        <f t="shared" si="1"/>
        <v>Business &amp; Industrial, Work Safety Protective Gear, Welding Helmets, </v>
      </c>
    </row>
    <row r="1175" hidden="1">
      <c r="A1175" s="29">
        <v>499708.0</v>
      </c>
      <c r="B1175" s="29" t="s">
        <v>1247</v>
      </c>
      <c r="C1175" s="29" t="s">
        <v>1454</v>
      </c>
      <c r="D1175" s="29" t="s">
        <v>1469</v>
      </c>
      <c r="E1175" s="62"/>
      <c r="F1175" s="62"/>
      <c r="G1175" s="20" t="str">
        <f t="shared" si="1"/>
        <v>Business &amp; Industrial, Work Safety Protective Gear, Work Safety Harnesses, </v>
      </c>
    </row>
    <row r="1176" hidden="1">
      <c r="A1176" s="29">
        <v>7085.0</v>
      </c>
      <c r="B1176" s="29" t="s">
        <v>1247</v>
      </c>
      <c r="C1176" s="29" t="s">
        <v>1454</v>
      </c>
      <c r="D1176" s="29" t="s">
        <v>1470</v>
      </c>
      <c r="E1176" s="62"/>
      <c r="F1176" s="62"/>
      <c r="G1176" s="20" t="str">
        <f t="shared" si="1"/>
        <v>Business &amp; Industrial, Work Safety Protective Gear, Work Safety Tethers, </v>
      </c>
    </row>
    <row r="1177" hidden="1">
      <c r="A1177" s="29">
        <v>141.0</v>
      </c>
      <c r="B1177" s="29" t="s">
        <v>1471</v>
      </c>
      <c r="C1177" s="62"/>
      <c r="D1177" s="62"/>
      <c r="E1177" s="62"/>
      <c r="F1177" s="62"/>
      <c r="G1177" s="20" t="str">
        <f t="shared" si="1"/>
        <v>Cameras &amp; Optics, , , </v>
      </c>
    </row>
    <row r="1178" hidden="1">
      <c r="A1178" s="29">
        <v>2096.0</v>
      </c>
      <c r="B1178" s="29" t="s">
        <v>1471</v>
      </c>
      <c r="C1178" s="29" t="s">
        <v>1472</v>
      </c>
      <c r="D1178" s="62"/>
      <c r="E1178" s="62"/>
      <c r="F1178" s="62"/>
      <c r="G1178" s="20" t="str">
        <f t="shared" si="1"/>
        <v>Cameras &amp; Optics, Camera &amp; Optic Accessories, , </v>
      </c>
    </row>
    <row r="1179" hidden="1">
      <c r="A1179" s="29">
        <v>463625.0</v>
      </c>
      <c r="B1179" s="29" t="s">
        <v>1471</v>
      </c>
      <c r="C1179" s="29" t="s">
        <v>1472</v>
      </c>
      <c r="D1179" s="29" t="s">
        <v>1473</v>
      </c>
      <c r="F1179" s="62"/>
      <c r="G1179" s="20" t="str">
        <f t="shared" si="1"/>
        <v>Cameras &amp; Optics, Camera &amp; Optic Accessories, Camera &amp; Optic Replacement Cables, </v>
      </c>
    </row>
    <row r="1180" hidden="1">
      <c r="A1180" s="29">
        <v>149.0</v>
      </c>
      <c r="B1180" s="29" t="s">
        <v>1471</v>
      </c>
      <c r="C1180" s="29" t="s">
        <v>1472</v>
      </c>
      <c r="D1180" s="29" t="s">
        <v>1474</v>
      </c>
      <c r="F1180" s="62"/>
      <c r="G1180" s="20" t="str">
        <f t="shared" si="1"/>
        <v>Cameras &amp; Optics, Camera &amp; Optic Accessories, Camera &amp; Video Camera Lenses, </v>
      </c>
    </row>
    <row r="1181" hidden="1">
      <c r="A1181" s="29">
        <v>4432.0</v>
      </c>
      <c r="B1181" s="29" t="s">
        <v>1471</v>
      </c>
      <c r="C1181" s="29" t="s">
        <v>1472</v>
      </c>
      <c r="D1181" s="29" t="s">
        <v>1474</v>
      </c>
      <c r="E1181" s="29" t="s">
        <v>1475</v>
      </c>
      <c r="F1181" s="62"/>
      <c r="G1181" s="20" t="str">
        <f t="shared" si="1"/>
        <v>Cameras &amp; Optics, Camera &amp; Optic Accessories, Camera &amp; Video Camera Lenses, Camera Lenses</v>
      </c>
    </row>
    <row r="1182" hidden="1">
      <c r="A1182" s="29">
        <v>5346.0</v>
      </c>
      <c r="B1182" s="29" t="s">
        <v>1471</v>
      </c>
      <c r="C1182" s="29" t="s">
        <v>1472</v>
      </c>
      <c r="D1182" s="29" t="s">
        <v>1474</v>
      </c>
      <c r="E1182" s="29" t="s">
        <v>1476</v>
      </c>
      <c r="F1182" s="62"/>
      <c r="G1182" s="20" t="str">
        <f t="shared" si="1"/>
        <v>Cameras &amp; Optics, Camera &amp; Optic Accessories, Camera &amp; Video Camera Lenses, Surveillance Camera Lenses</v>
      </c>
    </row>
    <row r="1183" hidden="1">
      <c r="A1183" s="29">
        <v>5280.0</v>
      </c>
      <c r="B1183" s="29" t="s">
        <v>1471</v>
      </c>
      <c r="C1183" s="29" t="s">
        <v>1472</v>
      </c>
      <c r="D1183" s="29" t="s">
        <v>1474</v>
      </c>
      <c r="E1183" s="29" t="s">
        <v>1477</v>
      </c>
      <c r="F1183" s="62"/>
      <c r="G1183" s="20" t="str">
        <f t="shared" si="1"/>
        <v>Cameras &amp; Optics, Camera &amp; Optic Accessories, Camera &amp; Video Camera Lenses, Video Camera Lenses</v>
      </c>
    </row>
    <row r="1184" hidden="1">
      <c r="A1184" s="29">
        <v>2911.0</v>
      </c>
      <c r="B1184" s="29" t="s">
        <v>1471</v>
      </c>
      <c r="C1184" s="29" t="s">
        <v>1472</v>
      </c>
      <c r="D1184" s="29" t="s">
        <v>1478</v>
      </c>
      <c r="F1184" s="62"/>
      <c r="G1184" s="20" t="str">
        <f t="shared" si="1"/>
        <v>Cameras &amp; Optics, Camera &amp; Optic Accessories, Camera Lens Accessories, </v>
      </c>
    </row>
    <row r="1185" hidden="1">
      <c r="A1185" s="29">
        <v>5588.0</v>
      </c>
      <c r="B1185" s="29" t="s">
        <v>1471</v>
      </c>
      <c r="C1185" s="29" t="s">
        <v>1472</v>
      </c>
      <c r="D1185" s="29" t="s">
        <v>1478</v>
      </c>
      <c r="E1185" s="29" t="s">
        <v>1479</v>
      </c>
      <c r="F1185" s="62"/>
      <c r="G1185" s="20" t="str">
        <f t="shared" si="1"/>
        <v>Cameras &amp; Optics, Camera &amp; Optic Accessories, Camera Lens Accessories, Lens &amp; Filter Adapter Rings</v>
      </c>
    </row>
    <row r="1186" hidden="1">
      <c r="A1186" s="29">
        <v>4441.0</v>
      </c>
      <c r="B1186" s="29" t="s">
        <v>1471</v>
      </c>
      <c r="C1186" s="29" t="s">
        <v>1472</v>
      </c>
      <c r="D1186" s="29" t="s">
        <v>1478</v>
      </c>
      <c r="E1186" s="29" t="s">
        <v>1480</v>
      </c>
      <c r="F1186" s="62"/>
      <c r="G1186" s="20" t="str">
        <f t="shared" si="1"/>
        <v>Cameras &amp; Optics, Camera &amp; Optic Accessories, Camera Lens Accessories, Lens Bags</v>
      </c>
    </row>
    <row r="1187" hidden="1">
      <c r="A1187" s="29">
        <v>2829.0</v>
      </c>
      <c r="B1187" s="29" t="s">
        <v>1471</v>
      </c>
      <c r="C1187" s="29" t="s">
        <v>1472</v>
      </c>
      <c r="D1187" s="29" t="s">
        <v>1478</v>
      </c>
      <c r="E1187" s="29" t="s">
        <v>1481</v>
      </c>
      <c r="F1187" s="62"/>
      <c r="G1187" s="20" t="str">
        <f t="shared" si="1"/>
        <v>Cameras &amp; Optics, Camera &amp; Optic Accessories, Camera Lens Accessories, Lens Caps</v>
      </c>
    </row>
    <row r="1188" hidden="1">
      <c r="A1188" s="29">
        <v>4416.0</v>
      </c>
      <c r="B1188" s="29" t="s">
        <v>1471</v>
      </c>
      <c r="C1188" s="29" t="s">
        <v>1472</v>
      </c>
      <c r="D1188" s="29" t="s">
        <v>1478</v>
      </c>
      <c r="E1188" s="29" t="s">
        <v>1482</v>
      </c>
      <c r="F1188" s="62"/>
      <c r="G1188" s="20" t="str">
        <f t="shared" si="1"/>
        <v>Cameras &amp; Optics, Camera &amp; Optic Accessories, Camera Lens Accessories, Lens Converters</v>
      </c>
    </row>
    <row r="1189" hidden="1">
      <c r="A1189" s="29">
        <v>147.0</v>
      </c>
      <c r="B1189" s="29" t="s">
        <v>1471</v>
      </c>
      <c r="C1189" s="29" t="s">
        <v>1472</v>
      </c>
      <c r="D1189" s="29" t="s">
        <v>1478</v>
      </c>
      <c r="E1189" s="29" t="s">
        <v>1483</v>
      </c>
      <c r="F1189" s="62"/>
      <c r="G1189" s="20" t="str">
        <f t="shared" si="1"/>
        <v>Cameras &amp; Optics, Camera &amp; Optic Accessories, Camera Lens Accessories, Lens Filters</v>
      </c>
    </row>
    <row r="1190" hidden="1">
      <c r="A1190" s="29">
        <v>2627.0</v>
      </c>
      <c r="B1190" s="29" t="s">
        <v>1471</v>
      </c>
      <c r="C1190" s="29" t="s">
        <v>1472</v>
      </c>
      <c r="D1190" s="29" t="s">
        <v>1478</v>
      </c>
      <c r="E1190" s="29" t="s">
        <v>1484</v>
      </c>
      <c r="F1190" s="62"/>
      <c r="G1190" s="20" t="str">
        <f t="shared" si="1"/>
        <v>Cameras &amp; Optics, Camera &amp; Optic Accessories, Camera Lens Accessories, Lens Hoods</v>
      </c>
    </row>
    <row r="1191" hidden="1">
      <c r="A1191" s="29">
        <v>143.0</v>
      </c>
      <c r="B1191" s="29" t="s">
        <v>1471</v>
      </c>
      <c r="C1191" s="29" t="s">
        <v>1472</v>
      </c>
      <c r="D1191" s="29" t="s">
        <v>1485</v>
      </c>
      <c r="F1191" s="62"/>
      <c r="G1191" s="20" t="str">
        <f t="shared" si="1"/>
        <v>Cameras &amp; Optics, Camera &amp; Optic Accessories, Camera Parts &amp; Accessories, </v>
      </c>
    </row>
    <row r="1192" hidden="1">
      <c r="A1192" s="29">
        <v>8174.0</v>
      </c>
      <c r="B1192" s="29" t="s">
        <v>1471</v>
      </c>
      <c r="C1192" s="29" t="s">
        <v>1472</v>
      </c>
      <c r="D1192" s="29" t="s">
        <v>1485</v>
      </c>
      <c r="E1192" s="29" t="s">
        <v>1486</v>
      </c>
      <c r="F1192" s="62"/>
      <c r="G1192" s="20" t="str">
        <f t="shared" si="1"/>
        <v>Cameras &amp; Optics, Camera &amp; Optic Accessories, Camera Parts &amp; Accessories, Camera Accessory Sets</v>
      </c>
    </row>
    <row r="1193" hidden="1">
      <c r="A1193" s="29">
        <v>6308.0</v>
      </c>
      <c r="B1193" s="29" t="s">
        <v>1471</v>
      </c>
      <c r="C1193" s="29" t="s">
        <v>1472</v>
      </c>
      <c r="D1193" s="29" t="s">
        <v>1485</v>
      </c>
      <c r="E1193" s="29" t="s">
        <v>1487</v>
      </c>
      <c r="F1193" s="62"/>
      <c r="G1193" s="20" t="str">
        <f t="shared" si="1"/>
        <v>Cameras &amp; Optics, Camera &amp; Optic Accessories, Camera Parts &amp; Accessories, Camera Bags &amp; Cases</v>
      </c>
    </row>
    <row r="1194" hidden="1">
      <c r="A1194" s="29">
        <v>296246.0</v>
      </c>
      <c r="B1194" s="29" t="s">
        <v>1471</v>
      </c>
      <c r="C1194" s="29" t="s">
        <v>1472</v>
      </c>
      <c r="D1194" s="29" t="s">
        <v>1485</v>
      </c>
      <c r="E1194" s="29" t="s">
        <v>1488</v>
      </c>
      <c r="G1194" s="20" t="str">
        <f t="shared" si="1"/>
        <v>Cameras &amp; Optics, Camera &amp; Optic Accessories, Camera Parts &amp; Accessories, Camera Body Replacement Panels &amp; Doors</v>
      </c>
    </row>
    <row r="1195" hidden="1">
      <c r="A1195" s="29">
        <v>298420.0</v>
      </c>
      <c r="B1195" s="29" t="s">
        <v>1471</v>
      </c>
      <c r="C1195" s="29" t="s">
        <v>1472</v>
      </c>
      <c r="D1195" s="29" t="s">
        <v>1485</v>
      </c>
      <c r="E1195" s="29" t="s">
        <v>1489</v>
      </c>
      <c r="F1195" s="62"/>
      <c r="G1195" s="20" t="str">
        <f t="shared" si="1"/>
        <v>Cameras &amp; Optics, Camera &amp; Optic Accessories, Camera Parts &amp; Accessories, Camera Digital Backs</v>
      </c>
    </row>
    <row r="1196" hidden="1">
      <c r="A1196" s="29">
        <v>153.0</v>
      </c>
      <c r="B1196" s="29" t="s">
        <v>1471</v>
      </c>
      <c r="C1196" s="29" t="s">
        <v>1472</v>
      </c>
      <c r="D1196" s="29" t="s">
        <v>1485</v>
      </c>
      <c r="E1196" s="29" t="s">
        <v>1490</v>
      </c>
      <c r="F1196" s="62"/>
      <c r="G1196" s="20" t="str">
        <f t="shared" si="1"/>
        <v>Cameras &amp; Optics, Camera &amp; Optic Accessories, Camera Parts &amp; Accessories, Camera Film</v>
      </c>
    </row>
    <row r="1197" hidden="1">
      <c r="A1197" s="29">
        <v>5479.0</v>
      </c>
      <c r="B1197" s="29" t="s">
        <v>1471</v>
      </c>
      <c r="C1197" s="29" t="s">
        <v>1472</v>
      </c>
      <c r="D1197" s="29" t="s">
        <v>1485</v>
      </c>
      <c r="E1197" s="29" t="s">
        <v>1491</v>
      </c>
      <c r="F1197" s="62"/>
      <c r="G1197" s="20" t="str">
        <f t="shared" si="1"/>
        <v>Cameras &amp; Optics, Camera &amp; Optic Accessories, Camera Parts &amp; Accessories, Camera Flash Accessories</v>
      </c>
    </row>
    <row r="1198" hidden="1">
      <c r="A1198" s="29">
        <v>148.0</v>
      </c>
      <c r="B1198" s="29" t="s">
        <v>1471</v>
      </c>
      <c r="C1198" s="29" t="s">
        <v>1472</v>
      </c>
      <c r="D1198" s="29" t="s">
        <v>1485</v>
      </c>
      <c r="E1198" s="29" t="s">
        <v>1492</v>
      </c>
      <c r="F1198" s="62"/>
      <c r="G1198" s="20" t="str">
        <f t="shared" si="1"/>
        <v>Cameras &amp; Optics, Camera &amp; Optic Accessories, Camera Parts &amp; Accessories, Camera Flashes</v>
      </c>
    </row>
    <row r="1199" hidden="1">
      <c r="A1199" s="29">
        <v>500104.0</v>
      </c>
      <c r="B1199" s="29" t="s">
        <v>1471</v>
      </c>
      <c r="C1199" s="29" t="s">
        <v>1472</v>
      </c>
      <c r="D1199" s="29" t="s">
        <v>1485</v>
      </c>
      <c r="E1199" s="29" t="s">
        <v>1493</v>
      </c>
      <c r="F1199" s="62"/>
      <c r="G1199" s="20" t="str">
        <f t="shared" si="1"/>
        <v>Cameras &amp; Optics, Camera &amp; Optic Accessories, Camera Parts &amp; Accessories, Camera Focus Devices</v>
      </c>
    </row>
    <row r="1200" hidden="1">
      <c r="A1200" s="29">
        <v>461567.0</v>
      </c>
      <c r="B1200" s="29" t="s">
        <v>1471</v>
      </c>
      <c r="C1200" s="29" t="s">
        <v>1472</v>
      </c>
      <c r="D1200" s="29" t="s">
        <v>1485</v>
      </c>
      <c r="E1200" s="29" t="s">
        <v>1494</v>
      </c>
      <c r="F1200" s="62"/>
      <c r="G1200" s="20" t="str">
        <f t="shared" si="1"/>
        <v>Cameras &amp; Optics, Camera &amp; Optic Accessories, Camera Parts &amp; Accessories, Camera Gears</v>
      </c>
    </row>
    <row r="1201" hidden="1">
      <c r="A1201" s="29">
        <v>500037.0</v>
      </c>
      <c r="B1201" s="29" t="s">
        <v>1471</v>
      </c>
      <c r="C1201" s="29" t="s">
        <v>1472</v>
      </c>
      <c r="D1201" s="29" t="s">
        <v>1485</v>
      </c>
      <c r="E1201" s="29" t="s">
        <v>1495</v>
      </c>
      <c r="F1201" s="62"/>
      <c r="G1201" s="20" t="str">
        <f t="shared" si="1"/>
        <v>Cameras &amp; Optics, Camera &amp; Optic Accessories, Camera Parts &amp; Accessories, Camera Grips</v>
      </c>
    </row>
    <row r="1202" hidden="1">
      <c r="A1202" s="29">
        <v>296248.0</v>
      </c>
      <c r="B1202" s="29" t="s">
        <v>1471</v>
      </c>
      <c r="C1202" s="29" t="s">
        <v>1472</v>
      </c>
      <c r="D1202" s="29" t="s">
        <v>1485</v>
      </c>
      <c r="E1202" s="29" t="s">
        <v>1496</v>
      </c>
      <c r="F1202" s="62"/>
      <c r="G1202" s="20" t="str">
        <f t="shared" si="1"/>
        <v>Cameras &amp; Optics, Camera &amp; Optic Accessories, Camera Parts &amp; Accessories, Camera Image Sensors</v>
      </c>
    </row>
    <row r="1203" hidden="1">
      <c r="A1203" s="29">
        <v>461568.0</v>
      </c>
      <c r="B1203" s="29" t="s">
        <v>1471</v>
      </c>
      <c r="C1203" s="29" t="s">
        <v>1472</v>
      </c>
      <c r="D1203" s="29" t="s">
        <v>1485</v>
      </c>
      <c r="E1203" s="29" t="s">
        <v>1497</v>
      </c>
      <c r="F1203" s="62"/>
      <c r="G1203" s="20" t="str">
        <f t="shared" si="1"/>
        <v>Cameras &amp; Optics, Camera &amp; Optic Accessories, Camera Parts &amp; Accessories, Camera Lens Zoom Units</v>
      </c>
    </row>
    <row r="1204" hidden="1">
      <c r="A1204" s="29">
        <v>5532.0</v>
      </c>
      <c r="B1204" s="29" t="s">
        <v>1471</v>
      </c>
      <c r="C1204" s="29" t="s">
        <v>1472</v>
      </c>
      <c r="D1204" s="29" t="s">
        <v>1485</v>
      </c>
      <c r="E1204" s="29" t="s">
        <v>1498</v>
      </c>
      <c r="F1204" s="62"/>
      <c r="G1204" s="20" t="str">
        <f t="shared" si="1"/>
        <v>Cameras &amp; Optics, Camera &amp; Optic Accessories, Camera Parts &amp; Accessories, Camera Remote Controls</v>
      </c>
    </row>
    <row r="1205" hidden="1">
      <c r="A1205" s="29">
        <v>296247.0</v>
      </c>
      <c r="B1205" s="29" t="s">
        <v>1471</v>
      </c>
      <c r="C1205" s="29" t="s">
        <v>1472</v>
      </c>
      <c r="D1205" s="29" t="s">
        <v>1485</v>
      </c>
      <c r="E1205" s="29" t="s">
        <v>1499</v>
      </c>
      <c r="G1205" s="20" t="str">
        <f t="shared" si="1"/>
        <v>Cameras &amp; Optics, Camera &amp; Optic Accessories, Camera Parts &amp; Accessories, Camera Replacement Buttons &amp; Knobs</v>
      </c>
    </row>
    <row r="1206" hidden="1">
      <c r="A1206" s="29">
        <v>296249.0</v>
      </c>
      <c r="B1206" s="29" t="s">
        <v>1471</v>
      </c>
      <c r="C1206" s="29" t="s">
        <v>1472</v>
      </c>
      <c r="D1206" s="29" t="s">
        <v>1485</v>
      </c>
      <c r="E1206" s="29" t="s">
        <v>1500</v>
      </c>
      <c r="G1206" s="20" t="str">
        <f t="shared" si="1"/>
        <v>Cameras &amp; Optics, Camera &amp; Optic Accessories, Camera Parts &amp; Accessories, Camera Replacement Screens &amp; Displays</v>
      </c>
    </row>
    <row r="1207" hidden="1">
      <c r="A1207" s="29">
        <v>503020.0</v>
      </c>
      <c r="B1207" s="29" t="s">
        <v>1471</v>
      </c>
      <c r="C1207" s="29" t="s">
        <v>1472</v>
      </c>
      <c r="D1207" s="29" t="s">
        <v>1485</v>
      </c>
      <c r="E1207" s="29" t="s">
        <v>1501</v>
      </c>
      <c r="G1207" s="20" t="str">
        <f t="shared" si="1"/>
        <v>Cameras &amp; Optics, Camera &amp; Optic Accessories, Camera Parts &amp; Accessories, Camera Silencers &amp; Sound Blimps</v>
      </c>
    </row>
    <row r="1208" hidden="1">
      <c r="A1208" s="29">
        <v>499998.0</v>
      </c>
      <c r="B1208" s="29" t="s">
        <v>1471</v>
      </c>
      <c r="C1208" s="29" t="s">
        <v>1472</v>
      </c>
      <c r="D1208" s="29" t="s">
        <v>1485</v>
      </c>
      <c r="E1208" s="29" t="s">
        <v>1502</v>
      </c>
      <c r="F1208" s="62"/>
      <c r="G1208" s="20" t="str">
        <f t="shared" si="1"/>
        <v>Cameras &amp; Optics, Camera &amp; Optic Accessories, Camera Parts &amp; Accessories, Camera Stabilizers &amp; Supports</v>
      </c>
    </row>
    <row r="1209" hidden="1">
      <c r="A1209" s="29">
        <v>5429.0</v>
      </c>
      <c r="B1209" s="29" t="s">
        <v>1471</v>
      </c>
      <c r="C1209" s="29" t="s">
        <v>1472</v>
      </c>
      <c r="D1209" s="29" t="s">
        <v>1485</v>
      </c>
      <c r="E1209" s="29" t="s">
        <v>1503</v>
      </c>
      <c r="F1209" s="62"/>
      <c r="G1209" s="20" t="str">
        <f t="shared" si="1"/>
        <v>Cameras &amp; Optics, Camera &amp; Optic Accessories, Camera Parts &amp; Accessories, Camera Straps</v>
      </c>
    </row>
    <row r="1210" hidden="1">
      <c r="A1210" s="29">
        <v>503019.0</v>
      </c>
      <c r="B1210" s="29" t="s">
        <v>1471</v>
      </c>
      <c r="C1210" s="29" t="s">
        <v>1472</v>
      </c>
      <c r="D1210" s="29" t="s">
        <v>1485</v>
      </c>
      <c r="E1210" s="29" t="s">
        <v>1504</v>
      </c>
      <c r="G1210" s="20" t="str">
        <f t="shared" si="1"/>
        <v>Cameras &amp; Optics, Camera &amp; Optic Accessories, Camera Parts &amp; Accessories, Camera Sun Hoods &amp; Viewfinder Attachments</v>
      </c>
    </row>
    <row r="1211" hidden="1">
      <c r="A1211" s="29">
        <v>2987.0</v>
      </c>
      <c r="B1211" s="29" t="s">
        <v>1471</v>
      </c>
      <c r="C1211" s="29" t="s">
        <v>1472</v>
      </c>
      <c r="D1211" s="29" t="s">
        <v>1485</v>
      </c>
      <c r="E1211" s="29" t="s">
        <v>1505</v>
      </c>
      <c r="F1211" s="62"/>
      <c r="G1211" s="20" t="str">
        <f t="shared" si="1"/>
        <v>Cameras &amp; Optics, Camera &amp; Optic Accessories, Camera Parts &amp; Accessories, Flash Brackets</v>
      </c>
    </row>
    <row r="1212" hidden="1">
      <c r="A1212" s="29">
        <v>500107.0</v>
      </c>
      <c r="B1212" s="29" t="s">
        <v>1471</v>
      </c>
      <c r="C1212" s="29" t="s">
        <v>1472</v>
      </c>
      <c r="D1212" s="29" t="s">
        <v>1485</v>
      </c>
      <c r="E1212" s="29" t="s">
        <v>1506</v>
      </c>
      <c r="F1212" s="62"/>
      <c r="G1212" s="20" t="str">
        <f t="shared" si="1"/>
        <v>Cameras &amp; Optics, Camera &amp; Optic Accessories, Camera Parts &amp; Accessories, On-Camera Monitors</v>
      </c>
    </row>
    <row r="1213" hidden="1">
      <c r="A1213" s="29">
        <v>5937.0</v>
      </c>
      <c r="B1213" s="29" t="s">
        <v>1471</v>
      </c>
      <c r="C1213" s="29" t="s">
        <v>1472</v>
      </c>
      <c r="D1213" s="29" t="s">
        <v>1485</v>
      </c>
      <c r="E1213" s="29" t="s">
        <v>1507</v>
      </c>
      <c r="F1213" s="62"/>
      <c r="G1213" s="20" t="str">
        <f t="shared" si="1"/>
        <v>Cameras &amp; Optics, Camera &amp; Optic Accessories, Camera Parts &amp; Accessories, Surveillance Camera Accessories</v>
      </c>
    </row>
    <row r="1214" hidden="1">
      <c r="A1214" s="29">
        <v>8535.0</v>
      </c>
      <c r="B1214" s="29" t="s">
        <v>1471</v>
      </c>
      <c r="C1214" s="29" t="s">
        <v>1472</v>
      </c>
      <c r="D1214" s="29" t="s">
        <v>1485</v>
      </c>
      <c r="E1214" s="29" t="s">
        <v>1508</v>
      </c>
      <c r="G1214" s="20" t="str">
        <f t="shared" si="1"/>
        <v>Cameras &amp; Optics, Camera &amp; Optic Accessories, Camera Parts &amp; Accessories, Underwater Camera Housing Accessories</v>
      </c>
    </row>
    <row r="1215" hidden="1">
      <c r="A1215" s="29">
        <v>6307.0</v>
      </c>
      <c r="B1215" s="29" t="s">
        <v>1471</v>
      </c>
      <c r="C1215" s="29" t="s">
        <v>1472</v>
      </c>
      <c r="D1215" s="29" t="s">
        <v>1485</v>
      </c>
      <c r="E1215" s="29" t="s">
        <v>1509</v>
      </c>
      <c r="F1215" s="62"/>
      <c r="G1215" s="20" t="str">
        <f t="shared" si="1"/>
        <v>Cameras &amp; Optics, Camera &amp; Optic Accessories, Camera Parts &amp; Accessories, Underwater Camera Housings</v>
      </c>
    </row>
    <row r="1216" hidden="1">
      <c r="A1216" s="29">
        <v>2394.0</v>
      </c>
      <c r="B1216" s="29" t="s">
        <v>1471</v>
      </c>
      <c r="C1216" s="29" t="s">
        <v>1472</v>
      </c>
      <c r="D1216" s="29" t="s">
        <v>1485</v>
      </c>
      <c r="E1216" s="29" t="s">
        <v>1510</v>
      </c>
      <c r="F1216" s="62"/>
      <c r="G1216" s="20" t="str">
        <f t="shared" si="1"/>
        <v>Cameras &amp; Optics, Camera &amp; Optic Accessories, Camera Parts &amp; Accessories, Video Camera Lights</v>
      </c>
    </row>
    <row r="1217" hidden="1">
      <c r="A1217" s="29">
        <v>160.0</v>
      </c>
      <c r="B1217" s="29" t="s">
        <v>1471</v>
      </c>
      <c r="C1217" s="29" t="s">
        <v>1472</v>
      </c>
      <c r="D1217" s="29" t="s">
        <v>1511</v>
      </c>
      <c r="E1217" s="62"/>
      <c r="F1217" s="62"/>
      <c r="G1217" s="20" t="str">
        <f t="shared" si="1"/>
        <v>Cameras &amp; Optics, Camera &amp; Optic Accessories, Optic Accessories, </v>
      </c>
    </row>
    <row r="1218" hidden="1">
      <c r="A1218" s="29">
        <v>5282.0</v>
      </c>
      <c r="B1218" s="29" t="s">
        <v>1471</v>
      </c>
      <c r="C1218" s="29" t="s">
        <v>1472</v>
      </c>
      <c r="D1218" s="29" t="s">
        <v>1511</v>
      </c>
      <c r="E1218" s="29" t="s">
        <v>1512</v>
      </c>
      <c r="G1218" s="20" t="str">
        <f t="shared" si="1"/>
        <v>Cameras &amp; Optics, Camera &amp; Optic Accessories, Optic Accessories, Binocular &amp; Monocular Accessories</v>
      </c>
    </row>
    <row r="1219" hidden="1">
      <c r="A1219" s="29">
        <v>5545.0</v>
      </c>
      <c r="B1219" s="29" t="s">
        <v>1471</v>
      </c>
      <c r="C1219" s="29" t="s">
        <v>1472</v>
      </c>
      <c r="D1219" s="29" t="s">
        <v>1511</v>
      </c>
      <c r="E1219" s="29" t="s">
        <v>1513</v>
      </c>
      <c r="F1219" s="62"/>
      <c r="G1219" s="20" t="str">
        <f t="shared" si="1"/>
        <v>Cameras &amp; Optics, Camera &amp; Optic Accessories, Optic Accessories, Optics Bags &amp; Cases</v>
      </c>
    </row>
    <row r="1220" hidden="1">
      <c r="A1220" s="29">
        <v>5283.0</v>
      </c>
      <c r="B1220" s="29" t="s">
        <v>1471</v>
      </c>
      <c r="C1220" s="29" t="s">
        <v>1472</v>
      </c>
      <c r="D1220" s="29" t="s">
        <v>1511</v>
      </c>
      <c r="E1220" s="29" t="s">
        <v>1514</v>
      </c>
      <c r="F1220" s="62"/>
      <c r="G1220" s="20" t="str">
        <f t="shared" si="1"/>
        <v>Cameras &amp; Optics, Camera &amp; Optic Accessories, Optic Accessories, Rangefinder Accessories</v>
      </c>
    </row>
    <row r="1221" hidden="1">
      <c r="A1221" s="29">
        <v>5542.0</v>
      </c>
      <c r="B1221" s="29" t="s">
        <v>1471</v>
      </c>
      <c r="C1221" s="29" t="s">
        <v>1472</v>
      </c>
      <c r="D1221" s="29" t="s">
        <v>1511</v>
      </c>
      <c r="E1221" s="29" t="s">
        <v>1515</v>
      </c>
      <c r="F1221" s="62"/>
      <c r="G1221" s="20" t="str">
        <f t="shared" si="1"/>
        <v>Cameras &amp; Optics, Camera &amp; Optic Accessories, Optic Accessories, Spotting Scope Accessories</v>
      </c>
    </row>
    <row r="1222" hidden="1">
      <c r="A1222" s="29">
        <v>5284.0</v>
      </c>
      <c r="B1222" s="29" t="s">
        <v>1471</v>
      </c>
      <c r="C1222" s="29" t="s">
        <v>1472</v>
      </c>
      <c r="D1222" s="29" t="s">
        <v>1511</v>
      </c>
      <c r="E1222" s="29" t="s">
        <v>1516</v>
      </c>
      <c r="F1222" s="62"/>
      <c r="G1222" s="20" t="str">
        <f t="shared" si="1"/>
        <v>Cameras &amp; Optics, Camera &amp; Optic Accessories, Optic Accessories, Telescope Accessories</v>
      </c>
    </row>
    <row r="1223" hidden="1">
      <c r="A1223" s="29">
        <v>4274.0</v>
      </c>
      <c r="B1223" s="29" t="s">
        <v>1471</v>
      </c>
      <c r="C1223" s="29" t="s">
        <v>1472</v>
      </c>
      <c r="D1223" s="29" t="s">
        <v>1511</v>
      </c>
      <c r="E1223" s="29" t="s">
        <v>1517</v>
      </c>
      <c r="F1223" s="62"/>
      <c r="G1223" s="20" t="str">
        <f t="shared" si="1"/>
        <v>Cameras &amp; Optics, Camera &amp; Optic Accessories, Optic Accessories, Thermal Optic Accessories</v>
      </c>
    </row>
    <row r="1224" hidden="1">
      <c r="A1224" s="29">
        <v>5543.0</v>
      </c>
      <c r="B1224" s="29" t="s">
        <v>1471</v>
      </c>
      <c r="C1224" s="29" t="s">
        <v>1472</v>
      </c>
      <c r="D1224" s="29" t="s">
        <v>1511</v>
      </c>
      <c r="E1224" s="29" t="s">
        <v>1518</v>
      </c>
      <c r="G1224" s="20" t="str">
        <f t="shared" si="1"/>
        <v>Cameras &amp; Optics, Camera &amp; Optic Accessories, Optic Accessories, Weapon Scope &amp; Sight Accessories</v>
      </c>
    </row>
    <row r="1225" hidden="1">
      <c r="A1225" s="29">
        <v>4638.0</v>
      </c>
      <c r="B1225" s="29" t="s">
        <v>1471</v>
      </c>
      <c r="C1225" s="29" t="s">
        <v>1472</v>
      </c>
      <c r="D1225" s="29" t="s">
        <v>1519</v>
      </c>
      <c r="F1225" s="62"/>
      <c r="G1225" s="20" t="str">
        <f t="shared" si="1"/>
        <v>Cameras &amp; Optics, Camera &amp; Optic Accessories, Tripod &amp; Monopod Accessories, </v>
      </c>
    </row>
    <row r="1226" hidden="1">
      <c r="A1226" s="29">
        <v>4640.0</v>
      </c>
      <c r="B1226" s="29" t="s">
        <v>1471</v>
      </c>
      <c r="C1226" s="29" t="s">
        <v>1472</v>
      </c>
      <c r="D1226" s="29" t="s">
        <v>1519</v>
      </c>
      <c r="E1226" s="29" t="s">
        <v>1520</v>
      </c>
      <c r="F1226" s="62"/>
      <c r="G1226" s="20" t="str">
        <f t="shared" si="1"/>
        <v>Cameras &amp; Optics, Camera &amp; Optic Accessories, Tripod &amp; Monopod Accessories, Tripod &amp; Monopod Cases</v>
      </c>
    </row>
    <row r="1227" hidden="1">
      <c r="A1227" s="29">
        <v>4639.0</v>
      </c>
      <c r="B1227" s="29" t="s">
        <v>1471</v>
      </c>
      <c r="C1227" s="29" t="s">
        <v>1472</v>
      </c>
      <c r="D1227" s="29" t="s">
        <v>1519</v>
      </c>
      <c r="E1227" s="29" t="s">
        <v>1521</v>
      </c>
      <c r="F1227" s="62"/>
      <c r="G1227" s="20" t="str">
        <f t="shared" si="1"/>
        <v>Cameras &amp; Optics, Camera &amp; Optic Accessories, Tripod &amp; Monopod Accessories, Tripod &amp; Monopod Heads</v>
      </c>
    </row>
    <row r="1228" hidden="1">
      <c r="A1228" s="29">
        <v>3035.0</v>
      </c>
      <c r="B1228" s="29" t="s">
        <v>1471</v>
      </c>
      <c r="C1228" s="29" t="s">
        <v>1472</v>
      </c>
      <c r="D1228" s="29" t="s">
        <v>1519</v>
      </c>
      <c r="E1228" s="29" t="s">
        <v>1522</v>
      </c>
      <c r="F1228" s="62"/>
      <c r="G1228" s="20" t="str">
        <f t="shared" si="1"/>
        <v>Cameras &amp; Optics, Camera &amp; Optic Accessories, Tripod &amp; Monopod Accessories, Tripod Collars &amp; Mounts</v>
      </c>
    </row>
    <row r="1229" hidden="1">
      <c r="A1229" s="29">
        <v>503726.0</v>
      </c>
      <c r="B1229" s="29" t="s">
        <v>1471</v>
      </c>
      <c r="C1229" s="29" t="s">
        <v>1472</v>
      </c>
      <c r="D1229" s="29" t="s">
        <v>1519</v>
      </c>
      <c r="E1229" s="29" t="s">
        <v>1523</v>
      </c>
      <c r="F1229" s="62"/>
      <c r="G1229" s="20" t="str">
        <f t="shared" si="1"/>
        <v>Cameras &amp; Optics, Camera &amp; Optic Accessories, Tripod &amp; Monopod Accessories, Tripod Handles</v>
      </c>
    </row>
    <row r="1230" hidden="1">
      <c r="A1230" s="29">
        <v>503016.0</v>
      </c>
      <c r="B1230" s="29" t="s">
        <v>1471</v>
      </c>
      <c r="C1230" s="29" t="s">
        <v>1472</v>
      </c>
      <c r="D1230" s="29" t="s">
        <v>1519</v>
      </c>
      <c r="E1230" s="29" t="s">
        <v>1524</v>
      </c>
      <c r="F1230" s="62"/>
      <c r="G1230" s="20" t="str">
        <f t="shared" si="1"/>
        <v>Cameras &amp; Optics, Camera &amp; Optic Accessories, Tripod &amp; Monopod Accessories, Tripod Spreaders</v>
      </c>
    </row>
    <row r="1231" hidden="1">
      <c r="A1231" s="29">
        <v>150.0</v>
      </c>
      <c r="B1231" s="29" t="s">
        <v>1471</v>
      </c>
      <c r="C1231" s="29" t="s">
        <v>1472</v>
      </c>
      <c r="D1231" s="29" t="s">
        <v>1525</v>
      </c>
      <c r="E1231" s="62"/>
      <c r="F1231" s="62"/>
      <c r="G1231" s="20" t="str">
        <f t="shared" si="1"/>
        <v>Cameras &amp; Optics, Camera &amp; Optic Accessories, Tripods &amp; Monopods, </v>
      </c>
    </row>
    <row r="1232" hidden="1">
      <c r="A1232" s="29">
        <v>142.0</v>
      </c>
      <c r="B1232" s="29" t="s">
        <v>1471</v>
      </c>
      <c r="C1232" s="29" t="s">
        <v>1526</v>
      </c>
      <c r="D1232" s="62"/>
      <c r="E1232" s="62"/>
      <c r="F1232" s="62"/>
      <c r="G1232" s="20" t="str">
        <f t="shared" si="1"/>
        <v>Cameras &amp; Optics, Cameras, , </v>
      </c>
    </row>
    <row r="1233" hidden="1">
      <c r="A1233" s="29">
        <v>499976.0</v>
      </c>
      <c r="B1233" s="29" t="s">
        <v>1471</v>
      </c>
      <c r="C1233" s="29" t="s">
        <v>1526</v>
      </c>
      <c r="D1233" s="29" t="s">
        <v>1527</v>
      </c>
      <c r="E1233" s="62"/>
      <c r="F1233" s="62"/>
      <c r="G1233" s="20" t="str">
        <f t="shared" si="1"/>
        <v>Cameras &amp; Optics, Cameras, Borescopes, </v>
      </c>
    </row>
    <row r="1234" hidden="1">
      <c r="A1234" s="29">
        <v>152.0</v>
      </c>
      <c r="B1234" s="29" t="s">
        <v>1471</v>
      </c>
      <c r="C1234" s="29" t="s">
        <v>1526</v>
      </c>
      <c r="D1234" s="29" t="s">
        <v>1528</v>
      </c>
      <c r="E1234" s="62"/>
      <c r="F1234" s="62"/>
      <c r="G1234" s="20" t="str">
        <f t="shared" si="1"/>
        <v>Cameras &amp; Optics, Cameras, Digital Cameras, </v>
      </c>
    </row>
    <row r="1235" hidden="1">
      <c r="A1235" s="29">
        <v>4024.0</v>
      </c>
      <c r="B1235" s="29" t="s">
        <v>1471</v>
      </c>
      <c r="C1235" s="29" t="s">
        <v>1526</v>
      </c>
      <c r="D1235" s="29" t="s">
        <v>1529</v>
      </c>
      <c r="E1235" s="62"/>
      <c r="F1235" s="62"/>
      <c r="G1235" s="20" t="str">
        <f t="shared" si="1"/>
        <v>Cameras &amp; Optics, Cameras, Disposable Cameras, </v>
      </c>
    </row>
    <row r="1236" hidden="1">
      <c r="A1236" s="29">
        <v>154.0</v>
      </c>
      <c r="B1236" s="29" t="s">
        <v>1471</v>
      </c>
      <c r="C1236" s="29" t="s">
        <v>1526</v>
      </c>
      <c r="D1236" s="29" t="s">
        <v>1530</v>
      </c>
      <c r="E1236" s="62"/>
      <c r="F1236" s="62"/>
      <c r="G1236" s="20" t="str">
        <f t="shared" si="1"/>
        <v>Cameras &amp; Optics, Cameras, Film Cameras, </v>
      </c>
    </row>
    <row r="1237" hidden="1">
      <c r="A1237" s="29">
        <v>362.0</v>
      </c>
      <c r="B1237" s="29" t="s">
        <v>1471</v>
      </c>
      <c r="C1237" s="29" t="s">
        <v>1526</v>
      </c>
      <c r="D1237" s="29" t="s">
        <v>1531</v>
      </c>
      <c r="E1237" s="62"/>
      <c r="F1237" s="62"/>
      <c r="G1237" s="20" t="str">
        <f t="shared" si="1"/>
        <v>Cameras &amp; Optics, Cameras, Surveillance Cameras, </v>
      </c>
    </row>
    <row r="1238" hidden="1">
      <c r="A1238" s="29">
        <v>5402.0</v>
      </c>
      <c r="B1238" s="29" t="s">
        <v>1471</v>
      </c>
      <c r="C1238" s="29" t="s">
        <v>1526</v>
      </c>
      <c r="D1238" s="29" t="s">
        <v>1532</v>
      </c>
      <c r="E1238" s="62"/>
      <c r="F1238" s="62"/>
      <c r="G1238" s="20" t="str">
        <f t="shared" si="1"/>
        <v>Cameras &amp; Optics, Cameras, Trail Cameras, </v>
      </c>
    </row>
    <row r="1239" hidden="1">
      <c r="A1239" s="29">
        <v>155.0</v>
      </c>
      <c r="B1239" s="29" t="s">
        <v>1471</v>
      </c>
      <c r="C1239" s="29" t="s">
        <v>1526</v>
      </c>
      <c r="D1239" s="29" t="s">
        <v>1533</v>
      </c>
      <c r="E1239" s="62"/>
      <c r="F1239" s="62"/>
      <c r="G1239" s="20" t="str">
        <f t="shared" si="1"/>
        <v>Cameras &amp; Optics, Cameras, Video Cameras, </v>
      </c>
    </row>
    <row r="1240" hidden="1">
      <c r="A1240" s="29">
        <v>312.0</v>
      </c>
      <c r="B1240" s="29" t="s">
        <v>1471</v>
      </c>
      <c r="C1240" s="29" t="s">
        <v>1526</v>
      </c>
      <c r="D1240" s="29" t="s">
        <v>1534</v>
      </c>
      <c r="E1240" s="62"/>
      <c r="F1240" s="62"/>
      <c r="G1240" s="20" t="str">
        <f t="shared" si="1"/>
        <v>Cameras &amp; Optics, Cameras, Webcams, </v>
      </c>
    </row>
    <row r="1241" hidden="1">
      <c r="A1241" s="29">
        <v>156.0</v>
      </c>
      <c r="B1241" s="29" t="s">
        <v>1471</v>
      </c>
      <c r="C1241" s="29" t="s">
        <v>1535</v>
      </c>
      <c r="D1241" s="62"/>
      <c r="E1241" s="62"/>
      <c r="F1241" s="62"/>
      <c r="G1241" s="20" t="str">
        <f t="shared" si="1"/>
        <v>Cameras &amp; Optics, Optics, , </v>
      </c>
    </row>
    <row r="1242" hidden="1">
      <c r="A1242" s="29">
        <v>157.0</v>
      </c>
      <c r="B1242" s="29" t="s">
        <v>1471</v>
      </c>
      <c r="C1242" s="29" t="s">
        <v>1535</v>
      </c>
      <c r="D1242" s="29" t="s">
        <v>1536</v>
      </c>
      <c r="E1242" s="62"/>
      <c r="F1242" s="62"/>
      <c r="G1242" s="20" t="str">
        <f t="shared" si="1"/>
        <v>Cameras &amp; Optics, Optics, Binoculars, </v>
      </c>
    </row>
    <row r="1243" hidden="1">
      <c r="A1243" s="29">
        <v>4164.0</v>
      </c>
      <c r="B1243" s="29" t="s">
        <v>1471</v>
      </c>
      <c r="C1243" s="29" t="s">
        <v>1535</v>
      </c>
      <c r="D1243" s="29" t="s">
        <v>1537</v>
      </c>
      <c r="E1243" s="62"/>
      <c r="F1243" s="62"/>
      <c r="G1243" s="20" t="str">
        <f t="shared" si="1"/>
        <v>Cameras &amp; Optics, Optics, Monoculars, </v>
      </c>
    </row>
    <row r="1244" hidden="1">
      <c r="A1244" s="29">
        <v>161.0</v>
      </c>
      <c r="B1244" s="29" t="s">
        <v>1471</v>
      </c>
      <c r="C1244" s="29" t="s">
        <v>1535</v>
      </c>
      <c r="D1244" s="29" t="s">
        <v>1538</v>
      </c>
      <c r="E1244" s="62"/>
      <c r="F1244" s="62"/>
      <c r="G1244" s="20" t="str">
        <f t="shared" si="1"/>
        <v>Cameras &amp; Optics, Optics, Rangefinders, </v>
      </c>
    </row>
    <row r="1245" hidden="1">
      <c r="A1245" s="29">
        <v>4040.0</v>
      </c>
      <c r="B1245" s="29" t="s">
        <v>1471</v>
      </c>
      <c r="C1245" s="29" t="s">
        <v>1535</v>
      </c>
      <c r="D1245" s="29" t="s">
        <v>1539</v>
      </c>
      <c r="E1245" s="62"/>
      <c r="F1245" s="62"/>
      <c r="G1245" s="20" t="str">
        <f t="shared" si="1"/>
        <v>Cameras &amp; Optics, Optics, Scopes, </v>
      </c>
    </row>
    <row r="1246" hidden="1">
      <c r="A1246" s="29">
        <v>4136.0</v>
      </c>
      <c r="B1246" s="29" t="s">
        <v>1471</v>
      </c>
      <c r="C1246" s="29" t="s">
        <v>1535</v>
      </c>
      <c r="D1246" s="29" t="s">
        <v>1539</v>
      </c>
      <c r="E1246" s="29" t="s">
        <v>1540</v>
      </c>
      <c r="F1246" s="62"/>
      <c r="G1246" s="20" t="str">
        <f t="shared" si="1"/>
        <v>Cameras &amp; Optics, Optics, Scopes, Spotting Scopes</v>
      </c>
    </row>
    <row r="1247" hidden="1">
      <c r="A1247" s="29">
        <v>165.0</v>
      </c>
      <c r="B1247" s="29" t="s">
        <v>1471</v>
      </c>
      <c r="C1247" s="29" t="s">
        <v>1535</v>
      </c>
      <c r="D1247" s="29" t="s">
        <v>1539</v>
      </c>
      <c r="E1247" s="29" t="s">
        <v>1541</v>
      </c>
      <c r="F1247" s="62"/>
      <c r="G1247" s="20" t="str">
        <f t="shared" si="1"/>
        <v>Cameras &amp; Optics, Optics, Scopes, Telescopes</v>
      </c>
    </row>
    <row r="1248" hidden="1">
      <c r="A1248" s="29">
        <v>1695.0</v>
      </c>
      <c r="B1248" s="29" t="s">
        <v>1471</v>
      </c>
      <c r="C1248" s="29" t="s">
        <v>1535</v>
      </c>
      <c r="D1248" s="29" t="s">
        <v>1539</v>
      </c>
      <c r="E1248" s="29" t="s">
        <v>1542</v>
      </c>
      <c r="F1248" s="62"/>
      <c r="G1248" s="20" t="str">
        <f t="shared" si="1"/>
        <v>Cameras &amp; Optics, Optics, Scopes, Weapon Scopes &amp; Sights</v>
      </c>
    </row>
    <row r="1249" hidden="1">
      <c r="A1249" s="29">
        <v>39.0</v>
      </c>
      <c r="B1249" s="29" t="s">
        <v>1471</v>
      </c>
      <c r="C1249" s="29" t="s">
        <v>1543</v>
      </c>
      <c r="D1249" s="62"/>
      <c r="E1249" s="62"/>
      <c r="F1249" s="62"/>
      <c r="G1249" s="20" t="str">
        <f t="shared" si="1"/>
        <v>Cameras &amp; Optics, Photography, , </v>
      </c>
    </row>
    <row r="1250" hidden="1">
      <c r="A1250" s="29">
        <v>41.0</v>
      </c>
      <c r="B1250" s="29" t="s">
        <v>1471</v>
      </c>
      <c r="C1250" s="29" t="s">
        <v>1543</v>
      </c>
      <c r="D1250" s="29" t="s">
        <v>1544</v>
      </c>
      <c r="E1250" s="62"/>
      <c r="F1250" s="62"/>
      <c r="G1250" s="20" t="str">
        <f t="shared" si="1"/>
        <v>Cameras &amp; Optics, Photography, Darkroom, </v>
      </c>
    </row>
    <row r="1251" hidden="1">
      <c r="A1251" s="29">
        <v>2234.0</v>
      </c>
      <c r="B1251" s="29" t="s">
        <v>1471</v>
      </c>
      <c r="C1251" s="29" t="s">
        <v>1543</v>
      </c>
      <c r="D1251" s="29" t="s">
        <v>1544</v>
      </c>
      <c r="E1251" s="29" t="s">
        <v>1545</v>
      </c>
      <c r="G1251" s="20" t="str">
        <f t="shared" si="1"/>
        <v>Cameras &amp; Optics, Photography, Darkroom, Developing &amp; Processing Equipment</v>
      </c>
    </row>
    <row r="1252" hidden="1">
      <c r="A1252" s="29">
        <v>2625.0</v>
      </c>
      <c r="B1252" s="29" t="s">
        <v>1471</v>
      </c>
      <c r="C1252" s="29" t="s">
        <v>1543</v>
      </c>
      <c r="D1252" s="29" t="s">
        <v>1544</v>
      </c>
      <c r="E1252" s="29" t="s">
        <v>1545</v>
      </c>
      <c r="F1252" s="29" t="s">
        <v>1546</v>
      </c>
      <c r="G1252" s="20" t="str">
        <f t="shared" si="1"/>
        <v>Cameras &amp; Optics, Photography, Darkroom, Developing &amp; Processing EquipmentCopystands</v>
      </c>
    </row>
    <row r="1253" hidden="1">
      <c r="A1253" s="29">
        <v>2999.0</v>
      </c>
      <c r="B1253" s="29" t="s">
        <v>1471</v>
      </c>
      <c r="C1253" s="29" t="s">
        <v>1543</v>
      </c>
      <c r="D1253" s="29" t="s">
        <v>1544</v>
      </c>
      <c r="E1253" s="29" t="s">
        <v>1545</v>
      </c>
      <c r="F1253" s="29" t="s">
        <v>1547</v>
      </c>
      <c r="G1253" s="20" t="str">
        <f t="shared" si="1"/>
        <v>Cameras &amp; Optics, Photography, Darkroom, Developing &amp; Processing EquipmentDarkroom Sinks</v>
      </c>
    </row>
    <row r="1254" hidden="1">
      <c r="A1254" s="29">
        <v>2650.0</v>
      </c>
      <c r="B1254" s="29" t="s">
        <v>1471</v>
      </c>
      <c r="C1254" s="29" t="s">
        <v>1543</v>
      </c>
      <c r="D1254" s="29" t="s">
        <v>1544</v>
      </c>
      <c r="E1254" s="29" t="s">
        <v>1545</v>
      </c>
      <c r="F1254" s="29" t="s">
        <v>1548</v>
      </c>
      <c r="G1254" s="20" t="str">
        <f t="shared" si="1"/>
        <v>Cameras &amp; Optics, Photography, Darkroom, Developing &amp; Processing EquipmentDeveloping Tanks &amp; Reels</v>
      </c>
    </row>
    <row r="1255" hidden="1">
      <c r="A1255" s="29">
        <v>2728.0</v>
      </c>
      <c r="B1255" s="29" t="s">
        <v>1471</v>
      </c>
      <c r="C1255" s="29" t="s">
        <v>1543</v>
      </c>
      <c r="D1255" s="29" t="s">
        <v>1544</v>
      </c>
      <c r="E1255" s="29" t="s">
        <v>1545</v>
      </c>
      <c r="F1255" s="29" t="s">
        <v>1549</v>
      </c>
      <c r="G1255" s="20" t="str">
        <f t="shared" si="1"/>
        <v>Cameras &amp; Optics, Photography, Darkroom, Developing &amp; Processing EquipmentPrint Trays, Washers &amp; Dryers</v>
      </c>
    </row>
    <row r="1256" hidden="1">
      <c r="A1256" s="29">
        <v>2516.0</v>
      </c>
      <c r="B1256" s="29" t="s">
        <v>1471</v>
      </c>
      <c r="C1256" s="29" t="s">
        <v>1543</v>
      </c>
      <c r="D1256" s="29" t="s">
        <v>1544</v>
      </c>
      <c r="E1256" s="29" t="s">
        <v>1545</v>
      </c>
      <c r="F1256" s="29" t="s">
        <v>1550</v>
      </c>
      <c r="G1256" s="20" t="str">
        <f t="shared" si="1"/>
        <v>Cameras &amp; Optics, Photography, Darkroom, Developing &amp; Processing EquipmentRetouching Equipment &amp; Supplies</v>
      </c>
    </row>
    <row r="1257" hidden="1">
      <c r="A1257" s="29">
        <v>2520.0</v>
      </c>
      <c r="B1257" s="29" t="s">
        <v>1471</v>
      </c>
      <c r="C1257" s="29" t="s">
        <v>1543</v>
      </c>
      <c r="D1257" s="29" t="s">
        <v>1544</v>
      </c>
      <c r="E1257" s="29" t="s">
        <v>1551</v>
      </c>
      <c r="F1257" s="62"/>
      <c r="G1257" s="20" t="str">
        <f t="shared" si="1"/>
        <v>Cameras &amp; Optics, Photography, Darkroom, Enlarging Equipment</v>
      </c>
    </row>
    <row r="1258" hidden="1">
      <c r="A1258" s="29">
        <v>2969.0</v>
      </c>
      <c r="B1258" s="29" t="s">
        <v>1471</v>
      </c>
      <c r="C1258" s="29" t="s">
        <v>1543</v>
      </c>
      <c r="D1258" s="29" t="s">
        <v>1544</v>
      </c>
      <c r="E1258" s="29" t="s">
        <v>1551</v>
      </c>
      <c r="F1258" s="29" t="s">
        <v>1552</v>
      </c>
      <c r="G1258" s="20" t="str">
        <f t="shared" si="1"/>
        <v>Cameras &amp; Optics, Photography, Darkroom, Enlarging EquipmentDarkroom Easels</v>
      </c>
    </row>
    <row r="1259" hidden="1">
      <c r="A1259" s="29">
        <v>2543.0</v>
      </c>
      <c r="B1259" s="29" t="s">
        <v>1471</v>
      </c>
      <c r="C1259" s="29" t="s">
        <v>1543</v>
      </c>
      <c r="D1259" s="29" t="s">
        <v>1544</v>
      </c>
      <c r="E1259" s="29" t="s">
        <v>1551</v>
      </c>
      <c r="F1259" s="29" t="s">
        <v>1553</v>
      </c>
      <c r="G1259" s="20" t="str">
        <f t="shared" si="1"/>
        <v>Cameras &amp; Optics, Photography, Darkroom, Enlarging EquipmentDarkroom Timers</v>
      </c>
    </row>
    <row r="1260" hidden="1">
      <c r="A1260" s="29">
        <v>3029.0</v>
      </c>
      <c r="B1260" s="29" t="s">
        <v>1471</v>
      </c>
      <c r="C1260" s="29" t="s">
        <v>1543</v>
      </c>
      <c r="D1260" s="29" t="s">
        <v>1544</v>
      </c>
      <c r="E1260" s="29" t="s">
        <v>1551</v>
      </c>
      <c r="F1260" s="29" t="s">
        <v>1554</v>
      </c>
      <c r="G1260" s="20" t="str">
        <f t="shared" si="1"/>
        <v>Cameras &amp; Optics, Photography, Darkroom, Enlarging EquipmentFocusing Aids</v>
      </c>
    </row>
    <row r="1261" hidden="1">
      <c r="A1261" s="29">
        <v>2815.0</v>
      </c>
      <c r="B1261" s="29" t="s">
        <v>1471</v>
      </c>
      <c r="C1261" s="29" t="s">
        <v>1543</v>
      </c>
      <c r="D1261" s="29" t="s">
        <v>1544</v>
      </c>
      <c r="E1261" s="29" t="s">
        <v>1551</v>
      </c>
      <c r="F1261" s="29" t="s">
        <v>1555</v>
      </c>
      <c r="G1261" s="20" t="str">
        <f t="shared" si="1"/>
        <v>Cameras &amp; Optics, Photography, Darkroom, Enlarging EquipmentPhotographic Analyzers</v>
      </c>
    </row>
    <row r="1262" hidden="1">
      <c r="A1262" s="29">
        <v>2698.0</v>
      </c>
      <c r="B1262" s="29" t="s">
        <v>1471</v>
      </c>
      <c r="C1262" s="29" t="s">
        <v>1543</v>
      </c>
      <c r="D1262" s="29" t="s">
        <v>1544</v>
      </c>
      <c r="E1262" s="29" t="s">
        <v>1551</v>
      </c>
      <c r="F1262" s="29" t="s">
        <v>1556</v>
      </c>
      <c r="G1262" s="20" t="str">
        <f t="shared" si="1"/>
        <v>Cameras &amp; Optics, Photography, Darkroom, Enlarging EquipmentPhotographic Enlargers</v>
      </c>
    </row>
    <row r="1263" hidden="1">
      <c r="A1263" s="29">
        <v>1622.0</v>
      </c>
      <c r="B1263" s="29" t="s">
        <v>1471</v>
      </c>
      <c r="C1263" s="29" t="s">
        <v>1543</v>
      </c>
      <c r="D1263" s="29" t="s">
        <v>1544</v>
      </c>
      <c r="E1263" s="29" t="s">
        <v>1557</v>
      </c>
      <c r="F1263" s="62"/>
      <c r="G1263" s="20" t="str">
        <f t="shared" si="1"/>
        <v>Cameras &amp; Optics, Photography, Darkroom, Photographic Chemicals</v>
      </c>
    </row>
    <row r="1264" hidden="1">
      <c r="A1264" s="29">
        <v>2804.0</v>
      </c>
      <c r="B1264" s="29" t="s">
        <v>1471</v>
      </c>
      <c r="C1264" s="29" t="s">
        <v>1543</v>
      </c>
      <c r="D1264" s="29" t="s">
        <v>1544</v>
      </c>
      <c r="E1264" s="29" t="s">
        <v>1558</v>
      </c>
      <c r="F1264" s="62"/>
      <c r="G1264" s="20" t="str">
        <f t="shared" si="1"/>
        <v>Cameras &amp; Optics, Photography, Darkroom, Photographic Paper</v>
      </c>
    </row>
    <row r="1265" hidden="1">
      <c r="A1265" s="29">
        <v>2600.0</v>
      </c>
      <c r="B1265" s="29" t="s">
        <v>1471</v>
      </c>
      <c r="C1265" s="29" t="s">
        <v>1543</v>
      </c>
      <c r="D1265" s="29" t="s">
        <v>1544</v>
      </c>
      <c r="E1265" s="29" t="s">
        <v>1559</v>
      </c>
      <c r="F1265" s="62"/>
      <c r="G1265" s="20" t="str">
        <f t="shared" si="1"/>
        <v>Cameras &amp; Optics, Photography, Darkroom, Safelights</v>
      </c>
    </row>
    <row r="1266" hidden="1">
      <c r="A1266" s="29">
        <v>42.0</v>
      </c>
      <c r="B1266" s="29" t="s">
        <v>1471</v>
      </c>
      <c r="C1266" s="29" t="s">
        <v>1543</v>
      </c>
      <c r="D1266" s="29" t="s">
        <v>1560</v>
      </c>
      <c r="E1266" s="62"/>
      <c r="F1266" s="62"/>
      <c r="G1266" s="20" t="str">
        <f t="shared" si="1"/>
        <v>Cameras &amp; Optics, Photography, Lighting &amp; Studio, </v>
      </c>
    </row>
    <row r="1267" hidden="1">
      <c r="A1267" s="29">
        <v>5499.0</v>
      </c>
      <c r="B1267" s="29" t="s">
        <v>1471</v>
      </c>
      <c r="C1267" s="29" t="s">
        <v>1543</v>
      </c>
      <c r="D1267" s="29" t="s">
        <v>1560</v>
      </c>
      <c r="E1267" s="29" t="s">
        <v>1561</v>
      </c>
      <c r="F1267" s="62"/>
      <c r="G1267" s="20" t="str">
        <f t="shared" si="1"/>
        <v>Cameras &amp; Optics, Photography, Lighting &amp; Studio, Light Meter Accessories</v>
      </c>
    </row>
    <row r="1268" hidden="1">
      <c r="A1268" s="29">
        <v>1548.0</v>
      </c>
      <c r="B1268" s="29" t="s">
        <v>1471</v>
      </c>
      <c r="C1268" s="29" t="s">
        <v>1543</v>
      </c>
      <c r="D1268" s="29" t="s">
        <v>1560</v>
      </c>
      <c r="E1268" s="29" t="s">
        <v>1562</v>
      </c>
      <c r="F1268" s="62"/>
      <c r="G1268" s="20" t="str">
        <f t="shared" si="1"/>
        <v>Cameras &amp; Optics, Photography, Lighting &amp; Studio, Light Meters</v>
      </c>
    </row>
    <row r="1269" hidden="1">
      <c r="A1269" s="29">
        <v>1611.0</v>
      </c>
      <c r="B1269" s="29" t="s">
        <v>1471</v>
      </c>
      <c r="C1269" s="29" t="s">
        <v>1543</v>
      </c>
      <c r="D1269" s="29" t="s">
        <v>1560</v>
      </c>
      <c r="E1269" s="29" t="s">
        <v>1563</v>
      </c>
      <c r="F1269" s="62"/>
      <c r="G1269" s="20" t="str">
        <f t="shared" si="1"/>
        <v>Cameras &amp; Optics, Photography, Lighting &amp; Studio, Studio Backgrounds</v>
      </c>
    </row>
    <row r="1270" hidden="1">
      <c r="A1270" s="29">
        <v>503018.0</v>
      </c>
      <c r="B1270" s="29" t="s">
        <v>1471</v>
      </c>
      <c r="C1270" s="29" t="s">
        <v>1543</v>
      </c>
      <c r="D1270" s="29" t="s">
        <v>1560</v>
      </c>
      <c r="E1270" s="29" t="s">
        <v>1564</v>
      </c>
      <c r="F1270" s="62"/>
      <c r="G1270" s="20" t="str">
        <f t="shared" si="1"/>
        <v>Cameras &amp; Optics, Photography, Lighting &amp; Studio, Studio Light &amp; Flash Accessories</v>
      </c>
    </row>
    <row r="1271" hidden="1">
      <c r="A1271" s="29">
        <v>2475.0</v>
      </c>
      <c r="B1271" s="29" t="s">
        <v>1471</v>
      </c>
      <c r="C1271" s="29" t="s">
        <v>1543</v>
      </c>
      <c r="D1271" s="29" t="s">
        <v>1560</v>
      </c>
      <c r="E1271" s="29" t="s">
        <v>1565</v>
      </c>
      <c r="F1271" s="62"/>
      <c r="G1271" s="20" t="str">
        <f t="shared" si="1"/>
        <v>Cameras &amp; Optics, Photography, Lighting &amp; Studio, Studio Lighting Controls</v>
      </c>
    </row>
    <row r="1272" hidden="1">
      <c r="A1272" s="29">
        <v>3056.0</v>
      </c>
      <c r="B1272" s="29" t="s">
        <v>1471</v>
      </c>
      <c r="C1272" s="29" t="s">
        <v>1543</v>
      </c>
      <c r="D1272" s="29" t="s">
        <v>1560</v>
      </c>
      <c r="E1272" s="29" t="s">
        <v>1565</v>
      </c>
      <c r="F1272" s="29" t="s">
        <v>1566</v>
      </c>
      <c r="G1272" s="20" t="str">
        <f t="shared" si="1"/>
        <v>Cameras &amp; Optics, Photography, Lighting &amp; Studio, Studio Lighting ControlsFlash Diffusers</v>
      </c>
    </row>
    <row r="1273" hidden="1">
      <c r="A1273" s="29">
        <v>5431.0</v>
      </c>
      <c r="B1273" s="29" t="s">
        <v>1471</v>
      </c>
      <c r="C1273" s="29" t="s">
        <v>1543</v>
      </c>
      <c r="D1273" s="29" t="s">
        <v>1560</v>
      </c>
      <c r="E1273" s="29" t="s">
        <v>1565</v>
      </c>
      <c r="F1273" s="29" t="s">
        <v>1567</v>
      </c>
      <c r="G1273" s="20" t="str">
        <f t="shared" si="1"/>
        <v>Cameras &amp; Optics, Photography, Lighting &amp; Studio, Studio Lighting ControlsFlash Reflectors</v>
      </c>
    </row>
    <row r="1274" hidden="1">
      <c r="A1274" s="29">
        <v>2490.0</v>
      </c>
      <c r="B1274" s="29" t="s">
        <v>1471</v>
      </c>
      <c r="C1274" s="29" t="s">
        <v>1543</v>
      </c>
      <c r="D1274" s="29" t="s">
        <v>1560</v>
      </c>
      <c r="E1274" s="29" t="s">
        <v>1565</v>
      </c>
      <c r="F1274" s="29" t="s">
        <v>1568</v>
      </c>
      <c r="G1274" s="20" t="str">
        <f t="shared" si="1"/>
        <v>Cameras &amp; Optics, Photography, Lighting &amp; Studio, Studio Lighting ControlsLighting Filters &amp; Gobos</v>
      </c>
    </row>
    <row r="1275" hidden="1">
      <c r="A1275" s="29">
        <v>5432.0</v>
      </c>
      <c r="B1275" s="29" t="s">
        <v>1471</v>
      </c>
      <c r="C1275" s="29" t="s">
        <v>1543</v>
      </c>
      <c r="D1275" s="29" t="s">
        <v>1560</v>
      </c>
      <c r="E1275" s="29" t="s">
        <v>1565</v>
      </c>
      <c r="F1275" s="29" t="s">
        <v>1569</v>
      </c>
      <c r="G1275" s="20" t="str">
        <f t="shared" si="1"/>
        <v>Cameras &amp; Optics, Photography, Lighting &amp; Studio, Studio Lighting ControlsSoftboxes</v>
      </c>
    </row>
    <row r="1276" hidden="1">
      <c r="A1276" s="29">
        <v>2926.0</v>
      </c>
      <c r="B1276" s="29" t="s">
        <v>1471</v>
      </c>
      <c r="C1276" s="29" t="s">
        <v>1543</v>
      </c>
      <c r="D1276" s="29" t="s">
        <v>1560</v>
      </c>
      <c r="E1276" s="29" t="s">
        <v>1570</v>
      </c>
      <c r="F1276" s="62"/>
      <c r="G1276" s="20" t="str">
        <f t="shared" si="1"/>
        <v>Cameras &amp; Optics, Photography, Lighting &amp; Studio, Studio Lights &amp; Flashes</v>
      </c>
    </row>
    <row r="1277" hidden="1">
      <c r="A1277" s="29">
        <v>503017.0</v>
      </c>
      <c r="B1277" s="29" t="s">
        <v>1471</v>
      </c>
      <c r="C1277" s="29" t="s">
        <v>1543</v>
      </c>
      <c r="D1277" s="29" t="s">
        <v>1560</v>
      </c>
      <c r="E1277" s="29" t="s">
        <v>1571</v>
      </c>
      <c r="G1277" s="20" t="str">
        <f t="shared" si="1"/>
        <v>Cameras &amp; Optics, Photography, Lighting &amp; Studio, Studio Stand &amp; Mount Accessories</v>
      </c>
    </row>
    <row r="1278" hidden="1">
      <c r="A1278" s="29">
        <v>2007.0</v>
      </c>
      <c r="B1278" s="29" t="s">
        <v>1471</v>
      </c>
      <c r="C1278" s="29" t="s">
        <v>1543</v>
      </c>
      <c r="D1278" s="29" t="s">
        <v>1560</v>
      </c>
      <c r="E1278" s="29" t="s">
        <v>1572</v>
      </c>
      <c r="F1278" s="62"/>
      <c r="G1278" s="20" t="str">
        <f t="shared" si="1"/>
        <v>Cameras &amp; Optics, Photography, Lighting &amp; Studio, Studio Stands &amp; Mounts</v>
      </c>
    </row>
    <row r="1279" hidden="1">
      <c r="A1279" s="29">
        <v>503735.0</v>
      </c>
      <c r="B1279" s="29" t="s">
        <v>1471</v>
      </c>
      <c r="C1279" s="29" t="s">
        <v>1543</v>
      </c>
      <c r="D1279" s="29" t="s">
        <v>1573</v>
      </c>
      <c r="E1279" s="62"/>
      <c r="F1279" s="62"/>
      <c r="G1279" s="20" t="str">
        <f t="shared" si="1"/>
        <v>Cameras &amp; Optics, Photography, Photo Mounting Supplies, </v>
      </c>
    </row>
    <row r="1280" hidden="1">
      <c r="A1280" s="29">
        <v>4368.0</v>
      </c>
      <c r="B1280" s="29" t="s">
        <v>1471</v>
      </c>
      <c r="C1280" s="29" t="s">
        <v>1543</v>
      </c>
      <c r="D1280" s="29" t="s">
        <v>1574</v>
      </c>
      <c r="F1280" s="62"/>
      <c r="G1280" s="20" t="str">
        <f t="shared" si="1"/>
        <v>Cameras &amp; Optics, Photography, Photo Negative &amp; Slide Storage, </v>
      </c>
    </row>
    <row r="1281" hidden="1">
      <c r="A1281" s="29">
        <v>222.0</v>
      </c>
      <c r="B1281" s="29" t="s">
        <v>1575</v>
      </c>
      <c r="C1281" s="62"/>
      <c r="D1281" s="62"/>
      <c r="E1281" s="62"/>
      <c r="F1281" s="62"/>
      <c r="G1281" s="20" t="str">
        <f t="shared" si="1"/>
        <v>Electronics, , , </v>
      </c>
    </row>
    <row r="1282" hidden="1">
      <c r="A1282" s="29">
        <v>3356.0</v>
      </c>
      <c r="B1282" s="29" t="s">
        <v>1575</v>
      </c>
      <c r="C1282" s="29" t="s">
        <v>1576</v>
      </c>
      <c r="D1282" s="62"/>
      <c r="E1282" s="62"/>
      <c r="F1282" s="62"/>
      <c r="G1282" s="20" t="str">
        <f t="shared" si="1"/>
        <v>Electronics, Arcade Equipment, , </v>
      </c>
    </row>
    <row r="1283" hidden="1">
      <c r="A1283" s="29">
        <v>8085.0</v>
      </c>
      <c r="B1283" s="29" t="s">
        <v>1575</v>
      </c>
      <c r="C1283" s="29" t="s">
        <v>1576</v>
      </c>
      <c r="D1283" s="29" t="s">
        <v>1577</v>
      </c>
      <c r="F1283" s="62"/>
      <c r="G1283" s="20" t="str">
        <f t="shared" si="1"/>
        <v>Electronics, Arcade Equipment, Basketball Arcade Games, </v>
      </c>
    </row>
    <row r="1284" hidden="1">
      <c r="A1284" s="29">
        <v>3946.0</v>
      </c>
      <c r="B1284" s="29" t="s">
        <v>1575</v>
      </c>
      <c r="C1284" s="29" t="s">
        <v>1576</v>
      </c>
      <c r="D1284" s="29" t="s">
        <v>1578</v>
      </c>
      <c r="F1284" s="62"/>
      <c r="G1284" s="20" t="str">
        <f t="shared" si="1"/>
        <v>Electronics, Arcade Equipment, Pinball Machine Accessories, </v>
      </c>
    </row>
    <row r="1285" hidden="1">
      <c r="A1285" s="29">
        <v>3140.0</v>
      </c>
      <c r="B1285" s="29" t="s">
        <v>1575</v>
      </c>
      <c r="C1285" s="29" t="s">
        <v>1576</v>
      </c>
      <c r="D1285" s="29" t="s">
        <v>1579</v>
      </c>
      <c r="E1285" s="62"/>
      <c r="F1285" s="62"/>
      <c r="G1285" s="20" t="str">
        <f t="shared" si="1"/>
        <v>Electronics, Arcade Equipment, Pinball Machines, </v>
      </c>
    </row>
    <row r="1286" hidden="1">
      <c r="A1286" s="29">
        <v>3681.0</v>
      </c>
      <c r="B1286" s="29" t="s">
        <v>1575</v>
      </c>
      <c r="C1286" s="29" t="s">
        <v>1576</v>
      </c>
      <c r="D1286" s="29" t="s">
        <v>1580</v>
      </c>
      <c r="E1286" s="62"/>
      <c r="F1286" s="62"/>
      <c r="G1286" s="20" t="str">
        <f t="shared" si="1"/>
        <v>Electronics, Arcade Equipment, Skee-Ball Machines, </v>
      </c>
    </row>
    <row r="1287" hidden="1">
      <c r="A1287" s="29">
        <v>3676.0</v>
      </c>
      <c r="B1287" s="29" t="s">
        <v>1575</v>
      </c>
      <c r="C1287" s="29" t="s">
        <v>1576</v>
      </c>
      <c r="D1287" s="29" t="s">
        <v>1581</v>
      </c>
      <c r="F1287" s="62"/>
      <c r="G1287" s="20" t="str">
        <f t="shared" si="1"/>
        <v>Electronics, Arcade Equipment, Video Game Arcade Cabinet Accessories, </v>
      </c>
    </row>
    <row r="1288" hidden="1">
      <c r="A1288" s="29">
        <v>3117.0</v>
      </c>
      <c r="B1288" s="29" t="s">
        <v>1575</v>
      </c>
      <c r="C1288" s="29" t="s">
        <v>1576</v>
      </c>
      <c r="D1288" s="29" t="s">
        <v>1582</v>
      </c>
      <c r="F1288" s="62"/>
      <c r="G1288" s="20" t="str">
        <f t="shared" si="1"/>
        <v>Electronics, Arcade Equipment, Video Game Arcade Cabinets, </v>
      </c>
    </row>
    <row r="1289" hidden="1">
      <c r="A1289" s="29">
        <v>223.0</v>
      </c>
      <c r="B1289" s="29" t="s">
        <v>1575</v>
      </c>
      <c r="C1289" s="29" t="s">
        <v>1583</v>
      </c>
      <c r="D1289" s="62"/>
      <c r="E1289" s="62"/>
      <c r="F1289" s="62"/>
      <c r="G1289" s="20" t="str">
        <f t="shared" si="1"/>
        <v>Electronics, Audio, , </v>
      </c>
    </row>
    <row r="1290" hidden="1">
      <c r="A1290" s="29">
        <v>1420.0</v>
      </c>
      <c r="B1290" s="29" t="s">
        <v>1575</v>
      </c>
      <c r="C1290" s="29" t="s">
        <v>1583</v>
      </c>
      <c r="D1290" s="29" t="s">
        <v>1584</v>
      </c>
      <c r="E1290" s="62"/>
      <c r="F1290" s="62"/>
      <c r="G1290" s="20" t="str">
        <f t="shared" si="1"/>
        <v>Electronics, Audio, Audio Accessories, </v>
      </c>
    </row>
    <row r="1291" hidden="1">
      <c r="A1291" s="29">
        <v>503008.0</v>
      </c>
      <c r="B1291" s="29" t="s">
        <v>1575</v>
      </c>
      <c r="C1291" s="29" t="s">
        <v>1583</v>
      </c>
      <c r="D1291" s="29" t="s">
        <v>1584</v>
      </c>
      <c r="E1291" s="29" t="s">
        <v>1585</v>
      </c>
      <c r="G1291" s="20" t="str">
        <f t="shared" si="1"/>
        <v>Electronics, Audio, Audio Accessories, Audio &amp; Video Receiver Accessories</v>
      </c>
    </row>
    <row r="1292" hidden="1">
      <c r="A1292" s="29">
        <v>505797.0</v>
      </c>
      <c r="B1292" s="29" t="s">
        <v>1575</v>
      </c>
      <c r="C1292" s="29" t="s">
        <v>1583</v>
      </c>
      <c r="D1292" s="29" t="s">
        <v>1584</v>
      </c>
      <c r="E1292" s="29" t="s">
        <v>1586</v>
      </c>
      <c r="G1292" s="20" t="str">
        <f t="shared" si="1"/>
        <v>Electronics, Audio, Audio Accessories, Headphone &amp; Headset Accessories</v>
      </c>
    </row>
    <row r="1293" hidden="1">
      <c r="A1293" s="29">
        <v>503004.0</v>
      </c>
      <c r="B1293" s="29" t="s">
        <v>1575</v>
      </c>
      <c r="C1293" s="29" t="s">
        <v>1583</v>
      </c>
      <c r="D1293" s="29" t="s">
        <v>1584</v>
      </c>
      <c r="E1293" s="29" t="s">
        <v>1586</v>
      </c>
      <c r="F1293" s="29" t="s">
        <v>1587</v>
      </c>
      <c r="G1293" s="20" t="str">
        <f t="shared" si="1"/>
        <v>Electronics, Audio, Audio Accessories, Headphone &amp; Headset AccessoriesHeadphone Cushions &amp; Tips</v>
      </c>
    </row>
    <row r="1294" hidden="1">
      <c r="A1294" s="29">
        <v>5395.0</v>
      </c>
      <c r="B1294" s="29" t="s">
        <v>1575</v>
      </c>
      <c r="C1294" s="29" t="s">
        <v>1583</v>
      </c>
      <c r="D1294" s="29" t="s">
        <v>1584</v>
      </c>
      <c r="E1294" s="29" t="s">
        <v>1588</v>
      </c>
      <c r="F1294" s="62"/>
      <c r="G1294" s="20" t="str">
        <f t="shared" si="1"/>
        <v>Electronics, Audio, Audio Accessories, Karaoke System Accessories</v>
      </c>
    </row>
    <row r="1295" hidden="1">
      <c r="A1295" s="29">
        <v>5396.0</v>
      </c>
      <c r="B1295" s="29" t="s">
        <v>1575</v>
      </c>
      <c r="C1295" s="29" t="s">
        <v>1583</v>
      </c>
      <c r="D1295" s="29" t="s">
        <v>1584</v>
      </c>
      <c r="E1295" s="29" t="s">
        <v>1588</v>
      </c>
      <c r="F1295" s="29" t="s">
        <v>1589</v>
      </c>
      <c r="G1295" s="20" t="str">
        <f t="shared" si="1"/>
        <v>Electronics, Audio, Audio Accessories, Karaoke System AccessoriesKaraoke Chips</v>
      </c>
    </row>
    <row r="1296" hidden="1">
      <c r="A1296" s="29">
        <v>232.0</v>
      </c>
      <c r="B1296" s="29" t="s">
        <v>1575</v>
      </c>
      <c r="C1296" s="29" t="s">
        <v>1583</v>
      </c>
      <c r="D1296" s="29" t="s">
        <v>1584</v>
      </c>
      <c r="E1296" s="29" t="s">
        <v>1590</v>
      </c>
      <c r="F1296" s="62"/>
      <c r="G1296" s="20" t="str">
        <f t="shared" si="1"/>
        <v>Electronics, Audio, Audio Accessories, MP3 Player Accessories</v>
      </c>
    </row>
    <row r="1297" hidden="1">
      <c r="A1297" s="29">
        <v>7566.0</v>
      </c>
      <c r="B1297" s="29" t="s">
        <v>1575</v>
      </c>
      <c r="C1297" s="29" t="s">
        <v>1583</v>
      </c>
      <c r="D1297" s="29" t="s">
        <v>1584</v>
      </c>
      <c r="E1297" s="29" t="s">
        <v>1590</v>
      </c>
      <c r="F1297" s="29" t="s">
        <v>1591</v>
      </c>
      <c r="G1297" s="20" t="str">
        <f t="shared" si="1"/>
        <v>Electronics, Audio, Audio Accessories, MP3 Player AccessoriesMP3 Player &amp; Mobile Phone Accessory Sets</v>
      </c>
    </row>
    <row r="1298" hidden="1">
      <c r="A1298" s="29">
        <v>3055.0</v>
      </c>
      <c r="B1298" s="29" t="s">
        <v>1575</v>
      </c>
      <c r="C1298" s="29" t="s">
        <v>1583</v>
      </c>
      <c r="D1298" s="29" t="s">
        <v>1584</v>
      </c>
      <c r="E1298" s="29" t="s">
        <v>1590</v>
      </c>
      <c r="F1298" s="29" t="s">
        <v>1592</v>
      </c>
      <c r="G1298" s="20" t="str">
        <f t="shared" si="1"/>
        <v>Electronics, Audio, Audio Accessories, MP3 Player AccessoriesMP3 Player Cases</v>
      </c>
    </row>
    <row r="1299" hidden="1">
      <c r="A1299" s="29">
        <v>3306.0</v>
      </c>
      <c r="B1299" s="29" t="s">
        <v>1575</v>
      </c>
      <c r="C1299" s="29" t="s">
        <v>1583</v>
      </c>
      <c r="D1299" s="29" t="s">
        <v>1584</v>
      </c>
      <c r="E1299" s="29" t="s">
        <v>1593</v>
      </c>
      <c r="F1299" s="62"/>
      <c r="G1299" s="20" t="str">
        <f t="shared" si="1"/>
        <v>Electronics, Audio, Audio Accessories, Microphone Accessories</v>
      </c>
    </row>
    <row r="1300" hidden="1">
      <c r="A1300" s="29">
        <v>3912.0</v>
      </c>
      <c r="B1300" s="29" t="s">
        <v>1575</v>
      </c>
      <c r="C1300" s="29" t="s">
        <v>1583</v>
      </c>
      <c r="D1300" s="29" t="s">
        <v>1584</v>
      </c>
      <c r="E1300" s="29" t="s">
        <v>1594</v>
      </c>
      <c r="F1300" s="62"/>
      <c r="G1300" s="20" t="str">
        <f t="shared" si="1"/>
        <v>Electronics, Audio, Audio Accessories, Microphone Stands</v>
      </c>
    </row>
    <row r="1301" hidden="1">
      <c r="A1301" s="29">
        <v>239.0</v>
      </c>
      <c r="B1301" s="29" t="s">
        <v>1575</v>
      </c>
      <c r="C1301" s="29" t="s">
        <v>1583</v>
      </c>
      <c r="D1301" s="29" t="s">
        <v>1584</v>
      </c>
      <c r="E1301" s="29" t="s">
        <v>1595</v>
      </c>
      <c r="F1301" s="62"/>
      <c r="G1301" s="20" t="str">
        <f t="shared" si="1"/>
        <v>Electronics, Audio, Audio Accessories, Satellite Radio Accessories</v>
      </c>
    </row>
    <row r="1302" hidden="1">
      <c r="A1302" s="29">
        <v>7163.0</v>
      </c>
      <c r="B1302" s="29" t="s">
        <v>1575</v>
      </c>
      <c r="C1302" s="29" t="s">
        <v>1583</v>
      </c>
      <c r="D1302" s="29" t="s">
        <v>1584</v>
      </c>
      <c r="E1302" s="29" t="s">
        <v>1596</v>
      </c>
      <c r="F1302" s="62"/>
      <c r="G1302" s="20" t="str">
        <f t="shared" si="1"/>
        <v>Electronics, Audio, Audio Accessories, Speaker Accessories</v>
      </c>
    </row>
    <row r="1303" hidden="1">
      <c r="A1303" s="29">
        <v>500112.0</v>
      </c>
      <c r="B1303" s="29" t="s">
        <v>1575</v>
      </c>
      <c r="C1303" s="29" t="s">
        <v>1583</v>
      </c>
      <c r="D1303" s="29" t="s">
        <v>1584</v>
      </c>
      <c r="E1303" s="29" t="s">
        <v>1596</v>
      </c>
      <c r="F1303" s="29" t="s">
        <v>1597</v>
      </c>
      <c r="G1303" s="20" t="str">
        <f t="shared" si="1"/>
        <v>Electronics, Audio, Audio Accessories, Speaker AccessoriesSpeaker Bags, Covers &amp; Cases</v>
      </c>
    </row>
    <row r="1304" hidden="1">
      <c r="A1304" s="29">
        <v>500120.0</v>
      </c>
      <c r="B1304" s="29" t="s">
        <v>1575</v>
      </c>
      <c r="C1304" s="29" t="s">
        <v>1583</v>
      </c>
      <c r="D1304" s="29" t="s">
        <v>1584</v>
      </c>
      <c r="E1304" s="29" t="s">
        <v>1596</v>
      </c>
      <c r="F1304" s="29" t="s">
        <v>1598</v>
      </c>
      <c r="G1304" s="20" t="str">
        <f t="shared" si="1"/>
        <v>Electronics, Audio, Audio Accessories, Speaker AccessoriesSpeaker Components &amp; Kits</v>
      </c>
    </row>
    <row r="1305" hidden="1">
      <c r="A1305" s="29">
        <v>8047.0</v>
      </c>
      <c r="B1305" s="29" t="s">
        <v>1575</v>
      </c>
      <c r="C1305" s="29" t="s">
        <v>1583</v>
      </c>
      <c r="D1305" s="29" t="s">
        <v>1584</v>
      </c>
      <c r="E1305" s="29" t="s">
        <v>1596</v>
      </c>
      <c r="F1305" s="29" t="s">
        <v>1599</v>
      </c>
      <c r="G1305" s="20" t="str">
        <f t="shared" si="1"/>
        <v>Electronics, Audio, Audio Accessories, Speaker AccessoriesSpeaker Stand Bags</v>
      </c>
    </row>
    <row r="1306" hidden="1">
      <c r="A1306" s="29">
        <v>8049.0</v>
      </c>
      <c r="B1306" s="29" t="s">
        <v>1575</v>
      </c>
      <c r="C1306" s="29" t="s">
        <v>1583</v>
      </c>
      <c r="D1306" s="29" t="s">
        <v>1584</v>
      </c>
      <c r="E1306" s="29" t="s">
        <v>1596</v>
      </c>
      <c r="F1306" s="29" t="s">
        <v>1600</v>
      </c>
      <c r="G1306" s="20" t="str">
        <f t="shared" si="1"/>
        <v>Electronics, Audio, Audio Accessories, Speaker AccessoriesSpeaker Stands &amp; Mounts</v>
      </c>
    </row>
    <row r="1307" hidden="1">
      <c r="A1307" s="29">
        <v>500119.0</v>
      </c>
      <c r="B1307" s="29" t="s">
        <v>1575</v>
      </c>
      <c r="C1307" s="29" t="s">
        <v>1583</v>
      </c>
      <c r="D1307" s="29" t="s">
        <v>1584</v>
      </c>
      <c r="E1307" s="29" t="s">
        <v>1596</v>
      </c>
      <c r="F1307" s="29" t="s">
        <v>1601</v>
      </c>
      <c r="G1307" s="20" t="str">
        <f t="shared" si="1"/>
        <v>Electronics, Audio, Audio Accessories, Speaker AccessoriesTactile Transducers</v>
      </c>
    </row>
    <row r="1308" hidden="1">
      <c r="A1308" s="29">
        <v>2372.0</v>
      </c>
      <c r="B1308" s="29" t="s">
        <v>1575</v>
      </c>
      <c r="C1308" s="29" t="s">
        <v>1583</v>
      </c>
      <c r="D1308" s="29" t="s">
        <v>1584</v>
      </c>
      <c r="E1308" s="29" t="s">
        <v>1602</v>
      </c>
      <c r="F1308" s="62"/>
      <c r="G1308" s="20" t="str">
        <f t="shared" si="1"/>
        <v>Electronics, Audio, Audio Accessories, Turntable Accessories</v>
      </c>
    </row>
    <row r="1309" hidden="1">
      <c r="A1309" s="29">
        <v>2165.0</v>
      </c>
      <c r="B1309" s="29" t="s">
        <v>1575</v>
      </c>
      <c r="C1309" s="29" t="s">
        <v>1583</v>
      </c>
      <c r="D1309" s="29" t="s">
        <v>1603</v>
      </c>
      <c r="E1309" s="62"/>
      <c r="F1309" s="62"/>
      <c r="G1309" s="20" t="str">
        <f t="shared" si="1"/>
        <v>Electronics, Audio, Audio Components, </v>
      </c>
    </row>
    <row r="1310" hidden="1">
      <c r="A1310" s="29">
        <v>241.0</v>
      </c>
      <c r="B1310" s="29" t="s">
        <v>1575</v>
      </c>
      <c r="C1310" s="29" t="s">
        <v>1583</v>
      </c>
      <c r="D1310" s="29" t="s">
        <v>1603</v>
      </c>
      <c r="E1310" s="29" t="s">
        <v>1604</v>
      </c>
      <c r="F1310" s="62"/>
      <c r="G1310" s="20" t="str">
        <f t="shared" si="1"/>
        <v>Electronics, Audio, Audio Components, Audio &amp; Video Receivers</v>
      </c>
    </row>
    <row r="1311" hidden="1">
      <c r="A1311" s="29">
        <v>224.0</v>
      </c>
      <c r="B1311" s="29" t="s">
        <v>1575</v>
      </c>
      <c r="C1311" s="29" t="s">
        <v>1583</v>
      </c>
      <c r="D1311" s="29" t="s">
        <v>1603</v>
      </c>
      <c r="E1311" s="29" t="s">
        <v>1605</v>
      </c>
      <c r="F1311" s="62"/>
      <c r="G1311" s="20" t="str">
        <f t="shared" si="1"/>
        <v>Electronics, Audio, Audio Components, Audio Amplifiers</v>
      </c>
    </row>
    <row r="1312" hidden="1">
      <c r="A1312" s="29">
        <v>4493.0</v>
      </c>
      <c r="B1312" s="29" t="s">
        <v>1575</v>
      </c>
      <c r="C1312" s="29" t="s">
        <v>1583</v>
      </c>
      <c r="D1312" s="29" t="s">
        <v>1603</v>
      </c>
      <c r="E1312" s="29" t="s">
        <v>1605</v>
      </c>
      <c r="F1312" s="29" t="s">
        <v>1606</v>
      </c>
      <c r="G1312" s="20" t="str">
        <f t="shared" si="1"/>
        <v>Electronics, Audio, Audio Components, Audio AmplifiersHeadphone Amplifiers</v>
      </c>
    </row>
    <row r="1313" hidden="1">
      <c r="A1313" s="29">
        <v>5381.0</v>
      </c>
      <c r="B1313" s="29" t="s">
        <v>1575</v>
      </c>
      <c r="C1313" s="29" t="s">
        <v>1583</v>
      </c>
      <c r="D1313" s="29" t="s">
        <v>1603</v>
      </c>
      <c r="E1313" s="29" t="s">
        <v>1605</v>
      </c>
      <c r="F1313" s="29" t="s">
        <v>1607</v>
      </c>
      <c r="G1313" s="20" t="str">
        <f t="shared" si="1"/>
        <v>Electronics, Audio, Audio Components, Audio AmplifiersPower Amplifiers</v>
      </c>
    </row>
    <row r="1314" hidden="1">
      <c r="A1314" s="29">
        <v>236.0</v>
      </c>
      <c r="B1314" s="29" t="s">
        <v>1575</v>
      </c>
      <c r="C1314" s="29" t="s">
        <v>1583</v>
      </c>
      <c r="D1314" s="29" t="s">
        <v>1603</v>
      </c>
      <c r="E1314" s="29" t="s">
        <v>1608</v>
      </c>
      <c r="F1314" s="62"/>
      <c r="G1314" s="20" t="str">
        <f t="shared" si="1"/>
        <v>Electronics, Audio, Audio Components, Audio Mixers</v>
      </c>
    </row>
    <row r="1315" hidden="1">
      <c r="A1315" s="29">
        <v>5129.0</v>
      </c>
      <c r="B1315" s="29" t="s">
        <v>1575</v>
      </c>
      <c r="C1315" s="29" t="s">
        <v>1583</v>
      </c>
      <c r="D1315" s="29" t="s">
        <v>1603</v>
      </c>
      <c r="E1315" s="29" t="s">
        <v>1609</v>
      </c>
      <c r="F1315" s="62"/>
      <c r="G1315" s="20" t="str">
        <f t="shared" si="1"/>
        <v>Electronics, Audio, Audio Components, Audio Transmitters</v>
      </c>
    </row>
    <row r="1316" hidden="1">
      <c r="A1316" s="29">
        <v>5130.0</v>
      </c>
      <c r="B1316" s="29" t="s">
        <v>1575</v>
      </c>
      <c r="C1316" s="29" t="s">
        <v>1583</v>
      </c>
      <c r="D1316" s="29" t="s">
        <v>1603</v>
      </c>
      <c r="E1316" s="29" t="s">
        <v>1609</v>
      </c>
      <c r="F1316" s="29" t="s">
        <v>1610</v>
      </c>
      <c r="G1316" s="20" t="str">
        <f t="shared" si="1"/>
        <v>Electronics, Audio, Audio Components, Audio TransmittersBluetooth Transmitters</v>
      </c>
    </row>
    <row r="1317" hidden="1">
      <c r="A1317" s="29">
        <v>4035.0</v>
      </c>
      <c r="B1317" s="29" t="s">
        <v>1575</v>
      </c>
      <c r="C1317" s="29" t="s">
        <v>1583</v>
      </c>
      <c r="D1317" s="29" t="s">
        <v>1603</v>
      </c>
      <c r="E1317" s="29" t="s">
        <v>1609</v>
      </c>
      <c r="F1317" s="29" t="s">
        <v>1611</v>
      </c>
      <c r="G1317" s="20" t="str">
        <f t="shared" si="1"/>
        <v>Electronics, Audio, Audio Components, Audio TransmittersFM Transmitters</v>
      </c>
    </row>
    <row r="1318" hidden="1">
      <c r="A1318" s="29">
        <v>6545.0</v>
      </c>
      <c r="B1318" s="29" t="s">
        <v>1575</v>
      </c>
      <c r="C1318" s="29" t="s">
        <v>1583</v>
      </c>
      <c r="D1318" s="29" t="s">
        <v>1603</v>
      </c>
      <c r="E1318" s="29" t="s">
        <v>1612</v>
      </c>
      <c r="F1318" s="62"/>
      <c r="G1318" s="20" t="str">
        <f t="shared" si="1"/>
        <v>Electronics, Audio, Audio Components, Channel Strips</v>
      </c>
    </row>
    <row r="1319" hidden="1">
      <c r="A1319" s="29">
        <v>6546.0</v>
      </c>
      <c r="B1319" s="29" t="s">
        <v>1575</v>
      </c>
      <c r="C1319" s="29" t="s">
        <v>1583</v>
      </c>
      <c r="D1319" s="29" t="s">
        <v>1603</v>
      </c>
      <c r="E1319" s="29" t="s">
        <v>1613</v>
      </c>
      <c r="F1319" s="62"/>
      <c r="G1319" s="20" t="str">
        <f t="shared" si="1"/>
        <v>Electronics, Audio, Audio Components, Direct Boxes</v>
      </c>
    </row>
    <row r="1320" hidden="1">
      <c r="A1320" s="29">
        <v>505771.0</v>
      </c>
      <c r="B1320" s="29" t="s">
        <v>1575</v>
      </c>
      <c r="C1320" s="29" t="s">
        <v>1583</v>
      </c>
      <c r="D1320" s="29" t="s">
        <v>1603</v>
      </c>
      <c r="E1320" s="29" t="s">
        <v>1614</v>
      </c>
      <c r="F1320" s="62"/>
      <c r="G1320" s="20" t="str">
        <f t="shared" si="1"/>
        <v>Electronics, Audio, Audio Components, Headphones &amp; Headsets</v>
      </c>
    </row>
    <row r="1321" hidden="1">
      <c r="A1321" s="29">
        <v>543626.0</v>
      </c>
      <c r="B1321" s="29" t="s">
        <v>1575</v>
      </c>
      <c r="C1321" s="29" t="s">
        <v>1583</v>
      </c>
      <c r="D1321" s="29" t="s">
        <v>1603</v>
      </c>
      <c r="E1321" s="29" t="s">
        <v>1614</v>
      </c>
      <c r="F1321" s="29" t="s">
        <v>1615</v>
      </c>
      <c r="G1321" s="20" t="str">
        <f t="shared" si="1"/>
        <v>Electronics, Audio, Audio Components, Headphones &amp; HeadsetsHeadphones</v>
      </c>
    </row>
    <row r="1322" hidden="1">
      <c r="A1322" s="29">
        <v>543627.0</v>
      </c>
      <c r="B1322" s="29" t="s">
        <v>1575</v>
      </c>
      <c r="C1322" s="29" t="s">
        <v>1583</v>
      </c>
      <c r="D1322" s="29" t="s">
        <v>1603</v>
      </c>
      <c r="E1322" s="29" t="s">
        <v>1614</v>
      </c>
      <c r="F1322" s="29" t="s">
        <v>1616</v>
      </c>
      <c r="G1322" s="20" t="str">
        <f t="shared" si="1"/>
        <v>Electronics, Audio, Audio Components, Headphones &amp; HeadsetsHeadsets</v>
      </c>
    </row>
    <row r="1323" hidden="1">
      <c r="A1323" s="29">
        <v>234.0</v>
      </c>
      <c r="B1323" s="29" t="s">
        <v>1575</v>
      </c>
      <c r="C1323" s="29" t="s">
        <v>1583</v>
      </c>
      <c r="D1323" s="29" t="s">
        <v>1603</v>
      </c>
      <c r="E1323" s="29" t="s">
        <v>1617</v>
      </c>
      <c r="F1323" s="62"/>
      <c r="G1323" s="20" t="str">
        <f t="shared" si="1"/>
        <v>Electronics, Audio, Audio Components, Microphones</v>
      </c>
    </row>
    <row r="1324" hidden="1">
      <c r="A1324" s="29">
        <v>246.0</v>
      </c>
      <c r="B1324" s="29" t="s">
        <v>1575</v>
      </c>
      <c r="C1324" s="29" t="s">
        <v>1583</v>
      </c>
      <c r="D1324" s="29" t="s">
        <v>1603</v>
      </c>
      <c r="E1324" s="29" t="s">
        <v>1618</v>
      </c>
      <c r="F1324" s="62"/>
      <c r="G1324" s="20" t="str">
        <f t="shared" si="1"/>
        <v>Electronics, Audio, Audio Components, Signal Processors</v>
      </c>
    </row>
    <row r="1325" hidden="1">
      <c r="A1325" s="29">
        <v>5435.0</v>
      </c>
      <c r="B1325" s="29" t="s">
        <v>1575</v>
      </c>
      <c r="C1325" s="29" t="s">
        <v>1583</v>
      </c>
      <c r="D1325" s="29" t="s">
        <v>1603</v>
      </c>
      <c r="E1325" s="29" t="s">
        <v>1618</v>
      </c>
      <c r="F1325" s="29" t="s">
        <v>1619</v>
      </c>
      <c r="G1325" s="20" t="str">
        <f t="shared" si="1"/>
        <v>Electronics, Audio, Audio Components, Signal ProcessorsCrossovers</v>
      </c>
    </row>
    <row r="1326" hidden="1">
      <c r="A1326" s="29">
        <v>247.0</v>
      </c>
      <c r="B1326" s="29" t="s">
        <v>1575</v>
      </c>
      <c r="C1326" s="29" t="s">
        <v>1583</v>
      </c>
      <c r="D1326" s="29" t="s">
        <v>1603</v>
      </c>
      <c r="E1326" s="29" t="s">
        <v>1618</v>
      </c>
      <c r="F1326" s="29" t="s">
        <v>1620</v>
      </c>
      <c r="G1326" s="20" t="str">
        <f t="shared" si="1"/>
        <v>Electronics, Audio, Audio Components, Signal ProcessorsEffects Processors</v>
      </c>
    </row>
    <row r="1327" hidden="1">
      <c r="A1327" s="29">
        <v>248.0</v>
      </c>
      <c r="B1327" s="29" t="s">
        <v>1575</v>
      </c>
      <c r="C1327" s="29" t="s">
        <v>1583</v>
      </c>
      <c r="D1327" s="29" t="s">
        <v>1603</v>
      </c>
      <c r="E1327" s="29" t="s">
        <v>1618</v>
      </c>
      <c r="F1327" s="29" t="s">
        <v>1621</v>
      </c>
      <c r="G1327" s="20" t="str">
        <f t="shared" si="1"/>
        <v>Electronics, Audio, Audio Components, Signal ProcessorsEqualizers</v>
      </c>
    </row>
    <row r="1328" hidden="1">
      <c r="A1328" s="29">
        <v>5597.0</v>
      </c>
      <c r="B1328" s="29" t="s">
        <v>1575</v>
      </c>
      <c r="C1328" s="29" t="s">
        <v>1583</v>
      </c>
      <c r="D1328" s="29" t="s">
        <v>1603</v>
      </c>
      <c r="E1328" s="29" t="s">
        <v>1618</v>
      </c>
      <c r="F1328" s="29" t="s">
        <v>1622</v>
      </c>
      <c r="G1328" s="20" t="str">
        <f t="shared" si="1"/>
        <v>Electronics, Audio, Audio Components, Signal ProcessorsLoudspeaker Management Systems</v>
      </c>
    </row>
    <row r="1329" hidden="1">
      <c r="A1329" s="29">
        <v>3945.0</v>
      </c>
      <c r="B1329" s="29" t="s">
        <v>1575</v>
      </c>
      <c r="C1329" s="29" t="s">
        <v>1583</v>
      </c>
      <c r="D1329" s="29" t="s">
        <v>1603</v>
      </c>
      <c r="E1329" s="29" t="s">
        <v>1618</v>
      </c>
      <c r="F1329" s="29" t="s">
        <v>1623</v>
      </c>
      <c r="G1329" s="20" t="str">
        <f t="shared" si="1"/>
        <v>Electronics, Audio, Audio Components, Signal ProcessorsMicrophone Preamps</v>
      </c>
    </row>
    <row r="1330" hidden="1">
      <c r="A1330" s="29">
        <v>5596.0</v>
      </c>
      <c r="B1330" s="29" t="s">
        <v>1575</v>
      </c>
      <c r="C1330" s="29" t="s">
        <v>1583</v>
      </c>
      <c r="D1330" s="29" t="s">
        <v>1603</v>
      </c>
      <c r="E1330" s="29" t="s">
        <v>1618</v>
      </c>
      <c r="F1330" s="29" t="s">
        <v>1624</v>
      </c>
      <c r="G1330" s="20" t="str">
        <f t="shared" si="1"/>
        <v>Electronics, Audio, Audio Components, Signal ProcessorsNoise Gates &amp; Compressors</v>
      </c>
    </row>
    <row r="1331" hidden="1">
      <c r="A1331" s="29">
        <v>5369.0</v>
      </c>
      <c r="B1331" s="29" t="s">
        <v>1575</v>
      </c>
      <c r="C1331" s="29" t="s">
        <v>1583</v>
      </c>
      <c r="D1331" s="29" t="s">
        <v>1603</v>
      </c>
      <c r="E1331" s="29" t="s">
        <v>1618</v>
      </c>
      <c r="F1331" s="29" t="s">
        <v>1625</v>
      </c>
      <c r="G1331" s="20" t="str">
        <f t="shared" si="1"/>
        <v>Electronics, Audio, Audio Components, Signal ProcessorsPhono Preamps</v>
      </c>
    </row>
    <row r="1332" hidden="1">
      <c r="A1332" s="29">
        <v>249.0</v>
      </c>
      <c r="B1332" s="29" t="s">
        <v>1575</v>
      </c>
      <c r="C1332" s="29" t="s">
        <v>1583</v>
      </c>
      <c r="D1332" s="29" t="s">
        <v>1603</v>
      </c>
      <c r="E1332" s="29" t="s">
        <v>1626</v>
      </c>
      <c r="F1332" s="62"/>
      <c r="G1332" s="20" t="str">
        <f t="shared" si="1"/>
        <v>Electronics, Audio, Audio Components, Speakers</v>
      </c>
    </row>
    <row r="1333" hidden="1">
      <c r="A1333" s="29">
        <v>505298.0</v>
      </c>
      <c r="B1333" s="29" t="s">
        <v>1575</v>
      </c>
      <c r="C1333" s="29" t="s">
        <v>1583</v>
      </c>
      <c r="D1333" s="29" t="s">
        <v>1603</v>
      </c>
      <c r="E1333" s="29" t="s">
        <v>1627</v>
      </c>
      <c r="F1333" s="62"/>
      <c r="G1333" s="20" t="str">
        <f t="shared" si="1"/>
        <v>Electronics, Audio, Audio Components, Studio Recording Bundles</v>
      </c>
    </row>
    <row r="1334" hidden="1">
      <c r="A1334" s="29">
        <v>242.0</v>
      </c>
      <c r="B1334" s="29" t="s">
        <v>1575</v>
      </c>
      <c r="C1334" s="29" t="s">
        <v>1583</v>
      </c>
      <c r="D1334" s="29" t="s">
        <v>1628</v>
      </c>
      <c r="F1334" s="62"/>
      <c r="G1334" s="20" t="str">
        <f t="shared" si="1"/>
        <v>Electronics, Audio, Audio Players &amp; Recorders, </v>
      </c>
    </row>
    <row r="1335" hidden="1">
      <c r="A1335" s="29">
        <v>225.0</v>
      </c>
      <c r="B1335" s="29" t="s">
        <v>1575</v>
      </c>
      <c r="C1335" s="29" t="s">
        <v>1583</v>
      </c>
      <c r="D1335" s="29" t="s">
        <v>1628</v>
      </c>
      <c r="E1335" s="29" t="s">
        <v>1629</v>
      </c>
      <c r="F1335" s="62"/>
      <c r="G1335" s="20" t="str">
        <f t="shared" si="1"/>
        <v>Electronics, Audio, Audio Players &amp; Recorders, Boomboxes</v>
      </c>
    </row>
    <row r="1336" hidden="1">
      <c r="A1336" s="29">
        <v>226.0</v>
      </c>
      <c r="B1336" s="29" t="s">
        <v>1575</v>
      </c>
      <c r="C1336" s="29" t="s">
        <v>1583</v>
      </c>
      <c r="D1336" s="29" t="s">
        <v>1628</v>
      </c>
      <c r="E1336" s="29" t="s">
        <v>1630</v>
      </c>
      <c r="F1336" s="62"/>
      <c r="G1336" s="20" t="str">
        <f t="shared" si="1"/>
        <v>Electronics, Audio, Audio Players &amp; Recorders, CD Players &amp; Recorders</v>
      </c>
    </row>
    <row r="1337" hidden="1">
      <c r="A1337" s="29">
        <v>243.0</v>
      </c>
      <c r="B1337" s="29" t="s">
        <v>1575</v>
      </c>
      <c r="C1337" s="29" t="s">
        <v>1583</v>
      </c>
      <c r="D1337" s="29" t="s">
        <v>1628</v>
      </c>
      <c r="E1337" s="29" t="s">
        <v>1631</v>
      </c>
      <c r="F1337" s="62"/>
      <c r="G1337" s="20" t="str">
        <f t="shared" si="1"/>
        <v>Electronics, Audio, Audio Players &amp; Recorders, Cassette Players &amp; Recorders</v>
      </c>
    </row>
    <row r="1338" hidden="1">
      <c r="A1338" s="29">
        <v>252.0</v>
      </c>
      <c r="B1338" s="29" t="s">
        <v>1575</v>
      </c>
      <c r="C1338" s="29" t="s">
        <v>1583</v>
      </c>
      <c r="D1338" s="29" t="s">
        <v>1628</v>
      </c>
      <c r="E1338" s="29" t="s">
        <v>1632</v>
      </c>
      <c r="F1338" s="62"/>
      <c r="G1338" s="20" t="str">
        <f t="shared" si="1"/>
        <v>Electronics, Audio, Audio Players &amp; Recorders, Home Theater Systems</v>
      </c>
    </row>
    <row r="1339" hidden="1">
      <c r="A1339" s="29">
        <v>4652.0</v>
      </c>
      <c r="B1339" s="29" t="s">
        <v>1575</v>
      </c>
      <c r="C1339" s="29" t="s">
        <v>1583</v>
      </c>
      <c r="D1339" s="29" t="s">
        <v>1628</v>
      </c>
      <c r="E1339" s="29" t="s">
        <v>1633</v>
      </c>
      <c r="F1339" s="62"/>
      <c r="G1339" s="20" t="str">
        <f t="shared" si="1"/>
        <v>Electronics, Audio, Audio Players &amp; Recorders, Jukeboxes</v>
      </c>
    </row>
    <row r="1340" hidden="1">
      <c r="A1340" s="29">
        <v>230.0</v>
      </c>
      <c r="B1340" s="29" t="s">
        <v>1575</v>
      </c>
      <c r="C1340" s="29" t="s">
        <v>1583</v>
      </c>
      <c r="D1340" s="29" t="s">
        <v>1628</v>
      </c>
      <c r="E1340" s="29" t="s">
        <v>1634</v>
      </c>
      <c r="F1340" s="62"/>
      <c r="G1340" s="20" t="str">
        <f t="shared" si="1"/>
        <v>Electronics, Audio, Audio Players &amp; Recorders, Karaoke Systems</v>
      </c>
    </row>
    <row r="1341" hidden="1">
      <c r="A1341" s="29">
        <v>233.0</v>
      </c>
      <c r="B1341" s="29" t="s">
        <v>1575</v>
      </c>
      <c r="C1341" s="29" t="s">
        <v>1583</v>
      </c>
      <c r="D1341" s="29" t="s">
        <v>1628</v>
      </c>
      <c r="E1341" s="29" t="s">
        <v>1635</v>
      </c>
      <c r="F1341" s="62"/>
      <c r="G1341" s="20" t="str">
        <f t="shared" si="1"/>
        <v>Electronics, Audio, Audio Players &amp; Recorders, MP3 Players</v>
      </c>
    </row>
    <row r="1342" hidden="1">
      <c r="A1342" s="29">
        <v>235.0</v>
      </c>
      <c r="B1342" s="29" t="s">
        <v>1575</v>
      </c>
      <c r="C1342" s="29" t="s">
        <v>1583</v>
      </c>
      <c r="D1342" s="29" t="s">
        <v>1628</v>
      </c>
      <c r="E1342" s="29" t="s">
        <v>1636</v>
      </c>
      <c r="F1342" s="62"/>
      <c r="G1342" s="20" t="str">
        <f t="shared" si="1"/>
        <v>Electronics, Audio, Audio Players &amp; Recorders, MiniDisc Players &amp; Recorders</v>
      </c>
    </row>
    <row r="1343" hidden="1">
      <c r="A1343" s="29">
        <v>5434.0</v>
      </c>
      <c r="B1343" s="29" t="s">
        <v>1575</v>
      </c>
      <c r="C1343" s="29" t="s">
        <v>1583</v>
      </c>
      <c r="D1343" s="29" t="s">
        <v>1628</v>
      </c>
      <c r="E1343" s="29" t="s">
        <v>1637</v>
      </c>
      <c r="F1343" s="62"/>
      <c r="G1343" s="20" t="str">
        <f t="shared" si="1"/>
        <v>Electronics, Audio, Audio Players &amp; Recorders, Multitrack Recorders</v>
      </c>
    </row>
    <row r="1344" hidden="1">
      <c r="A1344" s="29">
        <v>6886.0</v>
      </c>
      <c r="B1344" s="29" t="s">
        <v>1575</v>
      </c>
      <c r="C1344" s="29" t="s">
        <v>1583</v>
      </c>
      <c r="D1344" s="29" t="s">
        <v>1628</v>
      </c>
      <c r="E1344" s="29" t="s">
        <v>1638</v>
      </c>
      <c r="F1344" s="62"/>
      <c r="G1344" s="20" t="str">
        <f t="shared" si="1"/>
        <v>Electronics, Audio, Audio Players &amp; Recorders, Radios</v>
      </c>
    </row>
    <row r="1345" hidden="1">
      <c r="A1345" s="29">
        <v>8271.0</v>
      </c>
      <c r="B1345" s="29" t="s">
        <v>1575</v>
      </c>
      <c r="C1345" s="29" t="s">
        <v>1583</v>
      </c>
      <c r="D1345" s="29" t="s">
        <v>1628</v>
      </c>
      <c r="E1345" s="29" t="s">
        <v>1639</v>
      </c>
      <c r="G1345" s="20" t="str">
        <f t="shared" si="1"/>
        <v>Electronics, Audio, Audio Players &amp; Recorders, Reel-to-Reel Tape Players &amp; Recorders</v>
      </c>
    </row>
    <row r="1346" hidden="1">
      <c r="A1346" s="29">
        <v>251.0</v>
      </c>
      <c r="B1346" s="29" t="s">
        <v>1575</v>
      </c>
      <c r="C1346" s="29" t="s">
        <v>1583</v>
      </c>
      <c r="D1346" s="29" t="s">
        <v>1628</v>
      </c>
      <c r="E1346" s="29" t="s">
        <v>1640</v>
      </c>
      <c r="F1346" s="62"/>
      <c r="G1346" s="20" t="str">
        <f t="shared" si="1"/>
        <v>Electronics, Audio, Audio Players &amp; Recorders, Stereo Systems</v>
      </c>
    </row>
    <row r="1347" hidden="1">
      <c r="A1347" s="29">
        <v>256.0</v>
      </c>
      <c r="B1347" s="29" t="s">
        <v>1575</v>
      </c>
      <c r="C1347" s="29" t="s">
        <v>1583</v>
      </c>
      <c r="D1347" s="29" t="s">
        <v>1628</v>
      </c>
      <c r="E1347" s="29" t="s">
        <v>1641</v>
      </c>
      <c r="F1347" s="62"/>
      <c r="G1347" s="20" t="str">
        <f t="shared" si="1"/>
        <v>Electronics, Audio, Audio Players &amp; Recorders, Turntables &amp; Record Players</v>
      </c>
    </row>
    <row r="1348" hidden="1">
      <c r="A1348" s="29">
        <v>244.0</v>
      </c>
      <c r="B1348" s="29" t="s">
        <v>1575</v>
      </c>
      <c r="C1348" s="29" t="s">
        <v>1583</v>
      </c>
      <c r="D1348" s="29" t="s">
        <v>1628</v>
      </c>
      <c r="E1348" s="29" t="s">
        <v>1642</v>
      </c>
      <c r="F1348" s="62"/>
      <c r="G1348" s="20" t="str">
        <f t="shared" si="1"/>
        <v>Electronics, Audio, Audio Players &amp; Recorders, Voice Recorders</v>
      </c>
    </row>
    <row r="1349" hidden="1">
      <c r="A1349" s="29">
        <v>8159.0</v>
      </c>
      <c r="B1349" s="29" t="s">
        <v>1575</v>
      </c>
      <c r="C1349" s="29" t="s">
        <v>1583</v>
      </c>
      <c r="D1349" s="29" t="s">
        <v>1643</v>
      </c>
      <c r="E1349" s="62"/>
      <c r="F1349" s="62"/>
      <c r="G1349" s="20" t="str">
        <f t="shared" si="1"/>
        <v>Electronics, Audio, Bullhorns, </v>
      </c>
    </row>
    <row r="1350" hidden="1">
      <c r="A1350" s="29">
        <v>4921.0</v>
      </c>
      <c r="B1350" s="29" t="s">
        <v>1575</v>
      </c>
      <c r="C1350" s="29" t="s">
        <v>1583</v>
      </c>
      <c r="D1350" s="29" t="s">
        <v>1644</v>
      </c>
      <c r="E1350" s="62"/>
      <c r="F1350" s="62"/>
      <c r="G1350" s="20" t="str">
        <f t="shared" si="1"/>
        <v>Electronics, Audio, DJ &amp; Specialty Audio, </v>
      </c>
    </row>
    <row r="1351" hidden="1">
      <c r="A1351" s="29">
        <v>4922.0</v>
      </c>
      <c r="B1351" s="29" t="s">
        <v>1575</v>
      </c>
      <c r="C1351" s="29" t="s">
        <v>1583</v>
      </c>
      <c r="D1351" s="29" t="s">
        <v>1644</v>
      </c>
      <c r="E1351" s="29" t="s">
        <v>1645</v>
      </c>
      <c r="F1351" s="62"/>
      <c r="G1351" s="20" t="str">
        <f t="shared" si="1"/>
        <v>Electronics, Audio, DJ &amp; Specialty Audio, DJ CD Players</v>
      </c>
    </row>
    <row r="1352" hidden="1">
      <c r="A1352" s="29">
        <v>4923.0</v>
      </c>
      <c r="B1352" s="29" t="s">
        <v>1575</v>
      </c>
      <c r="C1352" s="29" t="s">
        <v>1583</v>
      </c>
      <c r="D1352" s="29" t="s">
        <v>1644</v>
      </c>
      <c r="E1352" s="29" t="s">
        <v>1646</v>
      </c>
      <c r="F1352" s="62"/>
      <c r="G1352" s="20" t="str">
        <f t="shared" si="1"/>
        <v>Electronics, Audio, DJ &amp; Specialty Audio, DJ Systems</v>
      </c>
    </row>
    <row r="1353" hidden="1">
      <c r="A1353" s="29">
        <v>2154.0</v>
      </c>
      <c r="B1353" s="29" t="s">
        <v>1575</v>
      </c>
      <c r="C1353" s="29" t="s">
        <v>1583</v>
      </c>
      <c r="D1353" s="29" t="s">
        <v>1647</v>
      </c>
      <c r="E1353" s="62"/>
      <c r="F1353" s="62"/>
      <c r="G1353" s="20" t="str">
        <f t="shared" si="1"/>
        <v>Electronics, Audio, Public Address Systems, </v>
      </c>
    </row>
    <row r="1354" hidden="1">
      <c r="A1354" s="29">
        <v>3727.0</v>
      </c>
      <c r="B1354" s="29" t="s">
        <v>1575</v>
      </c>
      <c r="C1354" s="29" t="s">
        <v>1583</v>
      </c>
      <c r="D1354" s="29" t="s">
        <v>1648</v>
      </c>
      <c r="E1354" s="62"/>
      <c r="F1354" s="62"/>
      <c r="G1354" s="20" t="str">
        <f t="shared" si="1"/>
        <v>Electronics, Audio, Stage Equipment, </v>
      </c>
    </row>
    <row r="1355" hidden="1">
      <c r="A1355" s="29">
        <v>3242.0</v>
      </c>
      <c r="B1355" s="29" t="s">
        <v>1575</v>
      </c>
      <c r="C1355" s="29" t="s">
        <v>1583</v>
      </c>
      <c r="D1355" s="29" t="s">
        <v>1648</v>
      </c>
      <c r="E1355" s="29" t="s">
        <v>1649</v>
      </c>
      <c r="F1355" s="62"/>
      <c r="G1355" s="20" t="str">
        <f t="shared" si="1"/>
        <v>Electronics, Audio, Stage Equipment, Wireless Transmitters</v>
      </c>
    </row>
    <row r="1356" hidden="1">
      <c r="A1356" s="29">
        <v>3702.0</v>
      </c>
      <c r="B1356" s="29" t="s">
        <v>1575</v>
      </c>
      <c r="C1356" s="29" t="s">
        <v>1650</v>
      </c>
      <c r="D1356" s="62"/>
      <c r="E1356" s="62"/>
      <c r="F1356" s="62"/>
      <c r="G1356" s="20" t="str">
        <f t="shared" si="1"/>
        <v>Electronics, Circuit Boards &amp; Components, , </v>
      </c>
    </row>
    <row r="1357" hidden="1">
      <c r="A1357" s="29">
        <v>500027.0</v>
      </c>
      <c r="B1357" s="29" t="s">
        <v>1575</v>
      </c>
      <c r="C1357" s="29" t="s">
        <v>1650</v>
      </c>
      <c r="D1357" s="29" t="s">
        <v>1651</v>
      </c>
      <c r="F1357" s="62"/>
      <c r="G1357" s="20" t="str">
        <f t="shared" si="1"/>
        <v>Electronics, Circuit Boards &amp; Components, Circuit Board Accessories, </v>
      </c>
    </row>
    <row r="1358" hidden="1">
      <c r="A1358" s="29">
        <v>7259.0</v>
      </c>
      <c r="B1358" s="29" t="s">
        <v>1575</v>
      </c>
      <c r="C1358" s="29" t="s">
        <v>1650</v>
      </c>
      <c r="D1358" s="29" t="s">
        <v>1652</v>
      </c>
      <c r="F1358" s="62"/>
      <c r="G1358" s="20" t="str">
        <f t="shared" si="1"/>
        <v>Electronics, Circuit Boards &amp; Components, Circuit Decoders &amp; Encoders, </v>
      </c>
    </row>
    <row r="1359" hidden="1">
      <c r="A1359" s="29">
        <v>3889.0</v>
      </c>
      <c r="B1359" s="29" t="s">
        <v>1575</v>
      </c>
      <c r="C1359" s="29" t="s">
        <v>1650</v>
      </c>
      <c r="D1359" s="29" t="s">
        <v>1653</v>
      </c>
      <c r="E1359" s="62"/>
      <c r="F1359" s="62"/>
      <c r="G1359" s="20" t="str">
        <f t="shared" si="1"/>
        <v>Electronics, Circuit Boards &amp; Components, Circuit Prototyping, </v>
      </c>
    </row>
    <row r="1360" hidden="1">
      <c r="A1360" s="29">
        <v>4010.0</v>
      </c>
      <c r="B1360" s="29" t="s">
        <v>1575</v>
      </c>
      <c r="C1360" s="29" t="s">
        <v>1650</v>
      </c>
      <c r="D1360" s="29" t="s">
        <v>1653</v>
      </c>
      <c r="E1360" s="29" t="s">
        <v>1654</v>
      </c>
      <c r="F1360" s="62"/>
      <c r="G1360" s="20" t="str">
        <f t="shared" si="1"/>
        <v>Electronics, Circuit Boards &amp; Components, Circuit Prototyping, Breadboards</v>
      </c>
    </row>
    <row r="1361" hidden="1">
      <c r="A1361" s="29">
        <v>7258.0</v>
      </c>
      <c r="B1361" s="29" t="s">
        <v>1575</v>
      </c>
      <c r="C1361" s="29" t="s">
        <v>1650</v>
      </c>
      <c r="D1361" s="29" t="s">
        <v>1655</v>
      </c>
      <c r="E1361" s="62"/>
      <c r="F1361" s="62"/>
      <c r="G1361" s="20" t="str">
        <f t="shared" si="1"/>
        <v>Electronics, Circuit Boards &amp; Components, Electronic Filters, </v>
      </c>
    </row>
    <row r="1362" hidden="1">
      <c r="A1362" s="29">
        <v>3635.0</v>
      </c>
      <c r="B1362" s="29" t="s">
        <v>1575</v>
      </c>
      <c r="C1362" s="29" t="s">
        <v>1650</v>
      </c>
      <c r="D1362" s="29" t="s">
        <v>1656</v>
      </c>
      <c r="F1362" s="62"/>
      <c r="G1362" s="20" t="str">
        <f t="shared" si="1"/>
        <v>Electronics, Circuit Boards &amp; Components, Passive Circuit Components, </v>
      </c>
    </row>
    <row r="1363" hidden="1">
      <c r="A1363" s="29">
        <v>3220.0</v>
      </c>
      <c r="B1363" s="29" t="s">
        <v>1575</v>
      </c>
      <c r="C1363" s="29" t="s">
        <v>1650</v>
      </c>
      <c r="D1363" s="29" t="s">
        <v>1656</v>
      </c>
      <c r="E1363" s="29" t="s">
        <v>1657</v>
      </c>
      <c r="F1363" s="62"/>
      <c r="G1363" s="20" t="str">
        <f t="shared" si="1"/>
        <v>Electronics, Circuit Boards &amp; Components, Passive Circuit Components, Capacitors</v>
      </c>
    </row>
    <row r="1364" hidden="1">
      <c r="A1364" s="29">
        <v>7260.0</v>
      </c>
      <c r="B1364" s="29" t="s">
        <v>1575</v>
      </c>
      <c r="C1364" s="29" t="s">
        <v>1650</v>
      </c>
      <c r="D1364" s="29" t="s">
        <v>1656</v>
      </c>
      <c r="E1364" s="29" t="s">
        <v>1658</v>
      </c>
      <c r="F1364" s="62"/>
      <c r="G1364" s="20" t="str">
        <f t="shared" si="1"/>
        <v>Electronics, Circuit Boards &amp; Components, Passive Circuit Components, Electronic Oscillators</v>
      </c>
    </row>
    <row r="1365" hidden="1">
      <c r="A1365" s="29">
        <v>3121.0</v>
      </c>
      <c r="B1365" s="29" t="s">
        <v>1575</v>
      </c>
      <c r="C1365" s="29" t="s">
        <v>1650</v>
      </c>
      <c r="D1365" s="29" t="s">
        <v>1656</v>
      </c>
      <c r="E1365" s="29" t="s">
        <v>1659</v>
      </c>
      <c r="F1365" s="62"/>
      <c r="G1365" s="20" t="str">
        <f t="shared" si="1"/>
        <v>Electronics, Circuit Boards &amp; Components, Passive Circuit Components, Inductors</v>
      </c>
    </row>
    <row r="1366" hidden="1">
      <c r="A1366" s="29">
        <v>3424.0</v>
      </c>
      <c r="B1366" s="29" t="s">
        <v>1575</v>
      </c>
      <c r="C1366" s="29" t="s">
        <v>1650</v>
      </c>
      <c r="D1366" s="29" t="s">
        <v>1656</v>
      </c>
      <c r="E1366" s="29" t="s">
        <v>1660</v>
      </c>
      <c r="F1366" s="62"/>
      <c r="G1366" s="20" t="str">
        <f t="shared" si="1"/>
        <v>Electronics, Circuit Boards &amp; Components, Passive Circuit Components, Resistors</v>
      </c>
    </row>
    <row r="1367" hidden="1">
      <c r="A1367" s="29">
        <v>7264.0</v>
      </c>
      <c r="B1367" s="29" t="s">
        <v>1575</v>
      </c>
      <c r="C1367" s="29" t="s">
        <v>1650</v>
      </c>
      <c r="D1367" s="29" t="s">
        <v>1661</v>
      </c>
      <c r="E1367" s="62"/>
      <c r="F1367" s="62"/>
      <c r="G1367" s="20" t="str">
        <f t="shared" si="1"/>
        <v>Electronics, Circuit Boards &amp; Components, Printed Circuit Boards, </v>
      </c>
    </row>
    <row r="1368" hidden="1">
      <c r="A1368" s="29">
        <v>298419.0</v>
      </c>
      <c r="B1368" s="29" t="s">
        <v>1575</v>
      </c>
      <c r="C1368" s="29" t="s">
        <v>1650</v>
      </c>
      <c r="D1368" s="29" t="s">
        <v>1661</v>
      </c>
      <c r="E1368" s="29" t="s">
        <v>1662</v>
      </c>
      <c r="F1368" s="62"/>
      <c r="G1368" s="20" t="str">
        <f t="shared" si="1"/>
        <v>Electronics, Circuit Boards &amp; Components, Printed Circuit Boards, Camera Circuit Boards</v>
      </c>
    </row>
    <row r="1369" hidden="1">
      <c r="A1369" s="29">
        <v>499898.0</v>
      </c>
      <c r="B1369" s="29" t="s">
        <v>1575</v>
      </c>
      <c r="C1369" s="29" t="s">
        <v>1650</v>
      </c>
      <c r="D1369" s="29" t="s">
        <v>1661</v>
      </c>
      <c r="E1369" s="29" t="s">
        <v>1663</v>
      </c>
      <c r="F1369" s="62"/>
      <c r="G1369" s="20" t="str">
        <f t="shared" si="1"/>
        <v>Electronics, Circuit Boards &amp; Components, Printed Circuit Boards, Computer Circuit Boards</v>
      </c>
    </row>
    <row r="1370" hidden="1">
      <c r="A1370" s="29">
        <v>499899.0</v>
      </c>
      <c r="B1370" s="29" t="s">
        <v>1575</v>
      </c>
      <c r="C1370" s="29" t="s">
        <v>1650</v>
      </c>
      <c r="D1370" s="29" t="s">
        <v>1661</v>
      </c>
      <c r="E1370" s="29" t="s">
        <v>1663</v>
      </c>
      <c r="F1370" s="29" t="s">
        <v>1664</v>
      </c>
      <c r="G1370" s="20" t="str">
        <f t="shared" si="1"/>
        <v>Electronics, Circuit Boards &amp; Components, Printed Circuit Boards, Computer Circuit BoardsComputer Inverter Boards</v>
      </c>
    </row>
    <row r="1371" hidden="1">
      <c r="A1371" s="29">
        <v>8546.0</v>
      </c>
      <c r="B1371" s="29" t="s">
        <v>1575</v>
      </c>
      <c r="C1371" s="29" t="s">
        <v>1650</v>
      </c>
      <c r="D1371" s="29" t="s">
        <v>1661</v>
      </c>
      <c r="E1371" s="29" t="s">
        <v>1663</v>
      </c>
      <c r="F1371" s="29" t="s">
        <v>1665</v>
      </c>
      <c r="G1371" s="20" t="str">
        <f t="shared" si="1"/>
        <v>Electronics, Circuit Boards &amp; Components, Printed Circuit Boards, Computer Circuit BoardsHard Drive Circuit Boards</v>
      </c>
    </row>
    <row r="1372" hidden="1">
      <c r="A1372" s="29">
        <v>289.0</v>
      </c>
      <c r="B1372" s="29" t="s">
        <v>1575</v>
      </c>
      <c r="C1372" s="29" t="s">
        <v>1650</v>
      </c>
      <c r="D1372" s="29" t="s">
        <v>1661</v>
      </c>
      <c r="E1372" s="29" t="s">
        <v>1663</v>
      </c>
      <c r="F1372" s="29" t="s">
        <v>1666</v>
      </c>
      <c r="G1372" s="20" t="str">
        <f t="shared" si="1"/>
        <v>Electronics, Circuit Boards &amp; Components, Printed Circuit Boards, Computer Circuit BoardsMotherboards</v>
      </c>
    </row>
    <row r="1373" hidden="1">
      <c r="A1373" s="29">
        <v>3416.0</v>
      </c>
      <c r="B1373" s="29" t="s">
        <v>1575</v>
      </c>
      <c r="C1373" s="29" t="s">
        <v>1650</v>
      </c>
      <c r="D1373" s="29" t="s">
        <v>1661</v>
      </c>
      <c r="E1373" s="29" t="s">
        <v>1667</v>
      </c>
      <c r="F1373" s="62"/>
      <c r="G1373" s="20" t="str">
        <f t="shared" si="1"/>
        <v>Electronics, Circuit Boards &amp; Components, Printed Circuit Boards, Development Boards</v>
      </c>
    </row>
    <row r="1374" hidden="1">
      <c r="A1374" s="29">
        <v>499889.0</v>
      </c>
      <c r="B1374" s="29" t="s">
        <v>1575</v>
      </c>
      <c r="C1374" s="29" t="s">
        <v>1650</v>
      </c>
      <c r="D1374" s="29" t="s">
        <v>1661</v>
      </c>
      <c r="E1374" s="29" t="s">
        <v>1668</v>
      </c>
      <c r="F1374" s="62"/>
      <c r="G1374" s="20" t="str">
        <f t="shared" si="1"/>
        <v>Electronics, Circuit Boards &amp; Components, Printed Circuit Boards, Exercise Machine Circuit Boards</v>
      </c>
    </row>
    <row r="1375" hidden="1">
      <c r="A1375" s="29">
        <v>8545.0</v>
      </c>
      <c r="B1375" s="29" t="s">
        <v>1575</v>
      </c>
      <c r="C1375" s="29" t="s">
        <v>1650</v>
      </c>
      <c r="D1375" s="29" t="s">
        <v>1661</v>
      </c>
      <c r="E1375" s="29" t="s">
        <v>1669</v>
      </c>
      <c r="G1375" s="20" t="str">
        <f t="shared" si="1"/>
        <v>Electronics, Circuit Boards &amp; Components, Printed Circuit Boards, Household Appliance Circuit Boards</v>
      </c>
    </row>
    <row r="1376" hidden="1">
      <c r="A1376" s="29">
        <v>8549.0</v>
      </c>
      <c r="B1376" s="29" t="s">
        <v>1575</v>
      </c>
      <c r="C1376" s="29" t="s">
        <v>1650</v>
      </c>
      <c r="D1376" s="29" t="s">
        <v>1661</v>
      </c>
      <c r="E1376" s="29" t="s">
        <v>1670</v>
      </c>
      <c r="F1376" s="62"/>
      <c r="G1376" s="20" t="str">
        <f t="shared" si="1"/>
        <v>Electronics, Circuit Boards &amp; Components, Printed Circuit Boards, Pool &amp; Spa Circuit Boards</v>
      </c>
    </row>
    <row r="1377" hidden="1">
      <c r="A1377" s="29">
        <v>8544.0</v>
      </c>
      <c r="B1377" s="29" t="s">
        <v>1575</v>
      </c>
      <c r="C1377" s="29" t="s">
        <v>1650</v>
      </c>
      <c r="D1377" s="29" t="s">
        <v>1661</v>
      </c>
      <c r="E1377" s="29" t="s">
        <v>1671</v>
      </c>
      <c r="G1377" s="20" t="str">
        <f t="shared" si="1"/>
        <v>Electronics, Circuit Boards &amp; Components, Printed Circuit Boards, Printer, Copier, &amp; Fax Machine Circuit Boards</v>
      </c>
    </row>
    <row r="1378" hidden="1">
      <c r="A1378" s="29">
        <v>499675.0</v>
      </c>
      <c r="B1378" s="29" t="s">
        <v>1575</v>
      </c>
      <c r="C1378" s="29" t="s">
        <v>1650</v>
      </c>
      <c r="D1378" s="29" t="s">
        <v>1661</v>
      </c>
      <c r="E1378" s="29" t="s">
        <v>1672</v>
      </c>
      <c r="F1378" s="62"/>
      <c r="G1378" s="20" t="str">
        <f t="shared" si="1"/>
        <v>Electronics, Circuit Boards &amp; Components, Printed Circuit Boards, Scanner Circuit Boards</v>
      </c>
    </row>
    <row r="1379" hidden="1">
      <c r="A1379" s="29">
        <v>8516.0</v>
      </c>
      <c r="B1379" s="29" t="s">
        <v>1575</v>
      </c>
      <c r="C1379" s="29" t="s">
        <v>1650</v>
      </c>
      <c r="D1379" s="29" t="s">
        <v>1661</v>
      </c>
      <c r="E1379" s="29" t="s">
        <v>1673</v>
      </c>
      <c r="F1379" s="62"/>
      <c r="G1379" s="20" t="str">
        <f t="shared" si="1"/>
        <v>Electronics, Circuit Boards &amp; Components, Printed Circuit Boards, Television Circuit Boards</v>
      </c>
    </row>
    <row r="1380" hidden="1">
      <c r="A1380" s="29">
        <v>3991.0</v>
      </c>
      <c r="B1380" s="29" t="s">
        <v>1575</v>
      </c>
      <c r="C1380" s="29" t="s">
        <v>1650</v>
      </c>
      <c r="D1380" s="29" t="s">
        <v>1674</v>
      </c>
      <c r="E1380" s="62"/>
      <c r="F1380" s="62"/>
      <c r="G1380" s="20" t="str">
        <f t="shared" si="1"/>
        <v>Electronics, Circuit Boards &amp; Components, Semiconductors, </v>
      </c>
    </row>
    <row r="1381" hidden="1">
      <c r="A1381" s="29">
        <v>3632.0</v>
      </c>
      <c r="B1381" s="29" t="s">
        <v>1575</v>
      </c>
      <c r="C1381" s="29" t="s">
        <v>1650</v>
      </c>
      <c r="D1381" s="29" t="s">
        <v>1674</v>
      </c>
      <c r="E1381" s="29" t="s">
        <v>1675</v>
      </c>
      <c r="F1381" s="62"/>
      <c r="G1381" s="20" t="str">
        <f t="shared" si="1"/>
        <v>Electronics, Circuit Boards &amp; Components, Semiconductors, Diodes</v>
      </c>
    </row>
    <row r="1382" hidden="1">
      <c r="A1382" s="29">
        <v>7257.0</v>
      </c>
      <c r="B1382" s="29" t="s">
        <v>1575</v>
      </c>
      <c r="C1382" s="29" t="s">
        <v>1650</v>
      </c>
      <c r="D1382" s="29" t="s">
        <v>1674</v>
      </c>
      <c r="E1382" s="29" t="s">
        <v>1676</v>
      </c>
      <c r="F1382" s="62"/>
      <c r="G1382" s="20" t="str">
        <f t="shared" si="1"/>
        <v>Electronics, Circuit Boards &amp; Components, Semiconductors, Integrated Circuits &amp; Chips</v>
      </c>
    </row>
    <row r="1383" hidden="1">
      <c r="A1383" s="29">
        <v>3949.0</v>
      </c>
      <c r="B1383" s="29" t="s">
        <v>1575</v>
      </c>
      <c r="C1383" s="29" t="s">
        <v>1650</v>
      </c>
      <c r="D1383" s="29" t="s">
        <v>1674</v>
      </c>
      <c r="E1383" s="29" t="s">
        <v>1677</v>
      </c>
      <c r="F1383" s="62"/>
      <c r="G1383" s="20" t="str">
        <f t="shared" si="1"/>
        <v>Electronics, Circuit Boards &amp; Components, Semiconductors, Microcontrollers</v>
      </c>
    </row>
    <row r="1384" hidden="1">
      <c r="A1384" s="29">
        <v>3094.0</v>
      </c>
      <c r="B1384" s="29" t="s">
        <v>1575</v>
      </c>
      <c r="C1384" s="29" t="s">
        <v>1650</v>
      </c>
      <c r="D1384" s="29" t="s">
        <v>1674</v>
      </c>
      <c r="E1384" s="29" t="s">
        <v>1678</v>
      </c>
      <c r="F1384" s="62"/>
      <c r="G1384" s="20" t="str">
        <f t="shared" si="1"/>
        <v>Electronics, Circuit Boards &amp; Components, Semiconductors, Transistors</v>
      </c>
    </row>
    <row r="1385" hidden="1">
      <c r="A1385" s="29">
        <v>262.0</v>
      </c>
      <c r="B1385" s="29" t="s">
        <v>1575</v>
      </c>
      <c r="C1385" s="29" t="s">
        <v>1679</v>
      </c>
      <c r="D1385" s="62"/>
      <c r="E1385" s="62"/>
      <c r="F1385" s="62"/>
      <c r="G1385" s="20" t="str">
        <f t="shared" si="1"/>
        <v>Electronics, Communications, , </v>
      </c>
    </row>
    <row r="1386" hidden="1">
      <c r="A1386" s="29">
        <v>266.0</v>
      </c>
      <c r="B1386" s="29" t="s">
        <v>1575</v>
      </c>
      <c r="C1386" s="29" t="s">
        <v>1679</v>
      </c>
      <c r="D1386" s="29" t="s">
        <v>1680</v>
      </c>
      <c r="E1386" s="62"/>
      <c r="F1386" s="62"/>
      <c r="G1386" s="20" t="str">
        <f t="shared" si="1"/>
        <v>Electronics, Communications, Answering Machines, </v>
      </c>
    </row>
    <row r="1387" hidden="1">
      <c r="A1387" s="29">
        <v>5275.0</v>
      </c>
      <c r="B1387" s="29" t="s">
        <v>1575</v>
      </c>
      <c r="C1387" s="29" t="s">
        <v>1679</v>
      </c>
      <c r="D1387" s="29" t="s">
        <v>1681</v>
      </c>
      <c r="E1387" s="62"/>
      <c r="F1387" s="62"/>
      <c r="G1387" s="20" t="str">
        <f t="shared" si="1"/>
        <v>Electronics, Communications, Caller IDs, </v>
      </c>
    </row>
    <row r="1388" hidden="1">
      <c r="A1388" s="29">
        <v>263.0</v>
      </c>
      <c r="B1388" s="29" t="s">
        <v>1575</v>
      </c>
      <c r="C1388" s="29" t="s">
        <v>1679</v>
      </c>
      <c r="D1388" s="29" t="s">
        <v>1682</v>
      </c>
      <c r="F1388" s="62"/>
      <c r="G1388" s="20" t="str">
        <f t="shared" si="1"/>
        <v>Electronics, Communications, Communication Radio Accessories, </v>
      </c>
    </row>
    <row r="1389" hidden="1">
      <c r="A1389" s="29">
        <v>2471.0</v>
      </c>
      <c r="B1389" s="29" t="s">
        <v>1575</v>
      </c>
      <c r="C1389" s="29" t="s">
        <v>1679</v>
      </c>
      <c r="D1389" s="29" t="s">
        <v>1683</v>
      </c>
      <c r="E1389" s="62"/>
      <c r="F1389" s="62"/>
      <c r="G1389" s="20" t="str">
        <f t="shared" si="1"/>
        <v>Electronics, Communications, Communication Radios, </v>
      </c>
    </row>
    <row r="1390" hidden="1">
      <c r="A1390" s="29">
        <v>2106.0</v>
      </c>
      <c r="B1390" s="29" t="s">
        <v>1575</v>
      </c>
      <c r="C1390" s="29" t="s">
        <v>1679</v>
      </c>
      <c r="D1390" s="29" t="s">
        <v>1683</v>
      </c>
      <c r="E1390" s="29" t="s">
        <v>1684</v>
      </c>
      <c r="F1390" s="62"/>
      <c r="G1390" s="20" t="str">
        <f t="shared" si="1"/>
        <v>Electronics, Communications, Communication Radios, CB Radios</v>
      </c>
    </row>
    <row r="1391" hidden="1">
      <c r="A1391" s="29">
        <v>4415.0</v>
      </c>
      <c r="B1391" s="29" t="s">
        <v>1575</v>
      </c>
      <c r="C1391" s="29" t="s">
        <v>1679</v>
      </c>
      <c r="D1391" s="29" t="s">
        <v>1683</v>
      </c>
      <c r="E1391" s="29" t="s">
        <v>1685</v>
      </c>
      <c r="F1391" s="62"/>
      <c r="G1391" s="20" t="str">
        <f t="shared" si="1"/>
        <v>Electronics, Communications, Communication Radios, Radio Scanners</v>
      </c>
    </row>
    <row r="1392" hidden="1">
      <c r="A1392" s="29">
        <v>273.0</v>
      </c>
      <c r="B1392" s="29" t="s">
        <v>1575</v>
      </c>
      <c r="C1392" s="29" t="s">
        <v>1679</v>
      </c>
      <c r="D1392" s="29" t="s">
        <v>1683</v>
      </c>
      <c r="E1392" s="29" t="s">
        <v>1686</v>
      </c>
      <c r="F1392" s="62"/>
      <c r="G1392" s="20" t="str">
        <f t="shared" si="1"/>
        <v>Electronics, Communications, Communication Radios, Two-Way Radios</v>
      </c>
    </row>
    <row r="1393" hidden="1">
      <c r="A1393" s="29">
        <v>5404.0</v>
      </c>
      <c r="B1393" s="29" t="s">
        <v>1575</v>
      </c>
      <c r="C1393" s="29" t="s">
        <v>1679</v>
      </c>
      <c r="D1393" s="29" t="s">
        <v>1687</v>
      </c>
      <c r="E1393" s="62"/>
      <c r="F1393" s="62"/>
      <c r="G1393" s="20" t="str">
        <f t="shared" si="1"/>
        <v>Electronics, Communications, Intercom Accessories, </v>
      </c>
    </row>
    <row r="1394" hidden="1">
      <c r="A1394" s="29">
        <v>360.0</v>
      </c>
      <c r="B1394" s="29" t="s">
        <v>1575</v>
      </c>
      <c r="C1394" s="29" t="s">
        <v>1679</v>
      </c>
      <c r="D1394" s="29" t="s">
        <v>1688</v>
      </c>
      <c r="E1394" s="62"/>
      <c r="F1394" s="62"/>
      <c r="G1394" s="20" t="str">
        <f t="shared" si="1"/>
        <v>Electronics, Communications, Intercoms, </v>
      </c>
    </row>
    <row r="1395" hidden="1">
      <c r="A1395" s="29">
        <v>268.0</v>
      </c>
      <c r="B1395" s="29" t="s">
        <v>1575</v>
      </c>
      <c r="C1395" s="29" t="s">
        <v>1679</v>
      </c>
      <c r="D1395" s="29" t="s">
        <v>1689</v>
      </c>
      <c r="E1395" s="62"/>
      <c r="F1395" s="62"/>
      <c r="G1395" s="20" t="str">
        <f t="shared" si="1"/>
        <v>Electronics, Communications, Pagers, </v>
      </c>
    </row>
    <row r="1396" hidden="1">
      <c r="A1396" s="29">
        <v>270.0</v>
      </c>
      <c r="B1396" s="29" t="s">
        <v>1575</v>
      </c>
      <c r="C1396" s="29" t="s">
        <v>1679</v>
      </c>
      <c r="D1396" s="29" t="s">
        <v>1690</v>
      </c>
      <c r="E1396" s="62"/>
      <c r="F1396" s="62"/>
      <c r="G1396" s="20" t="str">
        <f t="shared" si="1"/>
        <v>Electronics, Communications, Telephony, </v>
      </c>
    </row>
    <row r="1397" hidden="1">
      <c r="A1397" s="29">
        <v>4666.0</v>
      </c>
      <c r="B1397" s="29" t="s">
        <v>1575</v>
      </c>
      <c r="C1397" s="29" t="s">
        <v>1679</v>
      </c>
      <c r="D1397" s="29" t="s">
        <v>1690</v>
      </c>
      <c r="E1397" s="29" t="s">
        <v>1691</v>
      </c>
      <c r="F1397" s="62"/>
      <c r="G1397" s="20" t="str">
        <f t="shared" si="1"/>
        <v>Electronics, Communications, Telephony, Conference Phones</v>
      </c>
    </row>
    <row r="1398" hidden="1">
      <c r="A1398" s="29">
        <v>271.0</v>
      </c>
      <c r="B1398" s="29" t="s">
        <v>1575</v>
      </c>
      <c r="C1398" s="29" t="s">
        <v>1679</v>
      </c>
      <c r="D1398" s="29" t="s">
        <v>1690</v>
      </c>
      <c r="E1398" s="29" t="s">
        <v>1692</v>
      </c>
      <c r="F1398" s="62"/>
      <c r="G1398" s="20" t="str">
        <f t="shared" si="1"/>
        <v>Electronics, Communications, Telephony, Corded Phones</v>
      </c>
    </row>
    <row r="1399" hidden="1">
      <c r="A1399" s="29">
        <v>272.0</v>
      </c>
      <c r="B1399" s="29" t="s">
        <v>1575</v>
      </c>
      <c r="C1399" s="29" t="s">
        <v>1679</v>
      </c>
      <c r="D1399" s="29" t="s">
        <v>1690</v>
      </c>
      <c r="E1399" s="29" t="s">
        <v>1693</v>
      </c>
      <c r="F1399" s="62"/>
      <c r="G1399" s="20" t="str">
        <f t="shared" si="1"/>
        <v>Electronics, Communications, Telephony, Cordless Phones</v>
      </c>
    </row>
    <row r="1400" hidden="1">
      <c r="A1400" s="29">
        <v>264.0</v>
      </c>
      <c r="B1400" s="29" t="s">
        <v>1575</v>
      </c>
      <c r="C1400" s="29" t="s">
        <v>1679</v>
      </c>
      <c r="D1400" s="29" t="s">
        <v>1690</v>
      </c>
      <c r="E1400" s="29" t="s">
        <v>1694</v>
      </c>
      <c r="F1400" s="62"/>
      <c r="G1400" s="20" t="str">
        <f t="shared" si="1"/>
        <v>Electronics, Communications, Telephony, Mobile Phone Accessories</v>
      </c>
    </row>
    <row r="1401" hidden="1">
      <c r="A1401" s="29">
        <v>8111.0</v>
      </c>
      <c r="B1401" s="29" t="s">
        <v>1575</v>
      </c>
      <c r="C1401" s="29" t="s">
        <v>1679</v>
      </c>
      <c r="D1401" s="29" t="s">
        <v>1690</v>
      </c>
      <c r="E1401" s="29" t="s">
        <v>1694</v>
      </c>
      <c r="F1401" s="29" t="s">
        <v>1695</v>
      </c>
      <c r="G1401" s="20" t="str">
        <f t="shared" si="1"/>
        <v>Electronics, Communications, Telephony, Mobile Phone AccessoriesMobile Phone Camera Accessories</v>
      </c>
    </row>
    <row r="1402" hidden="1">
      <c r="A1402" s="29">
        <v>2353.0</v>
      </c>
      <c r="B1402" s="29" t="s">
        <v>1575</v>
      </c>
      <c r="C1402" s="29" t="s">
        <v>1679</v>
      </c>
      <c r="D1402" s="29" t="s">
        <v>1690</v>
      </c>
      <c r="E1402" s="29" t="s">
        <v>1694</v>
      </c>
      <c r="F1402" s="29" t="s">
        <v>1696</v>
      </c>
      <c r="G1402" s="20" t="str">
        <f t="shared" si="1"/>
        <v>Electronics, Communications, Telephony, Mobile Phone AccessoriesMobile Phone Cases</v>
      </c>
    </row>
    <row r="1403" hidden="1">
      <c r="A1403" s="29">
        <v>4550.0</v>
      </c>
      <c r="B1403" s="29" t="s">
        <v>1575</v>
      </c>
      <c r="C1403" s="29" t="s">
        <v>1679</v>
      </c>
      <c r="D1403" s="29" t="s">
        <v>1690</v>
      </c>
      <c r="E1403" s="29" t="s">
        <v>1694</v>
      </c>
      <c r="F1403" s="29" t="s">
        <v>1697</v>
      </c>
      <c r="G1403" s="20" t="str">
        <f t="shared" si="1"/>
        <v>Electronics, Communications, Telephony, Mobile Phone AccessoriesMobile Phone Charms &amp; Straps</v>
      </c>
    </row>
    <row r="1404" hidden="1">
      <c r="A1404" s="29">
        <v>6030.0</v>
      </c>
      <c r="B1404" s="29" t="s">
        <v>1575</v>
      </c>
      <c r="C1404" s="29" t="s">
        <v>1679</v>
      </c>
      <c r="D1404" s="29" t="s">
        <v>1690</v>
      </c>
      <c r="E1404" s="29" t="s">
        <v>1694</v>
      </c>
      <c r="F1404" s="29" t="s">
        <v>1698</v>
      </c>
      <c r="G1404" s="20" t="str">
        <f t="shared" si="1"/>
        <v>Electronics, Communications, Telephony, Mobile Phone AccessoriesMobile Phone Pre-Paid Cards &amp; SIM Cards</v>
      </c>
    </row>
    <row r="1405" hidden="1">
      <c r="A1405" s="29">
        <v>543515.0</v>
      </c>
      <c r="B1405" s="29" t="s">
        <v>1575</v>
      </c>
      <c r="C1405" s="29" t="s">
        <v>1679</v>
      </c>
      <c r="D1405" s="29" t="s">
        <v>1690</v>
      </c>
      <c r="E1405" s="29" t="s">
        <v>1694</v>
      </c>
      <c r="F1405" s="29" t="s">
        <v>1698</v>
      </c>
      <c r="G1405" s="20" t="str">
        <f t="shared" si="1"/>
        <v>Electronics, Communications, Telephony, Mobile Phone AccessoriesMobile Phone Pre-Paid Cards &amp; SIM Cards</v>
      </c>
    </row>
    <row r="1406" hidden="1">
      <c r="A1406" s="29">
        <v>543516.0</v>
      </c>
      <c r="B1406" s="29" t="s">
        <v>1575</v>
      </c>
      <c r="C1406" s="29" t="s">
        <v>1679</v>
      </c>
      <c r="D1406" s="29" t="s">
        <v>1690</v>
      </c>
      <c r="E1406" s="29" t="s">
        <v>1694</v>
      </c>
      <c r="F1406" s="29" t="s">
        <v>1698</v>
      </c>
      <c r="G1406" s="20" t="str">
        <f t="shared" si="1"/>
        <v>Electronics, Communications, Telephony, Mobile Phone AccessoriesMobile Phone Pre-Paid Cards &amp; SIM Cards</v>
      </c>
    </row>
    <row r="1407" hidden="1">
      <c r="A1407" s="29">
        <v>7347.0</v>
      </c>
      <c r="B1407" s="29" t="s">
        <v>1575</v>
      </c>
      <c r="C1407" s="29" t="s">
        <v>1679</v>
      </c>
      <c r="D1407" s="29" t="s">
        <v>1690</v>
      </c>
      <c r="E1407" s="29" t="s">
        <v>1694</v>
      </c>
      <c r="F1407" s="29" t="s">
        <v>1699</v>
      </c>
      <c r="G1407" s="20" t="str">
        <f t="shared" si="1"/>
        <v>Electronics, Communications, Telephony, Mobile Phone AccessoriesMobile Phone Replacement Parts</v>
      </c>
    </row>
    <row r="1408" hidden="1">
      <c r="A1408" s="29">
        <v>5566.0</v>
      </c>
      <c r="B1408" s="29" t="s">
        <v>1575</v>
      </c>
      <c r="C1408" s="29" t="s">
        <v>1679</v>
      </c>
      <c r="D1408" s="29" t="s">
        <v>1690</v>
      </c>
      <c r="E1408" s="29" t="s">
        <v>1694</v>
      </c>
      <c r="F1408" s="29" t="s">
        <v>1700</v>
      </c>
      <c r="G1408" s="20" t="str">
        <f t="shared" si="1"/>
        <v>Electronics, Communications, Telephony, Mobile Phone AccessoriesMobile Phone Stands</v>
      </c>
    </row>
    <row r="1409" hidden="1">
      <c r="A1409" s="29">
        <v>499916.0</v>
      </c>
      <c r="B1409" s="29" t="s">
        <v>1575</v>
      </c>
      <c r="C1409" s="29" t="s">
        <v>1679</v>
      </c>
      <c r="D1409" s="29" t="s">
        <v>1690</v>
      </c>
      <c r="E1409" s="29" t="s">
        <v>1694</v>
      </c>
      <c r="F1409" s="29" t="s">
        <v>1701</v>
      </c>
      <c r="G1409" s="20" t="str">
        <f t="shared" si="1"/>
        <v>Electronics, Communications, Telephony, Mobile Phone AccessoriesSIM Card Ejection Tools</v>
      </c>
    </row>
    <row r="1410" hidden="1">
      <c r="A1410" s="29">
        <v>267.0</v>
      </c>
      <c r="B1410" s="29" t="s">
        <v>1575</v>
      </c>
      <c r="C1410" s="29" t="s">
        <v>1679</v>
      </c>
      <c r="D1410" s="29" t="s">
        <v>1690</v>
      </c>
      <c r="E1410" s="29" t="s">
        <v>1702</v>
      </c>
      <c r="F1410" s="62"/>
      <c r="G1410" s="20" t="str">
        <f t="shared" si="1"/>
        <v>Electronics, Communications, Telephony, Mobile Phones</v>
      </c>
    </row>
    <row r="1411" hidden="1">
      <c r="A1411" s="29">
        <v>543513.0</v>
      </c>
      <c r="B1411" s="29" t="s">
        <v>1575</v>
      </c>
      <c r="C1411" s="29" t="s">
        <v>1679</v>
      </c>
      <c r="D1411" s="29" t="s">
        <v>1690</v>
      </c>
      <c r="E1411" s="29" t="s">
        <v>1702</v>
      </c>
      <c r="F1411" s="29" t="s">
        <v>1703</v>
      </c>
      <c r="G1411" s="20" t="str">
        <f t="shared" si="1"/>
        <v>Electronics, Communications, Telephony, Mobile PhonesContract Mobile Phones</v>
      </c>
    </row>
    <row r="1412" hidden="1">
      <c r="A1412" s="29">
        <v>543512.0</v>
      </c>
      <c r="B1412" s="29" t="s">
        <v>1575</v>
      </c>
      <c r="C1412" s="29" t="s">
        <v>1679</v>
      </c>
      <c r="D1412" s="29" t="s">
        <v>1690</v>
      </c>
      <c r="E1412" s="29" t="s">
        <v>1702</v>
      </c>
      <c r="F1412" s="29" t="s">
        <v>1704</v>
      </c>
      <c r="G1412" s="20" t="str">
        <f t="shared" si="1"/>
        <v>Electronics, Communications, Telephony, Mobile PhonesPre-paid Mobile Phones</v>
      </c>
    </row>
    <row r="1413" hidden="1">
      <c r="A1413" s="29">
        <v>543514.0</v>
      </c>
      <c r="B1413" s="29" t="s">
        <v>1575</v>
      </c>
      <c r="C1413" s="29" t="s">
        <v>1679</v>
      </c>
      <c r="D1413" s="29" t="s">
        <v>1690</v>
      </c>
      <c r="E1413" s="29" t="s">
        <v>1702</v>
      </c>
      <c r="F1413" s="29" t="s">
        <v>1705</v>
      </c>
      <c r="G1413" s="20" t="str">
        <f t="shared" si="1"/>
        <v>Electronics, Communications, Telephony, Mobile PhonesUnlocked Mobile Phones</v>
      </c>
    </row>
    <row r="1414" hidden="1">
      <c r="A1414" s="29">
        <v>1924.0</v>
      </c>
      <c r="B1414" s="29" t="s">
        <v>1575</v>
      </c>
      <c r="C1414" s="29" t="s">
        <v>1679</v>
      </c>
      <c r="D1414" s="29" t="s">
        <v>1690</v>
      </c>
      <c r="E1414" s="29" t="s">
        <v>1706</v>
      </c>
      <c r="F1414" s="62"/>
      <c r="G1414" s="20" t="str">
        <f t="shared" si="1"/>
        <v>Electronics, Communications, Telephony, Satellite Phones</v>
      </c>
    </row>
    <row r="1415" hidden="1">
      <c r="A1415" s="29">
        <v>265.0</v>
      </c>
      <c r="B1415" s="29" t="s">
        <v>1575</v>
      </c>
      <c r="C1415" s="29" t="s">
        <v>1679</v>
      </c>
      <c r="D1415" s="29" t="s">
        <v>1690</v>
      </c>
      <c r="E1415" s="29" t="s">
        <v>1707</v>
      </c>
      <c r="F1415" s="62"/>
      <c r="G1415" s="20" t="str">
        <f t="shared" si="1"/>
        <v>Electronics, Communications, Telephony, Telephone Accessories</v>
      </c>
    </row>
    <row r="1416" hidden="1">
      <c r="A1416" s="29">
        <v>269.0</v>
      </c>
      <c r="B1416" s="29" t="s">
        <v>1575</v>
      </c>
      <c r="C1416" s="29" t="s">
        <v>1679</v>
      </c>
      <c r="D1416" s="29" t="s">
        <v>1690</v>
      </c>
      <c r="E1416" s="29" t="s">
        <v>1707</v>
      </c>
      <c r="F1416" s="29" t="s">
        <v>1708</v>
      </c>
      <c r="G1416" s="20" t="str">
        <f t="shared" si="1"/>
        <v>Electronics, Communications, Telephony, Telephone AccessoriesPhone Cards</v>
      </c>
    </row>
    <row r="1417" hidden="1">
      <c r="A1417" s="29">
        <v>274.0</v>
      </c>
      <c r="B1417" s="29" t="s">
        <v>1575</v>
      </c>
      <c r="C1417" s="29" t="s">
        <v>1679</v>
      </c>
      <c r="D1417" s="29" t="s">
        <v>1709</v>
      </c>
      <c r="E1417" s="62"/>
      <c r="F1417" s="62"/>
      <c r="G1417" s="20" t="str">
        <f t="shared" si="1"/>
        <v>Electronics, Communications, Video Conferencing, </v>
      </c>
    </row>
    <row r="1418" hidden="1">
      <c r="A1418" s="29">
        <v>1801.0</v>
      </c>
      <c r="B1418" s="29" t="s">
        <v>1575</v>
      </c>
      <c r="C1418" s="29" t="s">
        <v>1710</v>
      </c>
      <c r="D1418" s="62"/>
      <c r="E1418" s="62"/>
      <c r="F1418" s="62"/>
      <c r="G1418" s="20" t="str">
        <f t="shared" si="1"/>
        <v>Electronics, Components, , </v>
      </c>
    </row>
    <row r="1419" hidden="1">
      <c r="A1419" s="29">
        <v>7395.0</v>
      </c>
      <c r="B1419" s="29" t="s">
        <v>1575</v>
      </c>
      <c r="C1419" s="29" t="s">
        <v>1710</v>
      </c>
      <c r="D1419" s="29" t="s">
        <v>1711</v>
      </c>
      <c r="E1419" s="62"/>
      <c r="F1419" s="62"/>
      <c r="G1419" s="20" t="str">
        <f t="shared" si="1"/>
        <v>Electronics, Components, Accelerometers, </v>
      </c>
    </row>
    <row r="1420" hidden="1">
      <c r="A1420" s="29">
        <v>2182.0</v>
      </c>
      <c r="B1420" s="29" t="s">
        <v>1575</v>
      </c>
      <c r="C1420" s="29" t="s">
        <v>1710</v>
      </c>
      <c r="D1420" s="29" t="s">
        <v>1712</v>
      </c>
      <c r="E1420" s="62"/>
      <c r="F1420" s="62"/>
      <c r="G1420" s="20" t="str">
        <f t="shared" si="1"/>
        <v>Electronics, Components, Converters, </v>
      </c>
    </row>
    <row r="1421" hidden="1">
      <c r="A1421" s="29">
        <v>503001.0</v>
      </c>
      <c r="B1421" s="29" t="s">
        <v>1575</v>
      </c>
      <c r="C1421" s="29" t="s">
        <v>1710</v>
      </c>
      <c r="D1421" s="29" t="s">
        <v>1712</v>
      </c>
      <c r="E1421" s="29" t="s">
        <v>1713</v>
      </c>
      <c r="F1421" s="62"/>
      <c r="G1421" s="20" t="str">
        <f t="shared" si="1"/>
        <v>Electronics, Components, Converters, Audio Converters</v>
      </c>
    </row>
    <row r="1422" hidden="1">
      <c r="A1422" s="29">
        <v>2205.0</v>
      </c>
      <c r="B1422" s="29" t="s">
        <v>1575</v>
      </c>
      <c r="C1422" s="29" t="s">
        <v>1710</v>
      </c>
      <c r="D1422" s="29" t="s">
        <v>1712</v>
      </c>
      <c r="E1422" s="29" t="s">
        <v>1714</v>
      </c>
      <c r="F1422" s="62"/>
      <c r="G1422" s="20" t="str">
        <f t="shared" si="1"/>
        <v>Electronics, Components, Converters, Scan Converters</v>
      </c>
    </row>
    <row r="1423" hidden="1">
      <c r="A1423" s="29">
        <v>1977.0</v>
      </c>
      <c r="B1423" s="29" t="s">
        <v>1575</v>
      </c>
      <c r="C1423" s="29" t="s">
        <v>1710</v>
      </c>
      <c r="D1423" s="29" t="s">
        <v>1715</v>
      </c>
      <c r="F1423" s="62"/>
      <c r="G1423" s="20" t="str">
        <f t="shared" si="1"/>
        <v>Electronics, Components, Electronics Component Connectors, </v>
      </c>
    </row>
    <row r="1424" hidden="1">
      <c r="A1424" s="29">
        <v>1337.0</v>
      </c>
      <c r="B1424" s="29" t="s">
        <v>1575</v>
      </c>
      <c r="C1424" s="29" t="s">
        <v>1710</v>
      </c>
      <c r="D1424" s="29" t="s">
        <v>1716</v>
      </c>
      <c r="E1424" s="62"/>
      <c r="F1424" s="62"/>
      <c r="G1424" s="20" t="str">
        <f t="shared" si="1"/>
        <v>Electronics, Components, Modulators, </v>
      </c>
    </row>
    <row r="1425" hidden="1">
      <c r="A1425" s="29">
        <v>1544.0</v>
      </c>
      <c r="B1425" s="29" t="s">
        <v>1575</v>
      </c>
      <c r="C1425" s="29" t="s">
        <v>1710</v>
      </c>
      <c r="D1425" s="29" t="s">
        <v>1717</v>
      </c>
      <c r="E1425" s="62"/>
      <c r="F1425" s="62"/>
      <c r="G1425" s="20" t="str">
        <f t="shared" si="1"/>
        <v>Electronics, Components, Splitters, </v>
      </c>
    </row>
    <row r="1426" hidden="1">
      <c r="A1426" s="29">
        <v>278.0</v>
      </c>
      <c r="B1426" s="29" t="s">
        <v>1575</v>
      </c>
      <c r="C1426" s="29" t="s">
        <v>1718</v>
      </c>
      <c r="D1426" s="62"/>
      <c r="E1426" s="62"/>
      <c r="F1426" s="62"/>
      <c r="G1426" s="20" t="str">
        <f t="shared" si="1"/>
        <v>Electronics, Computers, , </v>
      </c>
    </row>
    <row r="1427" hidden="1">
      <c r="A1427" s="29">
        <v>5254.0</v>
      </c>
      <c r="B1427" s="29" t="s">
        <v>1575</v>
      </c>
      <c r="C1427" s="29" t="s">
        <v>1718</v>
      </c>
      <c r="D1427" s="29" t="s">
        <v>1719</v>
      </c>
      <c r="E1427" s="62"/>
      <c r="F1427" s="62"/>
      <c r="G1427" s="20" t="str">
        <f t="shared" si="1"/>
        <v>Electronics, Computers, Barebone Computers, </v>
      </c>
    </row>
    <row r="1428" hidden="1">
      <c r="A1428" s="29">
        <v>331.0</v>
      </c>
      <c r="B1428" s="29" t="s">
        <v>1575</v>
      </c>
      <c r="C1428" s="29" t="s">
        <v>1718</v>
      </c>
      <c r="D1428" s="29" t="s">
        <v>1720</v>
      </c>
      <c r="E1428" s="62"/>
      <c r="F1428" s="62"/>
      <c r="G1428" s="20" t="str">
        <f t="shared" si="1"/>
        <v>Electronics, Computers, Computer Servers, </v>
      </c>
    </row>
    <row r="1429" hidden="1">
      <c r="A1429" s="29">
        <v>325.0</v>
      </c>
      <c r="B1429" s="29" t="s">
        <v>1575</v>
      </c>
      <c r="C1429" s="29" t="s">
        <v>1718</v>
      </c>
      <c r="D1429" s="29" t="s">
        <v>1721</v>
      </c>
      <c r="E1429" s="62"/>
      <c r="F1429" s="62"/>
      <c r="G1429" s="20" t="str">
        <f t="shared" si="1"/>
        <v>Electronics, Computers, Desktop Computers, </v>
      </c>
    </row>
    <row r="1430" hidden="1">
      <c r="A1430" s="29">
        <v>298.0</v>
      </c>
      <c r="B1430" s="29" t="s">
        <v>1575</v>
      </c>
      <c r="C1430" s="29" t="s">
        <v>1718</v>
      </c>
      <c r="D1430" s="29" t="s">
        <v>1722</v>
      </c>
      <c r="E1430" s="62"/>
      <c r="F1430" s="62"/>
      <c r="G1430" s="20" t="str">
        <f t="shared" si="1"/>
        <v>Electronics, Computers, Handheld Devices, </v>
      </c>
    </row>
    <row r="1431" hidden="1">
      <c r="A1431" s="29">
        <v>5256.0</v>
      </c>
      <c r="B1431" s="29" t="s">
        <v>1575</v>
      </c>
      <c r="C1431" s="29" t="s">
        <v>1718</v>
      </c>
      <c r="D1431" s="29" t="s">
        <v>1722</v>
      </c>
      <c r="E1431" s="29" t="s">
        <v>1723</v>
      </c>
      <c r="F1431" s="62"/>
      <c r="G1431" s="20" t="str">
        <f t="shared" si="1"/>
        <v>Electronics, Computers, Handheld Devices, Data Collectors</v>
      </c>
    </row>
    <row r="1432" hidden="1">
      <c r="A1432" s="29">
        <v>3539.0</v>
      </c>
      <c r="B1432" s="29" t="s">
        <v>1575</v>
      </c>
      <c r="C1432" s="29" t="s">
        <v>1718</v>
      </c>
      <c r="D1432" s="29" t="s">
        <v>1722</v>
      </c>
      <c r="E1432" s="29" t="s">
        <v>1724</v>
      </c>
      <c r="F1432" s="62"/>
      <c r="G1432" s="20" t="str">
        <f t="shared" si="1"/>
        <v>Electronics, Computers, Handheld Devices, E-Book Readers</v>
      </c>
    </row>
    <row r="1433" hidden="1">
      <c r="A1433" s="29">
        <v>3769.0</v>
      </c>
      <c r="B1433" s="29" t="s">
        <v>1575</v>
      </c>
      <c r="C1433" s="29" t="s">
        <v>1718</v>
      </c>
      <c r="D1433" s="29" t="s">
        <v>1722</v>
      </c>
      <c r="E1433" s="29" t="s">
        <v>1725</v>
      </c>
      <c r="F1433" s="62"/>
      <c r="G1433" s="20" t="str">
        <f t="shared" si="1"/>
        <v>Electronics, Computers, Handheld Devices, PDAs</v>
      </c>
    </row>
    <row r="1434" hidden="1">
      <c r="A1434" s="29">
        <v>5255.0</v>
      </c>
      <c r="B1434" s="29" t="s">
        <v>1575</v>
      </c>
      <c r="C1434" s="29" t="s">
        <v>1718</v>
      </c>
      <c r="D1434" s="29" t="s">
        <v>1726</v>
      </c>
      <c r="E1434" s="62"/>
      <c r="F1434" s="62"/>
      <c r="G1434" s="20" t="str">
        <f t="shared" si="1"/>
        <v>Electronics, Computers, Interactive Kiosks, </v>
      </c>
    </row>
    <row r="1435" hidden="1">
      <c r="A1435" s="29">
        <v>328.0</v>
      </c>
      <c r="B1435" s="29" t="s">
        <v>1575</v>
      </c>
      <c r="C1435" s="29" t="s">
        <v>1718</v>
      </c>
      <c r="D1435" s="29" t="s">
        <v>1727</v>
      </c>
      <c r="E1435" s="62"/>
      <c r="F1435" s="62"/>
      <c r="G1435" s="20" t="str">
        <f t="shared" si="1"/>
        <v>Electronics, Computers, Laptops, </v>
      </c>
    </row>
    <row r="1436" hidden="1">
      <c r="A1436" s="29">
        <v>500002.0</v>
      </c>
      <c r="B1436" s="29" t="s">
        <v>1575</v>
      </c>
      <c r="C1436" s="29" t="s">
        <v>1718</v>
      </c>
      <c r="D1436" s="29" t="s">
        <v>1728</v>
      </c>
      <c r="E1436" s="62"/>
      <c r="F1436" s="62"/>
      <c r="G1436" s="20" t="str">
        <f t="shared" si="1"/>
        <v>Electronics, Computers, Smart Glasses, </v>
      </c>
    </row>
    <row r="1437" hidden="1">
      <c r="A1437" s="29">
        <v>4745.0</v>
      </c>
      <c r="B1437" s="29" t="s">
        <v>1575</v>
      </c>
      <c r="C1437" s="29" t="s">
        <v>1718</v>
      </c>
      <c r="D1437" s="29" t="s">
        <v>1729</v>
      </c>
      <c r="E1437" s="62"/>
      <c r="F1437" s="62"/>
      <c r="G1437" s="20" t="str">
        <f t="shared" si="1"/>
        <v>Electronics, Computers, Tablet Computers, </v>
      </c>
    </row>
    <row r="1438" hidden="1">
      <c r="A1438" s="29">
        <v>8539.0</v>
      </c>
      <c r="B1438" s="29" t="s">
        <v>1575</v>
      </c>
      <c r="C1438" s="29" t="s">
        <v>1718</v>
      </c>
      <c r="D1438" s="29" t="s">
        <v>1730</v>
      </c>
      <c r="E1438" s="62"/>
      <c r="F1438" s="62"/>
      <c r="G1438" s="20" t="str">
        <f t="shared" si="1"/>
        <v>Electronics, Computers, Thin &amp; Zero Clients, </v>
      </c>
    </row>
    <row r="1439" hidden="1">
      <c r="A1439" s="29">
        <v>543668.0</v>
      </c>
      <c r="B1439" s="29" t="s">
        <v>1575</v>
      </c>
      <c r="C1439" s="29" t="s">
        <v>1718</v>
      </c>
      <c r="D1439" s="29" t="s">
        <v>1730</v>
      </c>
      <c r="E1439" s="29" t="s">
        <v>1731</v>
      </c>
      <c r="F1439" s="62"/>
      <c r="G1439" s="20" t="str">
        <f t="shared" si="1"/>
        <v>Electronics, Computers, Thin &amp; Zero Clients, Thin Client Computers</v>
      </c>
    </row>
    <row r="1440" hidden="1">
      <c r="A1440" s="29">
        <v>543669.0</v>
      </c>
      <c r="B1440" s="29" t="s">
        <v>1575</v>
      </c>
      <c r="C1440" s="29" t="s">
        <v>1718</v>
      </c>
      <c r="D1440" s="29" t="s">
        <v>1730</v>
      </c>
      <c r="E1440" s="29" t="s">
        <v>1732</v>
      </c>
      <c r="F1440" s="62"/>
      <c r="G1440" s="20" t="str">
        <f t="shared" si="1"/>
        <v>Electronics, Computers, Thin &amp; Zero Clients, Zero Client Computers</v>
      </c>
    </row>
    <row r="1441" hidden="1">
      <c r="A1441" s="29">
        <v>502995.0</v>
      </c>
      <c r="B1441" s="29" t="s">
        <v>1575</v>
      </c>
      <c r="C1441" s="29" t="s">
        <v>1718</v>
      </c>
      <c r="D1441" s="29" t="s">
        <v>1733</v>
      </c>
      <c r="E1441" s="62"/>
      <c r="F1441" s="62"/>
      <c r="G1441" s="20" t="str">
        <f t="shared" si="1"/>
        <v>Electronics, Computers, Touch Table Computers, </v>
      </c>
    </row>
    <row r="1442" hidden="1">
      <c r="A1442" s="29">
        <v>2082.0</v>
      </c>
      <c r="B1442" s="29" t="s">
        <v>1575</v>
      </c>
      <c r="C1442" s="29" t="s">
        <v>1734</v>
      </c>
      <c r="D1442" s="62"/>
      <c r="E1442" s="62"/>
      <c r="F1442" s="62"/>
      <c r="G1442" s="20" t="str">
        <f t="shared" si="1"/>
        <v>Electronics, Electronics Accessories, , </v>
      </c>
    </row>
    <row r="1443" hidden="1">
      <c r="A1443" s="29">
        <v>258.0</v>
      </c>
      <c r="B1443" s="29" t="s">
        <v>1575</v>
      </c>
      <c r="C1443" s="29" t="s">
        <v>1734</v>
      </c>
      <c r="D1443" s="29" t="s">
        <v>1735</v>
      </c>
      <c r="E1443" s="62"/>
      <c r="F1443" s="62"/>
      <c r="G1443" s="20" t="str">
        <f t="shared" si="1"/>
        <v>Electronics, Electronics Accessories, Adapters, </v>
      </c>
    </row>
    <row r="1444" hidden="1">
      <c r="A1444" s="29">
        <v>4463.0</v>
      </c>
      <c r="B1444" s="29" t="s">
        <v>1575</v>
      </c>
      <c r="C1444" s="29" t="s">
        <v>1734</v>
      </c>
      <c r="D1444" s="29" t="s">
        <v>1735</v>
      </c>
      <c r="E1444" s="29" t="s">
        <v>1736</v>
      </c>
      <c r="G1444" s="20" t="str">
        <f t="shared" si="1"/>
        <v>Electronics, Electronics Accessories, Adapters, Audio &amp; Video Cable Adapters &amp; Couplers</v>
      </c>
    </row>
    <row r="1445" hidden="1">
      <c r="A1445" s="29">
        <v>146.0</v>
      </c>
      <c r="B1445" s="29" t="s">
        <v>1575</v>
      </c>
      <c r="C1445" s="29" t="s">
        <v>1734</v>
      </c>
      <c r="D1445" s="29" t="s">
        <v>1735</v>
      </c>
      <c r="E1445" s="29" t="s">
        <v>1737</v>
      </c>
      <c r="F1445" s="62"/>
      <c r="G1445" s="20" t="str">
        <f t="shared" si="1"/>
        <v>Electronics, Electronics Accessories, Adapters, Memory Card Adapters</v>
      </c>
    </row>
    <row r="1446" hidden="1">
      <c r="A1446" s="29">
        <v>7182.0</v>
      </c>
      <c r="B1446" s="29" t="s">
        <v>1575</v>
      </c>
      <c r="C1446" s="29" t="s">
        <v>1734</v>
      </c>
      <c r="D1446" s="29" t="s">
        <v>1735</v>
      </c>
      <c r="E1446" s="29" t="s">
        <v>1738</v>
      </c>
      <c r="F1446" s="62"/>
      <c r="G1446" s="20" t="str">
        <f t="shared" si="1"/>
        <v>Electronics, Electronics Accessories, Adapters, USB Adapters</v>
      </c>
    </row>
    <row r="1447" hidden="1">
      <c r="A1447" s="29">
        <v>5476.0</v>
      </c>
      <c r="B1447" s="29" t="s">
        <v>1575</v>
      </c>
      <c r="C1447" s="29" t="s">
        <v>1734</v>
      </c>
      <c r="D1447" s="29" t="s">
        <v>1739</v>
      </c>
      <c r="E1447" s="62"/>
      <c r="F1447" s="62"/>
      <c r="G1447" s="20" t="str">
        <f t="shared" si="1"/>
        <v>Electronics, Electronics Accessories, Antenna Accessories, </v>
      </c>
    </row>
    <row r="1448" hidden="1">
      <c r="A1448" s="29">
        <v>5477.0</v>
      </c>
      <c r="B1448" s="29" t="s">
        <v>1575</v>
      </c>
      <c r="C1448" s="29" t="s">
        <v>1734</v>
      </c>
      <c r="D1448" s="29" t="s">
        <v>1739</v>
      </c>
      <c r="E1448" s="29" t="s">
        <v>1740</v>
      </c>
      <c r="F1448" s="62"/>
      <c r="G1448" s="20" t="str">
        <f t="shared" si="1"/>
        <v>Electronics, Electronics Accessories, Antenna Accessories, Antenna Mounts &amp; Brackets</v>
      </c>
    </row>
    <row r="1449" hidden="1">
      <c r="A1449" s="29">
        <v>5478.0</v>
      </c>
      <c r="B1449" s="29" t="s">
        <v>1575</v>
      </c>
      <c r="C1449" s="29" t="s">
        <v>1734</v>
      </c>
      <c r="D1449" s="29" t="s">
        <v>1739</v>
      </c>
      <c r="E1449" s="29" t="s">
        <v>1741</v>
      </c>
      <c r="F1449" s="62"/>
      <c r="G1449" s="20" t="str">
        <f t="shared" si="1"/>
        <v>Electronics, Electronics Accessories, Antenna Accessories, Antenna Rotators</v>
      </c>
    </row>
    <row r="1450" hidden="1">
      <c r="A1450" s="29">
        <v>6016.0</v>
      </c>
      <c r="B1450" s="29" t="s">
        <v>1575</v>
      </c>
      <c r="C1450" s="29" t="s">
        <v>1734</v>
      </c>
      <c r="D1450" s="29" t="s">
        <v>1739</v>
      </c>
      <c r="E1450" s="29" t="s">
        <v>1742</v>
      </c>
      <c r="F1450" s="62"/>
      <c r="G1450" s="20" t="str">
        <f t="shared" si="1"/>
        <v>Electronics, Electronics Accessories, Antenna Accessories, Satellite LNBs</v>
      </c>
    </row>
    <row r="1451" hidden="1">
      <c r="A1451" s="29">
        <v>1718.0</v>
      </c>
      <c r="B1451" s="29" t="s">
        <v>1575</v>
      </c>
      <c r="C1451" s="29" t="s">
        <v>1734</v>
      </c>
      <c r="D1451" s="29" t="s">
        <v>1743</v>
      </c>
      <c r="E1451" s="62"/>
      <c r="F1451" s="62"/>
      <c r="G1451" s="20" t="str">
        <f t="shared" si="1"/>
        <v>Electronics, Electronics Accessories, Antennas, </v>
      </c>
    </row>
    <row r="1452" hidden="1">
      <c r="A1452" s="29">
        <v>8156.0</v>
      </c>
      <c r="B1452" s="29" t="s">
        <v>1575</v>
      </c>
      <c r="C1452" s="29" t="s">
        <v>1734</v>
      </c>
      <c r="D1452" s="29" t="s">
        <v>1744</v>
      </c>
      <c r="F1452" s="62"/>
      <c r="G1452" s="20" t="str">
        <f t="shared" si="1"/>
        <v>Electronics, Electronics Accessories, Audio &amp; Video Splitters &amp; Switches, </v>
      </c>
    </row>
    <row r="1453" hidden="1">
      <c r="A1453" s="29">
        <v>499944.0</v>
      </c>
      <c r="B1453" s="29" t="s">
        <v>1575</v>
      </c>
      <c r="C1453" s="29" t="s">
        <v>1734</v>
      </c>
      <c r="D1453" s="29" t="s">
        <v>1744</v>
      </c>
      <c r="E1453" s="29" t="s">
        <v>1745</v>
      </c>
      <c r="F1453" s="62"/>
      <c r="G1453" s="20" t="str">
        <f t="shared" si="1"/>
        <v>Electronics, Electronics Accessories, Audio &amp; Video Splitters &amp; Switches, DVI Splitters &amp; Switches</v>
      </c>
    </row>
    <row r="1454" hidden="1">
      <c r="A1454" s="29">
        <v>8164.0</v>
      </c>
      <c r="B1454" s="29" t="s">
        <v>1575</v>
      </c>
      <c r="C1454" s="29" t="s">
        <v>1734</v>
      </c>
      <c r="D1454" s="29" t="s">
        <v>1744</v>
      </c>
      <c r="E1454" s="29" t="s">
        <v>1746</v>
      </c>
      <c r="F1454" s="62"/>
      <c r="G1454" s="20" t="str">
        <f t="shared" si="1"/>
        <v>Electronics, Electronics Accessories, Audio &amp; Video Splitters &amp; Switches, HDMI Splitters &amp; Switches</v>
      </c>
    </row>
    <row r="1455" hidden="1">
      <c r="A1455" s="29">
        <v>499945.0</v>
      </c>
      <c r="B1455" s="29" t="s">
        <v>1575</v>
      </c>
      <c r="C1455" s="29" t="s">
        <v>1734</v>
      </c>
      <c r="D1455" s="29" t="s">
        <v>1744</v>
      </c>
      <c r="E1455" s="29" t="s">
        <v>1747</v>
      </c>
      <c r="F1455" s="62"/>
      <c r="G1455" s="20" t="str">
        <f t="shared" si="1"/>
        <v>Electronics, Electronics Accessories, Audio &amp; Video Splitters &amp; Switches, VGA Splitters &amp; Switches</v>
      </c>
    </row>
    <row r="1456" hidden="1">
      <c r="A1456" s="29">
        <v>367.0</v>
      </c>
      <c r="B1456" s="29" t="s">
        <v>1575</v>
      </c>
      <c r="C1456" s="29" t="s">
        <v>1734</v>
      </c>
      <c r="D1456" s="29" t="s">
        <v>1748</v>
      </c>
      <c r="E1456" s="62"/>
      <c r="F1456" s="62"/>
      <c r="G1456" s="20" t="str">
        <f t="shared" si="1"/>
        <v>Electronics, Electronics Accessories, Blank Media, </v>
      </c>
    </row>
    <row r="1457" hidden="1">
      <c r="A1457" s="29">
        <v>3328.0</v>
      </c>
      <c r="B1457" s="29" t="s">
        <v>1575</v>
      </c>
      <c r="C1457" s="29" t="s">
        <v>1734</v>
      </c>
      <c r="D1457" s="29" t="s">
        <v>1749</v>
      </c>
      <c r="E1457" s="62"/>
      <c r="F1457" s="62"/>
      <c r="G1457" s="20" t="str">
        <f t="shared" si="1"/>
        <v>Electronics, Electronics Accessories, Cable Management, </v>
      </c>
    </row>
    <row r="1458" hidden="1">
      <c r="A1458" s="29">
        <v>3764.0</v>
      </c>
      <c r="B1458" s="29" t="s">
        <v>1575</v>
      </c>
      <c r="C1458" s="29" t="s">
        <v>1734</v>
      </c>
      <c r="D1458" s="29" t="s">
        <v>1749</v>
      </c>
      <c r="E1458" s="29" t="s">
        <v>1750</v>
      </c>
      <c r="F1458" s="62"/>
      <c r="G1458" s="20" t="str">
        <f t="shared" si="1"/>
        <v>Electronics, Electronics Accessories, Cable Management, Cable Clips</v>
      </c>
    </row>
    <row r="1459" hidden="1">
      <c r="A1459" s="29">
        <v>500036.0</v>
      </c>
      <c r="B1459" s="29" t="s">
        <v>1575</v>
      </c>
      <c r="C1459" s="29" t="s">
        <v>1734</v>
      </c>
      <c r="D1459" s="29" t="s">
        <v>1749</v>
      </c>
      <c r="E1459" s="29" t="s">
        <v>1751</v>
      </c>
      <c r="F1459" s="62"/>
      <c r="G1459" s="20" t="str">
        <f t="shared" si="1"/>
        <v>Electronics, Electronics Accessories, Cable Management, Cable Tie Guns</v>
      </c>
    </row>
    <row r="1460" hidden="1">
      <c r="A1460" s="29">
        <v>6402.0</v>
      </c>
      <c r="B1460" s="29" t="s">
        <v>1575</v>
      </c>
      <c r="C1460" s="29" t="s">
        <v>1734</v>
      </c>
      <c r="D1460" s="29" t="s">
        <v>1749</v>
      </c>
      <c r="E1460" s="29" t="s">
        <v>1752</v>
      </c>
      <c r="F1460" s="62"/>
      <c r="G1460" s="20" t="str">
        <f t="shared" si="1"/>
        <v>Electronics, Electronics Accessories, Cable Management, Cable Trays</v>
      </c>
    </row>
    <row r="1461" hidden="1">
      <c r="A1461" s="29">
        <v>5273.0</v>
      </c>
      <c r="B1461" s="29" t="s">
        <v>1575</v>
      </c>
      <c r="C1461" s="29" t="s">
        <v>1734</v>
      </c>
      <c r="D1461" s="29" t="s">
        <v>1749</v>
      </c>
      <c r="E1461" s="29" t="s">
        <v>1753</v>
      </c>
      <c r="F1461" s="62"/>
      <c r="G1461" s="20" t="str">
        <f t="shared" si="1"/>
        <v>Electronics, Electronics Accessories, Cable Management, Patch Panels</v>
      </c>
    </row>
    <row r="1462" hidden="1">
      <c r="A1462" s="29">
        <v>499686.0</v>
      </c>
      <c r="B1462" s="29" t="s">
        <v>1575</v>
      </c>
      <c r="C1462" s="29" t="s">
        <v>1734</v>
      </c>
      <c r="D1462" s="29" t="s">
        <v>1749</v>
      </c>
      <c r="E1462" s="29" t="s">
        <v>1754</v>
      </c>
      <c r="G1462" s="20" t="str">
        <f t="shared" si="1"/>
        <v>Electronics, Electronics Accessories, Cable Management, Wire &amp; Cable Identification Markers</v>
      </c>
    </row>
    <row r="1463" hidden="1">
      <c r="A1463" s="29">
        <v>6780.0</v>
      </c>
      <c r="B1463" s="29" t="s">
        <v>1575</v>
      </c>
      <c r="C1463" s="29" t="s">
        <v>1734</v>
      </c>
      <c r="D1463" s="29" t="s">
        <v>1749</v>
      </c>
      <c r="E1463" s="29" t="s">
        <v>1755</v>
      </c>
      <c r="F1463" s="62"/>
      <c r="G1463" s="20" t="str">
        <f t="shared" si="1"/>
        <v>Electronics, Electronics Accessories, Cable Management, Wire &amp; Cable Sleeves</v>
      </c>
    </row>
    <row r="1464" hidden="1">
      <c r="A1464" s="29">
        <v>4016.0</v>
      </c>
      <c r="B1464" s="29" t="s">
        <v>1575</v>
      </c>
      <c r="C1464" s="29" t="s">
        <v>1734</v>
      </c>
      <c r="D1464" s="29" t="s">
        <v>1749</v>
      </c>
      <c r="E1464" s="29" t="s">
        <v>1756</v>
      </c>
      <c r="F1464" s="62"/>
      <c r="G1464" s="20" t="str">
        <f t="shared" si="1"/>
        <v>Electronics, Electronics Accessories, Cable Management, Wire &amp; Cable Ties</v>
      </c>
    </row>
    <row r="1465" hidden="1">
      <c r="A1465" s="29">
        <v>259.0</v>
      </c>
      <c r="B1465" s="29" t="s">
        <v>1575</v>
      </c>
      <c r="C1465" s="29" t="s">
        <v>1734</v>
      </c>
      <c r="D1465" s="29" t="s">
        <v>1757</v>
      </c>
      <c r="E1465" s="62"/>
      <c r="F1465" s="62"/>
      <c r="G1465" s="20" t="str">
        <f t="shared" si="1"/>
        <v>Electronics, Electronics Accessories, Cables, </v>
      </c>
    </row>
    <row r="1466" hidden="1">
      <c r="A1466" s="29">
        <v>1867.0</v>
      </c>
      <c r="B1466" s="29" t="s">
        <v>1575</v>
      </c>
      <c r="C1466" s="29" t="s">
        <v>1734</v>
      </c>
      <c r="D1466" s="29" t="s">
        <v>1757</v>
      </c>
      <c r="E1466" s="29" t="s">
        <v>1758</v>
      </c>
      <c r="F1466" s="62"/>
      <c r="G1466" s="20" t="str">
        <f t="shared" si="1"/>
        <v>Electronics, Electronics Accessories, Cables, Audio &amp; Video Cables</v>
      </c>
    </row>
    <row r="1467" hidden="1">
      <c r="A1467" s="29">
        <v>3461.0</v>
      </c>
      <c r="B1467" s="29" t="s">
        <v>1575</v>
      </c>
      <c r="C1467" s="29" t="s">
        <v>1734</v>
      </c>
      <c r="D1467" s="29" t="s">
        <v>1757</v>
      </c>
      <c r="E1467" s="29" t="s">
        <v>1759</v>
      </c>
      <c r="F1467" s="62"/>
      <c r="G1467" s="20" t="str">
        <f t="shared" si="1"/>
        <v>Electronics, Electronics Accessories, Cables, KVM Cables</v>
      </c>
    </row>
    <row r="1468" hidden="1">
      <c r="A1468" s="29">
        <v>1480.0</v>
      </c>
      <c r="B1468" s="29" t="s">
        <v>1575</v>
      </c>
      <c r="C1468" s="29" t="s">
        <v>1734</v>
      </c>
      <c r="D1468" s="29" t="s">
        <v>1757</v>
      </c>
      <c r="E1468" s="29" t="s">
        <v>1760</v>
      </c>
      <c r="F1468" s="62"/>
      <c r="G1468" s="20" t="str">
        <f t="shared" si="1"/>
        <v>Electronics, Electronics Accessories, Cables, Network Cables</v>
      </c>
    </row>
    <row r="1469" hidden="1">
      <c r="A1469" s="29">
        <v>500035.0</v>
      </c>
      <c r="B1469" s="29" t="s">
        <v>1575</v>
      </c>
      <c r="C1469" s="29" t="s">
        <v>1734</v>
      </c>
      <c r="D1469" s="29" t="s">
        <v>1757</v>
      </c>
      <c r="E1469" s="29" t="s">
        <v>1761</v>
      </c>
      <c r="F1469" s="62"/>
      <c r="G1469" s="20" t="str">
        <f t="shared" si="1"/>
        <v>Electronics, Electronics Accessories, Cables, Storage &amp; Data Transfer Cables</v>
      </c>
    </row>
    <row r="1470" hidden="1">
      <c r="A1470" s="29">
        <v>1763.0</v>
      </c>
      <c r="B1470" s="29" t="s">
        <v>1575</v>
      </c>
      <c r="C1470" s="29" t="s">
        <v>1734</v>
      </c>
      <c r="D1470" s="29" t="s">
        <v>1757</v>
      </c>
      <c r="E1470" s="29" t="s">
        <v>1762</v>
      </c>
      <c r="F1470" s="62"/>
      <c r="G1470" s="20" t="str">
        <f t="shared" si="1"/>
        <v>Electronics, Electronics Accessories, Cables, System &amp; Power Cables</v>
      </c>
    </row>
    <row r="1471" hidden="1">
      <c r="A1471" s="29">
        <v>3541.0</v>
      </c>
      <c r="B1471" s="29" t="s">
        <v>1575</v>
      </c>
      <c r="C1471" s="29" t="s">
        <v>1734</v>
      </c>
      <c r="D1471" s="29" t="s">
        <v>1757</v>
      </c>
      <c r="E1471" s="29" t="s">
        <v>1763</v>
      </c>
      <c r="F1471" s="62"/>
      <c r="G1471" s="20" t="str">
        <f t="shared" si="1"/>
        <v>Electronics, Electronics Accessories, Cables, Telephone Cables</v>
      </c>
    </row>
    <row r="1472" hidden="1">
      <c r="A1472" s="29">
        <v>279.0</v>
      </c>
      <c r="B1472" s="29" t="s">
        <v>1575</v>
      </c>
      <c r="C1472" s="29" t="s">
        <v>1734</v>
      </c>
      <c r="D1472" s="29" t="s">
        <v>1764</v>
      </c>
      <c r="E1472" s="62"/>
      <c r="F1472" s="62"/>
      <c r="G1472" s="20" t="str">
        <f t="shared" si="1"/>
        <v>Electronics, Electronics Accessories, Computer Accessories, </v>
      </c>
    </row>
    <row r="1473" hidden="1">
      <c r="A1473" s="29">
        <v>500040.0</v>
      </c>
      <c r="B1473" s="29" t="s">
        <v>1575</v>
      </c>
      <c r="C1473" s="29" t="s">
        <v>1734</v>
      </c>
      <c r="D1473" s="29" t="s">
        <v>1764</v>
      </c>
      <c r="E1473" s="29" t="s">
        <v>1765</v>
      </c>
      <c r="F1473" s="62"/>
      <c r="G1473" s="20" t="str">
        <f t="shared" si="1"/>
        <v>Electronics, Electronics Accessories, Computer Accessories, Computer Accessory Sets</v>
      </c>
    </row>
    <row r="1474" hidden="1">
      <c r="A1474" s="29">
        <v>7530.0</v>
      </c>
      <c r="B1474" s="29" t="s">
        <v>1575</v>
      </c>
      <c r="C1474" s="29" t="s">
        <v>1734</v>
      </c>
      <c r="D1474" s="29" t="s">
        <v>1764</v>
      </c>
      <c r="E1474" s="29" t="s">
        <v>1766</v>
      </c>
      <c r="F1474" s="62"/>
      <c r="G1474" s="20" t="str">
        <f t="shared" si="1"/>
        <v>Electronics, Electronics Accessories, Computer Accessories, Computer Covers &amp; Skins</v>
      </c>
    </row>
    <row r="1475" hidden="1">
      <c r="A1475" s="29">
        <v>5489.0</v>
      </c>
      <c r="B1475" s="29" t="s">
        <v>1575</v>
      </c>
      <c r="C1475" s="29" t="s">
        <v>1734</v>
      </c>
      <c r="D1475" s="29" t="s">
        <v>1764</v>
      </c>
      <c r="E1475" s="29" t="s">
        <v>1767</v>
      </c>
      <c r="F1475" s="62"/>
      <c r="G1475" s="20" t="str">
        <f t="shared" si="1"/>
        <v>Electronics, Electronics Accessories, Computer Accessories, Computer Risers &amp; Stands</v>
      </c>
    </row>
    <row r="1476" hidden="1">
      <c r="A1476" s="29">
        <v>280.0</v>
      </c>
      <c r="B1476" s="29" t="s">
        <v>1575</v>
      </c>
      <c r="C1476" s="29" t="s">
        <v>1734</v>
      </c>
      <c r="D1476" s="29" t="s">
        <v>1764</v>
      </c>
      <c r="E1476" s="29" t="s">
        <v>1768</v>
      </c>
      <c r="F1476" s="62"/>
      <c r="G1476" s="20" t="str">
        <f t="shared" si="1"/>
        <v>Electronics, Electronics Accessories, Computer Accessories, Handheld Device Accessories</v>
      </c>
    </row>
    <row r="1477" hidden="1">
      <c r="A1477" s="29">
        <v>4736.0</v>
      </c>
      <c r="B1477" s="29" t="s">
        <v>1575</v>
      </c>
      <c r="C1477" s="29" t="s">
        <v>1734</v>
      </c>
      <c r="D1477" s="29" t="s">
        <v>1764</v>
      </c>
      <c r="E1477" s="29" t="s">
        <v>1768</v>
      </c>
      <c r="F1477" s="29" t="s">
        <v>1769</v>
      </c>
      <c r="G1477" s="20" t="str">
        <f t="shared" si="1"/>
        <v>Electronics, Electronics Accessories, Computer Accessories, Handheld Device AccessoriesE-Book Reader Accessories</v>
      </c>
    </row>
    <row r="1478" hidden="1">
      <c r="A1478" s="29">
        <v>4738.0</v>
      </c>
      <c r="B1478" s="29" t="s">
        <v>1575</v>
      </c>
      <c r="C1478" s="29" t="s">
        <v>1734</v>
      </c>
      <c r="D1478" s="29" t="s">
        <v>1764</v>
      </c>
      <c r="E1478" s="29" t="s">
        <v>1768</v>
      </c>
      <c r="F1478" s="29" t="s">
        <v>1769</v>
      </c>
      <c r="G1478" s="20" t="str">
        <f t="shared" si="1"/>
        <v>Electronics, Electronics Accessories, Computer Accessories, Handheld Device AccessoriesE-Book Reader Accessories</v>
      </c>
    </row>
    <row r="1479" hidden="1">
      <c r="A1479" s="29">
        <v>4737.0</v>
      </c>
      <c r="B1479" s="29" t="s">
        <v>1575</v>
      </c>
      <c r="C1479" s="29" t="s">
        <v>1734</v>
      </c>
      <c r="D1479" s="29" t="s">
        <v>1764</v>
      </c>
      <c r="E1479" s="29" t="s">
        <v>1768</v>
      </c>
      <c r="F1479" s="29" t="s">
        <v>1770</v>
      </c>
      <c r="G1479" s="20" t="str">
        <f t="shared" si="1"/>
        <v>Electronics, Electronics Accessories, Computer Accessories, Handheld Device AccessoriesPDA Accessories</v>
      </c>
    </row>
    <row r="1480" hidden="1">
      <c r="A1480" s="29">
        <v>4739.0</v>
      </c>
      <c r="B1480" s="29" t="s">
        <v>1575</v>
      </c>
      <c r="C1480" s="29" t="s">
        <v>1734</v>
      </c>
      <c r="D1480" s="29" t="s">
        <v>1764</v>
      </c>
      <c r="E1480" s="29" t="s">
        <v>1768</v>
      </c>
      <c r="F1480" s="29" t="s">
        <v>1770</v>
      </c>
      <c r="G1480" s="20" t="str">
        <f t="shared" si="1"/>
        <v>Electronics, Electronics Accessories, Computer Accessories, Handheld Device AccessoriesPDA Accessories</v>
      </c>
    </row>
    <row r="1481" hidden="1">
      <c r="A1481" s="29">
        <v>6291.0</v>
      </c>
      <c r="B1481" s="29" t="s">
        <v>1575</v>
      </c>
      <c r="C1481" s="29" t="s">
        <v>1734</v>
      </c>
      <c r="D1481" s="29" t="s">
        <v>1764</v>
      </c>
      <c r="E1481" s="29" t="s">
        <v>1771</v>
      </c>
      <c r="F1481" s="62"/>
      <c r="G1481" s="20" t="str">
        <f t="shared" si="1"/>
        <v>Electronics, Electronics Accessories, Computer Accessories, Keyboard &amp; Mouse Wrist Rests</v>
      </c>
    </row>
    <row r="1482" hidden="1">
      <c r="A1482" s="29">
        <v>6979.0</v>
      </c>
      <c r="B1482" s="29" t="s">
        <v>1575</v>
      </c>
      <c r="C1482" s="29" t="s">
        <v>1734</v>
      </c>
      <c r="D1482" s="29" t="s">
        <v>1764</v>
      </c>
      <c r="E1482" s="29" t="s">
        <v>1772</v>
      </c>
      <c r="F1482" s="62"/>
      <c r="G1482" s="20" t="str">
        <f t="shared" si="1"/>
        <v>Electronics, Electronics Accessories, Computer Accessories, Keyboard Trays &amp; Platforms</v>
      </c>
    </row>
    <row r="1483" hidden="1">
      <c r="A1483" s="29">
        <v>300.0</v>
      </c>
      <c r="B1483" s="29" t="s">
        <v>1575</v>
      </c>
      <c r="C1483" s="29" t="s">
        <v>1734</v>
      </c>
      <c r="D1483" s="29" t="s">
        <v>1764</v>
      </c>
      <c r="E1483" s="29" t="s">
        <v>1773</v>
      </c>
      <c r="F1483" s="62"/>
      <c r="G1483" s="20" t="str">
        <f t="shared" si="1"/>
        <v>Electronics, Electronics Accessories, Computer Accessories, Laptop Docking Stations</v>
      </c>
    </row>
    <row r="1484" hidden="1">
      <c r="A1484" s="29">
        <v>1993.0</v>
      </c>
      <c r="B1484" s="29" t="s">
        <v>1575</v>
      </c>
      <c r="C1484" s="29" t="s">
        <v>1734</v>
      </c>
      <c r="D1484" s="29" t="s">
        <v>1764</v>
      </c>
      <c r="E1484" s="29" t="s">
        <v>1774</v>
      </c>
      <c r="F1484" s="62"/>
      <c r="G1484" s="20" t="str">
        <f t="shared" si="1"/>
        <v>Electronics, Electronics Accessories, Computer Accessories, Mouse Pads</v>
      </c>
    </row>
    <row r="1485" hidden="1">
      <c r="A1485" s="29">
        <v>5669.0</v>
      </c>
      <c r="B1485" s="29" t="s">
        <v>1575</v>
      </c>
      <c r="C1485" s="29" t="s">
        <v>1734</v>
      </c>
      <c r="D1485" s="29" t="s">
        <v>1764</v>
      </c>
      <c r="E1485" s="29" t="s">
        <v>1775</v>
      </c>
      <c r="F1485" s="62"/>
      <c r="G1485" s="20" t="str">
        <f t="shared" si="1"/>
        <v>Electronics, Electronics Accessories, Computer Accessories, Stylus Pen Nibs &amp; Refills</v>
      </c>
    </row>
    <row r="1486" hidden="1">
      <c r="A1486" s="29">
        <v>5308.0</v>
      </c>
      <c r="B1486" s="29" t="s">
        <v>1575</v>
      </c>
      <c r="C1486" s="29" t="s">
        <v>1734</v>
      </c>
      <c r="D1486" s="29" t="s">
        <v>1764</v>
      </c>
      <c r="E1486" s="29" t="s">
        <v>1776</v>
      </c>
      <c r="F1486" s="62"/>
      <c r="G1486" s="20" t="str">
        <f t="shared" si="1"/>
        <v>Electronics, Electronics Accessories, Computer Accessories, Stylus Pens</v>
      </c>
    </row>
    <row r="1487" hidden="1">
      <c r="A1487" s="29">
        <v>499956.0</v>
      </c>
      <c r="B1487" s="29" t="s">
        <v>1575</v>
      </c>
      <c r="C1487" s="29" t="s">
        <v>1734</v>
      </c>
      <c r="D1487" s="29" t="s">
        <v>1764</v>
      </c>
      <c r="E1487" s="29" t="s">
        <v>1777</v>
      </c>
      <c r="F1487" s="62"/>
      <c r="G1487" s="20" t="str">
        <f t="shared" si="1"/>
        <v>Electronics, Electronics Accessories, Computer Accessories, Tablet Computer Docks &amp; Stands</v>
      </c>
    </row>
    <row r="1488" hidden="1">
      <c r="A1488" s="29">
        <v>285.0</v>
      </c>
      <c r="B1488" s="29" t="s">
        <v>1575</v>
      </c>
      <c r="C1488" s="29" t="s">
        <v>1734</v>
      </c>
      <c r="D1488" s="29" t="s">
        <v>1778</v>
      </c>
      <c r="E1488" s="62"/>
      <c r="F1488" s="62"/>
      <c r="G1488" s="20" t="str">
        <f t="shared" si="1"/>
        <v>Electronics, Electronics Accessories, Computer Components, </v>
      </c>
    </row>
    <row r="1489" hidden="1">
      <c r="A1489" s="29">
        <v>6932.0</v>
      </c>
      <c r="B1489" s="29" t="s">
        <v>1575</v>
      </c>
      <c r="C1489" s="29" t="s">
        <v>1734</v>
      </c>
      <c r="D1489" s="29" t="s">
        <v>1778</v>
      </c>
      <c r="E1489" s="29" t="s">
        <v>1779</v>
      </c>
      <c r="F1489" s="62"/>
      <c r="G1489" s="20" t="str">
        <f t="shared" si="1"/>
        <v>Electronics, Electronics Accessories, Computer Components, Blade Server Enclosures</v>
      </c>
    </row>
    <row r="1490" hidden="1">
      <c r="A1490" s="29">
        <v>8158.0</v>
      </c>
      <c r="B1490" s="29" t="s">
        <v>1575</v>
      </c>
      <c r="C1490" s="29" t="s">
        <v>1734</v>
      </c>
      <c r="D1490" s="29" t="s">
        <v>1778</v>
      </c>
      <c r="E1490" s="29" t="s">
        <v>1780</v>
      </c>
      <c r="G1490" s="20" t="str">
        <f t="shared" si="1"/>
        <v>Electronics, Electronics Accessories, Computer Components, Computer Backplates &amp; I/O Shields</v>
      </c>
    </row>
    <row r="1491" hidden="1">
      <c r="A1491" s="29">
        <v>291.0</v>
      </c>
      <c r="B1491" s="29" t="s">
        <v>1575</v>
      </c>
      <c r="C1491" s="29" t="s">
        <v>1734</v>
      </c>
      <c r="D1491" s="29" t="s">
        <v>1778</v>
      </c>
      <c r="E1491" s="29" t="s">
        <v>1781</v>
      </c>
      <c r="F1491" s="62"/>
      <c r="G1491" s="20" t="str">
        <f t="shared" si="1"/>
        <v>Electronics, Electronics Accessories, Computer Components, Computer Power Supplies</v>
      </c>
    </row>
    <row r="1492" hidden="1">
      <c r="A1492" s="29">
        <v>292.0</v>
      </c>
      <c r="B1492" s="29" t="s">
        <v>1575</v>
      </c>
      <c r="C1492" s="29" t="s">
        <v>1734</v>
      </c>
      <c r="D1492" s="29" t="s">
        <v>1778</v>
      </c>
      <c r="E1492" s="29" t="s">
        <v>1782</v>
      </c>
      <c r="F1492" s="62"/>
      <c r="G1492" s="20" t="str">
        <f t="shared" si="1"/>
        <v>Electronics, Electronics Accessories, Computer Components, Computer Processors</v>
      </c>
    </row>
    <row r="1493" hidden="1">
      <c r="A1493" s="29">
        <v>293.0</v>
      </c>
      <c r="B1493" s="29" t="s">
        <v>1575</v>
      </c>
      <c r="C1493" s="29" t="s">
        <v>1734</v>
      </c>
      <c r="D1493" s="29" t="s">
        <v>1778</v>
      </c>
      <c r="E1493" s="29" t="s">
        <v>1783</v>
      </c>
      <c r="F1493" s="62"/>
      <c r="G1493" s="20" t="str">
        <f t="shared" si="1"/>
        <v>Electronics, Electronics Accessories, Computer Components, Computer Racks &amp; Mounts</v>
      </c>
    </row>
    <row r="1494" hidden="1">
      <c r="A1494" s="29">
        <v>294.0</v>
      </c>
      <c r="B1494" s="29" t="s">
        <v>1575</v>
      </c>
      <c r="C1494" s="29" t="s">
        <v>1734</v>
      </c>
      <c r="D1494" s="29" t="s">
        <v>1778</v>
      </c>
      <c r="E1494" s="29" t="s">
        <v>1784</v>
      </c>
      <c r="F1494" s="62"/>
      <c r="G1494" s="20" t="str">
        <f t="shared" si="1"/>
        <v>Electronics, Electronics Accessories, Computer Components, Computer Starter Kits</v>
      </c>
    </row>
    <row r="1495" hidden="1">
      <c r="A1495" s="29">
        <v>295.0</v>
      </c>
      <c r="B1495" s="29" t="s">
        <v>1575</v>
      </c>
      <c r="C1495" s="29" t="s">
        <v>1734</v>
      </c>
      <c r="D1495" s="29" t="s">
        <v>1778</v>
      </c>
      <c r="E1495" s="29" t="s">
        <v>1785</v>
      </c>
      <c r="F1495" s="62"/>
      <c r="G1495" s="20" t="str">
        <f t="shared" si="1"/>
        <v>Electronics, Electronics Accessories, Computer Components, Computer System Cooling Parts</v>
      </c>
    </row>
    <row r="1496" hidden="1">
      <c r="A1496" s="29">
        <v>296.0</v>
      </c>
      <c r="B1496" s="29" t="s">
        <v>1575</v>
      </c>
      <c r="C1496" s="29" t="s">
        <v>1734</v>
      </c>
      <c r="D1496" s="29" t="s">
        <v>1778</v>
      </c>
      <c r="E1496" s="29" t="s">
        <v>1786</v>
      </c>
      <c r="G1496" s="20" t="str">
        <f t="shared" si="1"/>
        <v>Electronics, Electronics Accessories, Computer Components, Desktop Computer &amp; Server Cases</v>
      </c>
    </row>
    <row r="1497" hidden="1">
      <c r="A1497" s="29">
        <v>8162.0</v>
      </c>
      <c r="B1497" s="29" t="s">
        <v>1575</v>
      </c>
      <c r="C1497" s="29" t="s">
        <v>1734</v>
      </c>
      <c r="D1497" s="29" t="s">
        <v>1778</v>
      </c>
      <c r="E1497" s="29" t="s">
        <v>1787</v>
      </c>
      <c r="F1497" s="62"/>
      <c r="G1497" s="20" t="str">
        <f t="shared" si="1"/>
        <v>Electronics, Electronics Accessories, Computer Components, E-Book Reader Parts</v>
      </c>
    </row>
    <row r="1498" hidden="1">
      <c r="A1498" s="29">
        <v>8163.0</v>
      </c>
      <c r="B1498" s="29" t="s">
        <v>1575</v>
      </c>
      <c r="C1498" s="29" t="s">
        <v>1734</v>
      </c>
      <c r="D1498" s="29" t="s">
        <v>1778</v>
      </c>
      <c r="E1498" s="29" t="s">
        <v>1787</v>
      </c>
      <c r="F1498" s="29" t="s">
        <v>1788</v>
      </c>
      <c r="G1498" s="20" t="str">
        <f t="shared" si="1"/>
        <v>Electronics, Electronics Accessories, Computer Components, E-Book Reader PartsE-Book Reader Screens &amp; Screen Digitizers</v>
      </c>
    </row>
    <row r="1499" hidden="1">
      <c r="A1499" s="29">
        <v>287.0</v>
      </c>
      <c r="B1499" s="29" t="s">
        <v>1575</v>
      </c>
      <c r="C1499" s="29" t="s">
        <v>1734</v>
      </c>
      <c r="D1499" s="29" t="s">
        <v>1778</v>
      </c>
      <c r="E1499" s="29" t="s">
        <v>1789</v>
      </c>
      <c r="F1499" s="62"/>
      <c r="G1499" s="20" t="str">
        <f t="shared" si="1"/>
        <v>Electronics, Electronics Accessories, Computer Components, I/O Cards &amp; Adapters</v>
      </c>
    </row>
    <row r="1500" hidden="1">
      <c r="A1500" s="29">
        <v>286.0</v>
      </c>
      <c r="B1500" s="29" t="s">
        <v>1575</v>
      </c>
      <c r="C1500" s="29" t="s">
        <v>1734</v>
      </c>
      <c r="D1500" s="29" t="s">
        <v>1778</v>
      </c>
      <c r="E1500" s="29" t="s">
        <v>1789</v>
      </c>
      <c r="F1500" s="29" t="s">
        <v>1790</v>
      </c>
      <c r="G1500" s="20" t="str">
        <f t="shared" si="1"/>
        <v>Electronics, Electronics Accessories, Computer Components, I/O Cards &amp; AdaptersAudio Cards &amp; Adapters</v>
      </c>
    </row>
    <row r="1501" hidden="1">
      <c r="A1501" s="29">
        <v>505299.0</v>
      </c>
      <c r="B1501" s="29" t="s">
        <v>1575</v>
      </c>
      <c r="C1501" s="29" t="s">
        <v>1734</v>
      </c>
      <c r="D1501" s="29" t="s">
        <v>1778</v>
      </c>
      <c r="E1501" s="29" t="s">
        <v>1789</v>
      </c>
      <c r="F1501" s="29" t="s">
        <v>1791</v>
      </c>
      <c r="G1501" s="20" t="str">
        <f t="shared" si="1"/>
        <v>Electronics, Electronics Accessories, Computer Components, I/O Cards &amp; AdaptersComputer Interface Cards &amp; Adapters</v>
      </c>
    </row>
    <row r="1502" hidden="1">
      <c r="A1502" s="29">
        <v>503755.0</v>
      </c>
      <c r="B1502" s="29" t="s">
        <v>1575</v>
      </c>
      <c r="C1502" s="29" t="s">
        <v>1734</v>
      </c>
      <c r="D1502" s="29" t="s">
        <v>1778</v>
      </c>
      <c r="E1502" s="29" t="s">
        <v>1789</v>
      </c>
      <c r="F1502" s="29" t="s">
        <v>1792</v>
      </c>
      <c r="G1502" s="20" t="str">
        <f t="shared" si="1"/>
        <v>Electronics, Electronics Accessories, Computer Components, I/O Cards &amp; AdaptersRiser Cards</v>
      </c>
    </row>
    <row r="1503" hidden="1">
      <c r="A1503" s="29">
        <v>1487.0</v>
      </c>
      <c r="B1503" s="29" t="s">
        <v>1575</v>
      </c>
      <c r="C1503" s="29" t="s">
        <v>1734</v>
      </c>
      <c r="D1503" s="29" t="s">
        <v>1778</v>
      </c>
      <c r="E1503" s="29" t="s">
        <v>1789</v>
      </c>
      <c r="F1503" s="29" t="s">
        <v>1793</v>
      </c>
      <c r="G1503" s="20" t="str">
        <f t="shared" si="1"/>
        <v>Electronics, Electronics Accessories, Computer Components, I/O Cards &amp; AdaptersTV Tuner Cards &amp; Adapters</v>
      </c>
    </row>
    <row r="1504" hidden="1">
      <c r="A1504" s="29">
        <v>297.0</v>
      </c>
      <c r="B1504" s="29" t="s">
        <v>1575</v>
      </c>
      <c r="C1504" s="29" t="s">
        <v>1734</v>
      </c>
      <c r="D1504" s="29" t="s">
        <v>1778</v>
      </c>
      <c r="E1504" s="29" t="s">
        <v>1789</v>
      </c>
      <c r="F1504" s="29" t="s">
        <v>1794</v>
      </c>
      <c r="G1504" s="20" t="str">
        <f t="shared" si="1"/>
        <v>Electronics, Electronics Accessories, Computer Components, I/O Cards &amp; AdaptersVideo Cards &amp; Adapters</v>
      </c>
    </row>
    <row r="1505" hidden="1">
      <c r="A1505" s="29">
        <v>6475.0</v>
      </c>
      <c r="B1505" s="29" t="s">
        <v>1575</v>
      </c>
      <c r="C1505" s="29" t="s">
        <v>1734</v>
      </c>
      <c r="D1505" s="29" t="s">
        <v>1778</v>
      </c>
      <c r="E1505" s="29" t="s">
        <v>1795</v>
      </c>
      <c r="F1505" s="62"/>
      <c r="G1505" s="20" t="str">
        <f t="shared" si="1"/>
        <v>Electronics, Electronics Accessories, Computer Components, Input Device Accessories</v>
      </c>
    </row>
    <row r="1506" hidden="1">
      <c r="A1506" s="29">
        <v>6476.0</v>
      </c>
      <c r="B1506" s="29" t="s">
        <v>1575</v>
      </c>
      <c r="C1506" s="29" t="s">
        <v>1734</v>
      </c>
      <c r="D1506" s="29" t="s">
        <v>1778</v>
      </c>
      <c r="E1506" s="29" t="s">
        <v>1795</v>
      </c>
      <c r="F1506" s="29" t="s">
        <v>1796</v>
      </c>
      <c r="G1506" s="20" t="str">
        <f t="shared" si="1"/>
        <v>Electronics, Electronics Accessories, Computer Components, Input Device AccessoriesBarcode Scanner Stands</v>
      </c>
    </row>
    <row r="1507" hidden="1">
      <c r="A1507" s="29">
        <v>8008.0</v>
      </c>
      <c r="B1507" s="29" t="s">
        <v>1575</v>
      </c>
      <c r="C1507" s="29" t="s">
        <v>1734</v>
      </c>
      <c r="D1507" s="29" t="s">
        <v>1778</v>
      </c>
      <c r="E1507" s="29" t="s">
        <v>1795</v>
      </c>
      <c r="F1507" s="29" t="s">
        <v>1797</v>
      </c>
      <c r="G1507" s="20" t="str">
        <f t="shared" si="1"/>
        <v>Electronics, Electronics Accessories, Computer Components, Input Device AccessoriesGame Controller Accessories</v>
      </c>
    </row>
    <row r="1508" hidden="1">
      <c r="A1508" s="29">
        <v>503003.0</v>
      </c>
      <c r="B1508" s="29" t="s">
        <v>1575</v>
      </c>
      <c r="C1508" s="29" t="s">
        <v>1734</v>
      </c>
      <c r="D1508" s="29" t="s">
        <v>1778</v>
      </c>
      <c r="E1508" s="29" t="s">
        <v>1795</v>
      </c>
      <c r="F1508" s="29" t="s">
        <v>1798</v>
      </c>
      <c r="G1508" s="20" t="str">
        <f t="shared" si="1"/>
        <v>Electronics, Electronics Accessories, Computer Components, Input Device AccessoriesKeyboard Keys &amp; Caps</v>
      </c>
    </row>
    <row r="1509" hidden="1">
      <c r="A1509" s="29">
        <v>500052.0</v>
      </c>
      <c r="B1509" s="29" t="s">
        <v>1575</v>
      </c>
      <c r="C1509" s="29" t="s">
        <v>1734</v>
      </c>
      <c r="D1509" s="29" t="s">
        <v>1778</v>
      </c>
      <c r="E1509" s="29" t="s">
        <v>1795</v>
      </c>
      <c r="F1509" s="29" t="s">
        <v>1799</v>
      </c>
      <c r="G1509" s="20" t="str">
        <f t="shared" si="1"/>
        <v>Electronics, Electronics Accessories, Computer Components, Input Device AccessoriesMice &amp; Trackball Accessories</v>
      </c>
    </row>
    <row r="1510" hidden="1">
      <c r="A1510" s="29">
        <v>1928.0</v>
      </c>
      <c r="B1510" s="29" t="s">
        <v>1575</v>
      </c>
      <c r="C1510" s="29" t="s">
        <v>1734</v>
      </c>
      <c r="D1510" s="29" t="s">
        <v>1778</v>
      </c>
      <c r="E1510" s="29" t="s">
        <v>1800</v>
      </c>
      <c r="F1510" s="62"/>
      <c r="G1510" s="20" t="str">
        <f t="shared" si="1"/>
        <v>Electronics, Electronics Accessories, Computer Components, Input Devices</v>
      </c>
    </row>
    <row r="1511" hidden="1">
      <c r="A1511" s="29">
        <v>139.0</v>
      </c>
      <c r="B1511" s="29" t="s">
        <v>1575</v>
      </c>
      <c r="C1511" s="29" t="s">
        <v>1734</v>
      </c>
      <c r="D1511" s="29" t="s">
        <v>1778</v>
      </c>
      <c r="E1511" s="29" t="s">
        <v>1800</v>
      </c>
      <c r="F1511" s="29" t="s">
        <v>1801</v>
      </c>
      <c r="G1511" s="20" t="str">
        <f t="shared" si="1"/>
        <v>Electronics, Electronics Accessories, Computer Components, Input DevicesBarcode Scanners</v>
      </c>
    </row>
    <row r="1512" hidden="1">
      <c r="A1512" s="29">
        <v>5309.0</v>
      </c>
      <c r="B1512" s="29" t="s">
        <v>1575</v>
      </c>
      <c r="C1512" s="29" t="s">
        <v>1734</v>
      </c>
      <c r="D1512" s="29" t="s">
        <v>1778</v>
      </c>
      <c r="E1512" s="29" t="s">
        <v>1800</v>
      </c>
      <c r="F1512" s="29" t="s">
        <v>1802</v>
      </c>
      <c r="G1512" s="20" t="str">
        <f t="shared" si="1"/>
        <v>Electronics, Electronics Accessories, Computer Components, Input DevicesDigital Note Taking Pens</v>
      </c>
    </row>
    <row r="1513" hidden="1">
      <c r="A1513" s="29">
        <v>505801.0</v>
      </c>
      <c r="B1513" s="29" t="s">
        <v>1575</v>
      </c>
      <c r="C1513" s="29" t="s">
        <v>1734</v>
      </c>
      <c r="D1513" s="29" t="s">
        <v>1778</v>
      </c>
      <c r="E1513" s="29" t="s">
        <v>1800</v>
      </c>
      <c r="F1513" s="29" t="s">
        <v>1803</v>
      </c>
      <c r="G1513" s="20" t="str">
        <f t="shared" si="1"/>
        <v>Electronics, Electronics Accessories, Computer Components, Input DevicesElectronic Card Readers</v>
      </c>
    </row>
    <row r="1514" hidden="1">
      <c r="A1514" s="29">
        <v>5366.0</v>
      </c>
      <c r="B1514" s="29" t="s">
        <v>1575</v>
      </c>
      <c r="C1514" s="29" t="s">
        <v>1734</v>
      </c>
      <c r="D1514" s="29" t="s">
        <v>1778</v>
      </c>
      <c r="E1514" s="29" t="s">
        <v>1800</v>
      </c>
      <c r="F1514" s="29" t="s">
        <v>1804</v>
      </c>
      <c r="G1514" s="20" t="str">
        <f t="shared" si="1"/>
        <v>Electronics, Electronics Accessories, Computer Components, Input DevicesFingerprint Readers</v>
      </c>
    </row>
    <row r="1515" hidden="1">
      <c r="A1515" s="29">
        <v>301.0</v>
      </c>
      <c r="B1515" s="29" t="s">
        <v>1575</v>
      </c>
      <c r="C1515" s="29" t="s">
        <v>1734</v>
      </c>
      <c r="D1515" s="29" t="s">
        <v>1778</v>
      </c>
      <c r="E1515" s="29" t="s">
        <v>1800</v>
      </c>
      <c r="F1515" s="29" t="s">
        <v>1805</v>
      </c>
      <c r="G1515" s="20" t="str">
        <f t="shared" si="1"/>
        <v>Electronics, Electronics Accessories, Computer Components, Input DevicesGame Controllers</v>
      </c>
    </row>
    <row r="1516" hidden="1">
      <c r="A1516" s="29">
        <v>543591.0</v>
      </c>
      <c r="B1516" s="29" t="s">
        <v>1575</v>
      </c>
      <c r="C1516" s="29" t="s">
        <v>1734</v>
      </c>
      <c r="D1516" s="29" t="s">
        <v>1778</v>
      </c>
      <c r="E1516" s="29" t="s">
        <v>1800</v>
      </c>
      <c r="F1516" s="29" t="s">
        <v>1805</v>
      </c>
      <c r="G1516" s="20" t="str">
        <f t="shared" si="1"/>
        <v>Electronics, Electronics Accessories, Computer Components, Input DevicesGame Controllers</v>
      </c>
    </row>
    <row r="1517" hidden="1">
      <c r="A1517" s="29">
        <v>543590.0</v>
      </c>
      <c r="B1517" s="29" t="s">
        <v>1575</v>
      </c>
      <c r="C1517" s="29" t="s">
        <v>1734</v>
      </c>
      <c r="D1517" s="29" t="s">
        <v>1778</v>
      </c>
      <c r="E1517" s="29" t="s">
        <v>1800</v>
      </c>
      <c r="F1517" s="29" t="s">
        <v>1805</v>
      </c>
      <c r="G1517" s="20" t="str">
        <f t="shared" si="1"/>
        <v>Electronics, Electronics Accessories, Computer Components, Input DevicesGame Controllers</v>
      </c>
    </row>
    <row r="1518" hidden="1">
      <c r="A1518" s="29">
        <v>543589.0</v>
      </c>
      <c r="B1518" s="29" t="s">
        <v>1575</v>
      </c>
      <c r="C1518" s="29" t="s">
        <v>1734</v>
      </c>
      <c r="D1518" s="29" t="s">
        <v>1778</v>
      </c>
      <c r="E1518" s="29" t="s">
        <v>1800</v>
      </c>
      <c r="F1518" s="29" t="s">
        <v>1805</v>
      </c>
      <c r="G1518" s="20" t="str">
        <f t="shared" si="1"/>
        <v>Electronics, Electronics Accessories, Computer Components, Input DevicesGame Controllers</v>
      </c>
    </row>
    <row r="1519" hidden="1">
      <c r="A1519" s="29">
        <v>543588.0</v>
      </c>
      <c r="B1519" s="29" t="s">
        <v>1575</v>
      </c>
      <c r="C1519" s="29" t="s">
        <v>1734</v>
      </c>
      <c r="D1519" s="29" t="s">
        <v>1778</v>
      </c>
      <c r="E1519" s="29" t="s">
        <v>1800</v>
      </c>
      <c r="F1519" s="29" t="s">
        <v>1805</v>
      </c>
      <c r="G1519" s="20" t="str">
        <f t="shared" si="1"/>
        <v>Electronics, Electronics Accessories, Computer Components, Input DevicesGame Controllers</v>
      </c>
    </row>
    <row r="1520" hidden="1">
      <c r="A1520" s="29">
        <v>543593.0</v>
      </c>
      <c r="B1520" s="29" t="s">
        <v>1575</v>
      </c>
      <c r="C1520" s="29" t="s">
        <v>1734</v>
      </c>
      <c r="D1520" s="29" t="s">
        <v>1778</v>
      </c>
      <c r="E1520" s="29" t="s">
        <v>1800</v>
      </c>
      <c r="F1520" s="29" t="s">
        <v>1805</v>
      </c>
      <c r="G1520" s="20" t="str">
        <f t="shared" si="1"/>
        <v>Electronics, Electronics Accessories, Computer Components, Input DevicesGame Controllers</v>
      </c>
    </row>
    <row r="1521" hidden="1">
      <c r="A1521" s="29">
        <v>499950.0</v>
      </c>
      <c r="B1521" s="29" t="s">
        <v>1575</v>
      </c>
      <c r="C1521" s="29" t="s">
        <v>1734</v>
      </c>
      <c r="D1521" s="29" t="s">
        <v>1778</v>
      </c>
      <c r="E1521" s="29" t="s">
        <v>1800</v>
      </c>
      <c r="F1521" s="29" t="s">
        <v>1806</v>
      </c>
      <c r="G1521" s="20" t="str">
        <f t="shared" si="1"/>
        <v>Electronics, Electronics Accessories, Computer Components, Input DevicesGesture Control Input Devices</v>
      </c>
    </row>
    <row r="1522" hidden="1">
      <c r="A1522" s="29">
        <v>302.0</v>
      </c>
      <c r="B1522" s="29" t="s">
        <v>1575</v>
      </c>
      <c r="C1522" s="29" t="s">
        <v>1734</v>
      </c>
      <c r="D1522" s="29" t="s">
        <v>1778</v>
      </c>
      <c r="E1522" s="29" t="s">
        <v>1800</v>
      </c>
      <c r="F1522" s="29" t="s">
        <v>1807</v>
      </c>
      <c r="G1522" s="20" t="str">
        <f t="shared" si="1"/>
        <v>Electronics, Electronics Accessories, Computer Components, Input DevicesGraphics Tablets</v>
      </c>
    </row>
    <row r="1523" hidden="1">
      <c r="A1523" s="29">
        <v>1562.0</v>
      </c>
      <c r="B1523" s="29" t="s">
        <v>1575</v>
      </c>
      <c r="C1523" s="29" t="s">
        <v>1734</v>
      </c>
      <c r="D1523" s="29" t="s">
        <v>1778</v>
      </c>
      <c r="E1523" s="29" t="s">
        <v>1800</v>
      </c>
      <c r="F1523" s="29" t="s">
        <v>1808</v>
      </c>
      <c r="G1523" s="20" t="str">
        <f t="shared" si="1"/>
        <v>Electronics, Electronics Accessories, Computer Components, Input DevicesKVM Switches</v>
      </c>
    </row>
    <row r="1524" hidden="1">
      <c r="A1524" s="29">
        <v>303.0</v>
      </c>
      <c r="B1524" s="29" t="s">
        <v>1575</v>
      </c>
      <c r="C1524" s="29" t="s">
        <v>1734</v>
      </c>
      <c r="D1524" s="29" t="s">
        <v>1778</v>
      </c>
      <c r="E1524" s="29" t="s">
        <v>1800</v>
      </c>
      <c r="F1524" s="29" t="s">
        <v>1809</v>
      </c>
      <c r="G1524" s="20" t="str">
        <f t="shared" si="1"/>
        <v>Electronics, Electronics Accessories, Computer Components, Input DevicesKeyboards</v>
      </c>
    </row>
    <row r="1525" hidden="1">
      <c r="A1525" s="29">
        <v>3580.0</v>
      </c>
      <c r="B1525" s="29" t="s">
        <v>1575</v>
      </c>
      <c r="C1525" s="29" t="s">
        <v>1734</v>
      </c>
      <c r="D1525" s="29" t="s">
        <v>1778</v>
      </c>
      <c r="E1525" s="29" t="s">
        <v>1800</v>
      </c>
      <c r="F1525" s="29" t="s">
        <v>1810</v>
      </c>
      <c r="G1525" s="20" t="str">
        <f t="shared" si="1"/>
        <v>Electronics, Electronics Accessories, Computer Components, Input DevicesMemory Card Readers</v>
      </c>
    </row>
    <row r="1526" hidden="1">
      <c r="A1526" s="29">
        <v>304.0</v>
      </c>
      <c r="B1526" s="29" t="s">
        <v>1575</v>
      </c>
      <c r="C1526" s="29" t="s">
        <v>1734</v>
      </c>
      <c r="D1526" s="29" t="s">
        <v>1778</v>
      </c>
      <c r="E1526" s="29" t="s">
        <v>1800</v>
      </c>
      <c r="F1526" s="29" t="s">
        <v>1811</v>
      </c>
      <c r="G1526" s="20" t="str">
        <f t="shared" si="1"/>
        <v>Electronics, Electronics Accessories, Computer Components, Input DevicesMice &amp; Trackballs</v>
      </c>
    </row>
    <row r="1527" hidden="1">
      <c r="A1527" s="29">
        <v>4512.0</v>
      </c>
      <c r="B1527" s="29" t="s">
        <v>1575</v>
      </c>
      <c r="C1527" s="29" t="s">
        <v>1734</v>
      </c>
      <c r="D1527" s="29" t="s">
        <v>1778</v>
      </c>
      <c r="E1527" s="29" t="s">
        <v>1800</v>
      </c>
      <c r="F1527" s="29" t="s">
        <v>1812</v>
      </c>
      <c r="G1527" s="20" t="str">
        <f t="shared" si="1"/>
        <v>Electronics, Electronics Accessories, Computer Components, Input DevicesNumeric Keypads</v>
      </c>
    </row>
    <row r="1528" hidden="1">
      <c r="A1528" s="29">
        <v>308.0</v>
      </c>
      <c r="B1528" s="29" t="s">
        <v>1575</v>
      </c>
      <c r="C1528" s="29" t="s">
        <v>1734</v>
      </c>
      <c r="D1528" s="29" t="s">
        <v>1778</v>
      </c>
      <c r="E1528" s="29" t="s">
        <v>1800</v>
      </c>
      <c r="F1528" s="29" t="s">
        <v>1813</v>
      </c>
      <c r="G1528" s="20" t="str">
        <f t="shared" si="1"/>
        <v>Electronics, Electronics Accessories, Computer Components, Input DevicesTouchpads</v>
      </c>
    </row>
    <row r="1529" hidden="1">
      <c r="A1529" s="29">
        <v>4224.0</v>
      </c>
      <c r="B1529" s="29" t="s">
        <v>1575</v>
      </c>
      <c r="C1529" s="29" t="s">
        <v>1734</v>
      </c>
      <c r="D1529" s="29" t="s">
        <v>1778</v>
      </c>
      <c r="E1529" s="29" t="s">
        <v>1814</v>
      </c>
      <c r="F1529" s="62"/>
      <c r="G1529" s="20" t="str">
        <f t="shared" si="1"/>
        <v>Electronics, Electronics Accessories, Computer Components, Laptop Parts</v>
      </c>
    </row>
    <row r="1530" hidden="1">
      <c r="A1530" s="29">
        <v>6416.0</v>
      </c>
      <c r="B1530" s="29" t="s">
        <v>1575</v>
      </c>
      <c r="C1530" s="29" t="s">
        <v>1734</v>
      </c>
      <c r="D1530" s="29" t="s">
        <v>1778</v>
      </c>
      <c r="E1530" s="29" t="s">
        <v>1814</v>
      </c>
      <c r="F1530" s="29" t="s">
        <v>1815</v>
      </c>
      <c r="G1530" s="20" t="str">
        <f t="shared" si="1"/>
        <v>Electronics, Electronics Accessories, Computer Components, Laptop PartsLaptop Hinges</v>
      </c>
    </row>
    <row r="1531" hidden="1">
      <c r="A1531" s="29">
        <v>4270.0</v>
      </c>
      <c r="B1531" s="29" t="s">
        <v>1575</v>
      </c>
      <c r="C1531" s="29" t="s">
        <v>1734</v>
      </c>
      <c r="D1531" s="29" t="s">
        <v>1778</v>
      </c>
      <c r="E1531" s="29" t="s">
        <v>1814</v>
      </c>
      <c r="F1531" s="29" t="s">
        <v>1816</v>
      </c>
      <c r="G1531" s="20" t="str">
        <f t="shared" si="1"/>
        <v>Electronics, Electronics Accessories, Computer Components, Laptop PartsLaptop Housings &amp; Trim</v>
      </c>
    </row>
    <row r="1532" hidden="1">
      <c r="A1532" s="29">
        <v>7501.0</v>
      </c>
      <c r="B1532" s="29" t="s">
        <v>1575</v>
      </c>
      <c r="C1532" s="29" t="s">
        <v>1734</v>
      </c>
      <c r="D1532" s="29" t="s">
        <v>1778</v>
      </c>
      <c r="E1532" s="29" t="s">
        <v>1814</v>
      </c>
      <c r="F1532" s="29" t="s">
        <v>1817</v>
      </c>
      <c r="G1532" s="20" t="str">
        <f t="shared" si="1"/>
        <v>Electronics, Electronics Accessories, Computer Components, Laptop PartsLaptop Replacement Cables</v>
      </c>
    </row>
    <row r="1533" hidden="1">
      <c r="A1533" s="29">
        <v>4301.0</v>
      </c>
      <c r="B1533" s="29" t="s">
        <v>1575</v>
      </c>
      <c r="C1533" s="29" t="s">
        <v>1734</v>
      </c>
      <c r="D1533" s="29" t="s">
        <v>1778</v>
      </c>
      <c r="E1533" s="29" t="s">
        <v>1814</v>
      </c>
      <c r="F1533" s="29" t="s">
        <v>1818</v>
      </c>
      <c r="G1533" s="20" t="str">
        <f t="shared" si="1"/>
        <v>Electronics, Electronics Accessories, Computer Components, Laptop PartsLaptop Replacement Keyboards</v>
      </c>
    </row>
    <row r="1534" hidden="1">
      <c r="A1534" s="29">
        <v>4102.0</v>
      </c>
      <c r="B1534" s="29" t="s">
        <v>1575</v>
      </c>
      <c r="C1534" s="29" t="s">
        <v>1734</v>
      </c>
      <c r="D1534" s="29" t="s">
        <v>1778</v>
      </c>
      <c r="E1534" s="29" t="s">
        <v>1814</v>
      </c>
      <c r="F1534" s="29" t="s">
        <v>1819</v>
      </c>
      <c r="G1534" s="20" t="str">
        <f t="shared" si="1"/>
        <v>Electronics, Electronics Accessories, Computer Components, Laptop PartsLaptop Replacement Screens</v>
      </c>
    </row>
    <row r="1535" hidden="1">
      <c r="A1535" s="29">
        <v>43617.0</v>
      </c>
      <c r="B1535" s="29" t="s">
        <v>1575</v>
      </c>
      <c r="C1535" s="29" t="s">
        <v>1734</v>
      </c>
      <c r="D1535" s="29" t="s">
        <v>1778</v>
      </c>
      <c r="E1535" s="29" t="s">
        <v>1814</v>
      </c>
      <c r="F1535" s="29" t="s">
        <v>1820</v>
      </c>
      <c r="G1535" s="20" t="str">
        <f t="shared" si="1"/>
        <v>Electronics, Electronics Accessories, Computer Components, Laptop PartsLaptop Replacement Speakers</v>
      </c>
    </row>
    <row r="1536" hidden="1">
      <c r="A1536" s="29">
        <v>8160.0</v>
      </c>
      <c r="B1536" s="29" t="s">
        <v>1575</v>
      </c>
      <c r="C1536" s="29" t="s">
        <v>1734</v>
      </c>
      <c r="D1536" s="29" t="s">
        <v>1778</v>
      </c>
      <c r="E1536" s="29" t="s">
        <v>1814</v>
      </c>
      <c r="F1536" s="29" t="s">
        <v>1821</v>
      </c>
      <c r="G1536" s="20" t="str">
        <f t="shared" si="1"/>
        <v>Electronics, Electronics Accessories, Computer Components, Laptop PartsLaptop Screen Digitizers</v>
      </c>
    </row>
    <row r="1537" hidden="1">
      <c r="A1537" s="29">
        <v>2414.0</v>
      </c>
      <c r="B1537" s="29" t="s">
        <v>1575</v>
      </c>
      <c r="C1537" s="29" t="s">
        <v>1734</v>
      </c>
      <c r="D1537" s="29" t="s">
        <v>1778</v>
      </c>
      <c r="E1537" s="29" t="s">
        <v>1822</v>
      </c>
      <c r="F1537" s="62"/>
      <c r="G1537" s="20" t="str">
        <f t="shared" si="1"/>
        <v>Electronics, Electronics Accessories, Computer Components, Storage Devices</v>
      </c>
    </row>
    <row r="1538" hidden="1">
      <c r="A1538" s="29">
        <v>5268.0</v>
      </c>
      <c r="B1538" s="29" t="s">
        <v>1575</v>
      </c>
      <c r="C1538" s="29" t="s">
        <v>1734</v>
      </c>
      <c r="D1538" s="29" t="s">
        <v>1778</v>
      </c>
      <c r="E1538" s="29" t="s">
        <v>1822</v>
      </c>
      <c r="F1538" s="29" t="s">
        <v>1823</v>
      </c>
      <c r="G1538" s="20" t="str">
        <f t="shared" si="1"/>
        <v>Electronics, Electronics Accessories, Computer Components, Storage DevicesDisk Duplicators</v>
      </c>
    </row>
    <row r="1539" hidden="1">
      <c r="A1539" s="29">
        <v>376.0</v>
      </c>
      <c r="B1539" s="29" t="s">
        <v>1575</v>
      </c>
      <c r="C1539" s="29" t="s">
        <v>1734</v>
      </c>
      <c r="D1539" s="29" t="s">
        <v>1778</v>
      </c>
      <c r="E1539" s="29" t="s">
        <v>1822</v>
      </c>
      <c r="F1539" s="29" t="s">
        <v>1823</v>
      </c>
      <c r="G1539" s="20" t="str">
        <f t="shared" si="1"/>
        <v>Electronics, Electronics Accessories, Computer Components, Storage DevicesDisk Duplicators</v>
      </c>
    </row>
    <row r="1540" hidden="1">
      <c r="A1540" s="29">
        <v>5271.0</v>
      </c>
      <c r="B1540" s="29" t="s">
        <v>1575</v>
      </c>
      <c r="C1540" s="29" t="s">
        <v>1734</v>
      </c>
      <c r="D1540" s="29" t="s">
        <v>1778</v>
      </c>
      <c r="E1540" s="29" t="s">
        <v>1822</v>
      </c>
      <c r="F1540" s="29" t="s">
        <v>1823</v>
      </c>
      <c r="G1540" s="20" t="str">
        <f t="shared" si="1"/>
        <v>Electronics, Electronics Accessories, Computer Components, Storage DevicesDisk Duplicators</v>
      </c>
    </row>
    <row r="1541" hidden="1">
      <c r="A1541" s="29">
        <v>5112.0</v>
      </c>
      <c r="B1541" s="29" t="s">
        <v>1575</v>
      </c>
      <c r="C1541" s="29" t="s">
        <v>1734</v>
      </c>
      <c r="D1541" s="29" t="s">
        <v>1778</v>
      </c>
      <c r="E1541" s="29" t="s">
        <v>1822</v>
      </c>
      <c r="F1541" s="29" t="s">
        <v>1823</v>
      </c>
      <c r="G1541" s="20" t="str">
        <f t="shared" si="1"/>
        <v>Electronics, Electronics Accessories, Computer Components, Storage DevicesDisk Duplicators</v>
      </c>
    </row>
    <row r="1542" hidden="1">
      <c r="A1542" s="29">
        <v>1301.0</v>
      </c>
      <c r="B1542" s="29" t="s">
        <v>1575</v>
      </c>
      <c r="C1542" s="29" t="s">
        <v>1734</v>
      </c>
      <c r="D1542" s="29" t="s">
        <v>1778</v>
      </c>
      <c r="E1542" s="29" t="s">
        <v>1822</v>
      </c>
      <c r="F1542" s="29" t="s">
        <v>1824</v>
      </c>
      <c r="G1542" s="20" t="str">
        <f t="shared" si="1"/>
        <v>Electronics, Electronics Accessories, Computer Components, Storage DevicesFloppy Drives</v>
      </c>
    </row>
    <row r="1543" hidden="1">
      <c r="A1543" s="29">
        <v>1623.0</v>
      </c>
      <c r="B1543" s="29" t="s">
        <v>1575</v>
      </c>
      <c r="C1543" s="29" t="s">
        <v>1734</v>
      </c>
      <c r="D1543" s="29" t="s">
        <v>1778</v>
      </c>
      <c r="E1543" s="29" t="s">
        <v>1822</v>
      </c>
      <c r="F1543" s="29" t="s">
        <v>1825</v>
      </c>
      <c r="G1543" s="20" t="str">
        <f t="shared" si="1"/>
        <v>Electronics, Electronics Accessories, Computer Components, Storage DevicesHard Drive Accessories</v>
      </c>
    </row>
    <row r="1544" hidden="1">
      <c r="A1544" s="29">
        <v>381.0</v>
      </c>
      <c r="B1544" s="29" t="s">
        <v>1575</v>
      </c>
      <c r="C1544" s="29" t="s">
        <v>1734</v>
      </c>
      <c r="D1544" s="29" t="s">
        <v>1778</v>
      </c>
      <c r="E1544" s="29" t="s">
        <v>1822</v>
      </c>
      <c r="F1544" s="29" t="s">
        <v>1825</v>
      </c>
      <c r="G1544" s="20" t="str">
        <f t="shared" si="1"/>
        <v>Electronics, Electronics Accessories, Computer Components, Storage DevicesHard Drive Accessories</v>
      </c>
    </row>
    <row r="1545" hidden="1">
      <c r="A1545" s="29">
        <v>4417.0</v>
      </c>
      <c r="B1545" s="29" t="s">
        <v>1575</v>
      </c>
      <c r="C1545" s="29" t="s">
        <v>1734</v>
      </c>
      <c r="D1545" s="29" t="s">
        <v>1778</v>
      </c>
      <c r="E1545" s="29" t="s">
        <v>1822</v>
      </c>
      <c r="F1545" s="29" t="s">
        <v>1825</v>
      </c>
      <c r="G1545" s="20" t="str">
        <f t="shared" si="1"/>
        <v>Electronics, Electronics Accessories, Computer Components, Storage DevicesHard Drive Accessories</v>
      </c>
    </row>
    <row r="1546" hidden="1">
      <c r="A1546" s="29">
        <v>505767.0</v>
      </c>
      <c r="B1546" s="29" t="s">
        <v>1575</v>
      </c>
      <c r="C1546" s="29" t="s">
        <v>1734</v>
      </c>
      <c r="D1546" s="29" t="s">
        <v>1778</v>
      </c>
      <c r="E1546" s="29" t="s">
        <v>1822</v>
      </c>
      <c r="F1546" s="29" t="s">
        <v>1825</v>
      </c>
      <c r="G1546" s="20" t="str">
        <f t="shared" si="1"/>
        <v>Electronics, Electronics Accessories, Computer Components, Storage DevicesHard Drive Accessories</v>
      </c>
    </row>
    <row r="1547" hidden="1">
      <c r="A1547" s="29">
        <v>5272.0</v>
      </c>
      <c r="B1547" s="29" t="s">
        <v>1575</v>
      </c>
      <c r="C1547" s="29" t="s">
        <v>1734</v>
      </c>
      <c r="D1547" s="29" t="s">
        <v>1778</v>
      </c>
      <c r="E1547" s="29" t="s">
        <v>1822</v>
      </c>
      <c r="F1547" s="29" t="s">
        <v>1826</v>
      </c>
      <c r="G1547" s="20" t="str">
        <f t="shared" si="1"/>
        <v>Electronics, Electronics Accessories, Computer Components, Storage DevicesHard Drive Arrays</v>
      </c>
    </row>
    <row r="1548" hidden="1">
      <c r="A1548" s="29">
        <v>380.0</v>
      </c>
      <c r="B1548" s="29" t="s">
        <v>1575</v>
      </c>
      <c r="C1548" s="29" t="s">
        <v>1734</v>
      </c>
      <c r="D1548" s="29" t="s">
        <v>1778</v>
      </c>
      <c r="E1548" s="29" t="s">
        <v>1822</v>
      </c>
      <c r="F1548" s="29" t="s">
        <v>1827</v>
      </c>
      <c r="G1548" s="20" t="str">
        <f t="shared" si="1"/>
        <v>Electronics, Electronics Accessories, Computer Components, Storage DevicesHard Drives</v>
      </c>
    </row>
    <row r="1549" hidden="1">
      <c r="A1549" s="29">
        <v>5269.0</v>
      </c>
      <c r="B1549" s="29" t="s">
        <v>1575</v>
      </c>
      <c r="C1549" s="29" t="s">
        <v>1734</v>
      </c>
      <c r="D1549" s="29" t="s">
        <v>1778</v>
      </c>
      <c r="E1549" s="29" t="s">
        <v>1822</v>
      </c>
      <c r="F1549" s="29" t="s">
        <v>1828</v>
      </c>
      <c r="G1549" s="20" t="str">
        <f t="shared" si="1"/>
        <v>Electronics, Electronics Accessories, Computer Components, Storage DevicesNetwork Storage Systems</v>
      </c>
    </row>
    <row r="1550" hidden="1">
      <c r="A1550" s="29">
        <v>377.0</v>
      </c>
      <c r="B1550" s="29" t="s">
        <v>1575</v>
      </c>
      <c r="C1550" s="29" t="s">
        <v>1734</v>
      </c>
      <c r="D1550" s="29" t="s">
        <v>1778</v>
      </c>
      <c r="E1550" s="29" t="s">
        <v>1822</v>
      </c>
      <c r="F1550" s="29" t="s">
        <v>1829</v>
      </c>
      <c r="G1550" s="20" t="str">
        <f t="shared" si="1"/>
        <v>Electronics, Electronics Accessories, Computer Components, Storage DevicesOptical Drives</v>
      </c>
    </row>
    <row r="1551" hidden="1">
      <c r="A1551" s="29">
        <v>385.0</v>
      </c>
      <c r="B1551" s="29" t="s">
        <v>1575</v>
      </c>
      <c r="C1551" s="29" t="s">
        <v>1734</v>
      </c>
      <c r="D1551" s="29" t="s">
        <v>1778</v>
      </c>
      <c r="E1551" s="29" t="s">
        <v>1822</v>
      </c>
      <c r="F1551" s="29" t="s">
        <v>1830</v>
      </c>
      <c r="G1551" s="20" t="str">
        <f t="shared" si="1"/>
        <v>Electronics, Electronics Accessories, Computer Components, Storage DevicesTape Drives</v>
      </c>
    </row>
    <row r="1552" hidden="1">
      <c r="A1552" s="29">
        <v>3712.0</v>
      </c>
      <c r="B1552" s="29" t="s">
        <v>1575</v>
      </c>
      <c r="C1552" s="29" t="s">
        <v>1734</v>
      </c>
      <c r="D1552" s="29" t="s">
        <v>1778</v>
      </c>
      <c r="E1552" s="29" t="s">
        <v>1822</v>
      </c>
      <c r="F1552" s="29" t="s">
        <v>1831</v>
      </c>
      <c r="G1552" s="20" t="str">
        <f t="shared" si="1"/>
        <v>Electronics, Electronics Accessories, Computer Components, Storage DevicesUSB Flash Drives</v>
      </c>
    </row>
    <row r="1553" hidden="1">
      <c r="A1553" s="29">
        <v>7349.0</v>
      </c>
      <c r="B1553" s="29" t="s">
        <v>1575</v>
      </c>
      <c r="C1553" s="29" t="s">
        <v>1734</v>
      </c>
      <c r="D1553" s="29" t="s">
        <v>1778</v>
      </c>
      <c r="E1553" s="29" t="s">
        <v>1832</v>
      </c>
      <c r="F1553" s="62"/>
      <c r="G1553" s="20" t="str">
        <f t="shared" si="1"/>
        <v>Electronics, Electronics Accessories, Computer Components, Tablet Computer Parts</v>
      </c>
    </row>
    <row r="1554" hidden="1">
      <c r="A1554" s="29">
        <v>503002.0</v>
      </c>
      <c r="B1554" s="29" t="s">
        <v>1575</v>
      </c>
      <c r="C1554" s="29" t="s">
        <v>1734</v>
      </c>
      <c r="D1554" s="29" t="s">
        <v>1778</v>
      </c>
      <c r="E1554" s="29" t="s">
        <v>1832</v>
      </c>
      <c r="F1554" s="29" t="s">
        <v>1833</v>
      </c>
      <c r="G1554" s="20" t="str">
        <f t="shared" si="1"/>
        <v>Electronics, Electronics Accessories, Computer Components, Tablet Computer PartsTablet Computer Housings &amp; Trim</v>
      </c>
    </row>
    <row r="1555" hidden="1">
      <c r="A1555" s="29">
        <v>45262.0</v>
      </c>
      <c r="B1555" s="29" t="s">
        <v>1575</v>
      </c>
      <c r="C1555" s="29" t="s">
        <v>1734</v>
      </c>
      <c r="D1555" s="29" t="s">
        <v>1778</v>
      </c>
      <c r="E1555" s="29" t="s">
        <v>1832</v>
      </c>
      <c r="F1555" s="29" t="s">
        <v>1834</v>
      </c>
      <c r="G1555" s="20" t="str">
        <f t="shared" si="1"/>
        <v>Electronics, Electronics Accessories, Computer Components, Tablet Computer PartsTablet Computer Replacement Speakers</v>
      </c>
    </row>
    <row r="1556" hidden="1">
      <c r="A1556" s="29">
        <v>500013.0</v>
      </c>
      <c r="B1556" s="29" t="s">
        <v>1575</v>
      </c>
      <c r="C1556" s="29" t="s">
        <v>1734</v>
      </c>
      <c r="D1556" s="29" t="s">
        <v>1778</v>
      </c>
      <c r="E1556" s="29" t="s">
        <v>1832</v>
      </c>
      <c r="F1556" s="29" t="s">
        <v>1835</v>
      </c>
      <c r="G1556" s="20" t="str">
        <f t="shared" si="1"/>
        <v>Electronics, Electronics Accessories, Computer Components, Tablet Computer PartsTablet Computer Screens &amp; Screen Digitizers</v>
      </c>
    </row>
    <row r="1557" hidden="1">
      <c r="A1557" s="29">
        <v>311.0</v>
      </c>
      <c r="B1557" s="29" t="s">
        <v>1575</v>
      </c>
      <c r="C1557" s="29" t="s">
        <v>1734</v>
      </c>
      <c r="D1557" s="29" t="s">
        <v>1778</v>
      </c>
      <c r="E1557" s="29" t="s">
        <v>1836</v>
      </c>
      <c r="F1557" s="62"/>
      <c r="G1557" s="20" t="str">
        <f t="shared" si="1"/>
        <v>Electronics, Electronics Accessories, Computer Components, USB &amp; FireWire Hubs</v>
      </c>
    </row>
    <row r="1558" hidden="1">
      <c r="A1558" s="29">
        <v>4617.0</v>
      </c>
      <c r="B1558" s="29" t="s">
        <v>1575</v>
      </c>
      <c r="C1558" s="29" t="s">
        <v>1734</v>
      </c>
      <c r="D1558" s="29" t="s">
        <v>1837</v>
      </c>
      <c r="E1558" s="62"/>
      <c r="F1558" s="62"/>
      <c r="G1558" s="20" t="str">
        <f t="shared" si="1"/>
        <v>Electronics, Electronics Accessories, Electronics Cleaners, </v>
      </c>
    </row>
    <row r="1559" hidden="1">
      <c r="A1559" s="29">
        <v>5466.0</v>
      </c>
      <c r="B1559" s="29" t="s">
        <v>1575</v>
      </c>
      <c r="C1559" s="29" t="s">
        <v>1734</v>
      </c>
      <c r="D1559" s="29" t="s">
        <v>1838</v>
      </c>
      <c r="F1559" s="62"/>
      <c r="G1559" s="20" t="str">
        <f t="shared" si="1"/>
        <v>Electronics, Electronics Accessories, Electronics Films &amp; Shields, </v>
      </c>
    </row>
    <row r="1560" hidden="1">
      <c r="A1560" s="29">
        <v>5523.0</v>
      </c>
      <c r="B1560" s="29" t="s">
        <v>1575</v>
      </c>
      <c r="C1560" s="29" t="s">
        <v>1734</v>
      </c>
      <c r="D1560" s="29" t="s">
        <v>1838</v>
      </c>
      <c r="E1560" s="29" t="s">
        <v>1839</v>
      </c>
      <c r="F1560" s="62"/>
      <c r="G1560" s="20" t="str">
        <f t="shared" si="1"/>
        <v>Electronics, Electronics Accessories, Electronics Films &amp; Shields, Electronics Stickers &amp; Decals</v>
      </c>
    </row>
    <row r="1561" hidden="1">
      <c r="A1561" s="29">
        <v>5469.0</v>
      </c>
      <c r="B1561" s="29" t="s">
        <v>1575</v>
      </c>
      <c r="C1561" s="29" t="s">
        <v>1734</v>
      </c>
      <c r="D1561" s="29" t="s">
        <v>1838</v>
      </c>
      <c r="E1561" s="29" t="s">
        <v>1840</v>
      </c>
      <c r="F1561" s="62"/>
      <c r="G1561" s="20" t="str">
        <f t="shared" si="1"/>
        <v>Electronics, Electronics Accessories, Electronics Films &amp; Shields, Keyboard Protectors</v>
      </c>
    </row>
    <row r="1562" hidden="1">
      <c r="A1562" s="29">
        <v>5467.0</v>
      </c>
      <c r="B1562" s="29" t="s">
        <v>1575</v>
      </c>
      <c r="C1562" s="29" t="s">
        <v>1734</v>
      </c>
      <c r="D1562" s="29" t="s">
        <v>1838</v>
      </c>
      <c r="E1562" s="29" t="s">
        <v>1841</v>
      </c>
      <c r="F1562" s="62"/>
      <c r="G1562" s="20" t="str">
        <f t="shared" si="1"/>
        <v>Electronics, Electronics Accessories, Electronics Films &amp; Shields, Privacy Filters</v>
      </c>
    </row>
    <row r="1563" hidden="1">
      <c r="A1563" s="29">
        <v>5468.0</v>
      </c>
      <c r="B1563" s="29" t="s">
        <v>1575</v>
      </c>
      <c r="C1563" s="29" t="s">
        <v>1734</v>
      </c>
      <c r="D1563" s="29" t="s">
        <v>1838</v>
      </c>
      <c r="E1563" s="29" t="s">
        <v>1842</v>
      </c>
      <c r="F1563" s="62"/>
      <c r="G1563" s="20" t="str">
        <f t="shared" si="1"/>
        <v>Electronics, Electronics Accessories, Electronics Films &amp; Shields, Screen Protectors</v>
      </c>
    </row>
    <row r="1564" hidden="1">
      <c r="A1564" s="29">
        <v>288.0</v>
      </c>
      <c r="B1564" s="29" t="s">
        <v>1575</v>
      </c>
      <c r="C1564" s="29" t="s">
        <v>1734</v>
      </c>
      <c r="D1564" s="29" t="s">
        <v>1843</v>
      </c>
      <c r="E1564" s="62"/>
      <c r="F1564" s="62"/>
      <c r="G1564" s="20" t="str">
        <f t="shared" si="1"/>
        <v>Electronics, Electronics Accessories, Memory, </v>
      </c>
    </row>
    <row r="1565" hidden="1">
      <c r="A1565" s="29">
        <v>1665.0</v>
      </c>
      <c r="B1565" s="29" t="s">
        <v>1575</v>
      </c>
      <c r="C1565" s="29" t="s">
        <v>1734</v>
      </c>
      <c r="D1565" s="29" t="s">
        <v>1843</v>
      </c>
      <c r="E1565" s="29" t="s">
        <v>1844</v>
      </c>
      <c r="F1565" s="62"/>
      <c r="G1565" s="20" t="str">
        <f t="shared" si="1"/>
        <v>Electronics, Electronics Accessories, Memory, Cache Memory</v>
      </c>
    </row>
    <row r="1566" hidden="1">
      <c r="A1566" s="29">
        <v>384.0</v>
      </c>
      <c r="B1566" s="29" t="s">
        <v>1575</v>
      </c>
      <c r="C1566" s="29" t="s">
        <v>1734</v>
      </c>
      <c r="D1566" s="29" t="s">
        <v>1843</v>
      </c>
      <c r="E1566" s="29" t="s">
        <v>1845</v>
      </c>
      <c r="F1566" s="62"/>
      <c r="G1566" s="20" t="str">
        <f t="shared" si="1"/>
        <v>Electronics, Electronics Accessories, Memory, Flash Memory</v>
      </c>
    </row>
    <row r="1567" hidden="1">
      <c r="A1567" s="29">
        <v>3387.0</v>
      </c>
      <c r="B1567" s="29" t="s">
        <v>1575</v>
      </c>
      <c r="C1567" s="29" t="s">
        <v>1734</v>
      </c>
      <c r="D1567" s="29" t="s">
        <v>1843</v>
      </c>
      <c r="E1567" s="29" t="s">
        <v>1845</v>
      </c>
      <c r="F1567" s="29" t="s">
        <v>1846</v>
      </c>
      <c r="G1567" s="20" t="str">
        <f t="shared" si="1"/>
        <v>Electronics, Electronics Accessories, Memory, Flash MemoryFlash Memory Cards</v>
      </c>
    </row>
    <row r="1568" hidden="1">
      <c r="A1568" s="29">
        <v>1733.0</v>
      </c>
      <c r="B1568" s="29" t="s">
        <v>1575</v>
      </c>
      <c r="C1568" s="29" t="s">
        <v>1734</v>
      </c>
      <c r="D1568" s="29" t="s">
        <v>1843</v>
      </c>
      <c r="E1568" s="29" t="s">
        <v>1847</v>
      </c>
      <c r="F1568" s="62"/>
      <c r="G1568" s="20" t="str">
        <f t="shared" si="1"/>
        <v>Electronics, Electronics Accessories, Memory, RAM</v>
      </c>
    </row>
    <row r="1569" hidden="1">
      <c r="A1569" s="29">
        <v>2130.0</v>
      </c>
      <c r="B1569" s="29" t="s">
        <v>1575</v>
      </c>
      <c r="C1569" s="29" t="s">
        <v>1734</v>
      </c>
      <c r="D1569" s="29" t="s">
        <v>1843</v>
      </c>
      <c r="E1569" s="29" t="s">
        <v>1848</v>
      </c>
      <c r="F1569" s="62"/>
      <c r="G1569" s="20" t="str">
        <f t="shared" si="1"/>
        <v>Electronics, Electronics Accessories, Memory, ROM</v>
      </c>
    </row>
    <row r="1570" hidden="1">
      <c r="A1570" s="29">
        <v>1767.0</v>
      </c>
      <c r="B1570" s="29" t="s">
        <v>1575</v>
      </c>
      <c r="C1570" s="29" t="s">
        <v>1734</v>
      </c>
      <c r="D1570" s="29" t="s">
        <v>1843</v>
      </c>
      <c r="E1570" s="29" t="s">
        <v>1849</v>
      </c>
      <c r="F1570" s="62"/>
      <c r="G1570" s="20" t="str">
        <f t="shared" si="1"/>
        <v>Electronics, Electronics Accessories, Memory, Video Memory</v>
      </c>
    </row>
    <row r="1571" hidden="1">
      <c r="A1571" s="29">
        <v>3422.0</v>
      </c>
      <c r="B1571" s="29" t="s">
        <v>1575</v>
      </c>
      <c r="C1571" s="29" t="s">
        <v>1734</v>
      </c>
      <c r="D1571" s="29" t="s">
        <v>1850</v>
      </c>
      <c r="E1571" s="62"/>
      <c r="F1571" s="62"/>
      <c r="G1571" s="20" t="str">
        <f t="shared" si="1"/>
        <v>Electronics, Electronics Accessories, Memory Accessories, </v>
      </c>
    </row>
    <row r="1572" hidden="1">
      <c r="A1572" s="29">
        <v>3672.0</v>
      </c>
      <c r="B1572" s="29" t="s">
        <v>1575</v>
      </c>
      <c r="C1572" s="29" t="s">
        <v>1734</v>
      </c>
      <c r="D1572" s="29" t="s">
        <v>1850</v>
      </c>
      <c r="E1572" s="29" t="s">
        <v>1851</v>
      </c>
      <c r="F1572" s="62"/>
      <c r="G1572" s="20" t="str">
        <f t="shared" si="1"/>
        <v>Electronics, Electronics Accessories, Memory Accessories, Memory Cases</v>
      </c>
    </row>
    <row r="1573" hidden="1">
      <c r="A1573" s="29">
        <v>499878.0</v>
      </c>
      <c r="B1573" s="29" t="s">
        <v>1575</v>
      </c>
      <c r="C1573" s="29" t="s">
        <v>1734</v>
      </c>
      <c r="D1573" s="29" t="s">
        <v>1852</v>
      </c>
      <c r="F1573" s="62"/>
      <c r="G1573" s="20" t="str">
        <f t="shared" si="1"/>
        <v>Electronics, Electronics Accessories, Mobile Phone &amp; Tablet Tripods &amp; Monopods, </v>
      </c>
    </row>
    <row r="1574" hidden="1">
      <c r="A1574" s="29">
        <v>275.0</v>
      </c>
      <c r="B1574" s="29" t="s">
        <v>1575</v>
      </c>
      <c r="C1574" s="29" t="s">
        <v>1734</v>
      </c>
      <c r="D1574" s="29" t="s">
        <v>1853</v>
      </c>
      <c r="E1574" s="62"/>
      <c r="F1574" s="62"/>
      <c r="G1574" s="20" t="str">
        <f t="shared" si="1"/>
        <v>Electronics, Electronics Accessories, Power, </v>
      </c>
    </row>
    <row r="1575" hidden="1">
      <c r="A1575" s="29">
        <v>276.0</v>
      </c>
      <c r="B1575" s="29" t="s">
        <v>1575</v>
      </c>
      <c r="C1575" s="29" t="s">
        <v>1734</v>
      </c>
      <c r="D1575" s="29" t="s">
        <v>1853</v>
      </c>
      <c r="E1575" s="29" t="s">
        <v>1854</v>
      </c>
      <c r="F1575" s="62"/>
      <c r="G1575" s="20" t="str">
        <f t="shared" si="1"/>
        <v>Electronics, Electronics Accessories, Power, Batteries</v>
      </c>
    </row>
    <row r="1576" hidden="1">
      <c r="A1576" s="29">
        <v>1722.0</v>
      </c>
      <c r="B1576" s="29" t="s">
        <v>1575</v>
      </c>
      <c r="C1576" s="29" t="s">
        <v>1734</v>
      </c>
      <c r="D1576" s="29" t="s">
        <v>1853</v>
      </c>
      <c r="E1576" s="29" t="s">
        <v>1854</v>
      </c>
      <c r="F1576" s="29" t="s">
        <v>1855</v>
      </c>
      <c r="G1576" s="20" t="str">
        <f t="shared" si="1"/>
        <v>Electronics, Electronics Accessories, Power, BatteriesCamera Batteries</v>
      </c>
    </row>
    <row r="1577" hidden="1">
      <c r="A1577" s="29">
        <v>1880.0</v>
      </c>
      <c r="B1577" s="29" t="s">
        <v>1575</v>
      </c>
      <c r="C1577" s="29" t="s">
        <v>1734</v>
      </c>
      <c r="D1577" s="29" t="s">
        <v>1853</v>
      </c>
      <c r="E1577" s="29" t="s">
        <v>1854</v>
      </c>
      <c r="F1577" s="29" t="s">
        <v>1856</v>
      </c>
      <c r="G1577" s="20" t="str">
        <f t="shared" si="1"/>
        <v>Electronics, Electronics Accessories, Power, BatteriesCordless Phone Batteries</v>
      </c>
    </row>
    <row r="1578" hidden="1">
      <c r="A1578" s="29">
        <v>7551.0</v>
      </c>
      <c r="B1578" s="29" t="s">
        <v>1575</v>
      </c>
      <c r="C1578" s="29" t="s">
        <v>1734</v>
      </c>
      <c r="D1578" s="29" t="s">
        <v>1853</v>
      </c>
      <c r="E1578" s="29" t="s">
        <v>1854</v>
      </c>
      <c r="F1578" s="29" t="s">
        <v>1857</v>
      </c>
      <c r="G1578" s="20" t="str">
        <f t="shared" si="1"/>
        <v>Electronics, Electronics Accessories, Power, BatteriesE-Book Reader Batteries</v>
      </c>
    </row>
    <row r="1579" hidden="1">
      <c r="A1579" s="29">
        <v>4928.0</v>
      </c>
      <c r="B1579" s="29" t="s">
        <v>1575</v>
      </c>
      <c r="C1579" s="29" t="s">
        <v>1734</v>
      </c>
      <c r="D1579" s="29" t="s">
        <v>1853</v>
      </c>
      <c r="E1579" s="29" t="s">
        <v>1854</v>
      </c>
      <c r="F1579" s="29" t="s">
        <v>1858</v>
      </c>
      <c r="G1579" s="20" t="str">
        <f t="shared" si="1"/>
        <v>Electronics, Electronics Accessories, Power, BatteriesGeneral Purpose Batteries</v>
      </c>
    </row>
    <row r="1580" hidden="1">
      <c r="A1580" s="29">
        <v>1564.0</v>
      </c>
      <c r="B1580" s="29" t="s">
        <v>1575</v>
      </c>
      <c r="C1580" s="29" t="s">
        <v>1734</v>
      </c>
      <c r="D1580" s="29" t="s">
        <v>1853</v>
      </c>
      <c r="E1580" s="29" t="s">
        <v>1854</v>
      </c>
      <c r="F1580" s="29" t="s">
        <v>1859</v>
      </c>
      <c r="G1580" s="20" t="str">
        <f t="shared" si="1"/>
        <v>Electronics, Electronics Accessories, Power, BatteriesLaptop Batteries</v>
      </c>
    </row>
    <row r="1581" hidden="1">
      <c r="A1581" s="29">
        <v>499810.0</v>
      </c>
      <c r="B1581" s="29" t="s">
        <v>1575</v>
      </c>
      <c r="C1581" s="29" t="s">
        <v>1734</v>
      </c>
      <c r="D1581" s="29" t="s">
        <v>1853</v>
      </c>
      <c r="E1581" s="29" t="s">
        <v>1854</v>
      </c>
      <c r="F1581" s="29" t="s">
        <v>1860</v>
      </c>
      <c r="G1581" s="20" t="str">
        <f t="shared" si="1"/>
        <v>Electronics, Electronics Accessories, Power, BatteriesMP3 Player Batteries</v>
      </c>
    </row>
    <row r="1582" hidden="1">
      <c r="A1582" s="29">
        <v>1745.0</v>
      </c>
      <c r="B1582" s="29" t="s">
        <v>1575</v>
      </c>
      <c r="C1582" s="29" t="s">
        <v>1734</v>
      </c>
      <c r="D1582" s="29" t="s">
        <v>1853</v>
      </c>
      <c r="E1582" s="29" t="s">
        <v>1854</v>
      </c>
      <c r="F1582" s="29" t="s">
        <v>1861</v>
      </c>
      <c r="G1582" s="20" t="str">
        <f t="shared" si="1"/>
        <v>Electronics, Electronics Accessories, Power, BatteriesMobile Phone Batteries</v>
      </c>
    </row>
    <row r="1583" hidden="1">
      <c r="A1583" s="29">
        <v>5133.0</v>
      </c>
      <c r="B1583" s="29" t="s">
        <v>1575</v>
      </c>
      <c r="C1583" s="29" t="s">
        <v>1734</v>
      </c>
      <c r="D1583" s="29" t="s">
        <v>1853</v>
      </c>
      <c r="E1583" s="29" t="s">
        <v>1854</v>
      </c>
      <c r="F1583" s="29" t="s">
        <v>1862</v>
      </c>
      <c r="G1583" s="20" t="str">
        <f t="shared" si="1"/>
        <v>Electronics, Electronics Accessories, Power, BatteriesPDA Batteries</v>
      </c>
    </row>
    <row r="1584" hidden="1">
      <c r="A1584" s="29">
        <v>7438.0</v>
      </c>
      <c r="B1584" s="29" t="s">
        <v>1575</v>
      </c>
      <c r="C1584" s="29" t="s">
        <v>1734</v>
      </c>
      <c r="D1584" s="29" t="s">
        <v>1853</v>
      </c>
      <c r="E1584" s="29" t="s">
        <v>1854</v>
      </c>
      <c r="F1584" s="29" t="s">
        <v>1863</v>
      </c>
      <c r="G1584" s="20" t="str">
        <f t="shared" si="1"/>
        <v>Electronics, Electronics Accessories, Power, BatteriesTablet Computer Batteries</v>
      </c>
    </row>
    <row r="1585" hidden="1">
      <c r="A1585" s="29">
        <v>6289.0</v>
      </c>
      <c r="B1585" s="29" t="s">
        <v>1575</v>
      </c>
      <c r="C1585" s="29" t="s">
        <v>1734</v>
      </c>
      <c r="D1585" s="29" t="s">
        <v>1853</v>
      </c>
      <c r="E1585" s="29" t="s">
        <v>1854</v>
      </c>
      <c r="F1585" s="29" t="s">
        <v>1864</v>
      </c>
      <c r="G1585" s="20" t="str">
        <f t="shared" si="1"/>
        <v>Electronics, Electronics Accessories, Power, BatteriesUPS Batteries</v>
      </c>
    </row>
    <row r="1586" hidden="1">
      <c r="A1586" s="29">
        <v>2222.0</v>
      </c>
      <c r="B1586" s="29" t="s">
        <v>1575</v>
      </c>
      <c r="C1586" s="29" t="s">
        <v>1734</v>
      </c>
      <c r="D1586" s="29" t="s">
        <v>1853</v>
      </c>
      <c r="E1586" s="29" t="s">
        <v>1854</v>
      </c>
      <c r="F1586" s="29" t="s">
        <v>1865</v>
      </c>
      <c r="G1586" s="20" t="str">
        <f t="shared" si="1"/>
        <v>Electronics, Electronics Accessories, Power, BatteriesVideo Camera Batteries</v>
      </c>
    </row>
    <row r="1587" hidden="1">
      <c r="A1587" s="29">
        <v>500117.0</v>
      </c>
      <c r="B1587" s="29" t="s">
        <v>1575</v>
      </c>
      <c r="C1587" s="29" t="s">
        <v>1734</v>
      </c>
      <c r="D1587" s="29" t="s">
        <v>1853</v>
      </c>
      <c r="E1587" s="29" t="s">
        <v>1854</v>
      </c>
      <c r="F1587" s="29" t="s">
        <v>1866</v>
      </c>
      <c r="G1587" s="20" t="str">
        <f t="shared" si="1"/>
        <v>Electronics, Electronics Accessories, Power, BatteriesVideo Game Console &amp; Controller Batteries</v>
      </c>
    </row>
    <row r="1588" hidden="1">
      <c r="A1588" s="29">
        <v>7166.0</v>
      </c>
      <c r="B1588" s="29" t="s">
        <v>1575</v>
      </c>
      <c r="C1588" s="29" t="s">
        <v>1734</v>
      </c>
      <c r="D1588" s="29" t="s">
        <v>1853</v>
      </c>
      <c r="E1588" s="29" t="s">
        <v>1867</v>
      </c>
      <c r="F1588" s="62"/>
      <c r="G1588" s="20" t="str">
        <f t="shared" si="1"/>
        <v>Electronics, Electronics Accessories, Power, Battery Accessories</v>
      </c>
    </row>
    <row r="1589" hidden="1">
      <c r="A1589" s="29">
        <v>6817.0</v>
      </c>
      <c r="B1589" s="29" t="s">
        <v>1575</v>
      </c>
      <c r="C1589" s="29" t="s">
        <v>1734</v>
      </c>
      <c r="D1589" s="29" t="s">
        <v>1853</v>
      </c>
      <c r="E1589" s="29" t="s">
        <v>1867</v>
      </c>
      <c r="F1589" s="29" t="s">
        <v>1868</v>
      </c>
      <c r="G1589" s="20" t="str">
        <f t="shared" si="1"/>
        <v>Electronics, Electronics Accessories, Power, Battery AccessoriesBattery Charge Controllers</v>
      </c>
    </row>
    <row r="1590" hidden="1">
      <c r="A1590" s="29">
        <v>8243.0</v>
      </c>
      <c r="B1590" s="29" t="s">
        <v>1575</v>
      </c>
      <c r="C1590" s="29" t="s">
        <v>1734</v>
      </c>
      <c r="D1590" s="29" t="s">
        <v>1853</v>
      </c>
      <c r="E1590" s="29" t="s">
        <v>1867</v>
      </c>
      <c r="F1590" s="29" t="s">
        <v>1869</v>
      </c>
      <c r="G1590" s="20" t="str">
        <f t="shared" si="1"/>
        <v>Electronics, Electronics Accessories, Power, Battery AccessoriesBattery Holders</v>
      </c>
    </row>
    <row r="1591" hidden="1">
      <c r="A1591" s="29">
        <v>3130.0</v>
      </c>
      <c r="B1591" s="29" t="s">
        <v>1575</v>
      </c>
      <c r="C1591" s="29" t="s">
        <v>1734</v>
      </c>
      <c r="D1591" s="29" t="s">
        <v>1853</v>
      </c>
      <c r="E1591" s="29" t="s">
        <v>1867</v>
      </c>
      <c r="F1591" s="29" t="s">
        <v>1870</v>
      </c>
      <c r="G1591" s="20" t="str">
        <f t="shared" si="1"/>
        <v>Electronics, Electronics Accessories, Power, Battery AccessoriesCamera Battery Chargers</v>
      </c>
    </row>
    <row r="1592" hidden="1">
      <c r="A1592" s="29">
        <v>7167.0</v>
      </c>
      <c r="B1592" s="29" t="s">
        <v>1575</v>
      </c>
      <c r="C1592" s="29" t="s">
        <v>1734</v>
      </c>
      <c r="D1592" s="29" t="s">
        <v>1853</v>
      </c>
      <c r="E1592" s="29" t="s">
        <v>1867</v>
      </c>
      <c r="F1592" s="29" t="s">
        <v>1871</v>
      </c>
      <c r="G1592" s="20" t="str">
        <f t="shared" si="1"/>
        <v>Electronics, Electronics Accessories, Power, Battery AccessoriesGeneral Purpose Battery Chargers</v>
      </c>
    </row>
    <row r="1593" hidden="1">
      <c r="A1593" s="29">
        <v>499928.0</v>
      </c>
      <c r="B1593" s="29" t="s">
        <v>1575</v>
      </c>
      <c r="C1593" s="29" t="s">
        <v>1734</v>
      </c>
      <c r="D1593" s="29" t="s">
        <v>1853</v>
      </c>
      <c r="E1593" s="29" t="s">
        <v>1867</v>
      </c>
      <c r="F1593" s="29" t="s">
        <v>1872</v>
      </c>
      <c r="G1593" s="20" t="str">
        <f t="shared" si="1"/>
        <v>Electronics, Electronics Accessories, Power, Battery AccessoriesGeneral Purpose Battery Testers</v>
      </c>
    </row>
    <row r="1594" hidden="1">
      <c r="A1594" s="29">
        <v>2978.0</v>
      </c>
      <c r="B1594" s="29" t="s">
        <v>1575</v>
      </c>
      <c r="C1594" s="29" t="s">
        <v>1734</v>
      </c>
      <c r="D1594" s="29" t="s">
        <v>1853</v>
      </c>
      <c r="E1594" s="29" t="s">
        <v>1873</v>
      </c>
      <c r="F1594" s="62"/>
      <c r="G1594" s="20" t="str">
        <f t="shared" si="1"/>
        <v>Electronics, Electronics Accessories, Power, Fuel Cells</v>
      </c>
    </row>
    <row r="1595" hidden="1">
      <c r="A1595" s="29">
        <v>6933.0</v>
      </c>
      <c r="B1595" s="29" t="s">
        <v>1575</v>
      </c>
      <c r="C1595" s="29" t="s">
        <v>1734</v>
      </c>
      <c r="D1595" s="29" t="s">
        <v>1853</v>
      </c>
      <c r="E1595" s="29" t="s">
        <v>1874</v>
      </c>
      <c r="G1595" s="20" t="str">
        <f t="shared" si="1"/>
        <v>Electronics, Electronics Accessories, Power, Power Adapter &amp; Charger Accessories</v>
      </c>
    </row>
    <row r="1596" hidden="1">
      <c r="A1596" s="29">
        <v>505295.0</v>
      </c>
      <c r="B1596" s="29" t="s">
        <v>1575</v>
      </c>
      <c r="C1596" s="29" t="s">
        <v>1734</v>
      </c>
      <c r="D1596" s="29" t="s">
        <v>1853</v>
      </c>
      <c r="E1596" s="29" t="s">
        <v>1875</v>
      </c>
      <c r="F1596" s="62"/>
      <c r="G1596" s="20" t="str">
        <f t="shared" si="1"/>
        <v>Electronics, Electronics Accessories, Power, Power Adapters &amp; Chargers</v>
      </c>
    </row>
    <row r="1597" hidden="1">
      <c r="A1597" s="29">
        <v>6790.0</v>
      </c>
      <c r="B1597" s="29" t="s">
        <v>1575</v>
      </c>
      <c r="C1597" s="29" t="s">
        <v>1734</v>
      </c>
      <c r="D1597" s="29" t="s">
        <v>1853</v>
      </c>
      <c r="E1597" s="29" t="s">
        <v>1876</v>
      </c>
      <c r="F1597" s="62"/>
      <c r="G1597" s="20" t="str">
        <f t="shared" si="1"/>
        <v>Electronics, Electronics Accessories, Power, Power Control Units</v>
      </c>
    </row>
    <row r="1598" hidden="1">
      <c r="A1598" s="29">
        <v>3160.0</v>
      </c>
      <c r="B1598" s="29" t="s">
        <v>1575</v>
      </c>
      <c r="C1598" s="29" t="s">
        <v>1734</v>
      </c>
      <c r="D1598" s="29" t="s">
        <v>1853</v>
      </c>
      <c r="E1598" s="29" t="s">
        <v>1877</v>
      </c>
      <c r="G1598" s="20" t="str">
        <f t="shared" si="1"/>
        <v>Electronics, Electronics Accessories, Power, Power Strips &amp; Surge Suppressors</v>
      </c>
    </row>
    <row r="1599" hidden="1">
      <c r="A1599" s="29">
        <v>5274.0</v>
      </c>
      <c r="B1599" s="29" t="s">
        <v>1575</v>
      </c>
      <c r="C1599" s="29" t="s">
        <v>1734</v>
      </c>
      <c r="D1599" s="29" t="s">
        <v>1853</v>
      </c>
      <c r="E1599" s="29" t="s">
        <v>1878</v>
      </c>
      <c r="F1599" s="62"/>
      <c r="G1599" s="20" t="str">
        <f t="shared" si="1"/>
        <v>Electronics, Electronics Accessories, Power, Power Supply Enclosures</v>
      </c>
    </row>
    <row r="1600" hidden="1">
      <c r="A1600" s="29">
        <v>5380.0</v>
      </c>
      <c r="B1600" s="29" t="s">
        <v>1575</v>
      </c>
      <c r="C1600" s="29" t="s">
        <v>1734</v>
      </c>
      <c r="D1600" s="29" t="s">
        <v>1853</v>
      </c>
      <c r="E1600" s="29" t="s">
        <v>1879</v>
      </c>
      <c r="F1600" s="62"/>
      <c r="G1600" s="20" t="str">
        <f t="shared" si="1"/>
        <v>Electronics, Electronics Accessories, Power, Surge Protection Devices</v>
      </c>
    </row>
    <row r="1601" hidden="1">
      <c r="A1601" s="29">
        <v>7135.0</v>
      </c>
      <c r="B1601" s="29" t="s">
        <v>1575</v>
      </c>
      <c r="C1601" s="29" t="s">
        <v>1734</v>
      </c>
      <c r="D1601" s="29" t="s">
        <v>1853</v>
      </c>
      <c r="E1601" s="29" t="s">
        <v>1880</v>
      </c>
      <c r="F1601" s="62"/>
      <c r="G1601" s="20" t="str">
        <f t="shared" si="1"/>
        <v>Electronics, Electronics Accessories, Power, Travel Converters &amp; Adapters</v>
      </c>
    </row>
    <row r="1602" hidden="1">
      <c r="A1602" s="29">
        <v>1348.0</v>
      </c>
      <c r="B1602" s="29" t="s">
        <v>1575</v>
      </c>
      <c r="C1602" s="29" t="s">
        <v>1734</v>
      </c>
      <c r="D1602" s="29" t="s">
        <v>1853</v>
      </c>
      <c r="E1602" s="29" t="s">
        <v>1881</v>
      </c>
      <c r="F1602" s="62"/>
      <c r="G1602" s="20" t="str">
        <f t="shared" si="1"/>
        <v>Electronics, Electronics Accessories, Power, UPS</v>
      </c>
    </row>
    <row r="1603" hidden="1">
      <c r="A1603" s="29">
        <v>1375.0</v>
      </c>
      <c r="B1603" s="29" t="s">
        <v>1575</v>
      </c>
      <c r="C1603" s="29" t="s">
        <v>1734</v>
      </c>
      <c r="D1603" s="29" t="s">
        <v>1853</v>
      </c>
      <c r="E1603" s="29" t="s">
        <v>1882</v>
      </c>
      <c r="F1603" s="62"/>
      <c r="G1603" s="20" t="str">
        <f t="shared" si="1"/>
        <v>Electronics, Electronics Accessories, Power, UPS Accessories</v>
      </c>
    </row>
    <row r="1604" hidden="1">
      <c r="A1604" s="29">
        <v>341.0</v>
      </c>
      <c r="B1604" s="29" t="s">
        <v>1575</v>
      </c>
      <c r="C1604" s="29" t="s">
        <v>1734</v>
      </c>
      <c r="D1604" s="29" t="s">
        <v>1883</v>
      </c>
      <c r="E1604" s="62"/>
      <c r="F1604" s="62"/>
      <c r="G1604" s="20" t="str">
        <f t="shared" si="1"/>
        <v>Electronics, Electronics Accessories, Remote Controls, </v>
      </c>
    </row>
    <row r="1605" hidden="1">
      <c r="A1605" s="29">
        <v>5473.0</v>
      </c>
      <c r="B1605" s="29" t="s">
        <v>1575</v>
      </c>
      <c r="C1605" s="29" t="s">
        <v>1734</v>
      </c>
      <c r="D1605" s="29" t="s">
        <v>1884</v>
      </c>
      <c r="E1605" s="62"/>
      <c r="F1605" s="62"/>
      <c r="G1605" s="20" t="str">
        <f t="shared" si="1"/>
        <v>Electronics, Electronics Accessories, Signal Boosters, </v>
      </c>
    </row>
    <row r="1606" hidden="1">
      <c r="A1606" s="29">
        <v>5695.0</v>
      </c>
      <c r="B1606" s="29" t="s">
        <v>1575</v>
      </c>
      <c r="C1606" s="29" t="s">
        <v>1734</v>
      </c>
      <c r="D1606" s="29" t="s">
        <v>1885</v>
      </c>
      <c r="E1606" s="62"/>
      <c r="F1606" s="62"/>
      <c r="G1606" s="20" t="str">
        <f t="shared" si="1"/>
        <v>Electronics, Electronics Accessories, Signal Jammers, </v>
      </c>
    </row>
    <row r="1607" hidden="1">
      <c r="A1607" s="29">
        <v>5612.0</v>
      </c>
      <c r="B1607" s="29" t="s">
        <v>1575</v>
      </c>
      <c r="C1607" s="29" t="s">
        <v>1734</v>
      </c>
      <c r="D1607" s="29" t="s">
        <v>1885</v>
      </c>
      <c r="E1607" s="29" t="s">
        <v>1886</v>
      </c>
      <c r="F1607" s="62"/>
      <c r="G1607" s="20" t="str">
        <f t="shared" si="1"/>
        <v>Electronics, Electronics Accessories, Signal Jammers, GPS Jammers</v>
      </c>
    </row>
    <row r="1608" hidden="1">
      <c r="A1608" s="29">
        <v>5696.0</v>
      </c>
      <c r="B1608" s="29" t="s">
        <v>1575</v>
      </c>
      <c r="C1608" s="29" t="s">
        <v>1734</v>
      </c>
      <c r="D1608" s="29" t="s">
        <v>1885</v>
      </c>
      <c r="E1608" s="29" t="s">
        <v>1887</v>
      </c>
      <c r="F1608" s="62"/>
      <c r="G1608" s="20" t="str">
        <f t="shared" si="1"/>
        <v>Electronics, Electronics Accessories, Signal Jammers, Mobile Phone Jammers</v>
      </c>
    </row>
    <row r="1609" hidden="1">
      <c r="A1609" s="29">
        <v>5589.0</v>
      </c>
      <c r="B1609" s="29" t="s">
        <v>1575</v>
      </c>
      <c r="C1609" s="29" t="s">
        <v>1734</v>
      </c>
      <c r="D1609" s="29" t="s">
        <v>1885</v>
      </c>
      <c r="E1609" s="29" t="s">
        <v>1888</v>
      </c>
      <c r="F1609" s="62"/>
      <c r="G1609" s="20" t="str">
        <f t="shared" si="1"/>
        <v>Electronics, Electronics Accessories, Signal Jammers, Radar Jammers</v>
      </c>
    </row>
    <row r="1610" hidden="1">
      <c r="A1610" s="29">
        <v>3895.0</v>
      </c>
      <c r="B1610" s="29" t="s">
        <v>1575</v>
      </c>
      <c r="C1610" s="29" t="s">
        <v>1889</v>
      </c>
      <c r="D1610" s="62"/>
      <c r="E1610" s="62"/>
      <c r="F1610" s="62"/>
      <c r="G1610" s="20" t="str">
        <f t="shared" si="1"/>
        <v>Electronics, GPS Accessories, , </v>
      </c>
    </row>
    <row r="1611" hidden="1">
      <c r="A1611" s="29">
        <v>3781.0</v>
      </c>
      <c r="B1611" s="29" t="s">
        <v>1575</v>
      </c>
      <c r="C1611" s="29" t="s">
        <v>1889</v>
      </c>
      <c r="D1611" s="29" t="s">
        <v>1890</v>
      </c>
      <c r="E1611" s="62"/>
      <c r="F1611" s="62"/>
      <c r="G1611" s="20" t="str">
        <f t="shared" si="1"/>
        <v>Electronics, GPS Accessories, GPS Cases, </v>
      </c>
    </row>
    <row r="1612" hidden="1">
      <c r="A1612" s="29">
        <v>3213.0</v>
      </c>
      <c r="B1612" s="29" t="s">
        <v>1575</v>
      </c>
      <c r="C1612" s="29" t="s">
        <v>1889</v>
      </c>
      <c r="D1612" s="29" t="s">
        <v>1891</v>
      </c>
      <c r="E1612" s="62"/>
      <c r="F1612" s="62"/>
      <c r="G1612" s="20" t="str">
        <f t="shared" si="1"/>
        <v>Electronics, GPS Accessories, GPS Mounts, </v>
      </c>
    </row>
    <row r="1613" hidden="1">
      <c r="A1613" s="29">
        <v>339.0</v>
      </c>
      <c r="B1613" s="29" t="s">
        <v>1575</v>
      </c>
      <c r="C1613" s="29" t="s">
        <v>1892</v>
      </c>
      <c r="D1613" s="62"/>
      <c r="E1613" s="62"/>
      <c r="F1613" s="62"/>
      <c r="G1613" s="20" t="str">
        <f t="shared" si="1"/>
        <v>Electronics, GPS Navigation Systems, , </v>
      </c>
    </row>
    <row r="1614" hidden="1">
      <c r="A1614" s="29">
        <v>6544.0</v>
      </c>
      <c r="B1614" s="29" t="s">
        <v>1575</v>
      </c>
      <c r="C1614" s="29" t="s">
        <v>1893</v>
      </c>
      <c r="D1614" s="62"/>
      <c r="E1614" s="62"/>
      <c r="F1614" s="62"/>
      <c r="G1614" s="20" t="str">
        <f t="shared" si="1"/>
        <v>Electronics, GPS Tracking Devices, , </v>
      </c>
    </row>
    <row r="1615" hidden="1">
      <c r="A1615" s="29">
        <v>340.0</v>
      </c>
      <c r="B1615" s="29" t="s">
        <v>1575</v>
      </c>
      <c r="C1615" s="29" t="s">
        <v>1894</v>
      </c>
      <c r="D1615" s="62"/>
      <c r="E1615" s="62"/>
      <c r="F1615" s="62"/>
      <c r="G1615" s="20" t="str">
        <f t="shared" si="1"/>
        <v>Electronics, Marine Electronics, , </v>
      </c>
    </row>
    <row r="1616" hidden="1">
      <c r="A1616" s="29">
        <v>1550.0</v>
      </c>
      <c r="B1616" s="29" t="s">
        <v>1575</v>
      </c>
      <c r="C1616" s="29" t="s">
        <v>1894</v>
      </c>
      <c r="D1616" s="29" t="s">
        <v>1895</v>
      </c>
      <c r="E1616" s="62"/>
      <c r="F1616" s="62"/>
      <c r="G1616" s="20" t="str">
        <f t="shared" si="1"/>
        <v>Electronics, Marine Electronics, Fish Finders, </v>
      </c>
    </row>
    <row r="1617" hidden="1">
      <c r="A1617" s="29">
        <v>8134.0</v>
      </c>
      <c r="B1617" s="29" t="s">
        <v>1575</v>
      </c>
      <c r="C1617" s="29" t="s">
        <v>1894</v>
      </c>
      <c r="D1617" s="29" t="s">
        <v>1896</v>
      </c>
      <c r="F1617" s="62"/>
      <c r="G1617" s="20" t="str">
        <f t="shared" si="1"/>
        <v>Electronics, Marine Electronics, Marine Audio &amp; Video Receivers, </v>
      </c>
    </row>
    <row r="1618" hidden="1">
      <c r="A1618" s="29">
        <v>2178.0</v>
      </c>
      <c r="B1618" s="29" t="s">
        <v>1575</v>
      </c>
      <c r="C1618" s="29" t="s">
        <v>1894</v>
      </c>
      <c r="D1618" s="29" t="s">
        <v>1897</v>
      </c>
      <c r="F1618" s="62"/>
      <c r="G1618" s="20" t="str">
        <f t="shared" si="1"/>
        <v>Electronics, Marine Electronics, Marine Chartplotters &amp; GPS, </v>
      </c>
    </row>
    <row r="1619" hidden="1">
      <c r="A1619" s="29">
        <v>1552.0</v>
      </c>
      <c r="B1619" s="29" t="s">
        <v>1575</v>
      </c>
      <c r="C1619" s="29" t="s">
        <v>1894</v>
      </c>
      <c r="D1619" s="29" t="s">
        <v>1898</v>
      </c>
      <c r="E1619" s="62"/>
      <c r="F1619" s="62"/>
      <c r="G1619" s="20" t="str">
        <f t="shared" si="1"/>
        <v>Electronics, Marine Electronics, Marine Radar, </v>
      </c>
    </row>
    <row r="1620" hidden="1">
      <c r="A1620" s="29">
        <v>4450.0</v>
      </c>
      <c r="B1620" s="29" t="s">
        <v>1575</v>
      </c>
      <c r="C1620" s="29" t="s">
        <v>1894</v>
      </c>
      <c r="D1620" s="29" t="s">
        <v>1899</v>
      </c>
      <c r="E1620" s="62"/>
      <c r="F1620" s="62"/>
      <c r="G1620" s="20" t="str">
        <f t="shared" si="1"/>
        <v>Electronics, Marine Electronics, Marine Radios, </v>
      </c>
    </row>
    <row r="1621" hidden="1">
      <c r="A1621" s="29">
        <v>8473.0</v>
      </c>
      <c r="B1621" s="29" t="s">
        <v>1575</v>
      </c>
      <c r="C1621" s="29" t="s">
        <v>1894</v>
      </c>
      <c r="D1621" s="29" t="s">
        <v>1900</v>
      </c>
      <c r="E1621" s="62"/>
      <c r="F1621" s="62"/>
      <c r="G1621" s="20" t="str">
        <f t="shared" si="1"/>
        <v>Electronics, Marine Electronics, Marine Speakers, </v>
      </c>
    </row>
    <row r="1622" hidden="1">
      <c r="A1622" s="29">
        <v>342.0</v>
      </c>
      <c r="B1622" s="29" t="s">
        <v>1575</v>
      </c>
      <c r="C1622" s="29" t="s">
        <v>1901</v>
      </c>
      <c r="D1622" s="62"/>
      <c r="E1622" s="62"/>
      <c r="F1622" s="62"/>
      <c r="G1622" s="20" t="str">
        <f t="shared" si="1"/>
        <v>Electronics, Networking, , </v>
      </c>
    </row>
    <row r="1623" hidden="1">
      <c r="A1623" s="29">
        <v>1350.0</v>
      </c>
      <c r="B1623" s="29" t="s">
        <v>1575</v>
      </c>
      <c r="C1623" s="29" t="s">
        <v>1901</v>
      </c>
      <c r="D1623" s="29" t="s">
        <v>1902</v>
      </c>
      <c r="E1623" s="62"/>
      <c r="F1623" s="62"/>
      <c r="G1623" s="20" t="str">
        <f t="shared" si="1"/>
        <v>Electronics, Networking, Bridges &amp; Routers, </v>
      </c>
    </row>
    <row r="1624" hidden="1">
      <c r="A1624" s="29">
        <v>5659.0</v>
      </c>
      <c r="B1624" s="29" t="s">
        <v>1575</v>
      </c>
      <c r="C1624" s="29" t="s">
        <v>1901</v>
      </c>
      <c r="D1624" s="29" t="s">
        <v>1902</v>
      </c>
      <c r="E1624" s="29" t="s">
        <v>1903</v>
      </c>
      <c r="F1624" s="62"/>
      <c r="G1624" s="20" t="str">
        <f t="shared" si="1"/>
        <v>Electronics, Networking, Bridges &amp; Routers, Network Bridges</v>
      </c>
    </row>
    <row r="1625" hidden="1">
      <c r="A1625" s="29">
        <v>2358.0</v>
      </c>
      <c r="B1625" s="29" t="s">
        <v>1575</v>
      </c>
      <c r="C1625" s="29" t="s">
        <v>1901</v>
      </c>
      <c r="D1625" s="29" t="s">
        <v>1902</v>
      </c>
      <c r="E1625" s="29" t="s">
        <v>1904</v>
      </c>
      <c r="F1625" s="62"/>
      <c r="G1625" s="20" t="str">
        <f t="shared" si="1"/>
        <v>Electronics, Networking, Bridges &amp; Routers, VoIP Gateways &amp; Routers</v>
      </c>
    </row>
    <row r="1626" hidden="1">
      <c r="A1626" s="29">
        <v>5496.0</v>
      </c>
      <c r="B1626" s="29" t="s">
        <v>1575</v>
      </c>
      <c r="C1626" s="29" t="s">
        <v>1901</v>
      </c>
      <c r="D1626" s="29" t="s">
        <v>1902</v>
      </c>
      <c r="E1626" s="29" t="s">
        <v>1905</v>
      </c>
      <c r="F1626" s="62"/>
      <c r="G1626" s="20" t="str">
        <f t="shared" si="1"/>
        <v>Electronics, Networking, Bridges &amp; Routers, Wireless Access Points</v>
      </c>
    </row>
    <row r="1627" hidden="1">
      <c r="A1627" s="29">
        <v>5497.0</v>
      </c>
      <c r="B1627" s="29" t="s">
        <v>1575</v>
      </c>
      <c r="C1627" s="29" t="s">
        <v>1901</v>
      </c>
      <c r="D1627" s="29" t="s">
        <v>1902</v>
      </c>
      <c r="E1627" s="29" t="s">
        <v>1906</v>
      </c>
      <c r="F1627" s="62"/>
      <c r="G1627" s="20" t="str">
        <f t="shared" si="1"/>
        <v>Electronics, Networking, Bridges &amp; Routers, Wireless Routers</v>
      </c>
    </row>
    <row r="1628" hidden="1">
      <c r="A1628" s="29">
        <v>2479.0</v>
      </c>
      <c r="B1628" s="29" t="s">
        <v>1575</v>
      </c>
      <c r="C1628" s="29" t="s">
        <v>1901</v>
      </c>
      <c r="D1628" s="29" t="s">
        <v>1907</v>
      </c>
      <c r="F1628" s="62"/>
      <c r="G1628" s="20" t="str">
        <f t="shared" si="1"/>
        <v>Electronics, Networking, Concentrators &amp; Multiplexers, </v>
      </c>
    </row>
    <row r="1629" hidden="1">
      <c r="A1629" s="29">
        <v>2455.0</v>
      </c>
      <c r="B1629" s="29" t="s">
        <v>1575</v>
      </c>
      <c r="C1629" s="29" t="s">
        <v>1901</v>
      </c>
      <c r="D1629" s="29" t="s">
        <v>1908</v>
      </c>
      <c r="E1629" s="62"/>
      <c r="F1629" s="62"/>
      <c r="G1629" s="20" t="str">
        <f t="shared" si="1"/>
        <v>Electronics, Networking, Hubs &amp; Switches, </v>
      </c>
    </row>
    <row r="1630" hidden="1">
      <c r="A1630" s="29">
        <v>5576.0</v>
      </c>
      <c r="B1630" s="29" t="s">
        <v>1575</v>
      </c>
      <c r="C1630" s="29" t="s">
        <v>1901</v>
      </c>
      <c r="D1630" s="29" t="s">
        <v>1909</v>
      </c>
      <c r="E1630" s="62"/>
      <c r="F1630" s="62"/>
      <c r="G1630" s="20" t="str">
        <f t="shared" si="1"/>
        <v>Electronics, Networking, Modem Accessories, </v>
      </c>
    </row>
    <row r="1631" hidden="1">
      <c r="A1631" s="29">
        <v>343.0</v>
      </c>
      <c r="B1631" s="29" t="s">
        <v>1575</v>
      </c>
      <c r="C1631" s="29" t="s">
        <v>1901</v>
      </c>
      <c r="D1631" s="29" t="s">
        <v>1910</v>
      </c>
      <c r="E1631" s="62"/>
      <c r="F1631" s="62"/>
      <c r="G1631" s="20" t="str">
        <f t="shared" si="1"/>
        <v>Electronics, Networking, Modems, </v>
      </c>
    </row>
    <row r="1632" hidden="1">
      <c r="A1632" s="29">
        <v>290.0</v>
      </c>
      <c r="B1632" s="29" t="s">
        <v>1575</v>
      </c>
      <c r="C1632" s="29" t="s">
        <v>1901</v>
      </c>
      <c r="D1632" s="29" t="s">
        <v>1911</v>
      </c>
      <c r="F1632" s="62"/>
      <c r="G1632" s="20" t="str">
        <f t="shared" si="1"/>
        <v>Electronics, Networking, Network Cards &amp; Adapters, </v>
      </c>
    </row>
    <row r="1633" hidden="1">
      <c r="A1633" s="29">
        <v>3742.0</v>
      </c>
      <c r="B1633" s="29" t="s">
        <v>1575</v>
      </c>
      <c r="C1633" s="29" t="s">
        <v>1901</v>
      </c>
      <c r="D1633" s="29" t="s">
        <v>1912</v>
      </c>
      <c r="F1633" s="62"/>
      <c r="G1633" s="20" t="str">
        <f t="shared" si="1"/>
        <v>Electronics, Networking, Network Security &amp; Firewall Devices, </v>
      </c>
    </row>
    <row r="1634" hidden="1">
      <c r="A1634" s="29">
        <v>6508.0</v>
      </c>
      <c r="B1634" s="29" t="s">
        <v>1575</v>
      </c>
      <c r="C1634" s="29" t="s">
        <v>1901</v>
      </c>
      <c r="D1634" s="29" t="s">
        <v>1913</v>
      </c>
      <c r="F1634" s="62"/>
      <c r="G1634" s="20" t="str">
        <f t="shared" si="1"/>
        <v>Electronics, Networking, Power Over Ethernet Adapters, </v>
      </c>
    </row>
    <row r="1635" hidden="1">
      <c r="A1635" s="29">
        <v>3425.0</v>
      </c>
      <c r="B1635" s="29" t="s">
        <v>1575</v>
      </c>
      <c r="C1635" s="29" t="s">
        <v>1901</v>
      </c>
      <c r="D1635" s="29" t="s">
        <v>1914</v>
      </c>
      <c r="E1635" s="62"/>
      <c r="F1635" s="62"/>
      <c r="G1635" s="20" t="str">
        <f t="shared" si="1"/>
        <v>Electronics, Networking, Print Servers, </v>
      </c>
    </row>
    <row r="1636" hidden="1">
      <c r="A1636" s="29">
        <v>2121.0</v>
      </c>
      <c r="B1636" s="29" t="s">
        <v>1575</v>
      </c>
      <c r="C1636" s="29" t="s">
        <v>1901</v>
      </c>
      <c r="D1636" s="29" t="s">
        <v>1915</v>
      </c>
      <c r="F1636" s="62"/>
      <c r="G1636" s="20" t="str">
        <f t="shared" si="1"/>
        <v>Electronics, Networking, Repeaters &amp; Transceivers, </v>
      </c>
    </row>
    <row r="1637" hidden="1">
      <c r="A1637" s="29">
        <v>345.0</v>
      </c>
      <c r="B1637" s="29" t="s">
        <v>1575</v>
      </c>
      <c r="C1637" s="29" t="s">
        <v>1916</v>
      </c>
      <c r="D1637" s="62"/>
      <c r="E1637" s="62"/>
      <c r="F1637" s="62"/>
      <c r="G1637" s="20" t="str">
        <f t="shared" si="1"/>
        <v>Electronics, Print, Copy, Scan &amp; Fax, , </v>
      </c>
    </row>
    <row r="1638" hidden="1">
      <c r="A1638" s="29">
        <v>499682.0</v>
      </c>
      <c r="B1638" s="29" t="s">
        <v>1575</v>
      </c>
      <c r="C1638" s="29" t="s">
        <v>1916</v>
      </c>
      <c r="D1638" s="29" t="s">
        <v>1917</v>
      </c>
      <c r="E1638" s="62"/>
      <c r="F1638" s="62"/>
      <c r="G1638" s="20" t="str">
        <f t="shared" si="1"/>
        <v>Electronics, Print, Copy, Scan &amp; Fax, 3D Printer Accessories, </v>
      </c>
    </row>
    <row r="1639" hidden="1">
      <c r="A1639" s="29">
        <v>6865.0</v>
      </c>
      <c r="B1639" s="29" t="s">
        <v>1575</v>
      </c>
      <c r="C1639" s="29" t="s">
        <v>1916</v>
      </c>
      <c r="D1639" s="29" t="s">
        <v>1918</v>
      </c>
      <c r="E1639" s="62"/>
      <c r="F1639" s="62"/>
      <c r="G1639" s="20" t="str">
        <f t="shared" si="1"/>
        <v>Electronics, Print, Copy, Scan &amp; Fax, 3D Printers, </v>
      </c>
    </row>
    <row r="1640" hidden="1">
      <c r="A1640" s="29">
        <v>502990.0</v>
      </c>
      <c r="B1640" s="29" t="s">
        <v>1575</v>
      </c>
      <c r="C1640" s="29" t="s">
        <v>1916</v>
      </c>
      <c r="D1640" s="29" t="s">
        <v>1919</v>
      </c>
      <c r="F1640" s="62"/>
      <c r="G1640" s="20" t="str">
        <f t="shared" si="1"/>
        <v>Electronics, Print, Copy, Scan &amp; Fax, Printer, Copier &amp; Fax Machine Accessories, </v>
      </c>
    </row>
    <row r="1641" hidden="1">
      <c r="A1641" s="29">
        <v>5258.0</v>
      </c>
      <c r="B1641" s="29" t="s">
        <v>1575</v>
      </c>
      <c r="C1641" s="29" t="s">
        <v>1916</v>
      </c>
      <c r="D1641" s="29" t="s">
        <v>1919</v>
      </c>
      <c r="E1641" s="29" t="s">
        <v>1920</v>
      </c>
      <c r="F1641" s="62"/>
      <c r="G1641" s="20" t="str">
        <f t="shared" si="1"/>
        <v>Electronics, Print, Copy, Scan &amp; Fax, Printer, Copier &amp; Fax Machine Accessories, Printer Consumables</v>
      </c>
    </row>
    <row r="1642" hidden="1">
      <c r="A1642" s="29">
        <v>5259.0</v>
      </c>
      <c r="B1642" s="29" t="s">
        <v>1575</v>
      </c>
      <c r="C1642" s="29" t="s">
        <v>1916</v>
      </c>
      <c r="D1642" s="29" t="s">
        <v>1919</v>
      </c>
      <c r="E1642" s="29" t="s">
        <v>1920</v>
      </c>
      <c r="F1642" s="29" t="s">
        <v>1921</v>
      </c>
      <c r="G1642" s="20" t="str">
        <f t="shared" si="1"/>
        <v>Electronics, Print, Copy, Scan &amp; Fax, Printer, Copier &amp; Fax Machine Accessories, Printer ConsumablesPrinter Drums &amp; Drum Kits</v>
      </c>
    </row>
    <row r="1643" hidden="1">
      <c r="A1643" s="29">
        <v>5266.0</v>
      </c>
      <c r="B1643" s="29" t="s">
        <v>1575</v>
      </c>
      <c r="C1643" s="29" t="s">
        <v>1916</v>
      </c>
      <c r="D1643" s="29" t="s">
        <v>1919</v>
      </c>
      <c r="E1643" s="29" t="s">
        <v>1920</v>
      </c>
      <c r="F1643" s="29" t="s">
        <v>1922</v>
      </c>
      <c r="G1643" s="20" t="str">
        <f t="shared" si="1"/>
        <v>Electronics, Print, Copy, Scan &amp; Fax, Printer, Copier &amp; Fax Machine Accessories, Printer ConsumablesPrinter Filters</v>
      </c>
    </row>
    <row r="1644" hidden="1">
      <c r="A1644" s="29">
        <v>5262.0</v>
      </c>
      <c r="B1644" s="29" t="s">
        <v>1575</v>
      </c>
      <c r="C1644" s="29" t="s">
        <v>1916</v>
      </c>
      <c r="D1644" s="29" t="s">
        <v>1919</v>
      </c>
      <c r="E1644" s="29" t="s">
        <v>1920</v>
      </c>
      <c r="F1644" s="29" t="s">
        <v>1923</v>
      </c>
      <c r="G1644" s="20" t="str">
        <f t="shared" si="1"/>
        <v>Electronics, Print, Copy, Scan &amp; Fax, Printer, Copier &amp; Fax Machine Accessories, Printer ConsumablesPrinter Maintenance Kits</v>
      </c>
    </row>
    <row r="1645" hidden="1">
      <c r="A1645" s="29">
        <v>5260.0</v>
      </c>
      <c r="B1645" s="29" t="s">
        <v>1575</v>
      </c>
      <c r="C1645" s="29" t="s">
        <v>1916</v>
      </c>
      <c r="D1645" s="29" t="s">
        <v>1919</v>
      </c>
      <c r="E1645" s="29" t="s">
        <v>1920</v>
      </c>
      <c r="F1645" s="29" t="s">
        <v>1924</v>
      </c>
      <c r="G1645" s="20" t="str">
        <f t="shared" si="1"/>
        <v>Electronics, Print, Copy, Scan &amp; Fax, Printer, Copier &amp; Fax Machine Accessories, Printer ConsumablesPrinter Ribbons</v>
      </c>
    </row>
    <row r="1646" hidden="1">
      <c r="A1646" s="29">
        <v>5261.0</v>
      </c>
      <c r="B1646" s="29" t="s">
        <v>1575</v>
      </c>
      <c r="C1646" s="29" t="s">
        <v>1916</v>
      </c>
      <c r="D1646" s="29" t="s">
        <v>1919</v>
      </c>
      <c r="E1646" s="29" t="s">
        <v>1920</v>
      </c>
      <c r="F1646" s="29" t="s">
        <v>1925</v>
      </c>
      <c r="G1646" s="20" t="str">
        <f t="shared" si="1"/>
        <v>Electronics, Print, Copy, Scan &amp; Fax, Printer, Copier &amp; Fax Machine Accessories, Printer ConsumablesPrintheads</v>
      </c>
    </row>
    <row r="1647" hidden="1">
      <c r="A1647" s="29">
        <v>7362.0</v>
      </c>
      <c r="B1647" s="29" t="s">
        <v>1575</v>
      </c>
      <c r="C1647" s="29" t="s">
        <v>1916</v>
      </c>
      <c r="D1647" s="29" t="s">
        <v>1919</v>
      </c>
      <c r="E1647" s="29" t="s">
        <v>1920</v>
      </c>
      <c r="F1647" s="29" t="s">
        <v>1926</v>
      </c>
      <c r="G1647" s="20" t="str">
        <f t="shared" si="1"/>
        <v>Electronics, Print, Copy, Scan &amp; Fax, Printer, Copier &amp; Fax Machine Accessories, Printer ConsumablesToner &amp; Inkjet Cartridge Refills</v>
      </c>
    </row>
    <row r="1648" hidden="1">
      <c r="A1648" s="29">
        <v>356.0</v>
      </c>
      <c r="B1648" s="29" t="s">
        <v>1575</v>
      </c>
      <c r="C1648" s="29" t="s">
        <v>1916</v>
      </c>
      <c r="D1648" s="29" t="s">
        <v>1919</v>
      </c>
      <c r="E1648" s="29" t="s">
        <v>1920</v>
      </c>
      <c r="F1648" s="29" t="s">
        <v>1927</v>
      </c>
      <c r="G1648" s="20" t="str">
        <f t="shared" si="1"/>
        <v>Electronics, Print, Copy, Scan &amp; Fax, Printer, Copier &amp; Fax Machine Accessories, Printer ConsumablesToner &amp; Inkjet Cartridges</v>
      </c>
    </row>
    <row r="1649" hidden="1">
      <c r="A1649" s="29">
        <v>5265.0</v>
      </c>
      <c r="B1649" s="29" t="s">
        <v>1575</v>
      </c>
      <c r="C1649" s="29" t="s">
        <v>1916</v>
      </c>
      <c r="D1649" s="29" t="s">
        <v>1919</v>
      </c>
      <c r="E1649" s="29" t="s">
        <v>1928</v>
      </c>
      <c r="F1649" s="62"/>
      <c r="G1649" s="20" t="str">
        <f t="shared" si="1"/>
        <v>Electronics, Print, Copy, Scan &amp; Fax, Printer, Copier &amp; Fax Machine Accessories, Printer Duplexers</v>
      </c>
    </row>
    <row r="1650" hidden="1">
      <c r="A1650" s="29">
        <v>1683.0</v>
      </c>
      <c r="B1650" s="29" t="s">
        <v>1575</v>
      </c>
      <c r="C1650" s="29" t="s">
        <v>1916</v>
      </c>
      <c r="D1650" s="29" t="s">
        <v>1919</v>
      </c>
      <c r="E1650" s="29" t="s">
        <v>1929</v>
      </c>
      <c r="F1650" s="62"/>
      <c r="G1650" s="20" t="str">
        <f t="shared" si="1"/>
        <v>Electronics, Print, Copy, Scan &amp; Fax, Printer, Copier &amp; Fax Machine Accessories, Printer Memory</v>
      </c>
    </row>
    <row r="1651" hidden="1">
      <c r="A1651" s="29">
        <v>5459.0</v>
      </c>
      <c r="B1651" s="29" t="s">
        <v>1575</v>
      </c>
      <c r="C1651" s="29" t="s">
        <v>1916</v>
      </c>
      <c r="D1651" s="29" t="s">
        <v>1919</v>
      </c>
      <c r="E1651" s="29" t="s">
        <v>1930</v>
      </c>
      <c r="F1651" s="62"/>
      <c r="G1651" s="20" t="str">
        <f t="shared" si="1"/>
        <v>Electronics, Print, Copy, Scan &amp; Fax, Printer, Copier &amp; Fax Machine Accessories, Printer Stands</v>
      </c>
    </row>
    <row r="1652" hidden="1">
      <c r="A1652" s="29">
        <v>502991.0</v>
      </c>
      <c r="B1652" s="29" t="s">
        <v>1575</v>
      </c>
      <c r="C1652" s="29" t="s">
        <v>1916</v>
      </c>
      <c r="D1652" s="29" t="s">
        <v>1919</v>
      </c>
      <c r="E1652" s="29" t="s">
        <v>1931</v>
      </c>
      <c r="G1652" s="20" t="str">
        <f t="shared" si="1"/>
        <v>Electronics, Print, Copy, Scan &amp; Fax, Printer, Copier &amp; Fax Machine Accessories, Printer, Copier &amp; Fax Machine Replacement Parts</v>
      </c>
    </row>
    <row r="1653" hidden="1">
      <c r="A1653" s="29">
        <v>500106.0</v>
      </c>
      <c r="B1653" s="29" t="s">
        <v>1575</v>
      </c>
      <c r="C1653" s="29" t="s">
        <v>1916</v>
      </c>
      <c r="D1653" s="29" t="s">
        <v>1932</v>
      </c>
      <c r="F1653" s="62"/>
      <c r="G1653" s="20" t="str">
        <f t="shared" si="1"/>
        <v>Electronics, Print, Copy, Scan &amp; Fax, Printers, Copiers &amp; Fax Machines, </v>
      </c>
    </row>
    <row r="1654" hidden="1">
      <c r="A1654" s="29">
        <v>284.0</v>
      </c>
      <c r="B1654" s="29" t="s">
        <v>1575</v>
      </c>
      <c r="C1654" s="29" t="s">
        <v>1916</v>
      </c>
      <c r="D1654" s="29" t="s">
        <v>1933</v>
      </c>
      <c r="E1654" s="62"/>
      <c r="F1654" s="62"/>
      <c r="G1654" s="20" t="str">
        <f t="shared" si="1"/>
        <v>Electronics, Print, Copy, Scan &amp; Fax, Scanner Accessories, </v>
      </c>
    </row>
    <row r="1655" hidden="1">
      <c r="A1655" s="29">
        <v>306.0</v>
      </c>
      <c r="B1655" s="29" t="s">
        <v>1575</v>
      </c>
      <c r="C1655" s="29" t="s">
        <v>1916</v>
      </c>
      <c r="D1655" s="29" t="s">
        <v>1934</v>
      </c>
      <c r="E1655" s="62"/>
      <c r="F1655" s="62"/>
      <c r="G1655" s="20" t="str">
        <f t="shared" si="1"/>
        <v>Electronics, Print, Copy, Scan &amp; Fax, Scanners, </v>
      </c>
    </row>
    <row r="1656" hidden="1">
      <c r="A1656" s="29">
        <v>912.0</v>
      </c>
      <c r="B1656" s="29" t="s">
        <v>1575</v>
      </c>
      <c r="C1656" s="29" t="s">
        <v>1935</v>
      </c>
      <c r="D1656" s="62"/>
      <c r="E1656" s="62"/>
      <c r="F1656" s="62"/>
      <c r="G1656" s="20" t="str">
        <f t="shared" si="1"/>
        <v>Electronics, Radar Detectors, , </v>
      </c>
    </row>
    <row r="1657" hidden="1">
      <c r="A1657" s="29">
        <v>500091.0</v>
      </c>
      <c r="B1657" s="29" t="s">
        <v>1575</v>
      </c>
      <c r="C1657" s="29" t="s">
        <v>1936</v>
      </c>
      <c r="D1657" s="62"/>
      <c r="E1657" s="62"/>
      <c r="F1657" s="62"/>
      <c r="G1657" s="20" t="str">
        <f t="shared" si="1"/>
        <v>Electronics, Speed Radars, , </v>
      </c>
    </row>
    <row r="1658" hidden="1">
      <c r="A1658" s="29">
        <v>4488.0</v>
      </c>
      <c r="B1658" s="29" t="s">
        <v>1575</v>
      </c>
      <c r="C1658" s="29" t="s">
        <v>1937</v>
      </c>
      <c r="D1658" s="62"/>
      <c r="E1658" s="62"/>
      <c r="F1658" s="62"/>
      <c r="G1658" s="20" t="str">
        <f t="shared" si="1"/>
        <v>Electronics, Toll Collection Devices, , </v>
      </c>
    </row>
    <row r="1659" hidden="1">
      <c r="A1659" s="29">
        <v>386.0</v>
      </c>
      <c r="B1659" s="29" t="s">
        <v>1575</v>
      </c>
      <c r="C1659" s="29" t="s">
        <v>1938</v>
      </c>
      <c r="D1659" s="62"/>
      <c r="E1659" s="62"/>
      <c r="F1659" s="62"/>
      <c r="G1659" s="20" t="str">
        <f t="shared" si="1"/>
        <v>Electronics, Video, , </v>
      </c>
    </row>
    <row r="1660" hidden="1">
      <c r="A1660" s="29">
        <v>305.0</v>
      </c>
      <c r="B1660" s="29" t="s">
        <v>1575</v>
      </c>
      <c r="C1660" s="29" t="s">
        <v>1938</v>
      </c>
      <c r="D1660" s="29" t="s">
        <v>1939</v>
      </c>
      <c r="E1660" s="62"/>
      <c r="F1660" s="62"/>
      <c r="G1660" s="20" t="str">
        <f t="shared" si="1"/>
        <v>Electronics, Video, Computer Monitors, </v>
      </c>
    </row>
    <row r="1661" hidden="1">
      <c r="A1661" s="29">
        <v>396.0</v>
      </c>
      <c r="B1661" s="29" t="s">
        <v>1575</v>
      </c>
      <c r="C1661" s="29" t="s">
        <v>1938</v>
      </c>
      <c r="D1661" s="29" t="s">
        <v>1940</v>
      </c>
      <c r="E1661" s="62"/>
      <c r="F1661" s="62"/>
      <c r="G1661" s="20" t="str">
        <f t="shared" si="1"/>
        <v>Electronics, Video, Projectors, </v>
      </c>
    </row>
    <row r="1662" hidden="1">
      <c r="A1662" s="29">
        <v>397.0</v>
      </c>
      <c r="B1662" s="29" t="s">
        <v>1575</v>
      </c>
      <c r="C1662" s="29" t="s">
        <v>1938</v>
      </c>
      <c r="D1662" s="29" t="s">
        <v>1940</v>
      </c>
      <c r="E1662" s="29" t="s">
        <v>1941</v>
      </c>
      <c r="F1662" s="62"/>
      <c r="G1662" s="20" t="str">
        <f t="shared" si="1"/>
        <v>Electronics, Video, Projectors, Multimedia Projectors</v>
      </c>
    </row>
    <row r="1663" hidden="1">
      <c r="A1663" s="29">
        <v>398.0</v>
      </c>
      <c r="B1663" s="29" t="s">
        <v>1575</v>
      </c>
      <c r="C1663" s="29" t="s">
        <v>1938</v>
      </c>
      <c r="D1663" s="29" t="s">
        <v>1940</v>
      </c>
      <c r="E1663" s="29" t="s">
        <v>1942</v>
      </c>
      <c r="F1663" s="62"/>
      <c r="G1663" s="20" t="str">
        <f t="shared" si="1"/>
        <v>Electronics, Video, Projectors, Overhead Projectors</v>
      </c>
    </row>
    <row r="1664" hidden="1">
      <c r="A1664" s="29">
        <v>399.0</v>
      </c>
      <c r="B1664" s="29" t="s">
        <v>1575</v>
      </c>
      <c r="C1664" s="29" t="s">
        <v>1938</v>
      </c>
      <c r="D1664" s="29" t="s">
        <v>1940</v>
      </c>
      <c r="E1664" s="29" t="s">
        <v>1943</v>
      </c>
      <c r="F1664" s="62"/>
      <c r="G1664" s="20" t="str">
        <f t="shared" si="1"/>
        <v>Electronics, Video, Projectors, Slide Projectors</v>
      </c>
    </row>
    <row r="1665" hidden="1">
      <c r="A1665" s="29">
        <v>5561.0</v>
      </c>
      <c r="B1665" s="29" t="s">
        <v>1575</v>
      </c>
      <c r="C1665" s="29" t="s">
        <v>1938</v>
      </c>
      <c r="D1665" s="29" t="s">
        <v>1944</v>
      </c>
      <c r="E1665" s="62"/>
      <c r="F1665" s="62"/>
      <c r="G1665" s="20" t="str">
        <f t="shared" si="1"/>
        <v>Electronics, Video, Satellite &amp; Cable TV, </v>
      </c>
    </row>
    <row r="1666" hidden="1">
      <c r="A1666" s="29">
        <v>5562.0</v>
      </c>
      <c r="B1666" s="29" t="s">
        <v>1575</v>
      </c>
      <c r="C1666" s="29" t="s">
        <v>1938</v>
      </c>
      <c r="D1666" s="29" t="s">
        <v>1944</v>
      </c>
      <c r="E1666" s="29" t="s">
        <v>1945</v>
      </c>
      <c r="F1666" s="62"/>
      <c r="G1666" s="20" t="str">
        <f t="shared" si="1"/>
        <v>Electronics, Video, Satellite &amp; Cable TV, Cable TV Receivers</v>
      </c>
    </row>
    <row r="1667" hidden="1">
      <c r="A1667" s="29">
        <v>401.0</v>
      </c>
      <c r="B1667" s="29" t="s">
        <v>1575</v>
      </c>
      <c r="C1667" s="29" t="s">
        <v>1938</v>
      </c>
      <c r="D1667" s="29" t="s">
        <v>1944</v>
      </c>
      <c r="E1667" s="29" t="s">
        <v>1946</v>
      </c>
      <c r="F1667" s="62"/>
      <c r="G1667" s="20" t="str">
        <f t="shared" si="1"/>
        <v>Electronics, Video, Satellite &amp; Cable TV, Satellite Receivers</v>
      </c>
    </row>
    <row r="1668" hidden="1">
      <c r="A1668" s="29">
        <v>404.0</v>
      </c>
      <c r="B1668" s="29" t="s">
        <v>1575</v>
      </c>
      <c r="C1668" s="29" t="s">
        <v>1938</v>
      </c>
      <c r="D1668" s="29" t="s">
        <v>1947</v>
      </c>
      <c r="E1668" s="62"/>
      <c r="F1668" s="62"/>
      <c r="G1668" s="20" t="str">
        <f t="shared" si="1"/>
        <v>Electronics, Video, Televisions, </v>
      </c>
    </row>
    <row r="1669" hidden="1">
      <c r="A1669" s="29">
        <v>2027.0</v>
      </c>
      <c r="B1669" s="29" t="s">
        <v>1575</v>
      </c>
      <c r="C1669" s="29" t="s">
        <v>1938</v>
      </c>
      <c r="D1669" s="29" t="s">
        <v>1948</v>
      </c>
      <c r="E1669" s="62"/>
      <c r="F1669" s="62"/>
      <c r="G1669" s="20" t="str">
        <f t="shared" si="1"/>
        <v>Electronics, Video, Video Accessories, </v>
      </c>
    </row>
    <row r="1670" hidden="1">
      <c r="A1670" s="29">
        <v>4760.0</v>
      </c>
      <c r="B1670" s="29" t="s">
        <v>1575</v>
      </c>
      <c r="C1670" s="29" t="s">
        <v>1938</v>
      </c>
      <c r="D1670" s="29" t="s">
        <v>1948</v>
      </c>
      <c r="E1670" s="29" t="s">
        <v>1949</v>
      </c>
      <c r="F1670" s="62"/>
      <c r="G1670" s="20" t="str">
        <f t="shared" si="1"/>
        <v>Electronics, Video, Video Accessories, 3D Glasses</v>
      </c>
    </row>
    <row r="1671" hidden="1">
      <c r="A1671" s="29">
        <v>283.0</v>
      </c>
      <c r="B1671" s="29" t="s">
        <v>1575</v>
      </c>
      <c r="C1671" s="29" t="s">
        <v>1938</v>
      </c>
      <c r="D1671" s="29" t="s">
        <v>1948</v>
      </c>
      <c r="E1671" s="29" t="s">
        <v>1950</v>
      </c>
      <c r="F1671" s="62"/>
      <c r="G1671" s="20" t="str">
        <f t="shared" si="1"/>
        <v>Electronics, Video, Video Accessories, Computer Monitor Accessories</v>
      </c>
    </row>
    <row r="1672" hidden="1">
      <c r="A1672" s="29">
        <v>5516.0</v>
      </c>
      <c r="B1672" s="29" t="s">
        <v>1575</v>
      </c>
      <c r="C1672" s="29" t="s">
        <v>1938</v>
      </c>
      <c r="D1672" s="29" t="s">
        <v>1948</v>
      </c>
      <c r="E1672" s="29" t="s">
        <v>1950</v>
      </c>
      <c r="F1672" s="29" t="s">
        <v>1951</v>
      </c>
      <c r="G1672" s="20" t="str">
        <f t="shared" si="1"/>
        <v>Electronics, Video, Video Accessories, Computer Monitor AccessoriesColor Calibrators</v>
      </c>
    </row>
    <row r="1673" hidden="1">
      <c r="A1673" s="29">
        <v>393.0</v>
      </c>
      <c r="B1673" s="29" t="s">
        <v>1575</v>
      </c>
      <c r="C1673" s="29" t="s">
        <v>1938</v>
      </c>
      <c r="D1673" s="29" t="s">
        <v>1948</v>
      </c>
      <c r="E1673" s="29" t="s">
        <v>1952</v>
      </c>
      <c r="F1673" s="62"/>
      <c r="G1673" s="20" t="str">
        <f t="shared" si="1"/>
        <v>Electronics, Video, Video Accessories, Projector Accessories</v>
      </c>
    </row>
    <row r="1674" hidden="1">
      <c r="A1674" s="29">
        <v>5599.0</v>
      </c>
      <c r="B1674" s="29" t="s">
        <v>1575</v>
      </c>
      <c r="C1674" s="29" t="s">
        <v>1938</v>
      </c>
      <c r="D1674" s="29" t="s">
        <v>1948</v>
      </c>
      <c r="E1674" s="29" t="s">
        <v>1952</v>
      </c>
      <c r="F1674" s="29" t="s">
        <v>1953</v>
      </c>
      <c r="G1674" s="20" t="str">
        <f t="shared" si="1"/>
        <v>Electronics, Video, Video Accessories, Projector AccessoriesProjection &amp; Tripod Skirts</v>
      </c>
    </row>
    <row r="1675" hidden="1">
      <c r="A1675" s="29">
        <v>4570.0</v>
      </c>
      <c r="B1675" s="29" t="s">
        <v>1575</v>
      </c>
      <c r="C1675" s="29" t="s">
        <v>1938</v>
      </c>
      <c r="D1675" s="29" t="s">
        <v>1948</v>
      </c>
      <c r="E1675" s="29" t="s">
        <v>1952</v>
      </c>
      <c r="F1675" s="29" t="s">
        <v>1954</v>
      </c>
      <c r="G1675" s="20" t="str">
        <f t="shared" si="1"/>
        <v>Electronics, Video, Video Accessories, Projector AccessoriesProjection Screen Stands</v>
      </c>
    </row>
    <row r="1676" hidden="1">
      <c r="A1676" s="29">
        <v>395.0</v>
      </c>
      <c r="B1676" s="29" t="s">
        <v>1575</v>
      </c>
      <c r="C1676" s="29" t="s">
        <v>1938</v>
      </c>
      <c r="D1676" s="29" t="s">
        <v>1948</v>
      </c>
      <c r="E1676" s="29" t="s">
        <v>1952</v>
      </c>
      <c r="F1676" s="29" t="s">
        <v>1955</v>
      </c>
      <c r="G1676" s="20" t="str">
        <f t="shared" si="1"/>
        <v>Electronics, Video, Video Accessories, Projector AccessoriesProjection Screens</v>
      </c>
    </row>
    <row r="1677" hidden="1">
      <c r="A1677" s="29">
        <v>5257.0</v>
      </c>
      <c r="B1677" s="29" t="s">
        <v>1575</v>
      </c>
      <c r="C1677" s="29" t="s">
        <v>1938</v>
      </c>
      <c r="D1677" s="29" t="s">
        <v>1948</v>
      </c>
      <c r="E1677" s="29" t="s">
        <v>1952</v>
      </c>
      <c r="F1677" s="29" t="s">
        <v>1956</v>
      </c>
      <c r="G1677" s="20" t="str">
        <f t="shared" si="1"/>
        <v>Electronics, Video, Video Accessories, Projector AccessoriesProjector Mounts</v>
      </c>
    </row>
    <row r="1678" hidden="1">
      <c r="A1678" s="29">
        <v>394.0</v>
      </c>
      <c r="B1678" s="29" t="s">
        <v>1575</v>
      </c>
      <c r="C1678" s="29" t="s">
        <v>1938</v>
      </c>
      <c r="D1678" s="29" t="s">
        <v>1948</v>
      </c>
      <c r="E1678" s="29" t="s">
        <v>1952</v>
      </c>
      <c r="F1678" s="29" t="s">
        <v>1957</v>
      </c>
      <c r="G1678" s="20" t="str">
        <f t="shared" si="1"/>
        <v>Electronics, Video, Video Accessories, Projector AccessoriesProjector Replacement Lamps</v>
      </c>
    </row>
    <row r="1679" hidden="1">
      <c r="A1679" s="29">
        <v>2145.0</v>
      </c>
      <c r="B1679" s="29" t="s">
        <v>1575</v>
      </c>
      <c r="C1679" s="29" t="s">
        <v>1938</v>
      </c>
      <c r="D1679" s="29" t="s">
        <v>1948</v>
      </c>
      <c r="E1679" s="29" t="s">
        <v>1958</v>
      </c>
      <c r="F1679" s="62"/>
      <c r="G1679" s="20" t="str">
        <f t="shared" si="1"/>
        <v>Electronics, Video, Video Accessories, Rewinders</v>
      </c>
    </row>
    <row r="1680" hidden="1">
      <c r="A1680" s="29">
        <v>403.0</v>
      </c>
      <c r="B1680" s="29" t="s">
        <v>1575</v>
      </c>
      <c r="C1680" s="29" t="s">
        <v>1938</v>
      </c>
      <c r="D1680" s="29" t="s">
        <v>1948</v>
      </c>
      <c r="E1680" s="29" t="s">
        <v>1959</v>
      </c>
      <c r="F1680" s="62"/>
      <c r="G1680" s="20" t="str">
        <f t="shared" si="1"/>
        <v>Electronics, Video, Video Accessories, Television Parts &amp; Accessories</v>
      </c>
    </row>
    <row r="1681" hidden="1">
      <c r="A1681" s="29">
        <v>4458.0</v>
      </c>
      <c r="B1681" s="29" t="s">
        <v>1575</v>
      </c>
      <c r="C1681" s="29" t="s">
        <v>1938</v>
      </c>
      <c r="D1681" s="29" t="s">
        <v>1948</v>
      </c>
      <c r="E1681" s="29" t="s">
        <v>1959</v>
      </c>
      <c r="F1681" s="29" t="s">
        <v>1960</v>
      </c>
      <c r="G1681" s="20" t="str">
        <f t="shared" si="1"/>
        <v>Electronics, Video, Video Accessories, Television Parts &amp; AccessoriesTV &amp; Monitor Mounts</v>
      </c>
    </row>
    <row r="1682" hidden="1">
      <c r="A1682" s="29">
        <v>5503.0</v>
      </c>
      <c r="B1682" s="29" t="s">
        <v>1575</v>
      </c>
      <c r="C1682" s="29" t="s">
        <v>1938</v>
      </c>
      <c r="D1682" s="29" t="s">
        <v>1948</v>
      </c>
      <c r="E1682" s="29" t="s">
        <v>1959</v>
      </c>
      <c r="F1682" s="29" t="s">
        <v>1961</v>
      </c>
      <c r="G1682" s="20" t="str">
        <f t="shared" si="1"/>
        <v>Electronics, Video, Video Accessories, Television Parts &amp; AccessoriesTV Converter Boxes</v>
      </c>
    </row>
    <row r="1683" hidden="1">
      <c r="A1683" s="29">
        <v>5471.0</v>
      </c>
      <c r="B1683" s="29" t="s">
        <v>1575</v>
      </c>
      <c r="C1683" s="29" t="s">
        <v>1938</v>
      </c>
      <c r="D1683" s="29" t="s">
        <v>1948</v>
      </c>
      <c r="E1683" s="29" t="s">
        <v>1959</v>
      </c>
      <c r="F1683" s="29" t="s">
        <v>1962</v>
      </c>
      <c r="G1683" s="20" t="str">
        <f t="shared" si="1"/>
        <v>Electronics, Video, Video Accessories, Television Parts &amp; AccessoriesTV Replacement Lamps</v>
      </c>
    </row>
    <row r="1684" hidden="1">
      <c r="A1684" s="29">
        <v>43616.0</v>
      </c>
      <c r="B1684" s="29" t="s">
        <v>1575</v>
      </c>
      <c r="C1684" s="29" t="s">
        <v>1938</v>
      </c>
      <c r="D1684" s="29" t="s">
        <v>1948</v>
      </c>
      <c r="E1684" s="29" t="s">
        <v>1959</v>
      </c>
      <c r="F1684" s="29" t="s">
        <v>1963</v>
      </c>
      <c r="G1684" s="20" t="str">
        <f t="shared" si="1"/>
        <v>Electronics, Video, Video Accessories, Television Parts &amp; AccessoriesTV Replacement Speakers</v>
      </c>
    </row>
    <row r="1685" hidden="1">
      <c r="A1685" s="29">
        <v>1368.0</v>
      </c>
      <c r="B1685" s="29" t="s">
        <v>1575</v>
      </c>
      <c r="C1685" s="29" t="s">
        <v>1938</v>
      </c>
      <c r="D1685" s="29" t="s">
        <v>1964</v>
      </c>
      <c r="F1685" s="62"/>
      <c r="G1685" s="20" t="str">
        <f t="shared" si="1"/>
        <v>Electronics, Video, Video Editing Hardware &amp; Production Equipment, </v>
      </c>
    </row>
    <row r="1686" hidden="1">
      <c r="A1686" s="29">
        <v>1634.0</v>
      </c>
      <c r="B1686" s="29" t="s">
        <v>1575</v>
      </c>
      <c r="C1686" s="29" t="s">
        <v>1938</v>
      </c>
      <c r="D1686" s="29" t="s">
        <v>1965</v>
      </c>
      <c r="E1686" s="62"/>
      <c r="F1686" s="62"/>
      <c r="G1686" s="20" t="str">
        <f t="shared" si="1"/>
        <v>Electronics, Video, Video Multiplexers, </v>
      </c>
    </row>
    <row r="1687" hidden="1">
      <c r="A1687" s="29">
        <v>387.0</v>
      </c>
      <c r="B1687" s="29" t="s">
        <v>1575</v>
      </c>
      <c r="C1687" s="29" t="s">
        <v>1938</v>
      </c>
      <c r="D1687" s="29" t="s">
        <v>1966</v>
      </c>
      <c r="F1687" s="62"/>
      <c r="G1687" s="20" t="str">
        <f t="shared" si="1"/>
        <v>Electronics, Video, Video Players &amp; Recorders, </v>
      </c>
    </row>
    <row r="1688" hidden="1">
      <c r="A1688" s="29">
        <v>388.0</v>
      </c>
      <c r="B1688" s="29" t="s">
        <v>1575</v>
      </c>
      <c r="C1688" s="29" t="s">
        <v>1938</v>
      </c>
      <c r="D1688" s="29" t="s">
        <v>1966</v>
      </c>
      <c r="E1688" s="29" t="s">
        <v>1967</v>
      </c>
      <c r="F1688" s="62"/>
      <c r="G1688" s="20" t="str">
        <f t="shared" si="1"/>
        <v>Electronics, Video, Video Players &amp; Recorders, DVD &amp; Blu-ray Players</v>
      </c>
    </row>
    <row r="1689" hidden="1">
      <c r="A1689" s="29">
        <v>389.0</v>
      </c>
      <c r="B1689" s="29" t="s">
        <v>1575</v>
      </c>
      <c r="C1689" s="29" t="s">
        <v>1938</v>
      </c>
      <c r="D1689" s="29" t="s">
        <v>1966</v>
      </c>
      <c r="E1689" s="29" t="s">
        <v>1968</v>
      </c>
      <c r="F1689" s="62"/>
      <c r="G1689" s="20" t="str">
        <f t="shared" si="1"/>
        <v>Electronics, Video, Video Players &amp; Recorders, DVD Recorders</v>
      </c>
    </row>
    <row r="1690" hidden="1">
      <c r="A1690" s="29">
        <v>390.0</v>
      </c>
      <c r="B1690" s="29" t="s">
        <v>1575</v>
      </c>
      <c r="C1690" s="29" t="s">
        <v>1938</v>
      </c>
      <c r="D1690" s="29" t="s">
        <v>1966</v>
      </c>
      <c r="E1690" s="29" t="s">
        <v>1969</v>
      </c>
      <c r="F1690" s="62"/>
      <c r="G1690" s="20" t="str">
        <f t="shared" si="1"/>
        <v>Electronics, Video, Video Players &amp; Recorders, Digital Video Recorders</v>
      </c>
    </row>
    <row r="1691" hidden="1">
      <c r="A1691" s="29">
        <v>5276.0</v>
      </c>
      <c r="B1691" s="29" t="s">
        <v>1575</v>
      </c>
      <c r="C1691" s="29" t="s">
        <v>1938</v>
      </c>
      <c r="D1691" s="29" t="s">
        <v>1966</v>
      </c>
      <c r="E1691" s="29" t="s">
        <v>1970</v>
      </c>
      <c r="G1691" s="20" t="str">
        <f t="shared" si="1"/>
        <v>Electronics, Video, Video Players &amp; Recorders, Streaming &amp; Home Media Players</v>
      </c>
    </row>
    <row r="1692" hidden="1">
      <c r="A1692" s="29">
        <v>391.0</v>
      </c>
      <c r="B1692" s="29" t="s">
        <v>1575</v>
      </c>
      <c r="C1692" s="29" t="s">
        <v>1938</v>
      </c>
      <c r="D1692" s="29" t="s">
        <v>1966</v>
      </c>
      <c r="E1692" s="29" t="s">
        <v>1971</v>
      </c>
      <c r="F1692" s="62"/>
      <c r="G1692" s="20" t="str">
        <f t="shared" si="1"/>
        <v>Electronics, Video, Video Players &amp; Recorders, VCRs</v>
      </c>
    </row>
    <row r="1693" hidden="1">
      <c r="A1693" s="29">
        <v>5278.0</v>
      </c>
      <c r="B1693" s="29" t="s">
        <v>1575</v>
      </c>
      <c r="C1693" s="29" t="s">
        <v>1938</v>
      </c>
      <c r="D1693" s="29" t="s">
        <v>1972</v>
      </c>
      <c r="E1693" s="62"/>
      <c r="F1693" s="62"/>
      <c r="G1693" s="20" t="str">
        <f t="shared" si="1"/>
        <v>Electronics, Video, Video Servers, </v>
      </c>
    </row>
    <row r="1694" hidden="1">
      <c r="A1694" s="29">
        <v>5450.0</v>
      </c>
      <c r="B1694" s="29" t="s">
        <v>1575</v>
      </c>
      <c r="C1694" s="29" t="s">
        <v>1938</v>
      </c>
      <c r="D1694" s="29" t="s">
        <v>1973</v>
      </c>
      <c r="E1694" s="62"/>
      <c r="F1694" s="62"/>
      <c r="G1694" s="20" t="str">
        <f t="shared" si="1"/>
        <v>Electronics, Video, Video Transmitters, </v>
      </c>
    </row>
    <row r="1695" hidden="1">
      <c r="A1695" s="29">
        <v>1270.0</v>
      </c>
      <c r="B1695" s="29" t="s">
        <v>1575</v>
      </c>
      <c r="C1695" s="29" t="s">
        <v>1974</v>
      </c>
      <c r="D1695" s="62"/>
      <c r="E1695" s="62"/>
      <c r="F1695" s="62"/>
      <c r="G1695" s="20" t="str">
        <f t="shared" si="1"/>
        <v>Electronics, Video Game Console Accessories, , </v>
      </c>
    </row>
    <row r="1696" hidden="1">
      <c r="A1696" s="29">
        <v>1505.0</v>
      </c>
      <c r="B1696" s="29" t="s">
        <v>1575</v>
      </c>
      <c r="C1696" s="29" t="s">
        <v>1974</v>
      </c>
      <c r="D1696" s="29" t="s">
        <v>1975</v>
      </c>
      <c r="F1696" s="62"/>
      <c r="G1696" s="20" t="str">
        <f t="shared" si="1"/>
        <v>Electronics, Video Game Console Accessories, Home Game Console Accessories, </v>
      </c>
    </row>
    <row r="1697" hidden="1">
      <c r="A1697" s="29">
        <v>2070.0</v>
      </c>
      <c r="B1697" s="29" t="s">
        <v>1575</v>
      </c>
      <c r="C1697" s="29" t="s">
        <v>1974</v>
      </c>
      <c r="D1697" s="29" t="s">
        <v>1976</v>
      </c>
      <c r="F1697" s="62"/>
      <c r="G1697" s="20" t="str">
        <f t="shared" si="1"/>
        <v>Electronics, Video Game Console Accessories, Portable Game Console Accessories, </v>
      </c>
    </row>
    <row r="1698" hidden="1">
      <c r="A1698" s="29">
        <v>1294.0</v>
      </c>
      <c r="B1698" s="29" t="s">
        <v>1575</v>
      </c>
      <c r="C1698" s="29" t="s">
        <v>1977</v>
      </c>
      <c r="D1698" s="62"/>
      <c r="E1698" s="62"/>
      <c r="F1698" s="62"/>
      <c r="G1698" s="20" t="str">
        <f t="shared" si="1"/>
        <v>Electronics, Video Game Consoles, , </v>
      </c>
    </row>
    <row r="1699" hidden="1">
      <c r="A1699" s="29">
        <v>412.0</v>
      </c>
      <c r="B1699" s="29" t="s">
        <v>1978</v>
      </c>
      <c r="C1699" s="62"/>
      <c r="D1699" s="62"/>
      <c r="E1699" s="62"/>
      <c r="F1699" s="62"/>
      <c r="G1699" s="20" t="str">
        <f t="shared" si="1"/>
        <v>Food, Beverages &amp; Tobacco, , , </v>
      </c>
    </row>
    <row r="1700" hidden="1">
      <c r="A1700" s="29">
        <v>413.0</v>
      </c>
      <c r="B1700" s="29" t="s">
        <v>1978</v>
      </c>
      <c r="C1700" s="29" t="s">
        <v>1979</v>
      </c>
      <c r="D1700" s="62"/>
      <c r="E1700" s="62"/>
      <c r="F1700" s="62"/>
      <c r="G1700" s="20" t="str">
        <f t="shared" si="1"/>
        <v>Food, Beverages &amp; Tobacco, Beverages, , </v>
      </c>
    </row>
    <row r="1701" hidden="1">
      <c r="A1701" s="29">
        <v>499676.0</v>
      </c>
      <c r="B1701" s="29" t="s">
        <v>1978</v>
      </c>
      <c r="C1701" s="29" t="s">
        <v>1979</v>
      </c>
      <c r="D1701" s="29" t="s">
        <v>1980</v>
      </c>
      <c r="E1701" s="62"/>
      <c r="F1701" s="62"/>
      <c r="G1701" s="20" t="str">
        <f t="shared" si="1"/>
        <v>Food, Beverages &amp; Tobacco, Beverages, Alcoholic Beverages, </v>
      </c>
    </row>
    <row r="1702" hidden="1">
      <c r="A1702" s="29">
        <v>414.0</v>
      </c>
      <c r="B1702" s="29" t="s">
        <v>1978</v>
      </c>
      <c r="C1702" s="29" t="s">
        <v>1979</v>
      </c>
      <c r="D1702" s="29" t="s">
        <v>1980</v>
      </c>
      <c r="E1702" s="29" t="s">
        <v>1981</v>
      </c>
      <c r="F1702" s="62"/>
      <c r="G1702" s="20" t="str">
        <f t="shared" si="1"/>
        <v>Food, Beverages &amp; Tobacco, Beverages, Alcoholic Beverages, Beer</v>
      </c>
    </row>
    <row r="1703" hidden="1">
      <c r="A1703" s="29">
        <v>7486.0</v>
      </c>
      <c r="B1703" s="29" t="s">
        <v>1978</v>
      </c>
      <c r="C1703" s="29" t="s">
        <v>1979</v>
      </c>
      <c r="D1703" s="29" t="s">
        <v>1980</v>
      </c>
      <c r="E1703" s="29" t="s">
        <v>1982</v>
      </c>
      <c r="F1703" s="62"/>
      <c r="G1703" s="20" t="str">
        <f t="shared" si="1"/>
        <v>Food, Beverages &amp; Tobacco, Beverages, Alcoholic Beverages, Bitters</v>
      </c>
    </row>
    <row r="1704" hidden="1">
      <c r="A1704" s="29">
        <v>5725.0</v>
      </c>
      <c r="B1704" s="29" t="s">
        <v>1978</v>
      </c>
      <c r="C1704" s="29" t="s">
        <v>1979</v>
      </c>
      <c r="D1704" s="29" t="s">
        <v>1980</v>
      </c>
      <c r="E1704" s="29" t="s">
        <v>1983</v>
      </c>
      <c r="F1704" s="62"/>
      <c r="G1704" s="20" t="str">
        <f t="shared" si="1"/>
        <v>Food, Beverages &amp; Tobacco, Beverages, Alcoholic Beverages, Cocktail Mixes</v>
      </c>
    </row>
    <row r="1705" hidden="1">
      <c r="A1705" s="29">
        <v>543537.0</v>
      </c>
      <c r="B1705" s="29" t="s">
        <v>1978</v>
      </c>
      <c r="C1705" s="29" t="s">
        <v>1979</v>
      </c>
      <c r="D1705" s="29" t="s">
        <v>1980</v>
      </c>
      <c r="E1705" s="29" t="s">
        <v>1983</v>
      </c>
      <c r="F1705" s="29" t="s">
        <v>1984</v>
      </c>
      <c r="G1705" s="20" t="str">
        <f t="shared" si="1"/>
        <v>Food, Beverages &amp; Tobacco, Beverages, Alcoholic Beverages, Cocktail MixesFrozen Cocktail Mixes</v>
      </c>
    </row>
    <row r="1706" hidden="1">
      <c r="A1706" s="29">
        <v>543536.0</v>
      </c>
      <c r="B1706" s="29" t="s">
        <v>1978</v>
      </c>
      <c r="C1706" s="29" t="s">
        <v>1979</v>
      </c>
      <c r="D1706" s="29" t="s">
        <v>1980</v>
      </c>
      <c r="E1706" s="29" t="s">
        <v>1983</v>
      </c>
      <c r="F1706" s="29" t="s">
        <v>1985</v>
      </c>
      <c r="G1706" s="20" t="str">
        <f t="shared" si="1"/>
        <v>Food, Beverages &amp; Tobacco, Beverages, Alcoholic Beverages, Cocktail MixesShelf-stable Cocktail Mixes</v>
      </c>
    </row>
    <row r="1707" hidden="1">
      <c r="A1707" s="29">
        <v>5887.0</v>
      </c>
      <c r="B1707" s="29" t="s">
        <v>1978</v>
      </c>
      <c r="C1707" s="29" t="s">
        <v>1979</v>
      </c>
      <c r="D1707" s="29" t="s">
        <v>1980</v>
      </c>
      <c r="E1707" s="29" t="s">
        <v>1986</v>
      </c>
      <c r="F1707" s="62"/>
      <c r="G1707" s="20" t="str">
        <f t="shared" si="1"/>
        <v>Food, Beverages &amp; Tobacco, Beverages, Alcoholic Beverages, Flavored Alcoholic Beverages</v>
      </c>
    </row>
    <row r="1708" hidden="1">
      <c r="A1708" s="29">
        <v>6761.0</v>
      </c>
      <c r="B1708" s="29" t="s">
        <v>1978</v>
      </c>
      <c r="C1708" s="29" t="s">
        <v>1979</v>
      </c>
      <c r="D1708" s="29" t="s">
        <v>1980</v>
      </c>
      <c r="E1708" s="29" t="s">
        <v>1987</v>
      </c>
      <c r="F1708" s="62"/>
      <c r="G1708" s="20" t="str">
        <f t="shared" si="1"/>
        <v>Food, Beverages &amp; Tobacco, Beverages, Alcoholic Beverages, Hard Cider</v>
      </c>
    </row>
    <row r="1709" hidden="1">
      <c r="A1709" s="29">
        <v>417.0</v>
      </c>
      <c r="B1709" s="29" t="s">
        <v>1978</v>
      </c>
      <c r="C1709" s="29" t="s">
        <v>1979</v>
      </c>
      <c r="D1709" s="29" t="s">
        <v>1980</v>
      </c>
      <c r="E1709" s="29" t="s">
        <v>1988</v>
      </c>
      <c r="F1709" s="62"/>
      <c r="G1709" s="20" t="str">
        <f t="shared" si="1"/>
        <v>Food, Beverages &amp; Tobacco, Beverages, Alcoholic Beverages, Liquor &amp; Spirits</v>
      </c>
    </row>
    <row r="1710" hidden="1">
      <c r="A1710" s="29">
        <v>505761.0</v>
      </c>
      <c r="B1710" s="29" t="s">
        <v>1978</v>
      </c>
      <c r="C1710" s="29" t="s">
        <v>1979</v>
      </c>
      <c r="D1710" s="29" t="s">
        <v>1980</v>
      </c>
      <c r="E1710" s="29" t="s">
        <v>1988</v>
      </c>
      <c r="F1710" s="29" t="s">
        <v>1989</v>
      </c>
      <c r="G1710" s="20" t="str">
        <f t="shared" si="1"/>
        <v>Food, Beverages &amp; Tobacco, Beverages, Alcoholic Beverages, Liquor &amp; SpiritsAbsinthe</v>
      </c>
    </row>
    <row r="1711" hidden="1">
      <c r="A1711" s="29">
        <v>2364.0</v>
      </c>
      <c r="B1711" s="29" t="s">
        <v>1978</v>
      </c>
      <c r="C1711" s="29" t="s">
        <v>1979</v>
      </c>
      <c r="D1711" s="29" t="s">
        <v>1980</v>
      </c>
      <c r="E1711" s="29" t="s">
        <v>1988</v>
      </c>
      <c r="F1711" s="29" t="s">
        <v>1990</v>
      </c>
      <c r="G1711" s="20" t="str">
        <f t="shared" si="1"/>
        <v>Food, Beverages &amp; Tobacco, Beverages, Alcoholic Beverages, Liquor &amp; SpiritsBrandy</v>
      </c>
    </row>
    <row r="1712" hidden="1">
      <c r="A1712" s="29">
        <v>1671.0</v>
      </c>
      <c r="B1712" s="29" t="s">
        <v>1978</v>
      </c>
      <c r="C1712" s="29" t="s">
        <v>1979</v>
      </c>
      <c r="D1712" s="29" t="s">
        <v>1980</v>
      </c>
      <c r="E1712" s="29" t="s">
        <v>1988</v>
      </c>
      <c r="F1712" s="29" t="s">
        <v>1991</v>
      </c>
      <c r="G1712" s="20" t="str">
        <f t="shared" si="1"/>
        <v>Food, Beverages &amp; Tobacco, Beverages, Alcoholic Beverages, Liquor &amp; SpiritsGin</v>
      </c>
    </row>
    <row r="1713" hidden="1">
      <c r="A1713" s="29">
        <v>2933.0</v>
      </c>
      <c r="B1713" s="29" t="s">
        <v>1978</v>
      </c>
      <c r="C1713" s="29" t="s">
        <v>1979</v>
      </c>
      <c r="D1713" s="29" t="s">
        <v>1980</v>
      </c>
      <c r="E1713" s="29" t="s">
        <v>1988</v>
      </c>
      <c r="F1713" s="29" t="s">
        <v>1992</v>
      </c>
      <c r="G1713" s="20" t="str">
        <f t="shared" si="1"/>
        <v>Food, Beverages &amp; Tobacco, Beverages, Alcoholic Beverages, Liquor &amp; SpiritsLiqueurs</v>
      </c>
    </row>
    <row r="1714" hidden="1">
      <c r="A1714" s="29">
        <v>2605.0</v>
      </c>
      <c r="B1714" s="29" t="s">
        <v>1978</v>
      </c>
      <c r="C1714" s="29" t="s">
        <v>1979</v>
      </c>
      <c r="D1714" s="29" t="s">
        <v>1980</v>
      </c>
      <c r="E1714" s="29" t="s">
        <v>1988</v>
      </c>
      <c r="F1714" s="29" t="s">
        <v>1993</v>
      </c>
      <c r="G1714" s="20" t="str">
        <f t="shared" si="1"/>
        <v>Food, Beverages &amp; Tobacco, Beverages, Alcoholic Beverages, Liquor &amp; SpiritsRum</v>
      </c>
    </row>
    <row r="1715" hidden="1">
      <c r="A1715" s="29">
        <v>502976.0</v>
      </c>
      <c r="B1715" s="29" t="s">
        <v>1978</v>
      </c>
      <c r="C1715" s="29" t="s">
        <v>1979</v>
      </c>
      <c r="D1715" s="29" t="s">
        <v>1980</v>
      </c>
      <c r="E1715" s="29" t="s">
        <v>1988</v>
      </c>
      <c r="F1715" s="29" t="s">
        <v>1994</v>
      </c>
      <c r="G1715" s="20" t="str">
        <f t="shared" si="1"/>
        <v>Food, Beverages &amp; Tobacco, Beverages, Alcoholic Beverages, Liquor &amp; SpiritsShochu &amp; Soju</v>
      </c>
    </row>
    <row r="1716" hidden="1">
      <c r="A1716" s="29">
        <v>543642.0</v>
      </c>
      <c r="B1716" s="29" t="s">
        <v>1978</v>
      </c>
      <c r="C1716" s="29" t="s">
        <v>1979</v>
      </c>
      <c r="D1716" s="29" t="s">
        <v>1980</v>
      </c>
      <c r="E1716" s="29" t="s">
        <v>1988</v>
      </c>
      <c r="F1716" s="29" t="s">
        <v>1994</v>
      </c>
      <c r="G1716" s="20" t="str">
        <f t="shared" si="1"/>
        <v>Food, Beverages &amp; Tobacco, Beverages, Alcoholic Beverages, Liquor &amp; SpiritsShochu &amp; Soju</v>
      </c>
    </row>
    <row r="1717" hidden="1">
      <c r="A1717" s="29">
        <v>543643.0</v>
      </c>
      <c r="B1717" s="29" t="s">
        <v>1978</v>
      </c>
      <c r="C1717" s="29" t="s">
        <v>1979</v>
      </c>
      <c r="D1717" s="29" t="s">
        <v>1980</v>
      </c>
      <c r="E1717" s="29" t="s">
        <v>1988</v>
      </c>
      <c r="F1717" s="29" t="s">
        <v>1994</v>
      </c>
      <c r="G1717" s="20" t="str">
        <f t="shared" si="1"/>
        <v>Food, Beverages &amp; Tobacco, Beverages, Alcoholic Beverages, Liquor &amp; SpiritsShochu &amp; Soju</v>
      </c>
    </row>
    <row r="1718" hidden="1">
      <c r="A1718" s="29">
        <v>2220.0</v>
      </c>
      <c r="B1718" s="29" t="s">
        <v>1978</v>
      </c>
      <c r="C1718" s="29" t="s">
        <v>1979</v>
      </c>
      <c r="D1718" s="29" t="s">
        <v>1980</v>
      </c>
      <c r="E1718" s="29" t="s">
        <v>1988</v>
      </c>
      <c r="F1718" s="29" t="s">
        <v>1995</v>
      </c>
      <c r="G1718" s="20" t="str">
        <f t="shared" si="1"/>
        <v>Food, Beverages &amp; Tobacco, Beverages, Alcoholic Beverages, Liquor &amp; SpiritsTequila</v>
      </c>
    </row>
    <row r="1719" hidden="1">
      <c r="A1719" s="29">
        <v>2107.0</v>
      </c>
      <c r="B1719" s="29" t="s">
        <v>1978</v>
      </c>
      <c r="C1719" s="29" t="s">
        <v>1979</v>
      </c>
      <c r="D1719" s="29" t="s">
        <v>1980</v>
      </c>
      <c r="E1719" s="29" t="s">
        <v>1988</v>
      </c>
      <c r="F1719" s="29" t="s">
        <v>1996</v>
      </c>
      <c r="G1719" s="20" t="str">
        <f t="shared" si="1"/>
        <v>Food, Beverages &amp; Tobacco, Beverages, Alcoholic Beverages, Liquor &amp; SpiritsVodka</v>
      </c>
    </row>
    <row r="1720" hidden="1">
      <c r="A1720" s="29">
        <v>1926.0</v>
      </c>
      <c r="B1720" s="29" t="s">
        <v>1978</v>
      </c>
      <c r="C1720" s="29" t="s">
        <v>1979</v>
      </c>
      <c r="D1720" s="29" t="s">
        <v>1980</v>
      </c>
      <c r="E1720" s="29" t="s">
        <v>1988</v>
      </c>
      <c r="F1720" s="29" t="s">
        <v>1997</v>
      </c>
      <c r="G1720" s="20" t="str">
        <f t="shared" si="1"/>
        <v>Food, Beverages &amp; Tobacco, Beverages, Alcoholic Beverages, Liquor &amp; SpiritsWhiskey</v>
      </c>
    </row>
    <row r="1721" hidden="1">
      <c r="A1721" s="29">
        <v>421.0</v>
      </c>
      <c r="B1721" s="29" t="s">
        <v>1978</v>
      </c>
      <c r="C1721" s="29" t="s">
        <v>1979</v>
      </c>
      <c r="D1721" s="29" t="s">
        <v>1980</v>
      </c>
      <c r="E1721" s="29" t="s">
        <v>1998</v>
      </c>
      <c r="F1721" s="62"/>
      <c r="G1721" s="20" t="str">
        <f t="shared" si="1"/>
        <v>Food, Beverages &amp; Tobacco, Beverages, Alcoholic Beverages, Wine</v>
      </c>
    </row>
    <row r="1722" hidden="1">
      <c r="A1722" s="29">
        <v>6797.0</v>
      </c>
      <c r="B1722" s="29" t="s">
        <v>1978</v>
      </c>
      <c r="C1722" s="29" t="s">
        <v>1979</v>
      </c>
      <c r="D1722" s="29" t="s">
        <v>1999</v>
      </c>
      <c r="E1722" s="62"/>
      <c r="F1722" s="62"/>
      <c r="G1722" s="20" t="str">
        <f t="shared" si="1"/>
        <v>Food, Beverages &amp; Tobacco, Beverages, Buttermilk, </v>
      </c>
    </row>
    <row r="1723" hidden="1">
      <c r="A1723" s="29">
        <v>1868.0</v>
      </c>
      <c r="B1723" s="29" t="s">
        <v>1978</v>
      </c>
      <c r="C1723" s="29" t="s">
        <v>1979</v>
      </c>
      <c r="D1723" s="29" t="s">
        <v>2000</v>
      </c>
      <c r="E1723" s="62"/>
      <c r="F1723" s="62"/>
      <c r="G1723" s="20" t="str">
        <f t="shared" si="1"/>
        <v>Food, Beverages &amp; Tobacco, Beverages, Coffee, </v>
      </c>
    </row>
    <row r="1724" hidden="1">
      <c r="A1724" s="29">
        <v>8030.0</v>
      </c>
      <c r="B1724" s="29" t="s">
        <v>1978</v>
      </c>
      <c r="C1724" s="29" t="s">
        <v>1979</v>
      </c>
      <c r="D1724" s="29" t="s">
        <v>2001</v>
      </c>
      <c r="E1724" s="62"/>
      <c r="F1724" s="62"/>
      <c r="G1724" s="20" t="str">
        <f t="shared" si="1"/>
        <v>Food, Beverages &amp; Tobacco, Beverages, Eggnog, </v>
      </c>
    </row>
    <row r="1725" hidden="1">
      <c r="A1725" s="29">
        <v>8036.0</v>
      </c>
      <c r="B1725" s="29" t="s">
        <v>1978</v>
      </c>
      <c r="C1725" s="29" t="s">
        <v>1979</v>
      </c>
      <c r="D1725" s="29" t="s">
        <v>2002</v>
      </c>
      <c r="E1725" s="62"/>
      <c r="F1725" s="62"/>
      <c r="G1725" s="20" t="str">
        <f t="shared" si="1"/>
        <v>Food, Beverages &amp; Tobacco, Beverages, Fruit Flavored Drinks, </v>
      </c>
    </row>
    <row r="1726" hidden="1">
      <c r="A1726" s="29">
        <v>415.0</v>
      </c>
      <c r="B1726" s="29" t="s">
        <v>1978</v>
      </c>
      <c r="C1726" s="29" t="s">
        <v>1979</v>
      </c>
      <c r="D1726" s="29" t="s">
        <v>2003</v>
      </c>
      <c r="E1726" s="62"/>
      <c r="F1726" s="62"/>
      <c r="G1726" s="20" t="str">
        <f t="shared" si="1"/>
        <v>Food, Beverages &amp; Tobacco, Beverages, Hot Chocolate, </v>
      </c>
    </row>
    <row r="1727" hidden="1">
      <c r="A1727" s="29">
        <v>2887.0</v>
      </c>
      <c r="B1727" s="29" t="s">
        <v>1978</v>
      </c>
      <c r="C1727" s="29" t="s">
        <v>1979</v>
      </c>
      <c r="D1727" s="29" t="s">
        <v>2004</v>
      </c>
      <c r="E1727" s="62"/>
      <c r="F1727" s="62"/>
      <c r="G1727" s="20" t="str">
        <f t="shared" si="1"/>
        <v>Food, Beverages &amp; Tobacco, Beverages, Juice, </v>
      </c>
    </row>
    <row r="1728" hidden="1">
      <c r="A1728" s="29">
        <v>418.0</v>
      </c>
      <c r="B1728" s="29" t="s">
        <v>1978</v>
      </c>
      <c r="C1728" s="29" t="s">
        <v>1979</v>
      </c>
      <c r="D1728" s="29" t="s">
        <v>2005</v>
      </c>
      <c r="E1728" s="62"/>
      <c r="F1728" s="62"/>
      <c r="G1728" s="20" t="str">
        <f t="shared" si="1"/>
        <v>Food, Beverages &amp; Tobacco, Beverages, Milk, </v>
      </c>
    </row>
    <row r="1729" hidden="1">
      <c r="A1729" s="29">
        <v>5724.0</v>
      </c>
      <c r="B1729" s="29" t="s">
        <v>1978</v>
      </c>
      <c r="C1729" s="29" t="s">
        <v>1979</v>
      </c>
      <c r="D1729" s="29" t="s">
        <v>2006</v>
      </c>
      <c r="E1729" s="62"/>
      <c r="F1729" s="62"/>
      <c r="G1729" s="20" t="str">
        <f t="shared" si="1"/>
        <v>Food, Beverages &amp; Tobacco, Beverages, Non-Dairy Milk, </v>
      </c>
    </row>
    <row r="1730" hidden="1">
      <c r="A1730" s="29">
        <v>6848.0</v>
      </c>
      <c r="B1730" s="29" t="s">
        <v>1978</v>
      </c>
      <c r="C1730" s="29" t="s">
        <v>1979</v>
      </c>
      <c r="D1730" s="29" t="s">
        <v>2007</v>
      </c>
      <c r="F1730" s="62"/>
      <c r="G1730" s="20" t="str">
        <f t="shared" si="1"/>
        <v>Food, Beverages &amp; Tobacco, Beverages, Powdered Beverage Mixes, </v>
      </c>
    </row>
    <row r="1731" hidden="1">
      <c r="A1731" s="29">
        <v>2628.0</v>
      </c>
      <c r="B1731" s="29" t="s">
        <v>1978</v>
      </c>
      <c r="C1731" s="29" t="s">
        <v>1979</v>
      </c>
      <c r="D1731" s="29" t="s">
        <v>2008</v>
      </c>
      <c r="E1731" s="62"/>
      <c r="F1731" s="62"/>
      <c r="G1731" s="20" t="str">
        <f t="shared" si="1"/>
        <v>Food, Beverages &amp; Tobacco, Beverages, Soda, </v>
      </c>
    </row>
    <row r="1732" hidden="1">
      <c r="A1732" s="29">
        <v>5723.0</v>
      </c>
      <c r="B1732" s="29" t="s">
        <v>1978</v>
      </c>
      <c r="C1732" s="29" t="s">
        <v>1979</v>
      </c>
      <c r="D1732" s="29" t="s">
        <v>2009</v>
      </c>
      <c r="E1732" s="62"/>
      <c r="F1732" s="62"/>
      <c r="G1732" s="20" t="str">
        <f t="shared" si="1"/>
        <v>Food, Beverages &amp; Tobacco, Beverages, Sports &amp; Energy Drinks, </v>
      </c>
    </row>
    <row r="1733" hidden="1">
      <c r="A1733" s="29">
        <v>2073.0</v>
      </c>
      <c r="B1733" s="29" t="s">
        <v>1978</v>
      </c>
      <c r="C1733" s="29" t="s">
        <v>1979</v>
      </c>
      <c r="D1733" s="29" t="s">
        <v>2010</v>
      </c>
      <c r="E1733" s="62"/>
      <c r="F1733" s="62"/>
      <c r="G1733" s="20" t="str">
        <f t="shared" si="1"/>
        <v>Food, Beverages &amp; Tobacco, Beverages, Tea &amp; Infusions, </v>
      </c>
    </row>
    <row r="1734" hidden="1">
      <c r="A1734" s="29">
        <v>7528.0</v>
      </c>
      <c r="B1734" s="29" t="s">
        <v>1978</v>
      </c>
      <c r="C1734" s="29" t="s">
        <v>1979</v>
      </c>
      <c r="D1734" s="29" t="s">
        <v>2011</v>
      </c>
      <c r="E1734" s="62"/>
      <c r="F1734" s="62"/>
      <c r="G1734" s="20" t="str">
        <f t="shared" si="1"/>
        <v>Food, Beverages &amp; Tobacco, Beverages, Vinegar Drinks, </v>
      </c>
    </row>
    <row r="1735" hidden="1">
      <c r="A1735" s="29">
        <v>420.0</v>
      </c>
      <c r="B1735" s="29" t="s">
        <v>1978</v>
      </c>
      <c r="C1735" s="29" t="s">
        <v>1979</v>
      </c>
      <c r="D1735" s="29" t="s">
        <v>2012</v>
      </c>
      <c r="E1735" s="62"/>
      <c r="F1735" s="62"/>
      <c r="G1735" s="20" t="str">
        <f t="shared" si="1"/>
        <v>Food, Beverages &amp; Tobacco, Beverages, Water, </v>
      </c>
    </row>
    <row r="1736" hidden="1">
      <c r="A1736" s="29">
        <v>543531.0</v>
      </c>
      <c r="B1736" s="29" t="s">
        <v>1978</v>
      </c>
      <c r="C1736" s="29" t="s">
        <v>1979</v>
      </c>
      <c r="D1736" s="29" t="s">
        <v>2012</v>
      </c>
      <c r="E1736" s="29" t="s">
        <v>2013</v>
      </c>
      <c r="F1736" s="62"/>
      <c r="G1736" s="20" t="str">
        <f t="shared" si="1"/>
        <v>Food, Beverages &amp; Tobacco, Beverages, Water, Carbonated Water</v>
      </c>
    </row>
    <row r="1737" hidden="1">
      <c r="A1737" s="29">
        <v>543534.0</v>
      </c>
      <c r="B1737" s="29" t="s">
        <v>1978</v>
      </c>
      <c r="C1737" s="29" t="s">
        <v>1979</v>
      </c>
      <c r="D1737" s="29" t="s">
        <v>2012</v>
      </c>
      <c r="E1737" s="29" t="s">
        <v>2013</v>
      </c>
      <c r="F1737" s="29" t="s">
        <v>2014</v>
      </c>
      <c r="G1737" s="20" t="str">
        <f t="shared" si="1"/>
        <v>Food, Beverages &amp; Tobacco, Beverages, Water, Carbonated WaterFlavored Carbonated Water</v>
      </c>
    </row>
    <row r="1738" hidden="1">
      <c r="A1738" s="29">
        <v>543535.0</v>
      </c>
      <c r="B1738" s="29" t="s">
        <v>1978</v>
      </c>
      <c r="C1738" s="29" t="s">
        <v>1979</v>
      </c>
      <c r="D1738" s="29" t="s">
        <v>2012</v>
      </c>
      <c r="E1738" s="29" t="s">
        <v>2013</v>
      </c>
      <c r="F1738" s="29" t="s">
        <v>2015</v>
      </c>
      <c r="G1738" s="20" t="str">
        <f t="shared" si="1"/>
        <v>Food, Beverages &amp; Tobacco, Beverages, Water, Carbonated WaterUnflavored Carbonated Water</v>
      </c>
    </row>
    <row r="1739" hidden="1">
      <c r="A1739" s="29">
        <v>543530.0</v>
      </c>
      <c r="B1739" s="29" t="s">
        <v>1978</v>
      </c>
      <c r="C1739" s="29" t="s">
        <v>1979</v>
      </c>
      <c r="D1739" s="29" t="s">
        <v>2012</v>
      </c>
      <c r="E1739" s="29" t="s">
        <v>2016</v>
      </c>
      <c r="F1739" s="62"/>
      <c r="G1739" s="20" t="str">
        <f t="shared" si="1"/>
        <v>Food, Beverages &amp; Tobacco, Beverages, Water, Distilled Water</v>
      </c>
    </row>
    <row r="1740" hidden="1">
      <c r="A1740" s="29">
        <v>543533.0</v>
      </c>
      <c r="B1740" s="29" t="s">
        <v>1978</v>
      </c>
      <c r="C1740" s="29" t="s">
        <v>1979</v>
      </c>
      <c r="D1740" s="29" t="s">
        <v>2012</v>
      </c>
      <c r="E1740" s="29" t="s">
        <v>2017</v>
      </c>
      <c r="F1740" s="62"/>
      <c r="G1740" s="20" t="str">
        <f t="shared" si="1"/>
        <v>Food, Beverages &amp; Tobacco, Beverages, Water, Flat Mineral Water</v>
      </c>
    </row>
    <row r="1741" hidden="1">
      <c r="A1741" s="29">
        <v>543532.0</v>
      </c>
      <c r="B1741" s="29" t="s">
        <v>1978</v>
      </c>
      <c r="C1741" s="29" t="s">
        <v>1979</v>
      </c>
      <c r="D1741" s="29" t="s">
        <v>2012</v>
      </c>
      <c r="E1741" s="29" t="s">
        <v>2018</v>
      </c>
      <c r="F1741" s="62"/>
      <c r="G1741" s="20" t="str">
        <f t="shared" si="1"/>
        <v>Food, Beverages &amp; Tobacco, Beverages, Water, Spring Water</v>
      </c>
    </row>
    <row r="1742" hidden="1">
      <c r="A1742" s="29">
        <v>422.0</v>
      </c>
      <c r="B1742" s="29" t="s">
        <v>1978</v>
      </c>
      <c r="C1742" s="29" t="s">
        <v>2019</v>
      </c>
      <c r="D1742" s="62"/>
      <c r="E1742" s="62"/>
      <c r="F1742" s="62"/>
      <c r="G1742" s="20" t="str">
        <f t="shared" si="1"/>
        <v>Food, Beverages &amp; Tobacco, Food Items, , </v>
      </c>
    </row>
    <row r="1743" hidden="1">
      <c r="A1743" s="29">
        <v>1876.0</v>
      </c>
      <c r="B1743" s="29" t="s">
        <v>1978</v>
      </c>
      <c r="C1743" s="29" t="s">
        <v>2019</v>
      </c>
      <c r="D1743" s="29" t="s">
        <v>2020</v>
      </c>
      <c r="E1743" s="62"/>
      <c r="F1743" s="62"/>
      <c r="G1743" s="20" t="str">
        <f t="shared" si="1"/>
        <v>Food, Beverages &amp; Tobacco, Food Items, Bakery, </v>
      </c>
    </row>
    <row r="1744" hidden="1">
      <c r="A1744" s="29">
        <v>1573.0</v>
      </c>
      <c r="B1744" s="29" t="s">
        <v>1978</v>
      </c>
      <c r="C1744" s="29" t="s">
        <v>2019</v>
      </c>
      <c r="D1744" s="29" t="s">
        <v>2020</v>
      </c>
      <c r="E1744" s="29" t="s">
        <v>2021</v>
      </c>
      <c r="F1744" s="62"/>
      <c r="G1744" s="20" t="str">
        <f t="shared" si="1"/>
        <v>Food, Beverages &amp; Tobacco, Food Items, Bakery, Bagels</v>
      </c>
    </row>
    <row r="1745" hidden="1">
      <c r="A1745" s="29">
        <v>5904.0</v>
      </c>
      <c r="B1745" s="29" t="s">
        <v>1978</v>
      </c>
      <c r="C1745" s="29" t="s">
        <v>2019</v>
      </c>
      <c r="D1745" s="29" t="s">
        <v>2020</v>
      </c>
      <c r="E1745" s="29" t="s">
        <v>2022</v>
      </c>
      <c r="F1745" s="62"/>
      <c r="G1745" s="20" t="str">
        <f t="shared" si="1"/>
        <v>Food, Beverages &amp; Tobacco, Food Items, Bakery, Bakery Assortments</v>
      </c>
    </row>
    <row r="1746" hidden="1">
      <c r="A1746" s="29">
        <v>424.0</v>
      </c>
      <c r="B1746" s="29" t="s">
        <v>1978</v>
      </c>
      <c r="C1746" s="29" t="s">
        <v>2019</v>
      </c>
      <c r="D1746" s="29" t="s">
        <v>2020</v>
      </c>
      <c r="E1746" s="29" t="s">
        <v>2023</v>
      </c>
      <c r="F1746" s="62"/>
      <c r="G1746" s="20" t="str">
        <f t="shared" si="1"/>
        <v>Food, Beverages &amp; Tobacco, Food Items, Bakery, Breads &amp; Buns</v>
      </c>
    </row>
    <row r="1747" hidden="1">
      <c r="A1747" s="29">
        <v>2194.0</v>
      </c>
      <c r="B1747" s="29" t="s">
        <v>1978</v>
      </c>
      <c r="C1747" s="29" t="s">
        <v>2019</v>
      </c>
      <c r="D1747" s="29" t="s">
        <v>2020</v>
      </c>
      <c r="E1747" s="29" t="s">
        <v>2024</v>
      </c>
      <c r="F1747" s="62"/>
      <c r="G1747" s="20" t="str">
        <f t="shared" si="1"/>
        <v>Food, Beverages &amp; Tobacco, Food Items, Bakery, Cakes &amp; Dessert Bars</v>
      </c>
    </row>
    <row r="1748" hidden="1">
      <c r="A1748" s="29">
        <v>6196.0</v>
      </c>
      <c r="B1748" s="29" t="s">
        <v>1978</v>
      </c>
      <c r="C1748" s="29" t="s">
        <v>2019</v>
      </c>
      <c r="D1748" s="29" t="s">
        <v>2020</v>
      </c>
      <c r="E1748" s="29" t="s">
        <v>2025</v>
      </c>
      <c r="F1748" s="62"/>
      <c r="G1748" s="20" t="str">
        <f t="shared" si="1"/>
        <v>Food, Beverages &amp; Tobacco, Food Items, Bakery, Coffee Cakes</v>
      </c>
    </row>
    <row r="1749" hidden="1">
      <c r="A1749" s="29">
        <v>2229.0</v>
      </c>
      <c r="B1749" s="29" t="s">
        <v>1978</v>
      </c>
      <c r="C1749" s="29" t="s">
        <v>2019</v>
      </c>
      <c r="D1749" s="29" t="s">
        <v>2020</v>
      </c>
      <c r="E1749" s="29" t="s">
        <v>2026</v>
      </c>
      <c r="F1749" s="62"/>
      <c r="G1749" s="20" t="str">
        <f t="shared" si="1"/>
        <v>Food, Beverages &amp; Tobacco, Food Items, Bakery, Cookies</v>
      </c>
    </row>
    <row r="1750" hidden="1">
      <c r="A1750" s="29">
        <v>6195.0</v>
      </c>
      <c r="B1750" s="29" t="s">
        <v>1978</v>
      </c>
      <c r="C1750" s="29" t="s">
        <v>2019</v>
      </c>
      <c r="D1750" s="29" t="s">
        <v>2020</v>
      </c>
      <c r="E1750" s="29" t="s">
        <v>2027</v>
      </c>
      <c r="F1750" s="62"/>
      <c r="G1750" s="20" t="str">
        <f t="shared" si="1"/>
        <v>Food, Beverages &amp; Tobacco, Food Items, Bakery, Cupcakes</v>
      </c>
    </row>
    <row r="1751" hidden="1">
      <c r="A1751" s="29">
        <v>5751.0</v>
      </c>
      <c r="B1751" s="29" t="s">
        <v>1978</v>
      </c>
      <c r="C1751" s="29" t="s">
        <v>2019</v>
      </c>
      <c r="D1751" s="29" t="s">
        <v>2020</v>
      </c>
      <c r="E1751" s="29" t="s">
        <v>2028</v>
      </c>
      <c r="F1751" s="62"/>
      <c r="G1751" s="20" t="str">
        <f t="shared" si="1"/>
        <v>Food, Beverages &amp; Tobacco, Food Items, Bakery, Donuts</v>
      </c>
    </row>
    <row r="1752" hidden="1">
      <c r="A1752" s="29">
        <v>5054.0</v>
      </c>
      <c r="B1752" s="29" t="s">
        <v>1978</v>
      </c>
      <c r="C1752" s="29" t="s">
        <v>2019</v>
      </c>
      <c r="D1752" s="29" t="s">
        <v>2020</v>
      </c>
      <c r="E1752" s="29" t="s">
        <v>2029</v>
      </c>
      <c r="F1752" s="62"/>
      <c r="G1752" s="20" t="str">
        <f t="shared" si="1"/>
        <v>Food, Beverages &amp; Tobacco, Food Items, Bakery, Fudge</v>
      </c>
    </row>
    <row r="1753" hidden="1">
      <c r="A1753" s="29">
        <v>5790.0</v>
      </c>
      <c r="B1753" s="29" t="s">
        <v>1978</v>
      </c>
      <c r="C1753" s="29" t="s">
        <v>2019</v>
      </c>
      <c r="D1753" s="29" t="s">
        <v>2020</v>
      </c>
      <c r="E1753" s="29" t="s">
        <v>2030</v>
      </c>
      <c r="F1753" s="62"/>
      <c r="G1753" s="20" t="str">
        <f t="shared" si="1"/>
        <v>Food, Beverages &amp; Tobacco, Food Items, Bakery, Ice Cream Cones</v>
      </c>
    </row>
    <row r="1754" hidden="1">
      <c r="A1754" s="29">
        <v>1895.0</v>
      </c>
      <c r="B1754" s="29" t="s">
        <v>1978</v>
      </c>
      <c r="C1754" s="29" t="s">
        <v>2019</v>
      </c>
      <c r="D1754" s="29" t="s">
        <v>2020</v>
      </c>
      <c r="E1754" s="29" t="s">
        <v>2031</v>
      </c>
      <c r="F1754" s="62"/>
      <c r="G1754" s="20" t="str">
        <f t="shared" si="1"/>
        <v>Food, Beverages &amp; Tobacco, Food Items, Bakery, Muffins</v>
      </c>
    </row>
    <row r="1755" hidden="1">
      <c r="A1755" s="29">
        <v>5750.0</v>
      </c>
      <c r="B1755" s="29" t="s">
        <v>1978</v>
      </c>
      <c r="C1755" s="29" t="s">
        <v>2019</v>
      </c>
      <c r="D1755" s="29" t="s">
        <v>2020</v>
      </c>
      <c r="E1755" s="29" t="s">
        <v>2032</v>
      </c>
      <c r="F1755" s="62"/>
      <c r="G1755" s="20" t="str">
        <f t="shared" si="1"/>
        <v>Food, Beverages &amp; Tobacco, Food Items, Bakery, Pastries &amp; Scones</v>
      </c>
    </row>
    <row r="1756" hidden="1">
      <c r="A1756" s="29">
        <v>5749.0</v>
      </c>
      <c r="B1756" s="29" t="s">
        <v>1978</v>
      </c>
      <c r="C1756" s="29" t="s">
        <v>2019</v>
      </c>
      <c r="D1756" s="29" t="s">
        <v>2020</v>
      </c>
      <c r="E1756" s="29" t="s">
        <v>2033</v>
      </c>
      <c r="F1756" s="62"/>
      <c r="G1756" s="20" t="str">
        <f t="shared" si="1"/>
        <v>Food, Beverages &amp; Tobacco, Food Items, Bakery, Pies &amp; Tarts</v>
      </c>
    </row>
    <row r="1757" hidden="1">
      <c r="A1757" s="29">
        <v>6891.0</v>
      </c>
      <c r="B1757" s="29" t="s">
        <v>1978</v>
      </c>
      <c r="C1757" s="29" t="s">
        <v>2019</v>
      </c>
      <c r="D1757" s="29" t="s">
        <v>2020</v>
      </c>
      <c r="E1757" s="29" t="s">
        <v>2034</v>
      </c>
      <c r="F1757" s="62"/>
      <c r="G1757" s="20" t="str">
        <f t="shared" si="1"/>
        <v>Food, Beverages &amp; Tobacco, Food Items, Bakery, Taco Shells &amp; Tostadas</v>
      </c>
    </row>
    <row r="1758" hidden="1">
      <c r="A1758" s="29">
        <v>5748.0</v>
      </c>
      <c r="B1758" s="29" t="s">
        <v>1978</v>
      </c>
      <c r="C1758" s="29" t="s">
        <v>2019</v>
      </c>
      <c r="D1758" s="29" t="s">
        <v>2020</v>
      </c>
      <c r="E1758" s="29" t="s">
        <v>2035</v>
      </c>
      <c r="F1758" s="62"/>
      <c r="G1758" s="20" t="str">
        <f t="shared" si="1"/>
        <v>Food, Beverages &amp; Tobacco, Food Items, Bakery, Tortillas &amp; Wraps</v>
      </c>
    </row>
    <row r="1759" hidden="1">
      <c r="A1759" s="29">
        <v>6219.0</v>
      </c>
      <c r="B1759" s="29" t="s">
        <v>1978</v>
      </c>
      <c r="C1759" s="29" t="s">
        <v>2019</v>
      </c>
      <c r="D1759" s="29" t="s">
        <v>2036</v>
      </c>
      <c r="F1759" s="62"/>
      <c r="G1759" s="20" t="str">
        <f t="shared" si="1"/>
        <v>Food, Beverages &amp; Tobacco, Food Items, Candied &amp; Chocolate Covered Fruit, </v>
      </c>
    </row>
    <row r="1760" hidden="1">
      <c r="A1760" s="29">
        <v>4748.0</v>
      </c>
      <c r="B1760" s="29" t="s">
        <v>1978</v>
      </c>
      <c r="C1760" s="29" t="s">
        <v>2019</v>
      </c>
      <c r="D1760" s="29" t="s">
        <v>2037</v>
      </c>
      <c r="E1760" s="62"/>
      <c r="F1760" s="62"/>
      <c r="G1760" s="20" t="str">
        <f t="shared" si="1"/>
        <v>Food, Beverages &amp; Tobacco, Food Items, Candy &amp; Chocolate, </v>
      </c>
    </row>
    <row r="1761" hidden="1">
      <c r="A1761" s="29">
        <v>427.0</v>
      </c>
      <c r="B1761" s="29" t="s">
        <v>1978</v>
      </c>
      <c r="C1761" s="29" t="s">
        <v>2019</v>
      </c>
      <c r="D1761" s="29" t="s">
        <v>2038</v>
      </c>
      <c r="E1761" s="62"/>
      <c r="F1761" s="62"/>
      <c r="G1761" s="20" t="str">
        <f t="shared" si="1"/>
        <v>Food, Beverages &amp; Tobacco, Food Items, Condiments &amp; Sauces, </v>
      </c>
    </row>
    <row r="1762" hidden="1">
      <c r="A1762" s="29">
        <v>6772.0</v>
      </c>
      <c r="B1762" s="29" t="s">
        <v>1978</v>
      </c>
      <c r="C1762" s="29" t="s">
        <v>2019</v>
      </c>
      <c r="D1762" s="29" t="s">
        <v>2038</v>
      </c>
      <c r="E1762" s="29" t="s">
        <v>2039</v>
      </c>
      <c r="F1762" s="62"/>
      <c r="G1762" s="20" t="str">
        <f t="shared" si="1"/>
        <v>Food, Beverages &amp; Tobacco, Food Items, Condiments &amp; Sauces, Cocktail Sauce</v>
      </c>
    </row>
    <row r="1763" hidden="1">
      <c r="A1763" s="29">
        <v>6905.0</v>
      </c>
      <c r="B1763" s="29" t="s">
        <v>1978</v>
      </c>
      <c r="C1763" s="29" t="s">
        <v>2019</v>
      </c>
      <c r="D1763" s="29" t="s">
        <v>2038</v>
      </c>
      <c r="E1763" s="29" t="s">
        <v>2040</v>
      </c>
      <c r="F1763" s="62"/>
      <c r="G1763" s="20" t="str">
        <f t="shared" si="1"/>
        <v>Food, Beverages &amp; Tobacco, Food Items, Condiments &amp; Sauces, Curry Sauce</v>
      </c>
    </row>
    <row r="1764" hidden="1">
      <c r="A1764" s="29">
        <v>6845.0</v>
      </c>
      <c r="B1764" s="29" t="s">
        <v>1978</v>
      </c>
      <c r="C1764" s="29" t="s">
        <v>2019</v>
      </c>
      <c r="D1764" s="29" t="s">
        <v>2038</v>
      </c>
      <c r="E1764" s="29" t="s">
        <v>2041</v>
      </c>
      <c r="F1764" s="62"/>
      <c r="G1764" s="20" t="str">
        <f t="shared" si="1"/>
        <v>Food, Beverages &amp; Tobacco, Food Items, Condiments &amp; Sauces, Dessert Toppings</v>
      </c>
    </row>
    <row r="1765" hidden="1">
      <c r="A1765" s="29">
        <v>6854.0</v>
      </c>
      <c r="B1765" s="29" t="s">
        <v>1978</v>
      </c>
      <c r="C1765" s="29" t="s">
        <v>2019</v>
      </c>
      <c r="D1765" s="29" t="s">
        <v>2038</v>
      </c>
      <c r="E1765" s="29" t="s">
        <v>2041</v>
      </c>
      <c r="F1765" s="29" t="s">
        <v>2042</v>
      </c>
      <c r="G1765" s="20" t="str">
        <f t="shared" si="1"/>
        <v>Food, Beverages &amp; Tobacco, Food Items, Condiments &amp; Sauces, Dessert ToppingsFruit Toppings</v>
      </c>
    </row>
    <row r="1766" hidden="1">
      <c r="A1766" s="29">
        <v>6844.0</v>
      </c>
      <c r="B1766" s="29" t="s">
        <v>1978</v>
      </c>
      <c r="C1766" s="29" t="s">
        <v>2019</v>
      </c>
      <c r="D1766" s="29" t="s">
        <v>2038</v>
      </c>
      <c r="E1766" s="29" t="s">
        <v>2041</v>
      </c>
      <c r="F1766" s="29" t="s">
        <v>2043</v>
      </c>
      <c r="G1766" s="20" t="str">
        <f t="shared" si="1"/>
        <v>Food, Beverages &amp; Tobacco, Food Items, Condiments &amp; Sauces, Dessert ToppingsIce Cream Syrup</v>
      </c>
    </row>
    <row r="1767" hidden="1">
      <c r="A1767" s="29">
        <v>5763.0</v>
      </c>
      <c r="B1767" s="29" t="s">
        <v>1978</v>
      </c>
      <c r="C1767" s="29" t="s">
        <v>2019</v>
      </c>
      <c r="D1767" s="29" t="s">
        <v>2038</v>
      </c>
      <c r="E1767" s="29" t="s">
        <v>2044</v>
      </c>
      <c r="F1767" s="62"/>
      <c r="G1767" s="20" t="str">
        <f t="shared" si="1"/>
        <v>Food, Beverages &amp; Tobacco, Food Items, Condiments &amp; Sauces, Fish Sauce</v>
      </c>
    </row>
    <row r="1768" hidden="1">
      <c r="A1768" s="29">
        <v>5762.0</v>
      </c>
      <c r="B1768" s="29" t="s">
        <v>1978</v>
      </c>
      <c r="C1768" s="29" t="s">
        <v>2019</v>
      </c>
      <c r="D1768" s="29" t="s">
        <v>2038</v>
      </c>
      <c r="E1768" s="29" t="s">
        <v>2045</v>
      </c>
      <c r="F1768" s="62"/>
      <c r="G1768" s="20" t="str">
        <f t="shared" si="1"/>
        <v>Food, Beverages &amp; Tobacco, Food Items, Condiments &amp; Sauces, Gravy</v>
      </c>
    </row>
    <row r="1769" hidden="1">
      <c r="A1769" s="29">
        <v>4947.0</v>
      </c>
      <c r="B1769" s="29" t="s">
        <v>1978</v>
      </c>
      <c r="C1769" s="29" t="s">
        <v>2019</v>
      </c>
      <c r="D1769" s="29" t="s">
        <v>2038</v>
      </c>
      <c r="E1769" s="29" t="s">
        <v>2046</v>
      </c>
      <c r="F1769" s="62"/>
      <c r="G1769" s="20" t="str">
        <f t="shared" si="1"/>
        <v>Food, Beverages &amp; Tobacco, Food Items, Condiments &amp; Sauces, Honey</v>
      </c>
    </row>
    <row r="1770" hidden="1">
      <c r="A1770" s="29">
        <v>6782.0</v>
      </c>
      <c r="B1770" s="29" t="s">
        <v>1978</v>
      </c>
      <c r="C1770" s="29" t="s">
        <v>2019</v>
      </c>
      <c r="D1770" s="29" t="s">
        <v>2038</v>
      </c>
      <c r="E1770" s="29" t="s">
        <v>2047</v>
      </c>
      <c r="F1770" s="62"/>
      <c r="G1770" s="20" t="str">
        <f t="shared" si="1"/>
        <v>Food, Beverages &amp; Tobacco, Food Items, Condiments &amp; Sauces, Horseradish Sauce</v>
      </c>
    </row>
    <row r="1771" hidden="1">
      <c r="A1771" s="29">
        <v>4614.0</v>
      </c>
      <c r="B1771" s="29" t="s">
        <v>1978</v>
      </c>
      <c r="C1771" s="29" t="s">
        <v>2019</v>
      </c>
      <c r="D1771" s="29" t="s">
        <v>2038</v>
      </c>
      <c r="E1771" s="29" t="s">
        <v>2048</v>
      </c>
      <c r="F1771" s="62"/>
      <c r="G1771" s="20" t="str">
        <f t="shared" si="1"/>
        <v>Food, Beverages &amp; Tobacco, Food Items, Condiments &amp; Sauces, Hot Sauce</v>
      </c>
    </row>
    <row r="1772" hidden="1">
      <c r="A1772" s="29">
        <v>2018.0</v>
      </c>
      <c r="B1772" s="29" t="s">
        <v>1978</v>
      </c>
      <c r="C1772" s="29" t="s">
        <v>2019</v>
      </c>
      <c r="D1772" s="29" t="s">
        <v>2038</v>
      </c>
      <c r="E1772" s="29" t="s">
        <v>2049</v>
      </c>
      <c r="F1772" s="62"/>
      <c r="G1772" s="20" t="str">
        <f t="shared" si="1"/>
        <v>Food, Beverages &amp; Tobacco, Food Items, Condiments &amp; Sauces, Ketchup</v>
      </c>
    </row>
    <row r="1773" hidden="1">
      <c r="A1773" s="29">
        <v>500074.0</v>
      </c>
      <c r="B1773" s="29" t="s">
        <v>1978</v>
      </c>
      <c r="C1773" s="29" t="s">
        <v>2019</v>
      </c>
      <c r="D1773" s="29" t="s">
        <v>2038</v>
      </c>
      <c r="E1773" s="29" t="s">
        <v>2050</v>
      </c>
      <c r="F1773" s="62"/>
      <c r="G1773" s="20" t="str">
        <f t="shared" si="1"/>
        <v>Food, Beverages &amp; Tobacco, Food Items, Condiments &amp; Sauces, Marinades &amp; Grilling Sauces</v>
      </c>
    </row>
    <row r="1774" hidden="1">
      <c r="A1774" s="29">
        <v>1568.0</v>
      </c>
      <c r="B1774" s="29" t="s">
        <v>1978</v>
      </c>
      <c r="C1774" s="29" t="s">
        <v>2019</v>
      </c>
      <c r="D1774" s="29" t="s">
        <v>2038</v>
      </c>
      <c r="E1774" s="29" t="s">
        <v>2051</v>
      </c>
      <c r="F1774" s="62"/>
      <c r="G1774" s="20" t="str">
        <f t="shared" si="1"/>
        <v>Food, Beverages &amp; Tobacco, Food Items, Condiments &amp; Sauces, Mayonnaise</v>
      </c>
    </row>
    <row r="1775" hidden="1">
      <c r="A1775" s="29">
        <v>1387.0</v>
      </c>
      <c r="B1775" s="29" t="s">
        <v>1978</v>
      </c>
      <c r="C1775" s="29" t="s">
        <v>2019</v>
      </c>
      <c r="D1775" s="29" t="s">
        <v>2038</v>
      </c>
      <c r="E1775" s="29" t="s">
        <v>2052</v>
      </c>
      <c r="F1775" s="62"/>
      <c r="G1775" s="20" t="str">
        <f t="shared" si="1"/>
        <v>Food, Beverages &amp; Tobacco, Food Items, Condiments &amp; Sauces, Mustard</v>
      </c>
    </row>
    <row r="1776" hidden="1">
      <c r="A1776" s="29">
        <v>5760.0</v>
      </c>
      <c r="B1776" s="29" t="s">
        <v>1978</v>
      </c>
      <c r="C1776" s="29" t="s">
        <v>2019</v>
      </c>
      <c r="D1776" s="29" t="s">
        <v>2038</v>
      </c>
      <c r="E1776" s="29" t="s">
        <v>2053</v>
      </c>
      <c r="F1776" s="62"/>
      <c r="G1776" s="20" t="str">
        <f t="shared" si="1"/>
        <v>Food, Beverages &amp; Tobacco, Food Items, Condiments &amp; Sauces, Olives &amp; Capers</v>
      </c>
    </row>
    <row r="1777" hidden="1">
      <c r="A1777" s="29">
        <v>5759.0</v>
      </c>
      <c r="B1777" s="29" t="s">
        <v>1978</v>
      </c>
      <c r="C1777" s="29" t="s">
        <v>2019</v>
      </c>
      <c r="D1777" s="29" t="s">
        <v>2038</v>
      </c>
      <c r="E1777" s="29" t="s">
        <v>2054</v>
      </c>
      <c r="F1777" s="62"/>
      <c r="G1777" s="20" t="str">
        <f t="shared" si="1"/>
        <v>Food, Beverages &amp; Tobacco, Food Items, Condiments &amp; Sauces, Pasta Sauce</v>
      </c>
    </row>
    <row r="1778" hidden="1">
      <c r="A1778" s="29">
        <v>500076.0</v>
      </c>
      <c r="B1778" s="29" t="s">
        <v>1978</v>
      </c>
      <c r="C1778" s="29" t="s">
        <v>2019</v>
      </c>
      <c r="D1778" s="29" t="s">
        <v>2038</v>
      </c>
      <c r="E1778" s="29" t="s">
        <v>2055</v>
      </c>
      <c r="F1778" s="62"/>
      <c r="G1778" s="20" t="str">
        <f t="shared" si="1"/>
        <v>Food, Beverages &amp; Tobacco, Food Items, Condiments &amp; Sauces, Pickled Fruits &amp; Vegetables</v>
      </c>
    </row>
    <row r="1779" hidden="1">
      <c r="A1779" s="29">
        <v>6203.0</v>
      </c>
      <c r="B1779" s="29" t="s">
        <v>1978</v>
      </c>
      <c r="C1779" s="29" t="s">
        <v>2019</v>
      </c>
      <c r="D1779" s="29" t="s">
        <v>2038</v>
      </c>
      <c r="E1779" s="29" t="s">
        <v>2056</v>
      </c>
      <c r="F1779" s="62"/>
      <c r="G1779" s="20" t="str">
        <f t="shared" si="1"/>
        <v>Food, Beverages &amp; Tobacco, Food Items, Condiments &amp; Sauces, Pizza Sauce</v>
      </c>
    </row>
    <row r="1780" hidden="1">
      <c r="A1780" s="29">
        <v>500075.0</v>
      </c>
      <c r="B1780" s="29" t="s">
        <v>1978</v>
      </c>
      <c r="C1780" s="29" t="s">
        <v>2019</v>
      </c>
      <c r="D1780" s="29" t="s">
        <v>2038</v>
      </c>
      <c r="E1780" s="29" t="s">
        <v>2057</v>
      </c>
      <c r="F1780" s="62"/>
      <c r="G1780" s="20" t="str">
        <f t="shared" si="1"/>
        <v>Food, Beverages &amp; Tobacco, Food Items, Condiments &amp; Sauces, Relish &amp; Chutney</v>
      </c>
    </row>
    <row r="1781" hidden="1">
      <c r="A1781" s="29">
        <v>1969.0</v>
      </c>
      <c r="B1781" s="29" t="s">
        <v>1978</v>
      </c>
      <c r="C1781" s="29" t="s">
        <v>2019</v>
      </c>
      <c r="D1781" s="29" t="s">
        <v>2038</v>
      </c>
      <c r="E1781" s="29" t="s">
        <v>2058</v>
      </c>
      <c r="F1781" s="62"/>
      <c r="G1781" s="20" t="str">
        <f t="shared" si="1"/>
        <v>Food, Beverages &amp; Tobacco, Food Items, Condiments &amp; Sauces, Salad Dressing</v>
      </c>
    </row>
    <row r="1782" hidden="1">
      <c r="A1782" s="29">
        <v>4615.0</v>
      </c>
      <c r="B1782" s="29" t="s">
        <v>1978</v>
      </c>
      <c r="C1782" s="29" t="s">
        <v>2019</v>
      </c>
      <c r="D1782" s="29" t="s">
        <v>2038</v>
      </c>
      <c r="E1782" s="29" t="s">
        <v>2059</v>
      </c>
      <c r="F1782" s="62"/>
      <c r="G1782" s="20" t="str">
        <f t="shared" si="1"/>
        <v>Food, Beverages &amp; Tobacco, Food Items, Condiments &amp; Sauces, Satay Sauce</v>
      </c>
    </row>
    <row r="1783" hidden="1">
      <c r="A1783" s="29">
        <v>4616.0</v>
      </c>
      <c r="B1783" s="29" t="s">
        <v>1978</v>
      </c>
      <c r="C1783" s="29" t="s">
        <v>2019</v>
      </c>
      <c r="D1783" s="29" t="s">
        <v>2038</v>
      </c>
      <c r="E1783" s="29" t="s">
        <v>2060</v>
      </c>
      <c r="F1783" s="62"/>
      <c r="G1783" s="20" t="str">
        <f t="shared" si="1"/>
        <v>Food, Beverages &amp; Tobacco, Food Items, Condiments &amp; Sauces, Soy Sauce</v>
      </c>
    </row>
    <row r="1784" hidden="1">
      <c r="A1784" s="29">
        <v>500089.0</v>
      </c>
      <c r="B1784" s="29" t="s">
        <v>1978</v>
      </c>
      <c r="C1784" s="29" t="s">
        <v>2019</v>
      </c>
      <c r="D1784" s="29" t="s">
        <v>2038</v>
      </c>
      <c r="E1784" s="29" t="s">
        <v>2061</v>
      </c>
      <c r="F1784" s="62"/>
      <c r="G1784" s="20" t="str">
        <f t="shared" si="1"/>
        <v>Food, Beverages &amp; Tobacco, Food Items, Condiments &amp; Sauces, Sweet and Sour Sauces</v>
      </c>
    </row>
    <row r="1785" hidden="1">
      <c r="A1785" s="29">
        <v>4943.0</v>
      </c>
      <c r="B1785" s="29" t="s">
        <v>1978</v>
      </c>
      <c r="C1785" s="29" t="s">
        <v>2019</v>
      </c>
      <c r="D1785" s="29" t="s">
        <v>2038</v>
      </c>
      <c r="E1785" s="29" t="s">
        <v>2062</v>
      </c>
      <c r="F1785" s="62"/>
      <c r="G1785" s="20" t="str">
        <f t="shared" si="1"/>
        <v>Food, Beverages &amp; Tobacco, Food Items, Condiments &amp; Sauces, Syrup</v>
      </c>
    </row>
    <row r="1786" hidden="1">
      <c r="A1786" s="29">
        <v>4692.0</v>
      </c>
      <c r="B1786" s="29" t="s">
        <v>1978</v>
      </c>
      <c r="C1786" s="29" t="s">
        <v>2019</v>
      </c>
      <c r="D1786" s="29" t="s">
        <v>2038</v>
      </c>
      <c r="E1786" s="29" t="s">
        <v>2063</v>
      </c>
      <c r="F1786" s="62"/>
      <c r="G1786" s="20" t="str">
        <f t="shared" si="1"/>
        <v>Food, Beverages &amp; Tobacco, Food Items, Condiments &amp; Sauces, Tahini</v>
      </c>
    </row>
    <row r="1787" hidden="1">
      <c r="A1787" s="29">
        <v>6783.0</v>
      </c>
      <c r="B1787" s="29" t="s">
        <v>1978</v>
      </c>
      <c r="C1787" s="29" t="s">
        <v>2019</v>
      </c>
      <c r="D1787" s="29" t="s">
        <v>2038</v>
      </c>
      <c r="E1787" s="29" t="s">
        <v>2064</v>
      </c>
      <c r="F1787" s="62"/>
      <c r="G1787" s="20" t="str">
        <f t="shared" si="1"/>
        <v>Food, Beverages &amp; Tobacco, Food Items, Condiments &amp; Sauces, Tartar Sauce</v>
      </c>
    </row>
    <row r="1788" hidden="1">
      <c r="A1788" s="29">
        <v>500105.0</v>
      </c>
      <c r="B1788" s="29" t="s">
        <v>1978</v>
      </c>
      <c r="C1788" s="29" t="s">
        <v>2019</v>
      </c>
      <c r="D1788" s="29" t="s">
        <v>2038</v>
      </c>
      <c r="E1788" s="29" t="s">
        <v>2065</v>
      </c>
      <c r="F1788" s="62"/>
      <c r="G1788" s="20" t="str">
        <f t="shared" si="1"/>
        <v>Food, Beverages &amp; Tobacco, Food Items, Condiments &amp; Sauces, White &amp; Cream Sauces</v>
      </c>
    </row>
    <row r="1789" hidden="1">
      <c r="A1789" s="29">
        <v>6246.0</v>
      </c>
      <c r="B1789" s="29" t="s">
        <v>1978</v>
      </c>
      <c r="C1789" s="29" t="s">
        <v>2019</v>
      </c>
      <c r="D1789" s="29" t="s">
        <v>2038</v>
      </c>
      <c r="E1789" s="29" t="s">
        <v>2066</v>
      </c>
      <c r="F1789" s="62"/>
      <c r="G1789" s="20" t="str">
        <f t="shared" si="1"/>
        <v>Food, Beverages &amp; Tobacco, Food Items, Condiments &amp; Sauces, Worcestershire Sauce</v>
      </c>
    </row>
    <row r="1790" hidden="1">
      <c r="A1790" s="29">
        <v>2660.0</v>
      </c>
      <c r="B1790" s="29" t="s">
        <v>1978</v>
      </c>
      <c r="C1790" s="29" t="s">
        <v>2019</v>
      </c>
      <c r="D1790" s="29" t="s">
        <v>2067</v>
      </c>
      <c r="F1790" s="62"/>
      <c r="G1790" s="20" t="str">
        <f t="shared" si="1"/>
        <v>Food, Beverages &amp; Tobacco, Food Items, Cooking &amp; Baking Ingredients, </v>
      </c>
    </row>
    <row r="1791" hidden="1">
      <c r="A1791" s="29">
        <v>6754.0</v>
      </c>
      <c r="B1791" s="29" t="s">
        <v>1978</v>
      </c>
      <c r="C1791" s="29" t="s">
        <v>2019</v>
      </c>
      <c r="D1791" s="29" t="s">
        <v>2067</v>
      </c>
      <c r="E1791" s="29" t="s">
        <v>2068</v>
      </c>
      <c r="F1791" s="62"/>
      <c r="G1791" s="20" t="str">
        <f t="shared" si="1"/>
        <v>Food, Beverages &amp; Tobacco, Food Items, Cooking &amp; Baking Ingredients, Baking Chips</v>
      </c>
    </row>
    <row r="1792" hidden="1">
      <c r="A1792" s="29">
        <v>5776.0</v>
      </c>
      <c r="B1792" s="29" t="s">
        <v>1978</v>
      </c>
      <c r="C1792" s="29" t="s">
        <v>2019</v>
      </c>
      <c r="D1792" s="29" t="s">
        <v>2067</v>
      </c>
      <c r="E1792" s="29" t="s">
        <v>2069</v>
      </c>
      <c r="F1792" s="62"/>
      <c r="G1792" s="20" t="str">
        <f t="shared" si="1"/>
        <v>Food, Beverages &amp; Tobacco, Food Items, Cooking &amp; Baking Ingredients, Baking Chocolate</v>
      </c>
    </row>
    <row r="1793" hidden="1">
      <c r="A1793" s="29">
        <v>5775.0</v>
      </c>
      <c r="B1793" s="29" t="s">
        <v>1978</v>
      </c>
      <c r="C1793" s="29" t="s">
        <v>2019</v>
      </c>
      <c r="D1793" s="29" t="s">
        <v>2067</v>
      </c>
      <c r="E1793" s="29" t="s">
        <v>2070</v>
      </c>
      <c r="F1793" s="62"/>
      <c r="G1793" s="20" t="str">
        <f t="shared" si="1"/>
        <v>Food, Beverages &amp; Tobacco, Food Items, Cooking &amp; Baking Ingredients, Baking Flavors &amp; Extracts</v>
      </c>
    </row>
    <row r="1794" hidden="1">
      <c r="A1794" s="29">
        <v>2572.0</v>
      </c>
      <c r="B1794" s="29" t="s">
        <v>1978</v>
      </c>
      <c r="C1794" s="29" t="s">
        <v>2019</v>
      </c>
      <c r="D1794" s="29" t="s">
        <v>2067</v>
      </c>
      <c r="E1794" s="29" t="s">
        <v>2071</v>
      </c>
      <c r="F1794" s="62"/>
      <c r="G1794" s="20" t="str">
        <f t="shared" si="1"/>
        <v>Food, Beverages &amp; Tobacco, Food Items, Cooking &amp; Baking Ingredients, Baking Mixes</v>
      </c>
    </row>
    <row r="1795" hidden="1">
      <c r="A1795" s="29">
        <v>2803.0</v>
      </c>
      <c r="B1795" s="29" t="s">
        <v>1978</v>
      </c>
      <c r="C1795" s="29" t="s">
        <v>2019</v>
      </c>
      <c r="D1795" s="29" t="s">
        <v>2067</v>
      </c>
      <c r="E1795" s="29" t="s">
        <v>2072</v>
      </c>
      <c r="F1795" s="62"/>
      <c r="G1795" s="20" t="str">
        <f t="shared" si="1"/>
        <v>Food, Beverages &amp; Tobacco, Food Items, Cooking &amp; Baking Ingredients, Baking Powder</v>
      </c>
    </row>
    <row r="1796" hidden="1">
      <c r="A1796" s="29">
        <v>5774.0</v>
      </c>
      <c r="B1796" s="29" t="s">
        <v>1978</v>
      </c>
      <c r="C1796" s="29" t="s">
        <v>2019</v>
      </c>
      <c r="D1796" s="29" t="s">
        <v>2067</v>
      </c>
      <c r="E1796" s="29" t="s">
        <v>2073</v>
      </c>
      <c r="F1796" s="62"/>
      <c r="G1796" s="20" t="str">
        <f t="shared" si="1"/>
        <v>Food, Beverages &amp; Tobacco, Food Items, Cooking &amp; Baking Ingredients, Baking Soda</v>
      </c>
    </row>
    <row r="1797" hidden="1">
      <c r="A1797" s="29">
        <v>6774.0</v>
      </c>
      <c r="B1797" s="29" t="s">
        <v>1978</v>
      </c>
      <c r="C1797" s="29" t="s">
        <v>2019</v>
      </c>
      <c r="D1797" s="29" t="s">
        <v>2067</v>
      </c>
      <c r="E1797" s="29" t="s">
        <v>2074</v>
      </c>
      <c r="F1797" s="62"/>
      <c r="G1797" s="20" t="str">
        <f t="shared" si="1"/>
        <v>Food, Beverages &amp; Tobacco, Food Items, Cooking &amp; Baking Ingredients, Batter &amp; Coating Mixes</v>
      </c>
    </row>
    <row r="1798" hidden="1">
      <c r="A1798" s="29">
        <v>4613.0</v>
      </c>
      <c r="B1798" s="29" t="s">
        <v>1978</v>
      </c>
      <c r="C1798" s="29" t="s">
        <v>2019</v>
      </c>
      <c r="D1798" s="29" t="s">
        <v>2067</v>
      </c>
      <c r="E1798" s="29" t="s">
        <v>2075</v>
      </c>
      <c r="F1798" s="62"/>
      <c r="G1798" s="20" t="str">
        <f t="shared" si="1"/>
        <v>Food, Beverages &amp; Tobacco, Food Items, Cooking &amp; Baking Ingredients, Bean Paste</v>
      </c>
    </row>
    <row r="1799" hidden="1">
      <c r="A1799" s="29">
        <v>5773.0</v>
      </c>
      <c r="B1799" s="29" t="s">
        <v>1978</v>
      </c>
      <c r="C1799" s="29" t="s">
        <v>2019</v>
      </c>
      <c r="D1799" s="29" t="s">
        <v>2067</v>
      </c>
      <c r="E1799" s="29" t="s">
        <v>2076</v>
      </c>
      <c r="F1799" s="62"/>
      <c r="G1799" s="20" t="str">
        <f t="shared" si="1"/>
        <v>Food, Beverages &amp; Tobacco, Food Items, Cooking &amp; Baking Ingredients, Bread Crumbs</v>
      </c>
    </row>
    <row r="1800" hidden="1">
      <c r="A1800" s="29">
        <v>500093.0</v>
      </c>
      <c r="B1800" s="29" t="s">
        <v>1978</v>
      </c>
      <c r="C1800" s="29" t="s">
        <v>2019</v>
      </c>
      <c r="D1800" s="29" t="s">
        <v>2067</v>
      </c>
      <c r="E1800" s="29" t="s">
        <v>2077</v>
      </c>
      <c r="F1800" s="62"/>
      <c r="G1800" s="20" t="str">
        <f t="shared" si="1"/>
        <v>Food, Beverages &amp; Tobacco, Food Items, Cooking &amp; Baking Ingredients, Canned &amp; Dry Milk</v>
      </c>
    </row>
    <row r="1801" hidden="1">
      <c r="A1801" s="29">
        <v>7506.0</v>
      </c>
      <c r="B1801" s="29" t="s">
        <v>1978</v>
      </c>
      <c r="C1801" s="29" t="s">
        <v>2019</v>
      </c>
      <c r="D1801" s="29" t="s">
        <v>2067</v>
      </c>
      <c r="E1801" s="29" t="s">
        <v>2078</v>
      </c>
      <c r="F1801" s="62"/>
      <c r="G1801" s="20" t="str">
        <f t="shared" si="1"/>
        <v>Food, Beverages &amp; Tobacco, Food Items, Cooking &amp; Baking Ingredients, Cookie Decorating Kits</v>
      </c>
    </row>
    <row r="1802" hidden="1">
      <c r="A1802" s="29">
        <v>2126.0</v>
      </c>
      <c r="B1802" s="29" t="s">
        <v>1978</v>
      </c>
      <c r="C1802" s="29" t="s">
        <v>2019</v>
      </c>
      <c r="D1802" s="29" t="s">
        <v>2067</v>
      </c>
      <c r="E1802" s="29" t="s">
        <v>2079</v>
      </c>
      <c r="F1802" s="62"/>
      <c r="G1802" s="20" t="str">
        <f t="shared" si="1"/>
        <v>Food, Beverages &amp; Tobacco, Food Items, Cooking &amp; Baking Ingredients, Cooking Oils</v>
      </c>
    </row>
    <row r="1803" hidden="1">
      <c r="A1803" s="29">
        <v>5771.0</v>
      </c>
      <c r="B1803" s="29" t="s">
        <v>1978</v>
      </c>
      <c r="C1803" s="29" t="s">
        <v>2019</v>
      </c>
      <c r="D1803" s="29" t="s">
        <v>2067</v>
      </c>
      <c r="E1803" s="29" t="s">
        <v>2080</v>
      </c>
      <c r="F1803" s="62"/>
      <c r="G1803" s="20" t="str">
        <f t="shared" si="1"/>
        <v>Food, Beverages &amp; Tobacco, Food Items, Cooking &amp; Baking Ingredients, Cooking Starch</v>
      </c>
    </row>
    <row r="1804" hidden="1">
      <c r="A1804" s="29">
        <v>5777.0</v>
      </c>
      <c r="B1804" s="29" t="s">
        <v>1978</v>
      </c>
      <c r="C1804" s="29" t="s">
        <v>2019</v>
      </c>
      <c r="D1804" s="29" t="s">
        <v>2067</v>
      </c>
      <c r="E1804" s="29" t="s">
        <v>2081</v>
      </c>
      <c r="F1804" s="62"/>
      <c r="G1804" s="20" t="str">
        <f t="shared" si="1"/>
        <v>Food, Beverages &amp; Tobacco, Food Items, Cooking &amp; Baking Ingredients, Cooking Wine</v>
      </c>
    </row>
    <row r="1805" hidden="1">
      <c r="A1805" s="29">
        <v>5770.0</v>
      </c>
      <c r="B1805" s="29" t="s">
        <v>1978</v>
      </c>
      <c r="C1805" s="29" t="s">
        <v>2019</v>
      </c>
      <c r="D1805" s="29" t="s">
        <v>2067</v>
      </c>
      <c r="E1805" s="29" t="s">
        <v>2082</v>
      </c>
      <c r="F1805" s="62"/>
      <c r="G1805" s="20" t="str">
        <f t="shared" si="1"/>
        <v>Food, Beverages &amp; Tobacco, Food Items, Cooking &amp; Baking Ingredients, Corn Syrup</v>
      </c>
    </row>
    <row r="1806" hidden="1">
      <c r="A1806" s="29">
        <v>5752.0</v>
      </c>
      <c r="B1806" s="29" t="s">
        <v>1978</v>
      </c>
      <c r="C1806" s="29" t="s">
        <v>2019</v>
      </c>
      <c r="D1806" s="29" t="s">
        <v>2067</v>
      </c>
      <c r="E1806" s="29" t="s">
        <v>2083</v>
      </c>
      <c r="F1806" s="62"/>
      <c r="G1806" s="20" t="str">
        <f t="shared" si="1"/>
        <v>Food, Beverages &amp; Tobacco, Food Items, Cooking &amp; Baking Ingredients, Dough</v>
      </c>
    </row>
    <row r="1807" hidden="1">
      <c r="A1807" s="29">
        <v>5755.0</v>
      </c>
      <c r="B1807" s="29" t="s">
        <v>1978</v>
      </c>
      <c r="C1807" s="29" t="s">
        <v>2019</v>
      </c>
      <c r="D1807" s="29" t="s">
        <v>2067</v>
      </c>
      <c r="E1807" s="29" t="s">
        <v>2083</v>
      </c>
      <c r="F1807" s="29" t="s">
        <v>2084</v>
      </c>
      <c r="G1807" s="20" t="str">
        <f t="shared" si="1"/>
        <v>Food, Beverages &amp; Tobacco, Food Items, Cooking &amp; Baking Ingredients, DoughBread &amp; Pastry Dough</v>
      </c>
    </row>
    <row r="1808" hidden="1">
      <c r="A1808" s="29">
        <v>5756.0</v>
      </c>
      <c r="B1808" s="29" t="s">
        <v>1978</v>
      </c>
      <c r="C1808" s="29" t="s">
        <v>2019</v>
      </c>
      <c r="D1808" s="29" t="s">
        <v>2067</v>
      </c>
      <c r="E1808" s="29" t="s">
        <v>2083</v>
      </c>
      <c r="F1808" s="29" t="s">
        <v>2085</v>
      </c>
      <c r="G1808" s="20" t="str">
        <f t="shared" si="1"/>
        <v>Food, Beverages &amp; Tobacco, Food Items, Cooking &amp; Baking Ingredients, DoughCookie &amp; Brownie Dough</v>
      </c>
    </row>
    <row r="1809" hidden="1">
      <c r="A1809" s="29">
        <v>5753.0</v>
      </c>
      <c r="B1809" s="29" t="s">
        <v>1978</v>
      </c>
      <c r="C1809" s="29" t="s">
        <v>2019</v>
      </c>
      <c r="D1809" s="29" t="s">
        <v>2067</v>
      </c>
      <c r="E1809" s="29" t="s">
        <v>2083</v>
      </c>
      <c r="F1809" s="29" t="s">
        <v>2086</v>
      </c>
      <c r="G1809" s="20" t="str">
        <f t="shared" si="1"/>
        <v>Food, Beverages &amp; Tobacco, Food Items, Cooking &amp; Baking Ingredients, DoughPie Crusts</v>
      </c>
    </row>
    <row r="1810" hidden="1">
      <c r="A1810" s="29">
        <v>6775.0</v>
      </c>
      <c r="B1810" s="29" t="s">
        <v>1978</v>
      </c>
      <c r="C1810" s="29" t="s">
        <v>2019</v>
      </c>
      <c r="D1810" s="29" t="s">
        <v>2067</v>
      </c>
      <c r="E1810" s="29" t="s">
        <v>2087</v>
      </c>
      <c r="F1810" s="62"/>
      <c r="G1810" s="20" t="str">
        <f t="shared" si="1"/>
        <v>Food, Beverages &amp; Tobacco, Food Items, Cooking &amp; Baking Ingredients, Edible Baking Decorations</v>
      </c>
    </row>
    <row r="1811" hidden="1">
      <c r="A1811" s="29">
        <v>543549.0</v>
      </c>
      <c r="B1811" s="29" t="s">
        <v>1978</v>
      </c>
      <c r="C1811" s="29" t="s">
        <v>2019</v>
      </c>
      <c r="D1811" s="29" t="s">
        <v>2067</v>
      </c>
      <c r="E1811" s="29" t="s">
        <v>2088</v>
      </c>
      <c r="F1811" s="62"/>
      <c r="G1811" s="20" t="str">
        <f t="shared" si="1"/>
        <v>Food, Beverages &amp; Tobacco, Food Items, Cooking &amp; Baking Ingredients, Egg Replacers</v>
      </c>
    </row>
    <row r="1812" hidden="1">
      <c r="A1812" s="29">
        <v>5105.0</v>
      </c>
      <c r="B1812" s="29" t="s">
        <v>1978</v>
      </c>
      <c r="C1812" s="29" t="s">
        <v>2019</v>
      </c>
      <c r="D1812" s="29" t="s">
        <v>2067</v>
      </c>
      <c r="E1812" s="29" t="s">
        <v>2089</v>
      </c>
      <c r="F1812" s="62"/>
      <c r="G1812" s="20" t="str">
        <f t="shared" si="1"/>
        <v>Food, Beverages &amp; Tobacco, Food Items, Cooking &amp; Baking Ingredients, Floss Sugar</v>
      </c>
    </row>
    <row r="1813" hidden="1">
      <c r="A1813" s="29">
        <v>2775.0</v>
      </c>
      <c r="B1813" s="29" t="s">
        <v>1978</v>
      </c>
      <c r="C1813" s="29" t="s">
        <v>2019</v>
      </c>
      <c r="D1813" s="29" t="s">
        <v>2067</v>
      </c>
      <c r="E1813" s="29" t="s">
        <v>2090</v>
      </c>
      <c r="F1813" s="62"/>
      <c r="G1813" s="20" t="str">
        <f t="shared" si="1"/>
        <v>Food, Beverages &amp; Tobacco, Food Items, Cooking &amp; Baking Ingredients, Flour</v>
      </c>
    </row>
    <row r="1814" hidden="1">
      <c r="A1814" s="29">
        <v>7127.0</v>
      </c>
      <c r="B1814" s="29" t="s">
        <v>1978</v>
      </c>
      <c r="C1814" s="29" t="s">
        <v>2019</v>
      </c>
      <c r="D1814" s="29" t="s">
        <v>2067</v>
      </c>
      <c r="E1814" s="29" t="s">
        <v>2091</v>
      </c>
      <c r="F1814" s="62"/>
      <c r="G1814" s="20" t="str">
        <f t="shared" si="1"/>
        <v>Food, Beverages &amp; Tobacco, Food Items, Cooking &amp; Baking Ingredients, Food Coloring</v>
      </c>
    </row>
    <row r="1815" hidden="1">
      <c r="A1815" s="29">
        <v>5769.0</v>
      </c>
      <c r="B1815" s="29" t="s">
        <v>1978</v>
      </c>
      <c r="C1815" s="29" t="s">
        <v>2019</v>
      </c>
      <c r="D1815" s="29" t="s">
        <v>2067</v>
      </c>
      <c r="E1815" s="29" t="s">
        <v>2092</v>
      </c>
      <c r="F1815" s="62"/>
      <c r="G1815" s="20" t="str">
        <f t="shared" si="1"/>
        <v>Food, Beverages &amp; Tobacco, Food Items, Cooking &amp; Baking Ingredients, Frosting &amp; Icing</v>
      </c>
    </row>
    <row r="1816" hidden="1">
      <c r="A1816" s="29">
        <v>499986.0</v>
      </c>
      <c r="B1816" s="29" t="s">
        <v>1978</v>
      </c>
      <c r="C1816" s="29" t="s">
        <v>2019</v>
      </c>
      <c r="D1816" s="29" t="s">
        <v>2067</v>
      </c>
      <c r="E1816" s="29" t="s">
        <v>2093</v>
      </c>
      <c r="F1816" s="62"/>
      <c r="G1816" s="20" t="str">
        <f t="shared" si="1"/>
        <v>Food, Beverages &amp; Tobacco, Food Items, Cooking &amp; Baking Ingredients, Lemon &amp; Lime Juice</v>
      </c>
    </row>
    <row r="1817" hidden="1">
      <c r="A1817" s="29">
        <v>5767.0</v>
      </c>
      <c r="B1817" s="29" t="s">
        <v>1978</v>
      </c>
      <c r="C1817" s="29" t="s">
        <v>2019</v>
      </c>
      <c r="D1817" s="29" t="s">
        <v>2067</v>
      </c>
      <c r="E1817" s="29" t="s">
        <v>2094</v>
      </c>
      <c r="F1817" s="62"/>
      <c r="G1817" s="20" t="str">
        <f t="shared" si="1"/>
        <v>Food, Beverages &amp; Tobacco, Food Items, Cooking &amp; Baking Ingredients, Marshmallows</v>
      </c>
    </row>
    <row r="1818" hidden="1">
      <c r="A1818" s="29">
        <v>8076.0</v>
      </c>
      <c r="B1818" s="29" t="s">
        <v>1978</v>
      </c>
      <c r="C1818" s="29" t="s">
        <v>2019</v>
      </c>
      <c r="D1818" s="29" t="s">
        <v>2067</v>
      </c>
      <c r="E1818" s="29" t="s">
        <v>2095</v>
      </c>
      <c r="F1818" s="62"/>
      <c r="G1818" s="20" t="str">
        <f t="shared" si="1"/>
        <v>Food, Beverages &amp; Tobacco, Food Items, Cooking &amp; Baking Ingredients, Meal</v>
      </c>
    </row>
    <row r="1819" hidden="1">
      <c r="A1819" s="29">
        <v>5766.0</v>
      </c>
      <c r="B1819" s="29" t="s">
        <v>1978</v>
      </c>
      <c r="C1819" s="29" t="s">
        <v>2019</v>
      </c>
      <c r="D1819" s="29" t="s">
        <v>2067</v>
      </c>
      <c r="E1819" s="29" t="s">
        <v>2096</v>
      </c>
      <c r="F1819" s="62"/>
      <c r="G1819" s="20" t="str">
        <f t="shared" si="1"/>
        <v>Food, Beverages &amp; Tobacco, Food Items, Cooking &amp; Baking Ingredients, Molasses</v>
      </c>
    </row>
    <row r="1820" hidden="1">
      <c r="A1820" s="29">
        <v>5800.0</v>
      </c>
      <c r="B1820" s="29" t="s">
        <v>1978</v>
      </c>
      <c r="C1820" s="29" t="s">
        <v>2019</v>
      </c>
      <c r="D1820" s="29" t="s">
        <v>2067</v>
      </c>
      <c r="E1820" s="29" t="s">
        <v>2097</v>
      </c>
      <c r="F1820" s="62"/>
      <c r="G1820" s="20" t="str">
        <f t="shared" si="1"/>
        <v>Food, Beverages &amp; Tobacco, Food Items, Cooking &amp; Baking Ingredients, Pie &amp; Pastry Fillings</v>
      </c>
    </row>
    <row r="1821" hidden="1">
      <c r="A1821" s="29">
        <v>5765.0</v>
      </c>
      <c r="B1821" s="29" t="s">
        <v>1978</v>
      </c>
      <c r="C1821" s="29" t="s">
        <v>2019</v>
      </c>
      <c r="D1821" s="29" t="s">
        <v>2067</v>
      </c>
      <c r="E1821" s="29" t="s">
        <v>2098</v>
      </c>
      <c r="F1821" s="62"/>
      <c r="G1821" s="20" t="str">
        <f t="shared" si="1"/>
        <v>Food, Beverages &amp; Tobacco, Food Items, Cooking &amp; Baking Ingredients, Shortening &amp; Lard</v>
      </c>
    </row>
    <row r="1822" hidden="1">
      <c r="A1822" s="29">
        <v>7354.0</v>
      </c>
      <c r="B1822" s="29" t="s">
        <v>1978</v>
      </c>
      <c r="C1822" s="29" t="s">
        <v>2019</v>
      </c>
      <c r="D1822" s="29" t="s">
        <v>2067</v>
      </c>
      <c r="E1822" s="29" t="s">
        <v>2099</v>
      </c>
      <c r="F1822" s="62"/>
      <c r="G1822" s="20" t="str">
        <f t="shared" si="1"/>
        <v>Food, Beverages &amp; Tobacco, Food Items, Cooking &amp; Baking Ingredients, Starter Cultures</v>
      </c>
    </row>
    <row r="1823" hidden="1">
      <c r="A1823" s="29">
        <v>503734.0</v>
      </c>
      <c r="B1823" s="29" t="s">
        <v>1978</v>
      </c>
      <c r="C1823" s="29" t="s">
        <v>2019</v>
      </c>
      <c r="D1823" s="29" t="s">
        <v>2067</v>
      </c>
      <c r="E1823" s="29" t="s">
        <v>2100</v>
      </c>
      <c r="F1823" s="62"/>
      <c r="G1823" s="20" t="str">
        <f t="shared" si="1"/>
        <v>Food, Beverages &amp; Tobacco, Food Items, Cooking &amp; Baking Ingredients, Sugar &amp; Sweeteners</v>
      </c>
    </row>
    <row r="1824" hidden="1">
      <c r="A1824" s="29">
        <v>499707.0</v>
      </c>
      <c r="B1824" s="29" t="s">
        <v>1978</v>
      </c>
      <c r="C1824" s="29" t="s">
        <v>2019</v>
      </c>
      <c r="D1824" s="29" t="s">
        <v>2067</v>
      </c>
      <c r="E1824" s="29" t="s">
        <v>2101</v>
      </c>
      <c r="F1824" s="62"/>
      <c r="G1824" s="20" t="str">
        <f t="shared" si="1"/>
        <v>Food, Beverages &amp; Tobacco, Food Items, Cooking &amp; Baking Ingredients, Tapioca Pearls</v>
      </c>
    </row>
    <row r="1825" hidden="1">
      <c r="A1825" s="29">
        <v>6922.0</v>
      </c>
      <c r="B1825" s="29" t="s">
        <v>1978</v>
      </c>
      <c r="C1825" s="29" t="s">
        <v>2019</v>
      </c>
      <c r="D1825" s="29" t="s">
        <v>2067</v>
      </c>
      <c r="E1825" s="29" t="s">
        <v>2102</v>
      </c>
      <c r="F1825" s="62"/>
      <c r="G1825" s="20" t="str">
        <f t="shared" si="1"/>
        <v>Food, Beverages &amp; Tobacco, Food Items, Cooking &amp; Baking Ingredients, Tomato Paste</v>
      </c>
    </row>
    <row r="1826" hidden="1">
      <c r="A1826" s="29">
        <v>5768.0</v>
      </c>
      <c r="B1826" s="29" t="s">
        <v>1978</v>
      </c>
      <c r="C1826" s="29" t="s">
        <v>2019</v>
      </c>
      <c r="D1826" s="29" t="s">
        <v>2067</v>
      </c>
      <c r="E1826" s="29" t="s">
        <v>2103</v>
      </c>
      <c r="F1826" s="62"/>
      <c r="G1826" s="20" t="str">
        <f t="shared" si="1"/>
        <v>Food, Beverages &amp; Tobacco, Food Items, Cooking &amp; Baking Ingredients, Unflavored Gelatin</v>
      </c>
    </row>
    <row r="1827" hidden="1">
      <c r="A1827" s="29">
        <v>2140.0</v>
      </c>
      <c r="B1827" s="29" t="s">
        <v>1978</v>
      </c>
      <c r="C1827" s="29" t="s">
        <v>2019</v>
      </c>
      <c r="D1827" s="29" t="s">
        <v>2067</v>
      </c>
      <c r="E1827" s="29" t="s">
        <v>2104</v>
      </c>
      <c r="F1827" s="62"/>
      <c r="G1827" s="20" t="str">
        <f t="shared" si="1"/>
        <v>Food, Beverages &amp; Tobacco, Food Items, Cooking &amp; Baking Ingredients, Vinegar</v>
      </c>
    </row>
    <row r="1828" hidden="1">
      <c r="A1828" s="29">
        <v>5778.0</v>
      </c>
      <c r="B1828" s="29" t="s">
        <v>1978</v>
      </c>
      <c r="C1828" s="29" t="s">
        <v>2019</v>
      </c>
      <c r="D1828" s="29" t="s">
        <v>2067</v>
      </c>
      <c r="E1828" s="29" t="s">
        <v>2105</v>
      </c>
      <c r="F1828" s="62"/>
      <c r="G1828" s="20" t="str">
        <f t="shared" si="1"/>
        <v>Food, Beverages &amp; Tobacco, Food Items, Cooking &amp; Baking Ingredients, Waffle &amp; Pancake Mixes</v>
      </c>
    </row>
    <row r="1829" hidden="1">
      <c r="A1829" s="29">
        <v>2905.0</v>
      </c>
      <c r="B1829" s="29" t="s">
        <v>1978</v>
      </c>
      <c r="C1829" s="29" t="s">
        <v>2019</v>
      </c>
      <c r="D1829" s="29" t="s">
        <v>2067</v>
      </c>
      <c r="E1829" s="29" t="s">
        <v>2106</v>
      </c>
      <c r="F1829" s="62"/>
      <c r="G1829" s="20" t="str">
        <f t="shared" si="1"/>
        <v>Food, Beverages &amp; Tobacco, Food Items, Cooking &amp; Baking Ingredients, Yeast</v>
      </c>
    </row>
    <row r="1830" hidden="1">
      <c r="A1830" s="29">
        <v>428.0</v>
      </c>
      <c r="B1830" s="29" t="s">
        <v>1978</v>
      </c>
      <c r="C1830" s="29" t="s">
        <v>2019</v>
      </c>
      <c r="D1830" s="29" t="s">
        <v>2107</v>
      </c>
      <c r="E1830" s="62"/>
      <c r="F1830" s="62"/>
      <c r="G1830" s="20" t="str">
        <f t="shared" si="1"/>
        <v>Food, Beverages &amp; Tobacco, Food Items, Dairy Products, </v>
      </c>
    </row>
    <row r="1831" hidden="1">
      <c r="A1831" s="29">
        <v>5827.0</v>
      </c>
      <c r="B1831" s="29" t="s">
        <v>1978</v>
      </c>
      <c r="C1831" s="29" t="s">
        <v>2019</v>
      </c>
      <c r="D1831" s="29" t="s">
        <v>2107</v>
      </c>
      <c r="E1831" s="29" t="s">
        <v>2108</v>
      </c>
      <c r="F1831" s="62"/>
      <c r="G1831" s="20" t="str">
        <f t="shared" si="1"/>
        <v>Food, Beverages &amp; Tobacco, Food Items, Dairy Products, Butter &amp; Margarine</v>
      </c>
    </row>
    <row r="1832" hidden="1">
      <c r="A1832" s="29">
        <v>429.0</v>
      </c>
      <c r="B1832" s="29" t="s">
        <v>1978</v>
      </c>
      <c r="C1832" s="29" t="s">
        <v>2019</v>
      </c>
      <c r="D1832" s="29" t="s">
        <v>2107</v>
      </c>
      <c r="E1832" s="29" t="s">
        <v>2109</v>
      </c>
      <c r="F1832" s="62"/>
      <c r="G1832" s="20" t="str">
        <f t="shared" si="1"/>
        <v>Food, Beverages &amp; Tobacco, Food Items, Dairy Products, Cheese</v>
      </c>
    </row>
    <row r="1833" hidden="1">
      <c r="A1833" s="29">
        <v>4418.0</v>
      </c>
      <c r="B1833" s="29" t="s">
        <v>1978</v>
      </c>
      <c r="C1833" s="29" t="s">
        <v>2019</v>
      </c>
      <c r="D1833" s="29" t="s">
        <v>2107</v>
      </c>
      <c r="E1833" s="29" t="s">
        <v>2110</v>
      </c>
      <c r="F1833" s="62"/>
      <c r="G1833" s="20" t="str">
        <f t="shared" si="1"/>
        <v>Food, Beverages &amp; Tobacco, Food Items, Dairy Products, Coffee Creamer</v>
      </c>
    </row>
    <row r="1834" hidden="1">
      <c r="A1834" s="29">
        <v>1855.0</v>
      </c>
      <c r="B1834" s="29" t="s">
        <v>1978</v>
      </c>
      <c r="C1834" s="29" t="s">
        <v>2019</v>
      </c>
      <c r="D1834" s="29" t="s">
        <v>2107</v>
      </c>
      <c r="E1834" s="29" t="s">
        <v>2111</v>
      </c>
      <c r="F1834" s="62"/>
      <c r="G1834" s="20" t="str">
        <f t="shared" si="1"/>
        <v>Food, Beverages &amp; Tobacco, Food Items, Dairy Products, Cottage Cheese</v>
      </c>
    </row>
    <row r="1835" hidden="1">
      <c r="A1835" s="29">
        <v>5786.0</v>
      </c>
      <c r="B1835" s="29" t="s">
        <v>1978</v>
      </c>
      <c r="C1835" s="29" t="s">
        <v>2019</v>
      </c>
      <c r="D1835" s="29" t="s">
        <v>2107</v>
      </c>
      <c r="E1835" s="29" t="s">
        <v>2112</v>
      </c>
      <c r="F1835" s="62"/>
      <c r="G1835" s="20" t="str">
        <f t="shared" si="1"/>
        <v>Food, Beverages &amp; Tobacco, Food Items, Dairy Products, Cream</v>
      </c>
    </row>
    <row r="1836" hidden="1">
      <c r="A1836" s="29">
        <v>5787.0</v>
      </c>
      <c r="B1836" s="29" t="s">
        <v>1978</v>
      </c>
      <c r="C1836" s="29" t="s">
        <v>2019</v>
      </c>
      <c r="D1836" s="29" t="s">
        <v>2107</v>
      </c>
      <c r="E1836" s="29" t="s">
        <v>2113</v>
      </c>
      <c r="F1836" s="62"/>
      <c r="G1836" s="20" t="str">
        <f t="shared" si="1"/>
        <v>Food, Beverages &amp; Tobacco, Food Items, Dairy Products, Sour Cream</v>
      </c>
    </row>
    <row r="1837" hidden="1">
      <c r="A1837" s="29">
        <v>6821.0</v>
      </c>
      <c r="B1837" s="29" t="s">
        <v>1978</v>
      </c>
      <c r="C1837" s="29" t="s">
        <v>2019</v>
      </c>
      <c r="D1837" s="29" t="s">
        <v>2107</v>
      </c>
      <c r="E1837" s="29" t="s">
        <v>2114</v>
      </c>
      <c r="F1837" s="62"/>
      <c r="G1837" s="20" t="str">
        <f t="shared" si="1"/>
        <v>Food, Beverages &amp; Tobacco, Food Items, Dairy Products, Whipped Cream</v>
      </c>
    </row>
    <row r="1838" hidden="1">
      <c r="A1838" s="29">
        <v>1954.0</v>
      </c>
      <c r="B1838" s="29" t="s">
        <v>1978</v>
      </c>
      <c r="C1838" s="29" t="s">
        <v>2019</v>
      </c>
      <c r="D1838" s="29" t="s">
        <v>2107</v>
      </c>
      <c r="E1838" s="29" t="s">
        <v>2115</v>
      </c>
      <c r="F1838" s="62"/>
      <c r="G1838" s="20" t="str">
        <f t="shared" si="1"/>
        <v>Food, Beverages &amp; Tobacco, Food Items, Dairy Products, Yogurt</v>
      </c>
    </row>
    <row r="1839" hidden="1">
      <c r="A1839" s="29">
        <v>5740.0</v>
      </c>
      <c r="B1839" s="29" t="s">
        <v>1978</v>
      </c>
      <c r="C1839" s="29" t="s">
        <v>2019</v>
      </c>
      <c r="D1839" s="29" t="s">
        <v>2116</v>
      </c>
      <c r="E1839" s="62"/>
      <c r="F1839" s="62"/>
      <c r="G1839" s="20" t="str">
        <f t="shared" si="1"/>
        <v>Food, Beverages &amp; Tobacco, Food Items, Dips &amp; Spreads, </v>
      </c>
    </row>
    <row r="1840" hidden="1">
      <c r="A1840" s="29">
        <v>6204.0</v>
      </c>
      <c r="B1840" s="29" t="s">
        <v>1978</v>
      </c>
      <c r="C1840" s="29" t="s">
        <v>2019</v>
      </c>
      <c r="D1840" s="29" t="s">
        <v>2116</v>
      </c>
      <c r="E1840" s="29" t="s">
        <v>2117</v>
      </c>
      <c r="F1840" s="62"/>
      <c r="G1840" s="20" t="str">
        <f t="shared" si="1"/>
        <v>Food, Beverages &amp; Tobacco, Food Items, Dips &amp; Spreads, Apple Butter</v>
      </c>
    </row>
    <row r="1841" hidden="1">
      <c r="A1841" s="29">
        <v>6831.0</v>
      </c>
      <c r="B1841" s="29" t="s">
        <v>1978</v>
      </c>
      <c r="C1841" s="29" t="s">
        <v>2019</v>
      </c>
      <c r="D1841" s="29" t="s">
        <v>2116</v>
      </c>
      <c r="E1841" s="29" t="s">
        <v>2118</v>
      </c>
      <c r="F1841" s="62"/>
      <c r="G1841" s="20" t="str">
        <f t="shared" si="1"/>
        <v>Food, Beverages &amp; Tobacco, Food Items, Dips &amp; Spreads, Cheese Dips &amp; Spreads</v>
      </c>
    </row>
    <row r="1842" hidden="1">
      <c r="A1842" s="29">
        <v>5785.0</v>
      </c>
      <c r="B1842" s="29" t="s">
        <v>1978</v>
      </c>
      <c r="C1842" s="29" t="s">
        <v>2019</v>
      </c>
      <c r="D1842" s="29" t="s">
        <v>2116</v>
      </c>
      <c r="E1842" s="29" t="s">
        <v>2119</v>
      </c>
      <c r="F1842" s="62"/>
      <c r="G1842" s="20" t="str">
        <f t="shared" si="1"/>
        <v>Food, Beverages &amp; Tobacco, Food Items, Dips &amp; Spreads, Cream Cheese</v>
      </c>
    </row>
    <row r="1843" hidden="1">
      <c r="A1843" s="29">
        <v>5742.0</v>
      </c>
      <c r="B1843" s="29" t="s">
        <v>1978</v>
      </c>
      <c r="C1843" s="29" t="s">
        <v>2019</v>
      </c>
      <c r="D1843" s="29" t="s">
        <v>2116</v>
      </c>
      <c r="E1843" s="29" t="s">
        <v>2120</v>
      </c>
      <c r="F1843" s="62"/>
      <c r="G1843" s="20" t="str">
        <f t="shared" si="1"/>
        <v>Food, Beverages &amp; Tobacco, Food Items, Dips &amp; Spreads, Guacamole</v>
      </c>
    </row>
    <row r="1844" hidden="1">
      <c r="A1844" s="29">
        <v>5741.0</v>
      </c>
      <c r="B1844" s="29" t="s">
        <v>1978</v>
      </c>
      <c r="C1844" s="29" t="s">
        <v>2019</v>
      </c>
      <c r="D1844" s="29" t="s">
        <v>2116</v>
      </c>
      <c r="E1844" s="29" t="s">
        <v>2121</v>
      </c>
      <c r="F1844" s="62"/>
      <c r="G1844" s="20" t="str">
        <f t="shared" si="1"/>
        <v>Food, Beverages &amp; Tobacco, Food Items, Dips &amp; Spreads, Hummus</v>
      </c>
    </row>
    <row r="1845" hidden="1">
      <c r="A1845" s="29">
        <v>2188.0</v>
      </c>
      <c r="B1845" s="29" t="s">
        <v>1978</v>
      </c>
      <c r="C1845" s="29" t="s">
        <v>2019</v>
      </c>
      <c r="D1845" s="29" t="s">
        <v>2116</v>
      </c>
      <c r="E1845" s="29" t="s">
        <v>2122</v>
      </c>
      <c r="F1845" s="62"/>
      <c r="G1845" s="20" t="str">
        <f t="shared" si="1"/>
        <v>Food, Beverages &amp; Tobacco, Food Items, Dips &amp; Spreads, Jams &amp; Jellies</v>
      </c>
    </row>
    <row r="1846" hidden="1">
      <c r="A1846" s="29">
        <v>3965.0</v>
      </c>
      <c r="B1846" s="29" t="s">
        <v>1978</v>
      </c>
      <c r="C1846" s="29" t="s">
        <v>2019</v>
      </c>
      <c r="D1846" s="29" t="s">
        <v>2116</v>
      </c>
      <c r="E1846" s="29" t="s">
        <v>2123</v>
      </c>
      <c r="F1846" s="62"/>
      <c r="G1846" s="20" t="str">
        <f t="shared" si="1"/>
        <v>Food, Beverages &amp; Tobacco, Food Items, Dips &amp; Spreads, Nut Butters</v>
      </c>
    </row>
    <row r="1847" hidden="1">
      <c r="A1847" s="29">
        <v>1702.0</v>
      </c>
      <c r="B1847" s="29" t="s">
        <v>1978</v>
      </c>
      <c r="C1847" s="29" t="s">
        <v>2019</v>
      </c>
      <c r="D1847" s="29" t="s">
        <v>2116</v>
      </c>
      <c r="E1847" s="29" t="s">
        <v>2124</v>
      </c>
      <c r="F1847" s="62"/>
      <c r="G1847" s="20" t="str">
        <f t="shared" si="1"/>
        <v>Food, Beverages &amp; Tobacco, Food Items, Dips &amp; Spreads, Salsa</v>
      </c>
    </row>
    <row r="1848" hidden="1">
      <c r="A1848" s="29">
        <v>6784.0</v>
      </c>
      <c r="B1848" s="29" t="s">
        <v>1978</v>
      </c>
      <c r="C1848" s="29" t="s">
        <v>2019</v>
      </c>
      <c r="D1848" s="29" t="s">
        <v>2116</v>
      </c>
      <c r="E1848" s="29" t="s">
        <v>2125</v>
      </c>
      <c r="F1848" s="62"/>
      <c r="G1848" s="20" t="str">
        <f t="shared" si="1"/>
        <v>Food, Beverages &amp; Tobacco, Food Items, Dips &amp; Spreads, Tapenade</v>
      </c>
    </row>
    <row r="1849" hidden="1">
      <c r="A1849" s="29">
        <v>6830.0</v>
      </c>
      <c r="B1849" s="29" t="s">
        <v>1978</v>
      </c>
      <c r="C1849" s="29" t="s">
        <v>2019</v>
      </c>
      <c r="D1849" s="29" t="s">
        <v>2116</v>
      </c>
      <c r="E1849" s="29" t="s">
        <v>2126</v>
      </c>
      <c r="F1849" s="62"/>
      <c r="G1849" s="20" t="str">
        <f t="shared" si="1"/>
        <v>Food, Beverages &amp; Tobacco, Food Items, Dips &amp; Spreads, Vegetable Dip</v>
      </c>
    </row>
    <row r="1850" hidden="1">
      <c r="A1850" s="29">
        <v>136.0</v>
      </c>
      <c r="B1850" s="29" t="s">
        <v>1978</v>
      </c>
      <c r="C1850" s="29" t="s">
        <v>2019</v>
      </c>
      <c r="D1850" s="29" t="s">
        <v>2127</v>
      </c>
      <c r="E1850" s="62"/>
      <c r="F1850" s="62"/>
      <c r="G1850" s="20" t="str">
        <f t="shared" si="1"/>
        <v>Food, Beverages &amp; Tobacco, Food Items, Food Gift Baskets, </v>
      </c>
    </row>
    <row r="1851" hidden="1">
      <c r="A1851" s="29">
        <v>5788.0</v>
      </c>
      <c r="B1851" s="29" t="s">
        <v>1978</v>
      </c>
      <c r="C1851" s="29" t="s">
        <v>2019</v>
      </c>
      <c r="D1851" s="29" t="s">
        <v>2128</v>
      </c>
      <c r="F1851" s="62"/>
      <c r="G1851" s="20" t="str">
        <f t="shared" si="1"/>
        <v>Food, Beverages &amp; Tobacco, Food Items, Frozen Desserts &amp; Novelties, </v>
      </c>
    </row>
    <row r="1852" hidden="1">
      <c r="A1852" s="29">
        <v>499991.0</v>
      </c>
      <c r="B1852" s="29" t="s">
        <v>1978</v>
      </c>
      <c r="C1852" s="29" t="s">
        <v>2019</v>
      </c>
      <c r="D1852" s="29" t="s">
        <v>2128</v>
      </c>
      <c r="E1852" s="29" t="s">
        <v>2129</v>
      </c>
      <c r="F1852" s="62"/>
      <c r="G1852" s="20" t="str">
        <f t="shared" si="1"/>
        <v>Food, Beverages &amp; Tobacco, Food Items, Frozen Desserts &amp; Novelties, Ice Cream &amp; Frozen Yogurt</v>
      </c>
    </row>
    <row r="1853" hidden="1">
      <c r="A1853" s="29">
        <v>6873.0</v>
      </c>
      <c r="B1853" s="29" t="s">
        <v>1978</v>
      </c>
      <c r="C1853" s="29" t="s">
        <v>2019</v>
      </c>
      <c r="D1853" s="29" t="s">
        <v>2128</v>
      </c>
      <c r="E1853" s="29" t="s">
        <v>2130</v>
      </c>
      <c r="F1853" s="62"/>
      <c r="G1853" s="20" t="str">
        <f t="shared" si="1"/>
        <v>Food, Beverages &amp; Tobacco, Food Items, Frozen Desserts &amp; Novelties, Ice Cream Novelties</v>
      </c>
    </row>
    <row r="1854" hidden="1">
      <c r="A1854" s="29">
        <v>5789.0</v>
      </c>
      <c r="B1854" s="29" t="s">
        <v>1978</v>
      </c>
      <c r="C1854" s="29" t="s">
        <v>2019</v>
      </c>
      <c r="D1854" s="29" t="s">
        <v>2128</v>
      </c>
      <c r="E1854" s="29" t="s">
        <v>2131</v>
      </c>
      <c r="F1854" s="62"/>
      <c r="G1854" s="20" t="str">
        <f t="shared" si="1"/>
        <v>Food, Beverages &amp; Tobacco, Food Items, Frozen Desserts &amp; Novelties, Ice Pops</v>
      </c>
    </row>
    <row r="1855" hidden="1">
      <c r="A1855" s="29">
        <v>430.0</v>
      </c>
      <c r="B1855" s="29" t="s">
        <v>1978</v>
      </c>
      <c r="C1855" s="29" t="s">
        <v>2019</v>
      </c>
      <c r="D1855" s="29" t="s">
        <v>2132</v>
      </c>
      <c r="E1855" s="62"/>
      <c r="F1855" s="62"/>
      <c r="G1855" s="20" t="str">
        <f t="shared" si="1"/>
        <v>Food, Beverages &amp; Tobacco, Food Items, Fruits &amp; Vegetables, </v>
      </c>
    </row>
    <row r="1856" hidden="1">
      <c r="A1856" s="29">
        <v>5799.0</v>
      </c>
      <c r="B1856" s="29" t="s">
        <v>1978</v>
      </c>
      <c r="C1856" s="29" t="s">
        <v>2019</v>
      </c>
      <c r="D1856" s="29" t="s">
        <v>2132</v>
      </c>
      <c r="E1856" s="29" t="s">
        <v>2133</v>
      </c>
      <c r="F1856" s="62"/>
      <c r="G1856" s="20" t="str">
        <f t="shared" si="1"/>
        <v>Food, Beverages &amp; Tobacco, Food Items, Fruits &amp; Vegetables, Canned &amp; Jarred Fruits</v>
      </c>
    </row>
    <row r="1857" hidden="1">
      <c r="A1857" s="29">
        <v>5798.0</v>
      </c>
      <c r="B1857" s="29" t="s">
        <v>1978</v>
      </c>
      <c r="C1857" s="29" t="s">
        <v>2019</v>
      </c>
      <c r="D1857" s="29" t="s">
        <v>2132</v>
      </c>
      <c r="E1857" s="29" t="s">
        <v>2134</v>
      </c>
      <c r="F1857" s="62"/>
      <c r="G1857" s="20" t="str">
        <f t="shared" si="1"/>
        <v>Food, Beverages &amp; Tobacco, Food Items, Fruits &amp; Vegetables, Canned &amp; Jarred Vegetables</v>
      </c>
    </row>
    <row r="1858" hidden="1">
      <c r="A1858" s="29">
        <v>5797.0</v>
      </c>
      <c r="B1858" s="29" t="s">
        <v>1978</v>
      </c>
      <c r="C1858" s="29" t="s">
        <v>2019</v>
      </c>
      <c r="D1858" s="29" t="s">
        <v>2132</v>
      </c>
      <c r="E1858" s="29" t="s">
        <v>2135</v>
      </c>
      <c r="F1858" s="62"/>
      <c r="G1858" s="20" t="str">
        <f t="shared" si="1"/>
        <v>Food, Beverages &amp; Tobacco, Food Items, Fruits &amp; Vegetables, Canned &amp; Prepared Beans</v>
      </c>
    </row>
    <row r="1859" hidden="1">
      <c r="A1859" s="29">
        <v>1755.0</v>
      </c>
      <c r="B1859" s="29" t="s">
        <v>1978</v>
      </c>
      <c r="C1859" s="29" t="s">
        <v>2019</v>
      </c>
      <c r="D1859" s="29" t="s">
        <v>2132</v>
      </c>
      <c r="E1859" s="29" t="s">
        <v>2136</v>
      </c>
      <c r="F1859" s="62"/>
      <c r="G1859" s="20" t="str">
        <f t="shared" si="1"/>
        <v>Food, Beverages &amp; Tobacco, Food Items, Fruits &amp; Vegetables, Dried Fruits</v>
      </c>
    </row>
    <row r="1860" hidden="1">
      <c r="A1860" s="29">
        <v>7387.0</v>
      </c>
      <c r="B1860" s="29" t="s">
        <v>1978</v>
      </c>
      <c r="C1860" s="29" t="s">
        <v>2019</v>
      </c>
      <c r="D1860" s="29" t="s">
        <v>2132</v>
      </c>
      <c r="E1860" s="29" t="s">
        <v>2137</v>
      </c>
      <c r="F1860" s="62"/>
      <c r="G1860" s="20" t="str">
        <f t="shared" si="1"/>
        <v>Food, Beverages &amp; Tobacco, Food Items, Fruits &amp; Vegetables, Dried Vegetables</v>
      </c>
    </row>
    <row r="1861" hidden="1">
      <c r="A1861" s="29">
        <v>5796.0</v>
      </c>
      <c r="B1861" s="29" t="s">
        <v>1978</v>
      </c>
      <c r="C1861" s="29" t="s">
        <v>2019</v>
      </c>
      <c r="D1861" s="29" t="s">
        <v>2132</v>
      </c>
      <c r="E1861" s="29" t="s">
        <v>2138</v>
      </c>
      <c r="F1861" s="62"/>
      <c r="G1861" s="20" t="str">
        <f t="shared" si="1"/>
        <v>Food, Beverages &amp; Tobacco, Food Items, Fruits &amp; Vegetables, Dry Beans</v>
      </c>
    </row>
    <row r="1862" hidden="1">
      <c r="A1862" s="29">
        <v>5795.0</v>
      </c>
      <c r="B1862" s="29" t="s">
        <v>1978</v>
      </c>
      <c r="C1862" s="29" t="s">
        <v>2019</v>
      </c>
      <c r="D1862" s="29" t="s">
        <v>2132</v>
      </c>
      <c r="E1862" s="29" t="s">
        <v>2139</v>
      </c>
      <c r="F1862" s="62"/>
      <c r="G1862" s="20" t="str">
        <f t="shared" si="1"/>
        <v>Food, Beverages &amp; Tobacco, Food Items, Fruits &amp; Vegetables, Fresh &amp; Frozen Fruits</v>
      </c>
    </row>
    <row r="1863" hidden="1">
      <c r="A1863" s="29">
        <v>6566.0</v>
      </c>
      <c r="B1863" s="29" t="s">
        <v>1978</v>
      </c>
      <c r="C1863" s="29" t="s">
        <v>2019</v>
      </c>
      <c r="D1863" s="29" t="s">
        <v>2132</v>
      </c>
      <c r="E1863" s="29" t="s">
        <v>2139</v>
      </c>
      <c r="F1863" s="29" t="s">
        <v>2140</v>
      </c>
      <c r="G1863" s="20" t="str">
        <f t="shared" si="1"/>
        <v>Food, Beverages &amp; Tobacco, Food Items, Fruits &amp; Vegetables, Fresh &amp; Frozen FruitsApples</v>
      </c>
    </row>
    <row r="1864" hidden="1">
      <c r="A1864" s="29">
        <v>6571.0</v>
      </c>
      <c r="B1864" s="29" t="s">
        <v>1978</v>
      </c>
      <c r="C1864" s="29" t="s">
        <v>2019</v>
      </c>
      <c r="D1864" s="29" t="s">
        <v>2132</v>
      </c>
      <c r="E1864" s="29" t="s">
        <v>2139</v>
      </c>
      <c r="F1864" s="29" t="s">
        <v>2141</v>
      </c>
      <c r="G1864" s="20" t="str">
        <f t="shared" si="1"/>
        <v>Food, Beverages &amp; Tobacco, Food Items, Fruits &amp; Vegetables, Fresh &amp; Frozen FruitsAtemoyas</v>
      </c>
    </row>
    <row r="1865" hidden="1">
      <c r="A1865" s="29">
        <v>6572.0</v>
      </c>
      <c r="B1865" s="29" t="s">
        <v>1978</v>
      </c>
      <c r="C1865" s="29" t="s">
        <v>2019</v>
      </c>
      <c r="D1865" s="29" t="s">
        <v>2132</v>
      </c>
      <c r="E1865" s="29" t="s">
        <v>2139</v>
      </c>
      <c r="F1865" s="29" t="s">
        <v>2142</v>
      </c>
      <c r="G1865" s="20" t="str">
        <f t="shared" si="1"/>
        <v>Food, Beverages &amp; Tobacco, Food Items, Fruits &amp; Vegetables, Fresh &amp; Frozen FruitsAvocados</v>
      </c>
    </row>
    <row r="1866" hidden="1">
      <c r="A1866" s="29">
        <v>6573.0</v>
      </c>
      <c r="B1866" s="29" t="s">
        <v>1978</v>
      </c>
      <c r="C1866" s="29" t="s">
        <v>2019</v>
      </c>
      <c r="D1866" s="29" t="s">
        <v>2132</v>
      </c>
      <c r="E1866" s="29" t="s">
        <v>2139</v>
      </c>
      <c r="F1866" s="29" t="s">
        <v>2143</v>
      </c>
      <c r="G1866" s="20" t="str">
        <f t="shared" si="1"/>
        <v>Food, Beverages &amp; Tobacco, Food Items, Fruits &amp; Vegetables, Fresh &amp; Frozen FruitsBabacos</v>
      </c>
    </row>
    <row r="1867" hidden="1">
      <c r="A1867" s="29">
        <v>6574.0</v>
      </c>
      <c r="B1867" s="29" t="s">
        <v>1978</v>
      </c>
      <c r="C1867" s="29" t="s">
        <v>2019</v>
      </c>
      <c r="D1867" s="29" t="s">
        <v>2132</v>
      </c>
      <c r="E1867" s="29" t="s">
        <v>2139</v>
      </c>
      <c r="F1867" s="29" t="s">
        <v>2144</v>
      </c>
      <c r="G1867" s="20" t="str">
        <f t="shared" si="1"/>
        <v>Food, Beverages &amp; Tobacco, Food Items, Fruits &amp; Vegetables, Fresh &amp; Frozen FruitsBananas</v>
      </c>
    </row>
    <row r="1868" hidden="1">
      <c r="A1868" s="29">
        <v>6582.0</v>
      </c>
      <c r="B1868" s="29" t="s">
        <v>1978</v>
      </c>
      <c r="C1868" s="29" t="s">
        <v>2019</v>
      </c>
      <c r="D1868" s="29" t="s">
        <v>2132</v>
      </c>
      <c r="E1868" s="29" t="s">
        <v>2139</v>
      </c>
      <c r="F1868" s="29" t="s">
        <v>2145</v>
      </c>
      <c r="G1868" s="20" t="str">
        <f t="shared" si="1"/>
        <v>Food, Beverages &amp; Tobacco, Food Items, Fruits &amp; Vegetables, Fresh &amp; Frozen FruitsBerries</v>
      </c>
    </row>
    <row r="1869" hidden="1">
      <c r="A1869" s="29">
        <v>6589.0</v>
      </c>
      <c r="B1869" s="29" t="s">
        <v>1978</v>
      </c>
      <c r="C1869" s="29" t="s">
        <v>2019</v>
      </c>
      <c r="D1869" s="29" t="s">
        <v>2132</v>
      </c>
      <c r="E1869" s="29" t="s">
        <v>2139</v>
      </c>
      <c r="F1869" s="29" t="s">
        <v>2146</v>
      </c>
      <c r="G1869" s="20" t="str">
        <f t="shared" si="1"/>
        <v>Food, Beverages &amp; Tobacco, Food Items, Fruits &amp; Vegetables, Fresh &amp; Frozen FruitsBreadfruit</v>
      </c>
    </row>
    <row r="1870" hidden="1">
      <c r="A1870" s="29">
        <v>6593.0</v>
      </c>
      <c r="B1870" s="29" t="s">
        <v>1978</v>
      </c>
      <c r="C1870" s="29" t="s">
        <v>2019</v>
      </c>
      <c r="D1870" s="29" t="s">
        <v>2132</v>
      </c>
      <c r="E1870" s="29" t="s">
        <v>2139</v>
      </c>
      <c r="F1870" s="29" t="s">
        <v>2147</v>
      </c>
      <c r="G1870" s="20" t="str">
        <f t="shared" si="1"/>
        <v>Food, Beverages &amp; Tobacco, Food Items, Fruits &amp; Vegetables, Fresh &amp; Frozen FruitsCactus Pears</v>
      </c>
    </row>
    <row r="1871" hidden="1">
      <c r="A1871" s="29">
        <v>6602.0</v>
      </c>
      <c r="B1871" s="29" t="s">
        <v>1978</v>
      </c>
      <c r="C1871" s="29" t="s">
        <v>2019</v>
      </c>
      <c r="D1871" s="29" t="s">
        <v>2132</v>
      </c>
      <c r="E1871" s="29" t="s">
        <v>2139</v>
      </c>
      <c r="F1871" s="29" t="s">
        <v>2148</v>
      </c>
      <c r="G1871" s="20" t="str">
        <f t="shared" si="1"/>
        <v>Food, Beverages &amp; Tobacco, Food Items, Fruits &amp; Vegetables, Fresh &amp; Frozen FruitsCherimoyas</v>
      </c>
    </row>
    <row r="1872" hidden="1">
      <c r="A1872" s="29">
        <v>503759.0</v>
      </c>
      <c r="B1872" s="29" t="s">
        <v>1978</v>
      </c>
      <c r="C1872" s="29" t="s">
        <v>2019</v>
      </c>
      <c r="D1872" s="29" t="s">
        <v>2132</v>
      </c>
      <c r="E1872" s="29" t="s">
        <v>2139</v>
      </c>
      <c r="F1872" s="29" t="s">
        <v>2149</v>
      </c>
      <c r="G1872" s="20" t="str">
        <f t="shared" si="1"/>
        <v>Food, Beverages &amp; Tobacco, Food Items, Fruits &amp; Vegetables, Fresh &amp; Frozen FruitsCitrus Fruits</v>
      </c>
    </row>
    <row r="1873" hidden="1">
      <c r="A1873" s="29">
        <v>6621.0</v>
      </c>
      <c r="B1873" s="29" t="s">
        <v>1978</v>
      </c>
      <c r="C1873" s="29" t="s">
        <v>2019</v>
      </c>
      <c r="D1873" s="29" t="s">
        <v>2132</v>
      </c>
      <c r="E1873" s="29" t="s">
        <v>2139</v>
      </c>
      <c r="F1873" s="29" t="s">
        <v>2149</v>
      </c>
      <c r="G1873" s="20" t="str">
        <f t="shared" si="1"/>
        <v>Food, Beverages &amp; Tobacco, Food Items, Fruits &amp; Vegetables, Fresh &amp; Frozen FruitsCitrus Fruits</v>
      </c>
    </row>
    <row r="1874" hidden="1">
      <c r="A1874" s="29">
        <v>6632.0</v>
      </c>
      <c r="B1874" s="29" t="s">
        <v>1978</v>
      </c>
      <c r="C1874" s="29" t="s">
        <v>2019</v>
      </c>
      <c r="D1874" s="29" t="s">
        <v>2132</v>
      </c>
      <c r="E1874" s="29" t="s">
        <v>2139</v>
      </c>
      <c r="F1874" s="29" t="s">
        <v>2149</v>
      </c>
      <c r="G1874" s="20" t="str">
        <f t="shared" si="1"/>
        <v>Food, Beverages &amp; Tobacco, Food Items, Fruits &amp; Vegetables, Fresh &amp; Frozen FruitsCitrus Fruits</v>
      </c>
    </row>
    <row r="1875" hidden="1">
      <c r="A1875" s="29">
        <v>6636.0</v>
      </c>
      <c r="B1875" s="29" t="s">
        <v>1978</v>
      </c>
      <c r="C1875" s="29" t="s">
        <v>2019</v>
      </c>
      <c r="D1875" s="29" t="s">
        <v>2132</v>
      </c>
      <c r="E1875" s="29" t="s">
        <v>2139</v>
      </c>
      <c r="F1875" s="29" t="s">
        <v>2149</v>
      </c>
      <c r="G1875" s="20" t="str">
        <f t="shared" si="1"/>
        <v>Food, Beverages &amp; Tobacco, Food Items, Fruits &amp; Vegetables, Fresh &amp; Frozen FruitsCitrus Fruits</v>
      </c>
    </row>
    <row r="1876" hidden="1">
      <c r="A1876" s="29">
        <v>6641.0</v>
      </c>
      <c r="B1876" s="29" t="s">
        <v>1978</v>
      </c>
      <c r="C1876" s="29" t="s">
        <v>2019</v>
      </c>
      <c r="D1876" s="29" t="s">
        <v>2132</v>
      </c>
      <c r="E1876" s="29" t="s">
        <v>2139</v>
      </c>
      <c r="F1876" s="29" t="s">
        <v>2149</v>
      </c>
      <c r="G1876" s="20" t="str">
        <f t="shared" si="1"/>
        <v>Food, Beverages &amp; Tobacco, Food Items, Fruits &amp; Vegetables, Fresh &amp; Frozen FruitsCitrus Fruits</v>
      </c>
    </row>
    <row r="1877" hidden="1">
      <c r="A1877" s="29">
        <v>6642.0</v>
      </c>
      <c r="B1877" s="29" t="s">
        <v>1978</v>
      </c>
      <c r="C1877" s="29" t="s">
        <v>2019</v>
      </c>
      <c r="D1877" s="29" t="s">
        <v>2132</v>
      </c>
      <c r="E1877" s="29" t="s">
        <v>2139</v>
      </c>
      <c r="F1877" s="29" t="s">
        <v>2149</v>
      </c>
      <c r="G1877" s="20" t="str">
        <f t="shared" si="1"/>
        <v>Food, Beverages &amp; Tobacco, Food Items, Fruits &amp; Vegetables, Fresh &amp; Frozen FruitsCitrus Fruits</v>
      </c>
    </row>
    <row r="1878" hidden="1">
      <c r="A1878" s="29">
        <v>6658.0</v>
      </c>
      <c r="B1878" s="29" t="s">
        <v>1978</v>
      </c>
      <c r="C1878" s="29" t="s">
        <v>2019</v>
      </c>
      <c r="D1878" s="29" t="s">
        <v>2132</v>
      </c>
      <c r="E1878" s="29" t="s">
        <v>2139</v>
      </c>
      <c r="F1878" s="29" t="s">
        <v>2149</v>
      </c>
      <c r="G1878" s="20" t="str">
        <f t="shared" si="1"/>
        <v>Food, Beverages &amp; Tobacco, Food Items, Fruits &amp; Vegetables, Fresh &amp; Frozen FruitsCitrus Fruits</v>
      </c>
    </row>
    <row r="1879" hidden="1">
      <c r="A1879" s="29">
        <v>6697.0</v>
      </c>
      <c r="B1879" s="29" t="s">
        <v>1978</v>
      </c>
      <c r="C1879" s="29" t="s">
        <v>2019</v>
      </c>
      <c r="D1879" s="29" t="s">
        <v>2132</v>
      </c>
      <c r="E1879" s="29" t="s">
        <v>2139</v>
      </c>
      <c r="F1879" s="29" t="s">
        <v>2149</v>
      </c>
      <c r="G1879" s="20" t="str">
        <f t="shared" si="1"/>
        <v>Food, Beverages &amp; Tobacco, Food Items, Fruits &amp; Vegetables, Fresh &amp; Frozen FruitsCitrus Fruits</v>
      </c>
    </row>
    <row r="1880" hidden="1">
      <c r="A1880" s="29">
        <v>6809.0</v>
      </c>
      <c r="B1880" s="29" t="s">
        <v>1978</v>
      </c>
      <c r="C1880" s="29" t="s">
        <v>2019</v>
      </c>
      <c r="D1880" s="29" t="s">
        <v>2132</v>
      </c>
      <c r="E1880" s="29" t="s">
        <v>2139</v>
      </c>
      <c r="F1880" s="29" t="s">
        <v>2150</v>
      </c>
      <c r="G1880" s="20" t="str">
        <f t="shared" si="1"/>
        <v>Food, Beverages &amp; Tobacco, Food Items, Fruits &amp; Vegetables, Fresh &amp; Frozen FruitsCoconuts</v>
      </c>
    </row>
    <row r="1881" hidden="1">
      <c r="A1881" s="29">
        <v>6812.0</v>
      </c>
      <c r="B1881" s="29" t="s">
        <v>1978</v>
      </c>
      <c r="C1881" s="29" t="s">
        <v>2019</v>
      </c>
      <c r="D1881" s="29" t="s">
        <v>2132</v>
      </c>
      <c r="E1881" s="29" t="s">
        <v>2139</v>
      </c>
      <c r="F1881" s="29" t="s">
        <v>2151</v>
      </c>
      <c r="G1881" s="20" t="str">
        <f t="shared" si="1"/>
        <v>Food, Beverages &amp; Tobacco, Food Items, Fruits &amp; Vegetables, Fresh &amp; Frozen FruitsDates</v>
      </c>
    </row>
    <row r="1882" hidden="1">
      <c r="A1882" s="29">
        <v>6614.0</v>
      </c>
      <c r="B1882" s="29" t="s">
        <v>1978</v>
      </c>
      <c r="C1882" s="29" t="s">
        <v>2019</v>
      </c>
      <c r="D1882" s="29" t="s">
        <v>2132</v>
      </c>
      <c r="E1882" s="29" t="s">
        <v>2139</v>
      </c>
      <c r="F1882" s="29" t="s">
        <v>2152</v>
      </c>
      <c r="G1882" s="20" t="str">
        <f t="shared" si="1"/>
        <v>Food, Beverages &amp; Tobacco, Food Items, Fruits &amp; Vegetables, Fresh &amp; Frozen FruitsFeijoas</v>
      </c>
    </row>
    <row r="1883" hidden="1">
      <c r="A1883" s="29">
        <v>6810.0</v>
      </c>
      <c r="B1883" s="29" t="s">
        <v>1978</v>
      </c>
      <c r="C1883" s="29" t="s">
        <v>2019</v>
      </c>
      <c r="D1883" s="29" t="s">
        <v>2132</v>
      </c>
      <c r="E1883" s="29" t="s">
        <v>2139</v>
      </c>
      <c r="F1883" s="29" t="s">
        <v>2153</v>
      </c>
      <c r="G1883" s="20" t="str">
        <f t="shared" si="1"/>
        <v>Food, Beverages &amp; Tobacco, Food Items, Fruits &amp; Vegetables, Fresh &amp; Frozen FruitsFigs</v>
      </c>
    </row>
    <row r="1884" hidden="1">
      <c r="A1884" s="29">
        <v>499906.0</v>
      </c>
      <c r="B1884" s="29" t="s">
        <v>1978</v>
      </c>
      <c r="C1884" s="29" t="s">
        <v>2019</v>
      </c>
      <c r="D1884" s="29" t="s">
        <v>2132</v>
      </c>
      <c r="E1884" s="29" t="s">
        <v>2139</v>
      </c>
      <c r="F1884" s="29" t="s">
        <v>2154</v>
      </c>
      <c r="G1884" s="20" t="str">
        <f t="shared" si="1"/>
        <v>Food, Beverages &amp; Tobacco, Food Items, Fruits &amp; Vegetables, Fresh &amp; Frozen FruitsFruit Mixes</v>
      </c>
    </row>
    <row r="1885" hidden="1">
      <c r="A1885" s="29">
        <v>6626.0</v>
      </c>
      <c r="B1885" s="29" t="s">
        <v>1978</v>
      </c>
      <c r="C1885" s="29" t="s">
        <v>2019</v>
      </c>
      <c r="D1885" s="29" t="s">
        <v>2132</v>
      </c>
      <c r="E1885" s="29" t="s">
        <v>2139</v>
      </c>
      <c r="F1885" s="29" t="s">
        <v>2155</v>
      </c>
      <c r="G1885" s="20" t="str">
        <f t="shared" si="1"/>
        <v>Food, Beverages &amp; Tobacco, Food Items, Fruits &amp; Vegetables, Fresh &amp; Frozen FruitsGrapes</v>
      </c>
    </row>
    <row r="1886" hidden="1">
      <c r="A1886" s="29">
        <v>6625.0</v>
      </c>
      <c r="B1886" s="29" t="s">
        <v>1978</v>
      </c>
      <c r="C1886" s="29" t="s">
        <v>2019</v>
      </c>
      <c r="D1886" s="29" t="s">
        <v>2132</v>
      </c>
      <c r="E1886" s="29" t="s">
        <v>2139</v>
      </c>
      <c r="F1886" s="29" t="s">
        <v>2156</v>
      </c>
      <c r="G1886" s="20" t="str">
        <f t="shared" si="1"/>
        <v>Food, Beverages &amp; Tobacco, Food Items, Fruits &amp; Vegetables, Fresh &amp; Frozen FruitsGuavas</v>
      </c>
    </row>
    <row r="1887" hidden="1">
      <c r="A1887" s="29">
        <v>6624.0</v>
      </c>
      <c r="B1887" s="29" t="s">
        <v>1978</v>
      </c>
      <c r="C1887" s="29" t="s">
        <v>2019</v>
      </c>
      <c r="D1887" s="29" t="s">
        <v>2132</v>
      </c>
      <c r="E1887" s="29" t="s">
        <v>2139</v>
      </c>
      <c r="F1887" s="29" t="s">
        <v>2157</v>
      </c>
      <c r="G1887" s="20" t="str">
        <f t="shared" si="1"/>
        <v>Food, Beverages &amp; Tobacco, Food Items, Fruits &amp; Vegetables, Fresh &amp; Frozen FruitsHomely Fruits</v>
      </c>
    </row>
    <row r="1888" hidden="1">
      <c r="A1888" s="29">
        <v>6633.0</v>
      </c>
      <c r="B1888" s="29" t="s">
        <v>1978</v>
      </c>
      <c r="C1888" s="29" t="s">
        <v>2019</v>
      </c>
      <c r="D1888" s="29" t="s">
        <v>2132</v>
      </c>
      <c r="E1888" s="29" t="s">
        <v>2139</v>
      </c>
      <c r="F1888" s="29" t="s">
        <v>2158</v>
      </c>
      <c r="G1888" s="20" t="str">
        <f t="shared" si="1"/>
        <v>Food, Beverages &amp; Tobacco, Food Items, Fruits &amp; Vegetables, Fresh &amp; Frozen FruitsKiwis</v>
      </c>
    </row>
    <row r="1889" hidden="1">
      <c r="A1889" s="29">
        <v>6640.0</v>
      </c>
      <c r="B1889" s="29" t="s">
        <v>1978</v>
      </c>
      <c r="C1889" s="29" t="s">
        <v>2019</v>
      </c>
      <c r="D1889" s="29" t="s">
        <v>2132</v>
      </c>
      <c r="E1889" s="29" t="s">
        <v>2139</v>
      </c>
      <c r="F1889" s="29" t="s">
        <v>2159</v>
      </c>
      <c r="G1889" s="20" t="str">
        <f t="shared" si="1"/>
        <v>Food, Beverages &amp; Tobacco, Food Items, Fruits &amp; Vegetables, Fresh &amp; Frozen FruitsLongan</v>
      </c>
    </row>
    <row r="1890" hidden="1">
      <c r="A1890" s="29">
        <v>6639.0</v>
      </c>
      <c r="B1890" s="29" t="s">
        <v>1978</v>
      </c>
      <c r="C1890" s="29" t="s">
        <v>2019</v>
      </c>
      <c r="D1890" s="29" t="s">
        <v>2132</v>
      </c>
      <c r="E1890" s="29" t="s">
        <v>2139</v>
      </c>
      <c r="F1890" s="29" t="s">
        <v>2160</v>
      </c>
      <c r="G1890" s="20" t="str">
        <f t="shared" si="1"/>
        <v>Food, Beverages &amp; Tobacco, Food Items, Fruits &amp; Vegetables, Fresh &amp; Frozen FruitsLoquats</v>
      </c>
    </row>
    <row r="1891" hidden="1">
      <c r="A1891" s="29">
        <v>6638.0</v>
      </c>
      <c r="B1891" s="29" t="s">
        <v>1978</v>
      </c>
      <c r="C1891" s="29" t="s">
        <v>2019</v>
      </c>
      <c r="D1891" s="29" t="s">
        <v>2132</v>
      </c>
      <c r="E1891" s="29" t="s">
        <v>2139</v>
      </c>
      <c r="F1891" s="29" t="s">
        <v>2161</v>
      </c>
      <c r="G1891" s="20" t="str">
        <f t="shared" si="1"/>
        <v>Food, Beverages &amp; Tobacco, Food Items, Fruits &amp; Vegetables, Fresh &amp; Frozen FruitsLychees</v>
      </c>
    </row>
    <row r="1892" hidden="1">
      <c r="A1892" s="29">
        <v>6813.0</v>
      </c>
      <c r="B1892" s="29" t="s">
        <v>1978</v>
      </c>
      <c r="C1892" s="29" t="s">
        <v>2019</v>
      </c>
      <c r="D1892" s="29" t="s">
        <v>2132</v>
      </c>
      <c r="E1892" s="29" t="s">
        <v>2139</v>
      </c>
      <c r="F1892" s="29" t="s">
        <v>2162</v>
      </c>
      <c r="G1892" s="20" t="str">
        <f t="shared" si="1"/>
        <v>Food, Beverages &amp; Tobacco, Food Items, Fruits &amp; Vegetables, Fresh &amp; Frozen FruitsMadroño</v>
      </c>
    </row>
    <row r="1893" hidden="1">
      <c r="A1893" s="29">
        <v>6647.0</v>
      </c>
      <c r="B1893" s="29" t="s">
        <v>1978</v>
      </c>
      <c r="C1893" s="29" t="s">
        <v>2019</v>
      </c>
      <c r="D1893" s="29" t="s">
        <v>2132</v>
      </c>
      <c r="E1893" s="29" t="s">
        <v>2139</v>
      </c>
      <c r="F1893" s="29" t="s">
        <v>2163</v>
      </c>
      <c r="G1893" s="20" t="str">
        <f t="shared" si="1"/>
        <v>Food, Beverages &amp; Tobacco, Food Items, Fruits &amp; Vegetables, Fresh &amp; Frozen FruitsMamey</v>
      </c>
    </row>
    <row r="1894" hidden="1">
      <c r="A1894" s="29">
        <v>6645.0</v>
      </c>
      <c r="B1894" s="29" t="s">
        <v>1978</v>
      </c>
      <c r="C1894" s="29" t="s">
        <v>2019</v>
      </c>
      <c r="D1894" s="29" t="s">
        <v>2132</v>
      </c>
      <c r="E1894" s="29" t="s">
        <v>2139</v>
      </c>
      <c r="F1894" s="29" t="s">
        <v>2164</v>
      </c>
      <c r="G1894" s="20" t="str">
        <f t="shared" si="1"/>
        <v>Food, Beverages &amp; Tobacco, Food Items, Fruits &amp; Vegetables, Fresh &amp; Frozen FruitsMangosteens</v>
      </c>
    </row>
    <row r="1895" hidden="1">
      <c r="A1895" s="29">
        <v>6649.0</v>
      </c>
      <c r="B1895" s="29" t="s">
        <v>1978</v>
      </c>
      <c r="C1895" s="29" t="s">
        <v>2019</v>
      </c>
      <c r="D1895" s="29" t="s">
        <v>2132</v>
      </c>
      <c r="E1895" s="29" t="s">
        <v>2139</v>
      </c>
      <c r="F1895" s="29" t="s">
        <v>2165</v>
      </c>
      <c r="G1895" s="20" t="str">
        <f t="shared" si="1"/>
        <v>Food, Beverages &amp; Tobacco, Food Items, Fruits &amp; Vegetables, Fresh &amp; Frozen FruitsMelons</v>
      </c>
    </row>
    <row r="1896" hidden="1">
      <c r="A1896" s="29">
        <v>6661.0</v>
      </c>
      <c r="B1896" s="29" t="s">
        <v>1978</v>
      </c>
      <c r="C1896" s="29" t="s">
        <v>2019</v>
      </c>
      <c r="D1896" s="29" t="s">
        <v>2132</v>
      </c>
      <c r="E1896" s="29" t="s">
        <v>2139</v>
      </c>
      <c r="F1896" s="29" t="s">
        <v>2166</v>
      </c>
      <c r="G1896" s="20" t="str">
        <f t="shared" si="1"/>
        <v>Food, Beverages &amp; Tobacco, Food Items, Fruits &amp; Vegetables, Fresh &amp; Frozen FruitsPapayas</v>
      </c>
    </row>
    <row r="1897" hidden="1">
      <c r="A1897" s="29">
        <v>6667.0</v>
      </c>
      <c r="B1897" s="29" t="s">
        <v>1978</v>
      </c>
      <c r="C1897" s="29" t="s">
        <v>2019</v>
      </c>
      <c r="D1897" s="29" t="s">
        <v>2132</v>
      </c>
      <c r="E1897" s="29" t="s">
        <v>2139</v>
      </c>
      <c r="F1897" s="29" t="s">
        <v>2167</v>
      </c>
      <c r="G1897" s="20" t="str">
        <f t="shared" si="1"/>
        <v>Food, Beverages &amp; Tobacco, Food Items, Fruits &amp; Vegetables, Fresh &amp; Frozen FruitsPassion Fruit</v>
      </c>
    </row>
    <row r="1898" hidden="1">
      <c r="A1898" s="29">
        <v>6665.0</v>
      </c>
      <c r="B1898" s="29" t="s">
        <v>1978</v>
      </c>
      <c r="C1898" s="29" t="s">
        <v>2019</v>
      </c>
      <c r="D1898" s="29" t="s">
        <v>2132</v>
      </c>
      <c r="E1898" s="29" t="s">
        <v>2139</v>
      </c>
      <c r="F1898" s="29" t="s">
        <v>2168</v>
      </c>
      <c r="G1898" s="20" t="str">
        <f t="shared" si="1"/>
        <v>Food, Beverages &amp; Tobacco, Food Items, Fruits &amp; Vegetables, Fresh &amp; Frozen FruitsPears</v>
      </c>
    </row>
    <row r="1899" hidden="1">
      <c r="A1899" s="29">
        <v>6672.0</v>
      </c>
      <c r="B1899" s="29" t="s">
        <v>1978</v>
      </c>
      <c r="C1899" s="29" t="s">
        <v>2019</v>
      </c>
      <c r="D1899" s="29" t="s">
        <v>2132</v>
      </c>
      <c r="E1899" s="29" t="s">
        <v>2139</v>
      </c>
      <c r="F1899" s="29" t="s">
        <v>2169</v>
      </c>
      <c r="G1899" s="20" t="str">
        <f t="shared" si="1"/>
        <v>Food, Beverages &amp; Tobacco, Food Items, Fruits &amp; Vegetables, Fresh &amp; Frozen FruitsPersimmons</v>
      </c>
    </row>
    <row r="1900" hidden="1">
      <c r="A1900" s="29">
        <v>6671.0</v>
      </c>
      <c r="B1900" s="29" t="s">
        <v>1978</v>
      </c>
      <c r="C1900" s="29" t="s">
        <v>2019</v>
      </c>
      <c r="D1900" s="29" t="s">
        <v>2132</v>
      </c>
      <c r="E1900" s="29" t="s">
        <v>2139</v>
      </c>
      <c r="F1900" s="29" t="s">
        <v>2170</v>
      </c>
      <c r="G1900" s="20" t="str">
        <f t="shared" si="1"/>
        <v>Food, Beverages &amp; Tobacco, Food Items, Fruits &amp; Vegetables, Fresh &amp; Frozen FruitsPhysalis</v>
      </c>
    </row>
    <row r="1901" hidden="1">
      <c r="A1901" s="29">
        <v>6670.0</v>
      </c>
      <c r="B1901" s="29" t="s">
        <v>1978</v>
      </c>
      <c r="C1901" s="29" t="s">
        <v>2019</v>
      </c>
      <c r="D1901" s="29" t="s">
        <v>2132</v>
      </c>
      <c r="E1901" s="29" t="s">
        <v>2139</v>
      </c>
      <c r="F1901" s="29" t="s">
        <v>2171</v>
      </c>
      <c r="G1901" s="20" t="str">
        <f t="shared" si="1"/>
        <v>Food, Beverages &amp; Tobacco, Food Items, Fruits &amp; Vegetables, Fresh &amp; Frozen FruitsPineapples</v>
      </c>
    </row>
    <row r="1902" hidden="1">
      <c r="A1902" s="29">
        <v>6676.0</v>
      </c>
      <c r="B1902" s="29" t="s">
        <v>1978</v>
      </c>
      <c r="C1902" s="29" t="s">
        <v>2019</v>
      </c>
      <c r="D1902" s="29" t="s">
        <v>2132</v>
      </c>
      <c r="E1902" s="29" t="s">
        <v>2139</v>
      </c>
      <c r="F1902" s="29" t="s">
        <v>2172</v>
      </c>
      <c r="G1902" s="20" t="str">
        <f t="shared" si="1"/>
        <v>Food, Beverages &amp; Tobacco, Food Items, Fruits &amp; Vegetables, Fresh &amp; Frozen FruitsPitahayas</v>
      </c>
    </row>
    <row r="1903" hidden="1">
      <c r="A1903" s="29">
        <v>6673.0</v>
      </c>
      <c r="B1903" s="29" t="s">
        <v>1978</v>
      </c>
      <c r="C1903" s="29" t="s">
        <v>2019</v>
      </c>
      <c r="D1903" s="29" t="s">
        <v>2132</v>
      </c>
      <c r="E1903" s="29" t="s">
        <v>2139</v>
      </c>
      <c r="F1903" s="29" t="s">
        <v>2173</v>
      </c>
      <c r="G1903" s="20" t="str">
        <f t="shared" si="1"/>
        <v>Food, Beverages &amp; Tobacco, Food Items, Fruits &amp; Vegetables, Fresh &amp; Frozen FruitsPomegranates</v>
      </c>
    </row>
    <row r="1904" hidden="1">
      <c r="A1904" s="29">
        <v>6679.0</v>
      </c>
      <c r="B1904" s="29" t="s">
        <v>1978</v>
      </c>
      <c r="C1904" s="29" t="s">
        <v>2019</v>
      </c>
      <c r="D1904" s="29" t="s">
        <v>2132</v>
      </c>
      <c r="E1904" s="29" t="s">
        <v>2139</v>
      </c>
      <c r="F1904" s="29" t="s">
        <v>2174</v>
      </c>
      <c r="G1904" s="20" t="str">
        <f t="shared" si="1"/>
        <v>Food, Beverages &amp; Tobacco, Food Items, Fruits &amp; Vegetables, Fresh &amp; Frozen FruitsQuince</v>
      </c>
    </row>
    <row r="1905" hidden="1">
      <c r="A1905" s="29">
        <v>6678.0</v>
      </c>
      <c r="B1905" s="29" t="s">
        <v>1978</v>
      </c>
      <c r="C1905" s="29" t="s">
        <v>2019</v>
      </c>
      <c r="D1905" s="29" t="s">
        <v>2132</v>
      </c>
      <c r="E1905" s="29" t="s">
        <v>2139</v>
      </c>
      <c r="F1905" s="29" t="s">
        <v>2175</v>
      </c>
      <c r="G1905" s="20" t="str">
        <f t="shared" si="1"/>
        <v>Food, Beverages &amp; Tobacco, Food Items, Fruits &amp; Vegetables, Fresh &amp; Frozen FruitsRambutans</v>
      </c>
    </row>
    <row r="1906" hidden="1">
      <c r="A1906" s="29">
        <v>6688.0</v>
      </c>
      <c r="B1906" s="29" t="s">
        <v>1978</v>
      </c>
      <c r="C1906" s="29" t="s">
        <v>2019</v>
      </c>
      <c r="D1906" s="29" t="s">
        <v>2132</v>
      </c>
      <c r="E1906" s="29" t="s">
        <v>2139</v>
      </c>
      <c r="F1906" s="29" t="s">
        <v>2176</v>
      </c>
      <c r="G1906" s="20" t="str">
        <f t="shared" si="1"/>
        <v>Food, Beverages &amp; Tobacco, Food Items, Fruits &amp; Vegetables, Fresh &amp; Frozen FruitsSapodillo</v>
      </c>
    </row>
    <row r="1907" hidden="1">
      <c r="A1907" s="29">
        <v>6687.0</v>
      </c>
      <c r="B1907" s="29" t="s">
        <v>1978</v>
      </c>
      <c r="C1907" s="29" t="s">
        <v>2019</v>
      </c>
      <c r="D1907" s="29" t="s">
        <v>2132</v>
      </c>
      <c r="E1907" s="29" t="s">
        <v>2139</v>
      </c>
      <c r="F1907" s="29" t="s">
        <v>2177</v>
      </c>
      <c r="G1907" s="20" t="str">
        <f t="shared" si="1"/>
        <v>Food, Beverages &amp; Tobacco, Food Items, Fruits &amp; Vegetables, Fresh &amp; Frozen FruitsSapote</v>
      </c>
    </row>
    <row r="1908" hidden="1">
      <c r="A1908" s="29">
        <v>6691.0</v>
      </c>
      <c r="B1908" s="29" t="s">
        <v>1978</v>
      </c>
      <c r="C1908" s="29" t="s">
        <v>2019</v>
      </c>
      <c r="D1908" s="29" t="s">
        <v>2132</v>
      </c>
      <c r="E1908" s="29" t="s">
        <v>2139</v>
      </c>
      <c r="F1908" s="29" t="s">
        <v>2178</v>
      </c>
      <c r="G1908" s="20" t="str">
        <f t="shared" si="1"/>
        <v>Food, Beverages &amp; Tobacco, Food Items, Fruits &amp; Vegetables, Fresh &amp; Frozen FruitsSoursops</v>
      </c>
    </row>
    <row r="1909" hidden="1">
      <c r="A1909" s="29">
        <v>6594.0</v>
      </c>
      <c r="B1909" s="29" t="s">
        <v>1978</v>
      </c>
      <c r="C1909" s="29" t="s">
        <v>2019</v>
      </c>
      <c r="D1909" s="29" t="s">
        <v>2132</v>
      </c>
      <c r="E1909" s="29" t="s">
        <v>2139</v>
      </c>
      <c r="F1909" s="29" t="s">
        <v>2179</v>
      </c>
      <c r="G1909" s="20" t="str">
        <f t="shared" si="1"/>
        <v>Food, Beverages &amp; Tobacco, Food Items, Fruits &amp; Vegetables, Fresh &amp; Frozen FruitsStarfruits</v>
      </c>
    </row>
    <row r="1910" hidden="1">
      <c r="A1910" s="29">
        <v>503760.0</v>
      </c>
      <c r="B1910" s="29" t="s">
        <v>1978</v>
      </c>
      <c r="C1910" s="29" t="s">
        <v>2019</v>
      </c>
      <c r="D1910" s="29" t="s">
        <v>2132</v>
      </c>
      <c r="E1910" s="29" t="s">
        <v>2139</v>
      </c>
      <c r="F1910" s="29" t="s">
        <v>2180</v>
      </c>
      <c r="G1910" s="20" t="str">
        <f t="shared" si="1"/>
        <v>Food, Beverages &amp; Tobacco, Food Items, Fruits &amp; Vegetables, Fresh &amp; Frozen FruitsStone Fruits</v>
      </c>
    </row>
    <row r="1911" hidden="1">
      <c r="A1911" s="29">
        <v>6567.0</v>
      </c>
      <c r="B1911" s="29" t="s">
        <v>1978</v>
      </c>
      <c r="C1911" s="29" t="s">
        <v>2019</v>
      </c>
      <c r="D1911" s="29" t="s">
        <v>2132</v>
      </c>
      <c r="E1911" s="29" t="s">
        <v>2139</v>
      </c>
      <c r="F1911" s="29" t="s">
        <v>2180</v>
      </c>
      <c r="G1911" s="20" t="str">
        <f t="shared" si="1"/>
        <v>Food, Beverages &amp; Tobacco, Food Items, Fruits &amp; Vegetables, Fresh &amp; Frozen FruitsStone Fruits</v>
      </c>
    </row>
    <row r="1912" hidden="1">
      <c r="A1912" s="29">
        <v>6601.0</v>
      </c>
      <c r="B1912" s="29" t="s">
        <v>1978</v>
      </c>
      <c r="C1912" s="29" t="s">
        <v>2019</v>
      </c>
      <c r="D1912" s="29" t="s">
        <v>2132</v>
      </c>
      <c r="E1912" s="29" t="s">
        <v>2139</v>
      </c>
      <c r="F1912" s="29" t="s">
        <v>2180</v>
      </c>
      <c r="G1912" s="20" t="str">
        <f t="shared" si="1"/>
        <v>Food, Beverages &amp; Tobacco, Food Items, Fruits &amp; Vegetables, Fresh &amp; Frozen FruitsStone Fruits</v>
      </c>
    </row>
    <row r="1913" hidden="1">
      <c r="A1913" s="29">
        <v>6646.0</v>
      </c>
      <c r="B1913" s="29" t="s">
        <v>1978</v>
      </c>
      <c r="C1913" s="29" t="s">
        <v>2019</v>
      </c>
      <c r="D1913" s="29" t="s">
        <v>2132</v>
      </c>
      <c r="E1913" s="29" t="s">
        <v>2139</v>
      </c>
      <c r="F1913" s="29" t="s">
        <v>2180</v>
      </c>
      <c r="G1913" s="20" t="str">
        <f t="shared" si="1"/>
        <v>Food, Beverages &amp; Tobacco, Food Items, Fruits &amp; Vegetables, Fresh &amp; Frozen FruitsStone Fruits</v>
      </c>
    </row>
    <row r="1914" hidden="1">
      <c r="A1914" s="29">
        <v>505301.0</v>
      </c>
      <c r="B1914" s="29" t="s">
        <v>1978</v>
      </c>
      <c r="C1914" s="29" t="s">
        <v>2019</v>
      </c>
      <c r="D1914" s="29" t="s">
        <v>2132</v>
      </c>
      <c r="E1914" s="29" t="s">
        <v>2139</v>
      </c>
      <c r="F1914" s="29" t="s">
        <v>2180</v>
      </c>
      <c r="G1914" s="20" t="str">
        <f t="shared" si="1"/>
        <v>Food, Beverages &amp; Tobacco, Food Items, Fruits &amp; Vegetables, Fresh &amp; Frozen FruitsStone Fruits</v>
      </c>
    </row>
    <row r="1915" hidden="1">
      <c r="A1915" s="29">
        <v>6675.0</v>
      </c>
      <c r="B1915" s="29" t="s">
        <v>1978</v>
      </c>
      <c r="C1915" s="29" t="s">
        <v>2019</v>
      </c>
      <c r="D1915" s="29" t="s">
        <v>2132</v>
      </c>
      <c r="E1915" s="29" t="s">
        <v>2139</v>
      </c>
      <c r="F1915" s="29" t="s">
        <v>2180</v>
      </c>
      <c r="G1915" s="20" t="str">
        <f t="shared" si="1"/>
        <v>Food, Beverages &amp; Tobacco, Food Items, Fruits &amp; Vegetables, Fresh &amp; Frozen FruitsStone Fruits</v>
      </c>
    </row>
    <row r="1916" hidden="1">
      <c r="A1916" s="29">
        <v>6674.0</v>
      </c>
      <c r="B1916" s="29" t="s">
        <v>1978</v>
      </c>
      <c r="C1916" s="29" t="s">
        <v>2019</v>
      </c>
      <c r="D1916" s="29" t="s">
        <v>2132</v>
      </c>
      <c r="E1916" s="29" t="s">
        <v>2139</v>
      </c>
      <c r="F1916" s="29" t="s">
        <v>2180</v>
      </c>
      <c r="G1916" s="20" t="str">
        <f t="shared" si="1"/>
        <v>Food, Beverages &amp; Tobacco, Food Items, Fruits &amp; Vegetables, Fresh &amp; Frozen FruitsStone Fruits</v>
      </c>
    </row>
    <row r="1917" hidden="1">
      <c r="A1917" s="29">
        <v>6814.0</v>
      </c>
      <c r="B1917" s="29" t="s">
        <v>1978</v>
      </c>
      <c r="C1917" s="29" t="s">
        <v>2019</v>
      </c>
      <c r="D1917" s="29" t="s">
        <v>2132</v>
      </c>
      <c r="E1917" s="29" t="s">
        <v>2139</v>
      </c>
      <c r="F1917" s="29" t="s">
        <v>2181</v>
      </c>
      <c r="G1917" s="20" t="str">
        <f t="shared" si="1"/>
        <v>Food, Beverages &amp; Tobacco, Food Items, Fruits &amp; Vegetables, Fresh &amp; Frozen FruitsSugar Apples</v>
      </c>
    </row>
    <row r="1918" hidden="1">
      <c r="A1918" s="29">
        <v>6698.0</v>
      </c>
      <c r="B1918" s="29" t="s">
        <v>1978</v>
      </c>
      <c r="C1918" s="29" t="s">
        <v>2019</v>
      </c>
      <c r="D1918" s="29" t="s">
        <v>2132</v>
      </c>
      <c r="E1918" s="29" t="s">
        <v>2139</v>
      </c>
      <c r="F1918" s="29" t="s">
        <v>2182</v>
      </c>
      <c r="G1918" s="20" t="str">
        <f t="shared" si="1"/>
        <v>Food, Beverages &amp; Tobacco, Food Items, Fruits &amp; Vegetables, Fresh &amp; Frozen FruitsTamarindo</v>
      </c>
    </row>
    <row r="1919" hidden="1">
      <c r="A1919" s="29">
        <v>5793.0</v>
      </c>
      <c r="B1919" s="29" t="s">
        <v>1978</v>
      </c>
      <c r="C1919" s="29" t="s">
        <v>2019</v>
      </c>
      <c r="D1919" s="29" t="s">
        <v>2132</v>
      </c>
      <c r="E1919" s="29" t="s">
        <v>2183</v>
      </c>
      <c r="F1919" s="62"/>
      <c r="G1919" s="20" t="str">
        <f t="shared" si="1"/>
        <v>Food, Beverages &amp; Tobacco, Food Items, Fruits &amp; Vegetables, Fresh &amp; Frozen Vegetables</v>
      </c>
    </row>
    <row r="1920" hidden="1">
      <c r="A1920" s="29">
        <v>6716.0</v>
      </c>
      <c r="B1920" s="29" t="s">
        <v>1978</v>
      </c>
      <c r="C1920" s="29" t="s">
        <v>2019</v>
      </c>
      <c r="D1920" s="29" t="s">
        <v>2132</v>
      </c>
      <c r="E1920" s="29" t="s">
        <v>2183</v>
      </c>
      <c r="F1920" s="29" t="s">
        <v>2184</v>
      </c>
      <c r="G1920" s="20" t="str">
        <f t="shared" si="1"/>
        <v>Food, Beverages &amp; Tobacco, Food Items, Fruits &amp; Vegetables, Fresh &amp; Frozen VegetablesArracachas</v>
      </c>
    </row>
    <row r="1921" hidden="1">
      <c r="A1921" s="29">
        <v>6570.0</v>
      </c>
      <c r="B1921" s="29" t="s">
        <v>1978</v>
      </c>
      <c r="C1921" s="29" t="s">
        <v>2019</v>
      </c>
      <c r="D1921" s="29" t="s">
        <v>2132</v>
      </c>
      <c r="E1921" s="29" t="s">
        <v>2183</v>
      </c>
      <c r="F1921" s="29" t="s">
        <v>2185</v>
      </c>
      <c r="G1921" s="20" t="str">
        <f t="shared" si="1"/>
        <v>Food, Beverages &amp; Tobacco, Food Items, Fruits &amp; Vegetables, Fresh &amp; Frozen VegetablesArtichokes</v>
      </c>
    </row>
    <row r="1922" hidden="1">
      <c r="A1922" s="29">
        <v>6568.0</v>
      </c>
      <c r="B1922" s="29" t="s">
        <v>1978</v>
      </c>
      <c r="C1922" s="29" t="s">
        <v>2019</v>
      </c>
      <c r="D1922" s="29" t="s">
        <v>2132</v>
      </c>
      <c r="E1922" s="29" t="s">
        <v>2183</v>
      </c>
      <c r="F1922" s="29" t="s">
        <v>2186</v>
      </c>
      <c r="G1922" s="20" t="str">
        <f t="shared" si="1"/>
        <v>Food, Beverages &amp; Tobacco, Food Items, Fruits &amp; Vegetables, Fresh &amp; Frozen VegetablesAsparagus</v>
      </c>
    </row>
    <row r="1923" hidden="1">
      <c r="A1923" s="29">
        <v>6577.0</v>
      </c>
      <c r="B1923" s="29" t="s">
        <v>1978</v>
      </c>
      <c r="C1923" s="29" t="s">
        <v>2019</v>
      </c>
      <c r="D1923" s="29" t="s">
        <v>2132</v>
      </c>
      <c r="E1923" s="29" t="s">
        <v>2183</v>
      </c>
      <c r="F1923" s="29" t="s">
        <v>2187</v>
      </c>
      <c r="G1923" s="20" t="str">
        <f t="shared" si="1"/>
        <v>Food, Beverages &amp; Tobacco, Food Items, Fruits &amp; Vegetables, Fresh &amp; Frozen VegetablesBeans</v>
      </c>
    </row>
    <row r="1924" hidden="1">
      <c r="A1924" s="29">
        <v>6580.0</v>
      </c>
      <c r="B1924" s="29" t="s">
        <v>1978</v>
      </c>
      <c r="C1924" s="29" t="s">
        <v>2019</v>
      </c>
      <c r="D1924" s="29" t="s">
        <v>2132</v>
      </c>
      <c r="E1924" s="29" t="s">
        <v>2183</v>
      </c>
      <c r="F1924" s="29" t="s">
        <v>2188</v>
      </c>
      <c r="G1924" s="20" t="str">
        <f t="shared" si="1"/>
        <v>Food, Beverages &amp; Tobacco, Food Items, Fruits &amp; Vegetables, Fresh &amp; Frozen VegetablesBeets</v>
      </c>
    </row>
    <row r="1925" hidden="1">
      <c r="A1925" s="29">
        <v>6587.0</v>
      </c>
      <c r="B1925" s="29" t="s">
        <v>1978</v>
      </c>
      <c r="C1925" s="29" t="s">
        <v>2019</v>
      </c>
      <c r="D1925" s="29" t="s">
        <v>2132</v>
      </c>
      <c r="E1925" s="29" t="s">
        <v>2183</v>
      </c>
      <c r="F1925" s="29" t="s">
        <v>2189</v>
      </c>
      <c r="G1925" s="20" t="str">
        <f t="shared" si="1"/>
        <v>Food, Beverages &amp; Tobacco, Food Items, Fruits &amp; Vegetables, Fresh &amp; Frozen VegetablesBorage</v>
      </c>
    </row>
    <row r="1926" hidden="1">
      <c r="A1926" s="29">
        <v>6591.0</v>
      </c>
      <c r="B1926" s="29" t="s">
        <v>1978</v>
      </c>
      <c r="C1926" s="29" t="s">
        <v>2019</v>
      </c>
      <c r="D1926" s="29" t="s">
        <v>2132</v>
      </c>
      <c r="E1926" s="29" t="s">
        <v>2183</v>
      </c>
      <c r="F1926" s="29" t="s">
        <v>2190</v>
      </c>
      <c r="G1926" s="20" t="str">
        <f t="shared" si="1"/>
        <v>Food, Beverages &amp; Tobacco, Food Items, Fruits &amp; Vegetables, Fresh &amp; Frozen VegetablesBroccoli</v>
      </c>
    </row>
    <row r="1927" hidden="1">
      <c r="A1927" s="29">
        <v>6590.0</v>
      </c>
      <c r="B1927" s="29" t="s">
        <v>1978</v>
      </c>
      <c r="C1927" s="29" t="s">
        <v>2019</v>
      </c>
      <c r="D1927" s="29" t="s">
        <v>2132</v>
      </c>
      <c r="E1927" s="29" t="s">
        <v>2183</v>
      </c>
      <c r="F1927" s="29" t="s">
        <v>2191</v>
      </c>
      <c r="G1927" s="20" t="str">
        <f t="shared" si="1"/>
        <v>Food, Beverages &amp; Tobacco, Food Items, Fruits &amp; Vegetables, Fresh &amp; Frozen VegetablesBrussel Sprouts</v>
      </c>
    </row>
    <row r="1928" hidden="1">
      <c r="A1928" s="29">
        <v>6592.0</v>
      </c>
      <c r="B1928" s="29" t="s">
        <v>1978</v>
      </c>
      <c r="C1928" s="29" t="s">
        <v>2019</v>
      </c>
      <c r="D1928" s="29" t="s">
        <v>2132</v>
      </c>
      <c r="E1928" s="29" t="s">
        <v>2183</v>
      </c>
      <c r="F1928" s="29" t="s">
        <v>2192</v>
      </c>
      <c r="G1928" s="20" t="str">
        <f t="shared" si="1"/>
        <v>Food, Beverages &amp; Tobacco, Food Items, Fruits &amp; Vegetables, Fresh &amp; Frozen VegetablesCabbage</v>
      </c>
    </row>
    <row r="1929" hidden="1">
      <c r="A1929" s="29">
        <v>6808.0</v>
      </c>
      <c r="B1929" s="29" t="s">
        <v>1978</v>
      </c>
      <c r="C1929" s="29" t="s">
        <v>2019</v>
      </c>
      <c r="D1929" s="29" t="s">
        <v>2132</v>
      </c>
      <c r="E1929" s="29" t="s">
        <v>2183</v>
      </c>
      <c r="F1929" s="29" t="s">
        <v>2193</v>
      </c>
      <c r="G1929" s="20" t="str">
        <f t="shared" si="1"/>
        <v>Food, Beverages &amp; Tobacco, Food Items, Fruits &amp; Vegetables, Fresh &amp; Frozen VegetablesCactus Leaves</v>
      </c>
    </row>
    <row r="1930" hidden="1">
      <c r="A1930" s="29">
        <v>6596.0</v>
      </c>
      <c r="B1930" s="29" t="s">
        <v>1978</v>
      </c>
      <c r="C1930" s="29" t="s">
        <v>2019</v>
      </c>
      <c r="D1930" s="29" t="s">
        <v>2132</v>
      </c>
      <c r="E1930" s="29" t="s">
        <v>2183</v>
      </c>
      <c r="F1930" s="29" t="s">
        <v>2194</v>
      </c>
      <c r="G1930" s="20" t="str">
        <f t="shared" si="1"/>
        <v>Food, Beverages &amp; Tobacco, Food Items, Fruits &amp; Vegetables, Fresh &amp; Frozen VegetablesCardoon</v>
      </c>
    </row>
    <row r="1931" hidden="1">
      <c r="A1931" s="29">
        <v>6595.0</v>
      </c>
      <c r="B1931" s="29" t="s">
        <v>1978</v>
      </c>
      <c r="C1931" s="29" t="s">
        <v>2019</v>
      </c>
      <c r="D1931" s="29" t="s">
        <v>2132</v>
      </c>
      <c r="E1931" s="29" t="s">
        <v>2183</v>
      </c>
      <c r="F1931" s="29" t="s">
        <v>2195</v>
      </c>
      <c r="G1931" s="20" t="str">
        <f t="shared" si="1"/>
        <v>Food, Beverages &amp; Tobacco, Food Items, Fruits &amp; Vegetables, Fresh &amp; Frozen VegetablesCarrots</v>
      </c>
    </row>
    <row r="1932" hidden="1">
      <c r="A1932" s="29">
        <v>6600.0</v>
      </c>
      <c r="B1932" s="29" t="s">
        <v>1978</v>
      </c>
      <c r="C1932" s="29" t="s">
        <v>2019</v>
      </c>
      <c r="D1932" s="29" t="s">
        <v>2132</v>
      </c>
      <c r="E1932" s="29" t="s">
        <v>2183</v>
      </c>
      <c r="F1932" s="29" t="s">
        <v>2196</v>
      </c>
      <c r="G1932" s="20" t="str">
        <f t="shared" si="1"/>
        <v>Food, Beverages &amp; Tobacco, Food Items, Fruits &amp; Vegetables, Fresh &amp; Frozen VegetablesCauliflower</v>
      </c>
    </row>
    <row r="1933" hidden="1">
      <c r="A1933" s="29">
        <v>6599.0</v>
      </c>
      <c r="B1933" s="29" t="s">
        <v>1978</v>
      </c>
      <c r="C1933" s="29" t="s">
        <v>2019</v>
      </c>
      <c r="D1933" s="29" t="s">
        <v>2132</v>
      </c>
      <c r="E1933" s="29" t="s">
        <v>2183</v>
      </c>
      <c r="F1933" s="29" t="s">
        <v>2197</v>
      </c>
      <c r="G1933" s="20" t="str">
        <f t="shared" si="1"/>
        <v>Food, Beverages &amp; Tobacco, Food Items, Fruits &amp; Vegetables, Fresh &amp; Frozen VegetablesCelery</v>
      </c>
    </row>
    <row r="1934" hidden="1">
      <c r="A1934" s="29">
        <v>6598.0</v>
      </c>
      <c r="B1934" s="29" t="s">
        <v>1978</v>
      </c>
      <c r="C1934" s="29" t="s">
        <v>2019</v>
      </c>
      <c r="D1934" s="29" t="s">
        <v>2132</v>
      </c>
      <c r="E1934" s="29" t="s">
        <v>2183</v>
      </c>
      <c r="F1934" s="29" t="s">
        <v>2198</v>
      </c>
      <c r="G1934" s="20" t="str">
        <f t="shared" si="1"/>
        <v>Food, Beverages &amp; Tobacco, Food Items, Fruits &amp; Vegetables, Fresh &amp; Frozen VegetablesCelery Roots</v>
      </c>
    </row>
    <row r="1935" hidden="1">
      <c r="A1935" s="29">
        <v>6609.0</v>
      </c>
      <c r="B1935" s="29" t="s">
        <v>1978</v>
      </c>
      <c r="C1935" s="29" t="s">
        <v>2019</v>
      </c>
      <c r="D1935" s="29" t="s">
        <v>2132</v>
      </c>
      <c r="E1935" s="29" t="s">
        <v>2183</v>
      </c>
      <c r="F1935" s="29" t="s">
        <v>2199</v>
      </c>
      <c r="G1935" s="20" t="str">
        <f t="shared" si="1"/>
        <v>Food, Beverages &amp; Tobacco, Food Items, Fruits &amp; Vegetables, Fresh &amp; Frozen VegetablesCorn</v>
      </c>
    </row>
    <row r="1936" hidden="1">
      <c r="A1936" s="29">
        <v>6608.0</v>
      </c>
      <c r="B1936" s="29" t="s">
        <v>1978</v>
      </c>
      <c r="C1936" s="29" t="s">
        <v>2019</v>
      </c>
      <c r="D1936" s="29" t="s">
        <v>2132</v>
      </c>
      <c r="E1936" s="29" t="s">
        <v>2183</v>
      </c>
      <c r="F1936" s="29" t="s">
        <v>2200</v>
      </c>
      <c r="G1936" s="20" t="str">
        <f t="shared" si="1"/>
        <v>Food, Beverages &amp; Tobacco, Food Items, Fruits &amp; Vegetables, Fresh &amp; Frozen VegetablesCucumbers</v>
      </c>
    </row>
    <row r="1937" hidden="1">
      <c r="A1937" s="29">
        <v>6613.0</v>
      </c>
      <c r="B1937" s="29" t="s">
        <v>1978</v>
      </c>
      <c r="C1937" s="29" t="s">
        <v>2019</v>
      </c>
      <c r="D1937" s="29" t="s">
        <v>2132</v>
      </c>
      <c r="E1937" s="29" t="s">
        <v>2183</v>
      </c>
      <c r="F1937" s="29" t="s">
        <v>2201</v>
      </c>
      <c r="G1937" s="20" t="str">
        <f t="shared" si="1"/>
        <v>Food, Beverages &amp; Tobacco, Food Items, Fruits &amp; Vegetables, Fresh &amp; Frozen VegetablesEggplants</v>
      </c>
    </row>
    <row r="1938" hidden="1">
      <c r="A1938" s="29">
        <v>6816.0</v>
      </c>
      <c r="B1938" s="29" t="s">
        <v>1978</v>
      </c>
      <c r="C1938" s="29" t="s">
        <v>2019</v>
      </c>
      <c r="D1938" s="29" t="s">
        <v>2132</v>
      </c>
      <c r="E1938" s="29" t="s">
        <v>2183</v>
      </c>
      <c r="F1938" s="29" t="s">
        <v>2202</v>
      </c>
      <c r="G1938" s="20" t="str">
        <f t="shared" si="1"/>
        <v>Food, Beverages &amp; Tobacco, Food Items, Fruits &amp; Vegetables, Fresh &amp; Frozen VegetablesFennel Bulbs</v>
      </c>
    </row>
    <row r="1939" hidden="1">
      <c r="A1939" s="29">
        <v>6615.0</v>
      </c>
      <c r="B1939" s="29" t="s">
        <v>1978</v>
      </c>
      <c r="C1939" s="29" t="s">
        <v>2019</v>
      </c>
      <c r="D1939" s="29" t="s">
        <v>2132</v>
      </c>
      <c r="E1939" s="29" t="s">
        <v>2183</v>
      </c>
      <c r="F1939" s="29" t="s">
        <v>2203</v>
      </c>
      <c r="G1939" s="20" t="str">
        <f t="shared" si="1"/>
        <v>Food, Beverages &amp; Tobacco, Food Items, Fruits &amp; Vegetables, Fresh &amp; Frozen VegetablesFiddlehead Ferns</v>
      </c>
    </row>
    <row r="1940" hidden="1">
      <c r="A1940" s="29">
        <v>6616.0</v>
      </c>
      <c r="B1940" s="29" t="s">
        <v>1978</v>
      </c>
      <c r="C1940" s="29" t="s">
        <v>2019</v>
      </c>
      <c r="D1940" s="29" t="s">
        <v>2132</v>
      </c>
      <c r="E1940" s="29" t="s">
        <v>2183</v>
      </c>
      <c r="F1940" s="29" t="s">
        <v>2204</v>
      </c>
      <c r="G1940" s="20" t="str">
        <f t="shared" si="1"/>
        <v>Food, Beverages &amp; Tobacco, Food Items, Fruits &amp; Vegetables, Fresh &amp; Frozen VegetablesGai Choy</v>
      </c>
    </row>
    <row r="1941" hidden="1">
      <c r="A1941" s="29">
        <v>6617.0</v>
      </c>
      <c r="B1941" s="29" t="s">
        <v>1978</v>
      </c>
      <c r="C1941" s="29" t="s">
        <v>2019</v>
      </c>
      <c r="D1941" s="29" t="s">
        <v>2132</v>
      </c>
      <c r="E1941" s="29" t="s">
        <v>2183</v>
      </c>
      <c r="F1941" s="29" t="s">
        <v>2205</v>
      </c>
      <c r="G1941" s="20" t="str">
        <f t="shared" si="1"/>
        <v>Food, Beverages &amp; Tobacco, Food Items, Fruits &amp; Vegetables, Fresh &amp; Frozen VegetablesGai Lan</v>
      </c>
    </row>
    <row r="1942" hidden="1">
      <c r="A1942" s="29">
        <v>6620.0</v>
      </c>
      <c r="B1942" s="29" t="s">
        <v>1978</v>
      </c>
      <c r="C1942" s="29" t="s">
        <v>2019</v>
      </c>
      <c r="D1942" s="29" t="s">
        <v>2132</v>
      </c>
      <c r="E1942" s="29" t="s">
        <v>2183</v>
      </c>
      <c r="F1942" s="29" t="s">
        <v>2206</v>
      </c>
      <c r="G1942" s="20" t="str">
        <f t="shared" si="1"/>
        <v>Food, Beverages &amp; Tobacco, Food Items, Fruits &amp; Vegetables, Fresh &amp; Frozen VegetablesGarlic</v>
      </c>
    </row>
    <row r="1943" hidden="1">
      <c r="A1943" s="29">
        <v>6619.0</v>
      </c>
      <c r="B1943" s="29" t="s">
        <v>1978</v>
      </c>
      <c r="C1943" s="29" t="s">
        <v>2019</v>
      </c>
      <c r="D1943" s="29" t="s">
        <v>2132</v>
      </c>
      <c r="E1943" s="29" t="s">
        <v>2183</v>
      </c>
      <c r="F1943" s="29" t="s">
        <v>2207</v>
      </c>
      <c r="G1943" s="20" t="str">
        <f t="shared" si="1"/>
        <v>Food, Beverages &amp; Tobacco, Food Items, Fruits &amp; Vegetables, Fresh &amp; Frozen VegetablesGinger Root</v>
      </c>
    </row>
    <row r="1944" hidden="1">
      <c r="A1944" s="29">
        <v>6618.0</v>
      </c>
      <c r="B1944" s="29" t="s">
        <v>1978</v>
      </c>
      <c r="C1944" s="29" t="s">
        <v>2019</v>
      </c>
      <c r="D1944" s="29" t="s">
        <v>2132</v>
      </c>
      <c r="E1944" s="29" t="s">
        <v>2183</v>
      </c>
      <c r="F1944" s="29" t="s">
        <v>2208</v>
      </c>
      <c r="G1944" s="20" t="str">
        <f t="shared" si="1"/>
        <v>Food, Beverages &amp; Tobacco, Food Items, Fruits &amp; Vegetables, Fresh &amp; Frozen VegetablesGobo Root</v>
      </c>
    </row>
    <row r="1945" hidden="1">
      <c r="A1945" s="29">
        <v>6622.0</v>
      </c>
      <c r="B1945" s="29" t="s">
        <v>1978</v>
      </c>
      <c r="C1945" s="29" t="s">
        <v>2019</v>
      </c>
      <c r="D1945" s="29" t="s">
        <v>2132</v>
      </c>
      <c r="E1945" s="29" t="s">
        <v>2183</v>
      </c>
      <c r="F1945" s="29" t="s">
        <v>2209</v>
      </c>
      <c r="G1945" s="20" t="str">
        <f t="shared" si="1"/>
        <v>Food, Beverages &amp; Tobacco, Food Items, Fruits &amp; Vegetables, Fresh &amp; Frozen VegetablesGreens</v>
      </c>
    </row>
    <row r="1946" hidden="1">
      <c r="A1946" s="29">
        <v>6569.0</v>
      </c>
      <c r="B1946" s="29" t="s">
        <v>1978</v>
      </c>
      <c r="C1946" s="29" t="s">
        <v>2019</v>
      </c>
      <c r="D1946" s="29" t="s">
        <v>2132</v>
      </c>
      <c r="E1946" s="29" t="s">
        <v>2183</v>
      </c>
      <c r="F1946" s="29" t="s">
        <v>2209</v>
      </c>
      <c r="G1946" s="20" t="str">
        <f t="shared" si="1"/>
        <v>Food, Beverages &amp; Tobacco, Food Items, Fruits &amp; Vegetables, Fresh &amp; Frozen VegetablesGreens</v>
      </c>
    </row>
    <row r="1947" hidden="1">
      <c r="A1947" s="29">
        <v>6581.0</v>
      </c>
      <c r="B1947" s="29" t="s">
        <v>1978</v>
      </c>
      <c r="C1947" s="29" t="s">
        <v>2019</v>
      </c>
      <c r="D1947" s="29" t="s">
        <v>2132</v>
      </c>
      <c r="E1947" s="29" t="s">
        <v>2183</v>
      </c>
      <c r="F1947" s="29" t="s">
        <v>2209</v>
      </c>
      <c r="G1947" s="20" t="str">
        <f t="shared" si="1"/>
        <v>Food, Beverages &amp; Tobacco, Food Items, Fruits &amp; Vegetables, Fresh &amp; Frozen VegetablesGreens</v>
      </c>
    </row>
    <row r="1948" hidden="1">
      <c r="A1948" s="29">
        <v>6584.0</v>
      </c>
      <c r="B1948" s="29" t="s">
        <v>1978</v>
      </c>
      <c r="C1948" s="29" t="s">
        <v>2019</v>
      </c>
      <c r="D1948" s="29" t="s">
        <v>2132</v>
      </c>
      <c r="E1948" s="29" t="s">
        <v>2183</v>
      </c>
      <c r="F1948" s="29" t="s">
        <v>2209</v>
      </c>
      <c r="G1948" s="20" t="str">
        <f t="shared" si="1"/>
        <v>Food, Beverages &amp; Tobacco, Food Items, Fruits &amp; Vegetables, Fresh &amp; Frozen VegetablesGreens</v>
      </c>
    </row>
    <row r="1949" hidden="1">
      <c r="A1949" s="29">
        <v>6597.0</v>
      </c>
      <c r="B1949" s="29" t="s">
        <v>1978</v>
      </c>
      <c r="C1949" s="29" t="s">
        <v>2019</v>
      </c>
      <c r="D1949" s="29" t="s">
        <v>2132</v>
      </c>
      <c r="E1949" s="29" t="s">
        <v>2183</v>
      </c>
      <c r="F1949" s="29" t="s">
        <v>2209</v>
      </c>
      <c r="G1949" s="20" t="str">
        <f t="shared" si="1"/>
        <v>Food, Beverages &amp; Tobacco, Food Items, Fruits &amp; Vegetables, Fresh &amp; Frozen VegetablesGreens</v>
      </c>
    </row>
    <row r="1950" hidden="1">
      <c r="A1950" s="29">
        <v>6717.0</v>
      </c>
      <c r="B1950" s="29" t="s">
        <v>1978</v>
      </c>
      <c r="C1950" s="29" t="s">
        <v>2019</v>
      </c>
      <c r="D1950" s="29" t="s">
        <v>2132</v>
      </c>
      <c r="E1950" s="29" t="s">
        <v>2183</v>
      </c>
      <c r="F1950" s="29" t="s">
        <v>2209</v>
      </c>
      <c r="G1950" s="20" t="str">
        <f t="shared" si="1"/>
        <v>Food, Beverages &amp; Tobacco, Food Items, Fruits &amp; Vegetables, Fresh &amp; Frozen VegetablesGreens</v>
      </c>
    </row>
    <row r="1951" hidden="1">
      <c r="A1951" s="29">
        <v>6610.0</v>
      </c>
      <c r="B1951" s="29" t="s">
        <v>1978</v>
      </c>
      <c r="C1951" s="29" t="s">
        <v>2019</v>
      </c>
      <c r="D1951" s="29" t="s">
        <v>2132</v>
      </c>
      <c r="E1951" s="29" t="s">
        <v>2183</v>
      </c>
      <c r="F1951" s="29" t="s">
        <v>2209</v>
      </c>
      <c r="G1951" s="20" t="str">
        <f t="shared" si="1"/>
        <v>Food, Beverages &amp; Tobacco, Food Items, Fruits &amp; Vegetables, Fresh &amp; Frozen VegetablesGreens</v>
      </c>
    </row>
    <row r="1952" hidden="1">
      <c r="A1952" s="29">
        <v>6629.0</v>
      </c>
      <c r="B1952" s="29" t="s">
        <v>1978</v>
      </c>
      <c r="C1952" s="29" t="s">
        <v>2019</v>
      </c>
      <c r="D1952" s="29" t="s">
        <v>2132</v>
      </c>
      <c r="E1952" s="29" t="s">
        <v>2183</v>
      </c>
      <c r="F1952" s="29" t="s">
        <v>2209</v>
      </c>
      <c r="G1952" s="20" t="str">
        <f t="shared" si="1"/>
        <v>Food, Beverages &amp; Tobacco, Food Items, Fruits &amp; Vegetables, Fresh &amp; Frozen VegetablesGreens</v>
      </c>
    </row>
    <row r="1953" hidden="1">
      <c r="A1953" s="29">
        <v>6637.0</v>
      </c>
      <c r="B1953" s="29" t="s">
        <v>1978</v>
      </c>
      <c r="C1953" s="29" t="s">
        <v>2019</v>
      </c>
      <c r="D1953" s="29" t="s">
        <v>2132</v>
      </c>
      <c r="E1953" s="29" t="s">
        <v>2183</v>
      </c>
      <c r="F1953" s="29" t="s">
        <v>2209</v>
      </c>
      <c r="G1953" s="20" t="str">
        <f t="shared" si="1"/>
        <v>Food, Beverages &amp; Tobacco, Food Items, Fruits &amp; Vegetables, Fresh &amp; Frozen VegetablesGreens</v>
      </c>
    </row>
    <row r="1954" hidden="1">
      <c r="A1954" s="29">
        <v>6656.0</v>
      </c>
      <c r="B1954" s="29" t="s">
        <v>1978</v>
      </c>
      <c r="C1954" s="29" t="s">
        <v>2019</v>
      </c>
      <c r="D1954" s="29" t="s">
        <v>2132</v>
      </c>
      <c r="E1954" s="29" t="s">
        <v>2183</v>
      </c>
      <c r="F1954" s="29" t="s">
        <v>2209</v>
      </c>
      <c r="G1954" s="20" t="str">
        <f t="shared" si="1"/>
        <v>Food, Beverages &amp; Tobacco, Food Items, Fruits &amp; Vegetables, Fresh &amp; Frozen VegetablesGreens</v>
      </c>
    </row>
    <row r="1955" hidden="1">
      <c r="A1955" s="29">
        <v>5792.0</v>
      </c>
      <c r="B1955" s="29" t="s">
        <v>1978</v>
      </c>
      <c r="C1955" s="29" t="s">
        <v>2019</v>
      </c>
      <c r="D1955" s="29" t="s">
        <v>2132</v>
      </c>
      <c r="E1955" s="29" t="s">
        <v>2183</v>
      </c>
      <c r="F1955" s="29" t="s">
        <v>2209</v>
      </c>
      <c r="G1955" s="20" t="str">
        <f t="shared" si="1"/>
        <v>Food, Beverages &amp; Tobacco, Food Items, Fruits &amp; Vegetables, Fresh &amp; Frozen VegetablesGreens</v>
      </c>
    </row>
    <row r="1956" hidden="1">
      <c r="A1956" s="29">
        <v>6695.0</v>
      </c>
      <c r="B1956" s="29" t="s">
        <v>1978</v>
      </c>
      <c r="C1956" s="29" t="s">
        <v>2019</v>
      </c>
      <c r="D1956" s="29" t="s">
        <v>2132</v>
      </c>
      <c r="E1956" s="29" t="s">
        <v>2183</v>
      </c>
      <c r="F1956" s="29" t="s">
        <v>2209</v>
      </c>
      <c r="G1956" s="20" t="str">
        <f t="shared" si="1"/>
        <v>Food, Beverages &amp; Tobacco, Food Items, Fruits &amp; Vegetables, Fresh &amp; Frozen VegetablesGreens</v>
      </c>
    </row>
    <row r="1957" hidden="1">
      <c r="A1957" s="29">
        <v>6706.0</v>
      </c>
      <c r="B1957" s="29" t="s">
        <v>1978</v>
      </c>
      <c r="C1957" s="29" t="s">
        <v>2019</v>
      </c>
      <c r="D1957" s="29" t="s">
        <v>2132</v>
      </c>
      <c r="E1957" s="29" t="s">
        <v>2183</v>
      </c>
      <c r="F1957" s="29" t="s">
        <v>2209</v>
      </c>
      <c r="G1957" s="20" t="str">
        <f t="shared" si="1"/>
        <v>Food, Beverages &amp; Tobacco, Food Items, Fruits &amp; Vegetables, Fresh &amp; Frozen VegetablesGreens</v>
      </c>
    </row>
    <row r="1958" hidden="1">
      <c r="A1958" s="29">
        <v>6631.0</v>
      </c>
      <c r="B1958" s="29" t="s">
        <v>1978</v>
      </c>
      <c r="C1958" s="29" t="s">
        <v>2019</v>
      </c>
      <c r="D1958" s="29" t="s">
        <v>2132</v>
      </c>
      <c r="E1958" s="29" t="s">
        <v>2183</v>
      </c>
      <c r="F1958" s="29" t="s">
        <v>2210</v>
      </c>
      <c r="G1958" s="20" t="str">
        <f t="shared" si="1"/>
        <v>Food, Beverages &amp; Tobacco, Food Items, Fruits &amp; Vegetables, Fresh &amp; Frozen VegetablesHorseradish Root</v>
      </c>
    </row>
    <row r="1959" hidden="1">
      <c r="A1959" s="29">
        <v>6630.0</v>
      </c>
      <c r="B1959" s="29" t="s">
        <v>1978</v>
      </c>
      <c r="C1959" s="29" t="s">
        <v>2019</v>
      </c>
      <c r="D1959" s="29" t="s">
        <v>2132</v>
      </c>
      <c r="E1959" s="29" t="s">
        <v>2183</v>
      </c>
      <c r="F1959" s="29" t="s">
        <v>2211</v>
      </c>
      <c r="G1959" s="20" t="str">
        <f t="shared" si="1"/>
        <v>Food, Beverages &amp; Tobacco, Food Items, Fruits &amp; Vegetables, Fresh &amp; Frozen VegetablesJicama</v>
      </c>
    </row>
    <row r="1960" hidden="1">
      <c r="A1960" s="29">
        <v>6628.0</v>
      </c>
      <c r="B1960" s="29" t="s">
        <v>1978</v>
      </c>
      <c r="C1960" s="29" t="s">
        <v>2019</v>
      </c>
      <c r="D1960" s="29" t="s">
        <v>2132</v>
      </c>
      <c r="E1960" s="29" t="s">
        <v>2183</v>
      </c>
      <c r="F1960" s="29" t="s">
        <v>2212</v>
      </c>
      <c r="G1960" s="20" t="str">
        <f t="shared" si="1"/>
        <v>Food, Beverages &amp; Tobacco, Food Items, Fruits &amp; Vegetables, Fresh &amp; Frozen VegetablesKohlrabi</v>
      </c>
    </row>
    <row r="1961" hidden="1">
      <c r="A1961" s="29">
        <v>6627.0</v>
      </c>
      <c r="B1961" s="29" t="s">
        <v>1978</v>
      </c>
      <c r="C1961" s="29" t="s">
        <v>2019</v>
      </c>
      <c r="D1961" s="29" t="s">
        <v>2132</v>
      </c>
      <c r="E1961" s="29" t="s">
        <v>2183</v>
      </c>
      <c r="F1961" s="29" t="s">
        <v>2213</v>
      </c>
      <c r="G1961" s="20" t="str">
        <f t="shared" si="1"/>
        <v>Food, Beverages &amp; Tobacco, Food Items, Fruits &amp; Vegetables, Fresh &amp; Frozen VegetablesLeeks</v>
      </c>
    </row>
    <row r="1962" hidden="1">
      <c r="A1962" s="29">
        <v>6644.0</v>
      </c>
      <c r="B1962" s="29" t="s">
        <v>1978</v>
      </c>
      <c r="C1962" s="29" t="s">
        <v>2019</v>
      </c>
      <c r="D1962" s="29" t="s">
        <v>2132</v>
      </c>
      <c r="E1962" s="29" t="s">
        <v>2183</v>
      </c>
      <c r="F1962" s="29" t="s">
        <v>2214</v>
      </c>
      <c r="G1962" s="20" t="str">
        <f t="shared" si="1"/>
        <v>Food, Beverages &amp; Tobacco, Food Items, Fruits &amp; Vegetables, Fresh &amp; Frozen VegetablesLotus Roots</v>
      </c>
    </row>
    <row r="1963" hidden="1">
      <c r="A1963" s="29">
        <v>6643.0</v>
      </c>
      <c r="B1963" s="29" t="s">
        <v>1978</v>
      </c>
      <c r="C1963" s="29" t="s">
        <v>2019</v>
      </c>
      <c r="D1963" s="29" t="s">
        <v>2132</v>
      </c>
      <c r="E1963" s="29" t="s">
        <v>2183</v>
      </c>
      <c r="F1963" s="29" t="s">
        <v>2215</v>
      </c>
      <c r="G1963" s="20" t="str">
        <f t="shared" si="1"/>
        <v>Food, Beverages &amp; Tobacco, Food Items, Fruits &amp; Vegetables, Fresh &amp; Frozen VegetablesMalangas</v>
      </c>
    </row>
    <row r="1964" hidden="1">
      <c r="A1964" s="29">
        <v>6653.0</v>
      </c>
      <c r="B1964" s="29" t="s">
        <v>1978</v>
      </c>
      <c r="C1964" s="29" t="s">
        <v>2019</v>
      </c>
      <c r="D1964" s="29" t="s">
        <v>2132</v>
      </c>
      <c r="E1964" s="29" t="s">
        <v>2183</v>
      </c>
      <c r="F1964" s="29" t="s">
        <v>2216</v>
      </c>
      <c r="G1964" s="20" t="str">
        <f t="shared" si="1"/>
        <v>Food, Beverages &amp; Tobacco, Food Items, Fruits &amp; Vegetables, Fresh &amp; Frozen VegetablesMushrooms</v>
      </c>
    </row>
    <row r="1965" hidden="1">
      <c r="A1965" s="29">
        <v>6657.0</v>
      </c>
      <c r="B1965" s="29" t="s">
        <v>1978</v>
      </c>
      <c r="C1965" s="29" t="s">
        <v>2019</v>
      </c>
      <c r="D1965" s="29" t="s">
        <v>2132</v>
      </c>
      <c r="E1965" s="29" t="s">
        <v>2183</v>
      </c>
      <c r="F1965" s="29" t="s">
        <v>2217</v>
      </c>
      <c r="G1965" s="20" t="str">
        <f t="shared" si="1"/>
        <v>Food, Beverages &amp; Tobacco, Food Items, Fruits &amp; Vegetables, Fresh &amp; Frozen VegetablesOkra</v>
      </c>
    </row>
    <row r="1966" hidden="1">
      <c r="A1966" s="29">
        <v>6655.0</v>
      </c>
      <c r="B1966" s="29" t="s">
        <v>1978</v>
      </c>
      <c r="C1966" s="29" t="s">
        <v>2019</v>
      </c>
      <c r="D1966" s="29" t="s">
        <v>2132</v>
      </c>
      <c r="E1966" s="29" t="s">
        <v>2183</v>
      </c>
      <c r="F1966" s="29" t="s">
        <v>2218</v>
      </c>
      <c r="G1966" s="20" t="str">
        <f t="shared" si="1"/>
        <v>Food, Beverages &amp; Tobacco, Food Items, Fruits &amp; Vegetables, Fresh &amp; Frozen VegetablesOnions</v>
      </c>
    </row>
    <row r="1967" hidden="1">
      <c r="A1967" s="29">
        <v>6664.0</v>
      </c>
      <c r="B1967" s="29" t="s">
        <v>1978</v>
      </c>
      <c r="C1967" s="29" t="s">
        <v>2019</v>
      </c>
      <c r="D1967" s="29" t="s">
        <v>2132</v>
      </c>
      <c r="E1967" s="29" t="s">
        <v>2183</v>
      </c>
      <c r="F1967" s="29" t="s">
        <v>2219</v>
      </c>
      <c r="G1967" s="20" t="str">
        <f t="shared" si="1"/>
        <v>Food, Beverages &amp; Tobacco, Food Items, Fruits &amp; Vegetables, Fresh &amp; Frozen VegetablesParsley Roots</v>
      </c>
    </row>
    <row r="1968" hidden="1">
      <c r="A1968" s="29">
        <v>6663.0</v>
      </c>
      <c r="B1968" s="29" t="s">
        <v>1978</v>
      </c>
      <c r="C1968" s="29" t="s">
        <v>2019</v>
      </c>
      <c r="D1968" s="29" t="s">
        <v>2132</v>
      </c>
      <c r="E1968" s="29" t="s">
        <v>2183</v>
      </c>
      <c r="F1968" s="29" t="s">
        <v>2220</v>
      </c>
      <c r="G1968" s="20" t="str">
        <f t="shared" si="1"/>
        <v>Food, Beverages &amp; Tobacco, Food Items, Fruits &amp; Vegetables, Fresh &amp; Frozen VegetablesParsnips</v>
      </c>
    </row>
    <row r="1969" hidden="1">
      <c r="A1969" s="29">
        <v>6669.0</v>
      </c>
      <c r="B1969" s="29" t="s">
        <v>1978</v>
      </c>
      <c r="C1969" s="29" t="s">
        <v>2019</v>
      </c>
      <c r="D1969" s="29" t="s">
        <v>2132</v>
      </c>
      <c r="E1969" s="29" t="s">
        <v>2183</v>
      </c>
      <c r="F1969" s="29" t="s">
        <v>2221</v>
      </c>
      <c r="G1969" s="20" t="str">
        <f t="shared" si="1"/>
        <v>Food, Beverages &amp; Tobacco, Food Items, Fruits &amp; Vegetables, Fresh &amp; Frozen VegetablesPeas</v>
      </c>
    </row>
    <row r="1970" hidden="1">
      <c r="A1970" s="29">
        <v>6668.0</v>
      </c>
      <c r="B1970" s="29" t="s">
        <v>1978</v>
      </c>
      <c r="C1970" s="29" t="s">
        <v>2019</v>
      </c>
      <c r="D1970" s="29" t="s">
        <v>2132</v>
      </c>
      <c r="E1970" s="29" t="s">
        <v>2183</v>
      </c>
      <c r="F1970" s="29" t="s">
        <v>2222</v>
      </c>
      <c r="G1970" s="20" t="str">
        <f t="shared" si="1"/>
        <v>Food, Beverages &amp; Tobacco, Food Items, Fruits &amp; Vegetables, Fresh &amp; Frozen VegetablesPeppers</v>
      </c>
    </row>
    <row r="1971" hidden="1">
      <c r="A1971" s="29">
        <v>6586.0</v>
      </c>
      <c r="B1971" s="29" t="s">
        <v>1978</v>
      </c>
      <c r="C1971" s="29" t="s">
        <v>2019</v>
      </c>
      <c r="D1971" s="29" t="s">
        <v>2132</v>
      </c>
      <c r="E1971" s="29" t="s">
        <v>2183</v>
      </c>
      <c r="F1971" s="29" t="s">
        <v>2223</v>
      </c>
      <c r="G1971" s="20" t="str">
        <f t="shared" si="1"/>
        <v>Food, Beverages &amp; Tobacco, Food Items, Fruits &amp; Vegetables, Fresh &amp; Frozen VegetablesPotatoes</v>
      </c>
    </row>
    <row r="1972" hidden="1">
      <c r="A1972" s="29">
        <v>6682.0</v>
      </c>
      <c r="B1972" s="29" t="s">
        <v>1978</v>
      </c>
      <c r="C1972" s="29" t="s">
        <v>2019</v>
      </c>
      <c r="D1972" s="29" t="s">
        <v>2132</v>
      </c>
      <c r="E1972" s="29" t="s">
        <v>2183</v>
      </c>
      <c r="F1972" s="29" t="s">
        <v>2224</v>
      </c>
      <c r="G1972" s="20" t="str">
        <f t="shared" si="1"/>
        <v>Food, Beverages &amp; Tobacco, Food Items, Fruits &amp; Vegetables, Fresh &amp; Frozen VegetablesRadishes</v>
      </c>
    </row>
    <row r="1973" hidden="1">
      <c r="A1973" s="29">
        <v>6681.0</v>
      </c>
      <c r="B1973" s="29" t="s">
        <v>1978</v>
      </c>
      <c r="C1973" s="29" t="s">
        <v>2019</v>
      </c>
      <c r="D1973" s="29" t="s">
        <v>2132</v>
      </c>
      <c r="E1973" s="29" t="s">
        <v>2183</v>
      </c>
      <c r="F1973" s="29" t="s">
        <v>2225</v>
      </c>
      <c r="G1973" s="20" t="str">
        <f t="shared" si="1"/>
        <v>Food, Beverages &amp; Tobacco, Food Items, Fruits &amp; Vegetables, Fresh &amp; Frozen VegetablesRhubarb</v>
      </c>
    </row>
    <row r="1974" hidden="1">
      <c r="A1974" s="29">
        <v>6818.0</v>
      </c>
      <c r="B1974" s="29" t="s">
        <v>1978</v>
      </c>
      <c r="C1974" s="29" t="s">
        <v>2019</v>
      </c>
      <c r="D1974" s="29" t="s">
        <v>2132</v>
      </c>
      <c r="E1974" s="29" t="s">
        <v>2183</v>
      </c>
      <c r="F1974" s="29" t="s">
        <v>2226</v>
      </c>
      <c r="G1974" s="20" t="str">
        <f t="shared" si="1"/>
        <v>Food, Beverages &amp; Tobacco, Food Items, Fruits &amp; Vegetables, Fresh &amp; Frozen VegetablesShallots</v>
      </c>
    </row>
    <row r="1975" hidden="1">
      <c r="A1975" s="29">
        <v>503761.0</v>
      </c>
      <c r="B1975" s="29" t="s">
        <v>1978</v>
      </c>
      <c r="C1975" s="29" t="s">
        <v>2019</v>
      </c>
      <c r="D1975" s="29" t="s">
        <v>2132</v>
      </c>
      <c r="E1975" s="29" t="s">
        <v>2183</v>
      </c>
      <c r="F1975" s="29" t="s">
        <v>2227</v>
      </c>
      <c r="G1975" s="20" t="str">
        <f t="shared" si="1"/>
        <v>Food, Beverages &amp; Tobacco, Food Items, Fruits &amp; Vegetables, Fresh &amp; Frozen VegetablesSprouts</v>
      </c>
    </row>
    <row r="1976" hidden="1">
      <c r="A1976" s="29">
        <v>505354.0</v>
      </c>
      <c r="B1976" s="29" t="s">
        <v>1978</v>
      </c>
      <c r="C1976" s="29" t="s">
        <v>2019</v>
      </c>
      <c r="D1976" s="29" t="s">
        <v>2132</v>
      </c>
      <c r="E1976" s="29" t="s">
        <v>2183</v>
      </c>
      <c r="F1976" s="29" t="s">
        <v>2228</v>
      </c>
      <c r="G1976" s="20" t="str">
        <f t="shared" si="1"/>
        <v>Food, Beverages &amp; Tobacco, Food Items, Fruits &amp; Vegetables, Fresh &amp; Frozen VegetablesSquashes &amp; Gourds</v>
      </c>
    </row>
    <row r="1977" hidden="1">
      <c r="A1977" s="29">
        <v>6694.0</v>
      </c>
      <c r="B1977" s="29" t="s">
        <v>1978</v>
      </c>
      <c r="C1977" s="29" t="s">
        <v>2019</v>
      </c>
      <c r="D1977" s="29" t="s">
        <v>2132</v>
      </c>
      <c r="E1977" s="29" t="s">
        <v>2183</v>
      </c>
      <c r="F1977" s="29" t="s">
        <v>2229</v>
      </c>
      <c r="G1977" s="20" t="str">
        <f t="shared" si="1"/>
        <v>Food, Beverages &amp; Tobacco, Food Items, Fruits &amp; Vegetables, Fresh &amp; Frozen VegetablesSugar Cane</v>
      </c>
    </row>
    <row r="1978" hidden="1">
      <c r="A1978" s="29">
        <v>6693.0</v>
      </c>
      <c r="B1978" s="29" t="s">
        <v>1978</v>
      </c>
      <c r="C1978" s="29" t="s">
        <v>2019</v>
      </c>
      <c r="D1978" s="29" t="s">
        <v>2132</v>
      </c>
      <c r="E1978" s="29" t="s">
        <v>2183</v>
      </c>
      <c r="F1978" s="29" t="s">
        <v>2230</v>
      </c>
      <c r="G1978" s="20" t="str">
        <f t="shared" si="1"/>
        <v>Food, Beverages &amp; Tobacco, Food Items, Fruits &amp; Vegetables, Fresh &amp; Frozen VegetablesSunchokes</v>
      </c>
    </row>
    <row r="1979" hidden="1">
      <c r="A1979" s="29">
        <v>6585.0</v>
      </c>
      <c r="B1979" s="29" t="s">
        <v>1978</v>
      </c>
      <c r="C1979" s="29" t="s">
        <v>2019</v>
      </c>
      <c r="D1979" s="29" t="s">
        <v>2132</v>
      </c>
      <c r="E1979" s="29" t="s">
        <v>2183</v>
      </c>
      <c r="F1979" s="29" t="s">
        <v>2231</v>
      </c>
      <c r="G1979" s="20" t="str">
        <f t="shared" si="1"/>
        <v>Food, Beverages &amp; Tobacco, Food Items, Fruits &amp; Vegetables, Fresh &amp; Frozen VegetablesSweet Potatoes</v>
      </c>
    </row>
    <row r="1980" hidden="1">
      <c r="A1980" s="29">
        <v>6692.0</v>
      </c>
      <c r="B1980" s="29" t="s">
        <v>1978</v>
      </c>
      <c r="C1980" s="29" t="s">
        <v>2019</v>
      </c>
      <c r="D1980" s="29" t="s">
        <v>2132</v>
      </c>
      <c r="E1980" s="29" t="s">
        <v>2183</v>
      </c>
      <c r="F1980" s="29" t="s">
        <v>2232</v>
      </c>
      <c r="G1980" s="20" t="str">
        <f t="shared" si="1"/>
        <v>Food, Beverages &amp; Tobacco, Food Items, Fruits &amp; Vegetables, Fresh &amp; Frozen VegetablesTamarillos</v>
      </c>
    </row>
    <row r="1981" hidden="1">
      <c r="A1981" s="29">
        <v>6704.0</v>
      </c>
      <c r="B1981" s="29" t="s">
        <v>1978</v>
      </c>
      <c r="C1981" s="29" t="s">
        <v>2019</v>
      </c>
      <c r="D1981" s="29" t="s">
        <v>2132</v>
      </c>
      <c r="E1981" s="29" t="s">
        <v>2183</v>
      </c>
      <c r="F1981" s="29" t="s">
        <v>2233</v>
      </c>
      <c r="G1981" s="20" t="str">
        <f t="shared" si="1"/>
        <v>Food, Beverages &amp; Tobacco, Food Items, Fruits &amp; Vegetables, Fresh &amp; Frozen VegetablesTaro Root</v>
      </c>
    </row>
    <row r="1982" hidden="1">
      <c r="A1982" s="29">
        <v>6703.0</v>
      </c>
      <c r="B1982" s="29" t="s">
        <v>1978</v>
      </c>
      <c r="C1982" s="29" t="s">
        <v>2019</v>
      </c>
      <c r="D1982" s="29" t="s">
        <v>2132</v>
      </c>
      <c r="E1982" s="29" t="s">
        <v>2183</v>
      </c>
      <c r="F1982" s="29" t="s">
        <v>2234</v>
      </c>
      <c r="G1982" s="20" t="str">
        <f t="shared" si="1"/>
        <v>Food, Beverages &amp; Tobacco, Food Items, Fruits &amp; Vegetables, Fresh &amp; Frozen VegetablesTomatoes</v>
      </c>
    </row>
    <row r="1983" hidden="1">
      <c r="A1983" s="29">
        <v>505329.0</v>
      </c>
      <c r="B1983" s="29" t="s">
        <v>1978</v>
      </c>
      <c r="C1983" s="29" t="s">
        <v>2019</v>
      </c>
      <c r="D1983" s="29" t="s">
        <v>2132</v>
      </c>
      <c r="E1983" s="29" t="s">
        <v>2183</v>
      </c>
      <c r="F1983" s="29" t="s">
        <v>2235</v>
      </c>
      <c r="G1983" s="20" t="str">
        <f t="shared" si="1"/>
        <v>Food, Beverages &amp; Tobacco, Food Items, Fruits &amp; Vegetables, Fresh &amp; Frozen VegetablesTurnips &amp; Rutabagas</v>
      </c>
    </row>
    <row r="1984" hidden="1">
      <c r="A1984" s="29">
        <v>499905.0</v>
      </c>
      <c r="B1984" s="29" t="s">
        <v>1978</v>
      </c>
      <c r="C1984" s="29" t="s">
        <v>2019</v>
      </c>
      <c r="D1984" s="29" t="s">
        <v>2132</v>
      </c>
      <c r="E1984" s="29" t="s">
        <v>2183</v>
      </c>
      <c r="F1984" s="29" t="s">
        <v>2236</v>
      </c>
      <c r="G1984" s="20" t="str">
        <f t="shared" si="1"/>
        <v>Food, Beverages &amp; Tobacco, Food Items, Fruits &amp; Vegetables, Fresh &amp; Frozen VegetablesVegetable Mixes</v>
      </c>
    </row>
    <row r="1985" hidden="1">
      <c r="A1985" s="29">
        <v>6701.0</v>
      </c>
      <c r="B1985" s="29" t="s">
        <v>1978</v>
      </c>
      <c r="C1985" s="29" t="s">
        <v>2019</v>
      </c>
      <c r="D1985" s="29" t="s">
        <v>2132</v>
      </c>
      <c r="E1985" s="29" t="s">
        <v>2183</v>
      </c>
      <c r="F1985" s="29" t="s">
        <v>2237</v>
      </c>
      <c r="G1985" s="20" t="str">
        <f t="shared" si="1"/>
        <v>Food, Beverages &amp; Tobacco, Food Items, Fruits &amp; Vegetables, Fresh &amp; Frozen VegetablesWater Chestnuts</v>
      </c>
    </row>
    <row r="1986" hidden="1">
      <c r="A1986" s="29">
        <v>6700.0</v>
      </c>
      <c r="B1986" s="29" t="s">
        <v>1978</v>
      </c>
      <c r="C1986" s="29" t="s">
        <v>2019</v>
      </c>
      <c r="D1986" s="29" t="s">
        <v>2132</v>
      </c>
      <c r="E1986" s="29" t="s">
        <v>2183</v>
      </c>
      <c r="F1986" s="29" t="s">
        <v>2238</v>
      </c>
      <c r="G1986" s="20" t="str">
        <f t="shared" si="1"/>
        <v>Food, Beverages &amp; Tobacco, Food Items, Fruits &amp; Vegetables, Fresh &amp; Frozen VegetablesWatercress</v>
      </c>
    </row>
    <row r="1987" hidden="1">
      <c r="A1987" s="29">
        <v>7193.0</v>
      </c>
      <c r="B1987" s="29" t="s">
        <v>1978</v>
      </c>
      <c r="C1987" s="29" t="s">
        <v>2019</v>
      </c>
      <c r="D1987" s="29" t="s">
        <v>2132</v>
      </c>
      <c r="E1987" s="29" t="s">
        <v>2183</v>
      </c>
      <c r="F1987" s="29" t="s">
        <v>2239</v>
      </c>
      <c r="G1987" s="20" t="str">
        <f t="shared" si="1"/>
        <v>Food, Beverages &amp; Tobacco, Food Items, Fruits &amp; Vegetables, Fresh &amp; Frozen VegetablesWheatgrass</v>
      </c>
    </row>
    <row r="1988" hidden="1">
      <c r="A1988" s="29">
        <v>8515.0</v>
      </c>
      <c r="B1988" s="29" t="s">
        <v>1978</v>
      </c>
      <c r="C1988" s="29" t="s">
        <v>2019</v>
      </c>
      <c r="D1988" s="29" t="s">
        <v>2132</v>
      </c>
      <c r="E1988" s="29" t="s">
        <v>2183</v>
      </c>
      <c r="F1988" s="29" t="s">
        <v>2240</v>
      </c>
      <c r="G1988" s="20" t="str">
        <f t="shared" si="1"/>
        <v>Food, Beverages &amp; Tobacco, Food Items, Fruits &amp; Vegetables, Fresh &amp; Frozen VegetablesYams</v>
      </c>
    </row>
    <row r="1989" hidden="1">
      <c r="A1989" s="29">
        <v>6705.0</v>
      </c>
      <c r="B1989" s="29" t="s">
        <v>1978</v>
      </c>
      <c r="C1989" s="29" t="s">
        <v>2019</v>
      </c>
      <c r="D1989" s="29" t="s">
        <v>2132</v>
      </c>
      <c r="E1989" s="29" t="s">
        <v>2183</v>
      </c>
      <c r="F1989" s="29" t="s">
        <v>2241</v>
      </c>
      <c r="G1989" s="20" t="str">
        <f t="shared" si="1"/>
        <v>Food, Beverages &amp; Tobacco, Food Items, Fruits &amp; Vegetables, Fresh &amp; Frozen VegetablesYuca Root</v>
      </c>
    </row>
    <row r="1990" hidden="1">
      <c r="A1990" s="29">
        <v>5794.0</v>
      </c>
      <c r="B1990" s="29" t="s">
        <v>1978</v>
      </c>
      <c r="C1990" s="29" t="s">
        <v>2019</v>
      </c>
      <c r="D1990" s="29" t="s">
        <v>2132</v>
      </c>
      <c r="E1990" s="29" t="s">
        <v>2242</v>
      </c>
      <c r="F1990" s="62"/>
      <c r="G1990" s="20" t="str">
        <f t="shared" si="1"/>
        <v>Food, Beverages &amp; Tobacco, Food Items, Fruits &amp; Vegetables, Fruit Sauces</v>
      </c>
    </row>
    <row r="1991" hidden="1">
      <c r="A1991" s="29">
        <v>431.0</v>
      </c>
      <c r="B1991" s="29" t="s">
        <v>1978</v>
      </c>
      <c r="C1991" s="29" t="s">
        <v>2019</v>
      </c>
      <c r="D1991" s="29" t="s">
        <v>2243</v>
      </c>
      <c r="E1991" s="62"/>
      <c r="F1991" s="62"/>
      <c r="G1991" s="20" t="str">
        <f t="shared" si="1"/>
        <v>Food, Beverages &amp; Tobacco, Food Items, Grains, Rice &amp; Cereal, </v>
      </c>
    </row>
    <row r="1992" hidden="1">
      <c r="A1992" s="29">
        <v>4683.0</v>
      </c>
      <c r="B1992" s="29" t="s">
        <v>1978</v>
      </c>
      <c r="C1992" s="29" t="s">
        <v>2019</v>
      </c>
      <c r="D1992" s="29" t="s">
        <v>2243</v>
      </c>
      <c r="E1992" s="29" t="s">
        <v>2244</v>
      </c>
      <c r="F1992" s="62"/>
      <c r="G1992" s="20" t="str">
        <f t="shared" si="1"/>
        <v>Food, Beverages &amp; Tobacco, Food Items, Grains, Rice &amp; Cereal, Amaranth</v>
      </c>
    </row>
    <row r="1993" hidden="1">
      <c r="A1993" s="29">
        <v>4687.0</v>
      </c>
      <c r="B1993" s="29" t="s">
        <v>1978</v>
      </c>
      <c r="C1993" s="29" t="s">
        <v>2019</v>
      </c>
      <c r="D1993" s="29" t="s">
        <v>2243</v>
      </c>
      <c r="E1993" s="29" t="s">
        <v>2245</v>
      </c>
      <c r="F1993" s="62"/>
      <c r="G1993" s="20" t="str">
        <f t="shared" si="1"/>
        <v>Food, Beverages &amp; Tobacco, Food Items, Grains, Rice &amp; Cereal, Barley</v>
      </c>
    </row>
    <row r="1994" hidden="1">
      <c r="A1994" s="29">
        <v>4684.0</v>
      </c>
      <c r="B1994" s="29" t="s">
        <v>1978</v>
      </c>
      <c r="C1994" s="29" t="s">
        <v>2019</v>
      </c>
      <c r="D1994" s="29" t="s">
        <v>2243</v>
      </c>
      <c r="E1994" s="29" t="s">
        <v>2246</v>
      </c>
      <c r="F1994" s="62"/>
      <c r="G1994" s="20" t="str">
        <f t="shared" si="1"/>
        <v>Food, Beverages &amp; Tobacco, Food Items, Grains, Rice &amp; Cereal, Buckwheat</v>
      </c>
    </row>
    <row r="1995" hidden="1">
      <c r="A1995" s="29">
        <v>4689.0</v>
      </c>
      <c r="B1995" s="29" t="s">
        <v>1978</v>
      </c>
      <c r="C1995" s="29" t="s">
        <v>2019</v>
      </c>
      <c r="D1995" s="29" t="s">
        <v>2243</v>
      </c>
      <c r="E1995" s="29" t="s">
        <v>2247</v>
      </c>
      <c r="F1995" s="62"/>
      <c r="G1995" s="20" t="str">
        <f t="shared" si="1"/>
        <v>Food, Beverages &amp; Tobacco, Food Items, Grains, Rice &amp; Cereal, Cereal &amp; Granola</v>
      </c>
    </row>
    <row r="1996" hidden="1">
      <c r="A1996" s="29">
        <v>7196.0</v>
      </c>
      <c r="B1996" s="29" t="s">
        <v>1978</v>
      </c>
      <c r="C1996" s="29" t="s">
        <v>2019</v>
      </c>
      <c r="D1996" s="29" t="s">
        <v>2243</v>
      </c>
      <c r="E1996" s="29" t="s">
        <v>2248</v>
      </c>
      <c r="F1996" s="62"/>
      <c r="G1996" s="20" t="str">
        <f t="shared" si="1"/>
        <v>Food, Beverages &amp; Tobacco, Food Items, Grains, Rice &amp; Cereal, Couscous</v>
      </c>
    </row>
    <row r="1997" hidden="1">
      <c r="A1997" s="29">
        <v>4686.0</v>
      </c>
      <c r="B1997" s="29" t="s">
        <v>1978</v>
      </c>
      <c r="C1997" s="29" t="s">
        <v>2019</v>
      </c>
      <c r="D1997" s="29" t="s">
        <v>2243</v>
      </c>
      <c r="E1997" s="29" t="s">
        <v>2249</v>
      </c>
      <c r="F1997" s="62"/>
      <c r="G1997" s="20" t="str">
        <f t="shared" si="1"/>
        <v>Food, Beverages &amp; Tobacco, Food Items, Grains, Rice &amp; Cereal, Millet</v>
      </c>
    </row>
    <row r="1998" hidden="1">
      <c r="A1998" s="29">
        <v>4690.0</v>
      </c>
      <c r="B1998" s="29" t="s">
        <v>1978</v>
      </c>
      <c r="C1998" s="29" t="s">
        <v>2019</v>
      </c>
      <c r="D1998" s="29" t="s">
        <v>2243</v>
      </c>
      <c r="E1998" s="29" t="s">
        <v>2250</v>
      </c>
      <c r="F1998" s="62"/>
      <c r="G1998" s="20" t="str">
        <f t="shared" si="1"/>
        <v>Food, Beverages &amp; Tobacco, Food Items, Grains, Rice &amp; Cereal, Oats, Grits &amp; Hot Cereal</v>
      </c>
    </row>
    <row r="1999" hidden="1">
      <c r="A1999" s="29">
        <v>6259.0</v>
      </c>
      <c r="B1999" s="29" t="s">
        <v>1978</v>
      </c>
      <c r="C1999" s="29" t="s">
        <v>2019</v>
      </c>
      <c r="D1999" s="29" t="s">
        <v>2243</v>
      </c>
      <c r="E1999" s="29" t="s">
        <v>2251</v>
      </c>
      <c r="F1999" s="62"/>
      <c r="G1999" s="20" t="str">
        <f t="shared" si="1"/>
        <v>Food, Beverages &amp; Tobacco, Food Items, Grains, Rice &amp; Cereal, Quinoa</v>
      </c>
    </row>
    <row r="2000" hidden="1">
      <c r="A2000" s="29">
        <v>4682.0</v>
      </c>
      <c r="B2000" s="29" t="s">
        <v>1978</v>
      </c>
      <c r="C2000" s="29" t="s">
        <v>2019</v>
      </c>
      <c r="D2000" s="29" t="s">
        <v>2243</v>
      </c>
      <c r="E2000" s="29" t="s">
        <v>2252</v>
      </c>
      <c r="F2000" s="62"/>
      <c r="G2000" s="20" t="str">
        <f t="shared" si="1"/>
        <v>Food, Beverages &amp; Tobacco, Food Items, Grains, Rice &amp; Cereal, Rice</v>
      </c>
    </row>
    <row r="2001" hidden="1">
      <c r="A2001" s="29">
        <v>7374.0</v>
      </c>
      <c r="B2001" s="29" t="s">
        <v>1978</v>
      </c>
      <c r="C2001" s="29" t="s">
        <v>2019</v>
      </c>
      <c r="D2001" s="29" t="s">
        <v>2243</v>
      </c>
      <c r="E2001" s="29" t="s">
        <v>2253</v>
      </c>
      <c r="F2001" s="62"/>
      <c r="G2001" s="20" t="str">
        <f t="shared" si="1"/>
        <v>Food, Beverages &amp; Tobacco, Food Items, Grains, Rice &amp; Cereal, Rye</v>
      </c>
    </row>
    <row r="2002" hidden="1">
      <c r="A2002" s="29">
        <v>4688.0</v>
      </c>
      <c r="B2002" s="29" t="s">
        <v>1978</v>
      </c>
      <c r="C2002" s="29" t="s">
        <v>2019</v>
      </c>
      <c r="D2002" s="29" t="s">
        <v>2243</v>
      </c>
      <c r="E2002" s="29" t="s">
        <v>2254</v>
      </c>
      <c r="F2002" s="62"/>
      <c r="G2002" s="20" t="str">
        <f t="shared" si="1"/>
        <v>Food, Beverages &amp; Tobacco, Food Items, Grains, Rice &amp; Cereal, Wheat</v>
      </c>
    </row>
    <row r="2003" hidden="1">
      <c r="A2003" s="29">
        <v>432.0</v>
      </c>
      <c r="B2003" s="29" t="s">
        <v>1978</v>
      </c>
      <c r="C2003" s="29" t="s">
        <v>2019</v>
      </c>
      <c r="D2003" s="29" t="s">
        <v>2255</v>
      </c>
      <c r="E2003" s="62"/>
      <c r="F2003" s="62"/>
      <c r="G2003" s="20" t="str">
        <f t="shared" si="1"/>
        <v>Food, Beverages &amp; Tobacco, Food Items, Meat, Seafood &amp; Eggs, </v>
      </c>
    </row>
    <row r="2004" hidden="1">
      <c r="A2004" s="29">
        <v>4627.0</v>
      </c>
      <c r="B2004" s="29" t="s">
        <v>1978</v>
      </c>
      <c r="C2004" s="29" t="s">
        <v>2019</v>
      </c>
      <c r="D2004" s="29" t="s">
        <v>2255</v>
      </c>
      <c r="E2004" s="29" t="s">
        <v>2256</v>
      </c>
      <c r="F2004" s="62"/>
      <c r="G2004" s="20" t="str">
        <f t="shared" si="1"/>
        <v>Food, Beverages &amp; Tobacco, Food Items, Meat, Seafood &amp; Eggs, Eggs</v>
      </c>
    </row>
    <row r="2005" hidden="1">
      <c r="A2005" s="29">
        <v>543554.0</v>
      </c>
      <c r="B2005" s="29" t="s">
        <v>1978</v>
      </c>
      <c r="C2005" s="29" t="s">
        <v>2019</v>
      </c>
      <c r="D2005" s="29" t="s">
        <v>2255</v>
      </c>
      <c r="E2005" s="29" t="s">
        <v>2256</v>
      </c>
      <c r="F2005" s="29" t="s">
        <v>2257</v>
      </c>
      <c r="G2005" s="20" t="str">
        <f t="shared" si="1"/>
        <v>Food, Beverages &amp; Tobacco, Food Items, Meat, Seafood &amp; Eggs, EggsEgg Whites</v>
      </c>
    </row>
    <row r="2006" hidden="1">
      <c r="A2006" s="29">
        <v>543555.0</v>
      </c>
      <c r="B2006" s="29" t="s">
        <v>1978</v>
      </c>
      <c r="C2006" s="29" t="s">
        <v>2019</v>
      </c>
      <c r="D2006" s="29" t="s">
        <v>2255</v>
      </c>
      <c r="E2006" s="29" t="s">
        <v>2256</v>
      </c>
      <c r="F2006" s="29" t="s">
        <v>2258</v>
      </c>
      <c r="G2006" s="20" t="str">
        <f t="shared" si="1"/>
        <v>Food, Beverages &amp; Tobacco, Food Items, Meat, Seafood &amp; Eggs, EggsLiquid &amp; Frozen Eggs</v>
      </c>
    </row>
    <row r="2007" hidden="1">
      <c r="A2007" s="29">
        <v>543556.0</v>
      </c>
      <c r="B2007" s="29" t="s">
        <v>1978</v>
      </c>
      <c r="C2007" s="29" t="s">
        <v>2019</v>
      </c>
      <c r="D2007" s="29" t="s">
        <v>2255</v>
      </c>
      <c r="E2007" s="29" t="s">
        <v>2256</v>
      </c>
      <c r="F2007" s="29" t="s">
        <v>2259</v>
      </c>
      <c r="G2007" s="20" t="str">
        <f t="shared" si="1"/>
        <v>Food, Beverages &amp; Tobacco, Food Items, Meat, Seafood &amp; Eggs, EggsPrepared Eggs</v>
      </c>
    </row>
    <row r="2008" hidden="1">
      <c r="A2008" s="29">
        <v>543557.0</v>
      </c>
      <c r="B2008" s="29" t="s">
        <v>1978</v>
      </c>
      <c r="C2008" s="29" t="s">
        <v>2019</v>
      </c>
      <c r="D2008" s="29" t="s">
        <v>2255</v>
      </c>
      <c r="E2008" s="29" t="s">
        <v>2256</v>
      </c>
      <c r="F2008" s="29" t="s">
        <v>2260</v>
      </c>
      <c r="G2008" s="20" t="str">
        <f t="shared" si="1"/>
        <v>Food, Beverages &amp; Tobacco, Food Items, Meat, Seafood &amp; Eggs, EggsWhole Eggs</v>
      </c>
    </row>
    <row r="2009" hidden="1">
      <c r="A2009" s="29">
        <v>4628.0</v>
      </c>
      <c r="B2009" s="29" t="s">
        <v>1978</v>
      </c>
      <c r="C2009" s="29" t="s">
        <v>2019</v>
      </c>
      <c r="D2009" s="29" t="s">
        <v>2255</v>
      </c>
      <c r="E2009" s="29" t="s">
        <v>2261</v>
      </c>
      <c r="F2009" s="62"/>
      <c r="G2009" s="20" t="str">
        <f t="shared" si="1"/>
        <v>Food, Beverages &amp; Tobacco, Food Items, Meat, Seafood &amp; Eggs, Meat</v>
      </c>
    </row>
    <row r="2010" hidden="1">
      <c r="A2010" s="29">
        <v>5811.0</v>
      </c>
      <c r="B2010" s="29" t="s">
        <v>1978</v>
      </c>
      <c r="C2010" s="29" t="s">
        <v>2019</v>
      </c>
      <c r="D2010" s="29" t="s">
        <v>2255</v>
      </c>
      <c r="E2010" s="29" t="s">
        <v>2261</v>
      </c>
      <c r="F2010" s="29" t="s">
        <v>2262</v>
      </c>
      <c r="G2010" s="20" t="str">
        <f t="shared" si="1"/>
        <v>Food, Beverages &amp; Tobacco, Food Items, Meat, Seafood &amp; Eggs, MeatCanned Meats</v>
      </c>
    </row>
    <row r="2011" hidden="1">
      <c r="A2011" s="29">
        <v>5805.0</v>
      </c>
      <c r="B2011" s="29" t="s">
        <v>1978</v>
      </c>
      <c r="C2011" s="29" t="s">
        <v>2019</v>
      </c>
      <c r="D2011" s="29" t="s">
        <v>2255</v>
      </c>
      <c r="E2011" s="29" t="s">
        <v>2261</v>
      </c>
      <c r="F2011" s="29" t="s">
        <v>2263</v>
      </c>
      <c r="G2011" s="20" t="str">
        <f t="shared" si="1"/>
        <v>Food, Beverages &amp; Tobacco, Food Items, Meat, Seafood &amp; Eggs, MeatFresh &amp; Frozen Meats</v>
      </c>
    </row>
    <row r="2012" hidden="1">
      <c r="A2012" s="29">
        <v>5804.0</v>
      </c>
      <c r="B2012" s="29" t="s">
        <v>1978</v>
      </c>
      <c r="C2012" s="29" t="s">
        <v>2019</v>
      </c>
      <c r="D2012" s="29" t="s">
        <v>2255</v>
      </c>
      <c r="E2012" s="29" t="s">
        <v>2261</v>
      </c>
      <c r="F2012" s="29" t="s">
        <v>2264</v>
      </c>
      <c r="G2012" s="20" t="str">
        <f t="shared" si="1"/>
        <v>Food, Beverages &amp; Tobacco, Food Items, Meat, Seafood &amp; Eggs, MeatLunch &amp; Deli Meats</v>
      </c>
    </row>
    <row r="2013" hidden="1">
      <c r="A2013" s="29">
        <v>4629.0</v>
      </c>
      <c r="B2013" s="29" t="s">
        <v>1978</v>
      </c>
      <c r="C2013" s="29" t="s">
        <v>2019</v>
      </c>
      <c r="D2013" s="29" t="s">
        <v>2255</v>
      </c>
      <c r="E2013" s="29" t="s">
        <v>2265</v>
      </c>
      <c r="F2013" s="62"/>
      <c r="G2013" s="20" t="str">
        <f t="shared" si="1"/>
        <v>Food, Beverages &amp; Tobacco, Food Items, Meat, Seafood &amp; Eggs, Seafood</v>
      </c>
    </row>
    <row r="2014" hidden="1">
      <c r="A2014" s="29">
        <v>5813.0</v>
      </c>
      <c r="B2014" s="29" t="s">
        <v>1978</v>
      </c>
      <c r="C2014" s="29" t="s">
        <v>2019</v>
      </c>
      <c r="D2014" s="29" t="s">
        <v>2255</v>
      </c>
      <c r="E2014" s="29" t="s">
        <v>2265</v>
      </c>
      <c r="F2014" s="29" t="s">
        <v>2266</v>
      </c>
      <c r="G2014" s="20" t="str">
        <f t="shared" si="1"/>
        <v>Food, Beverages &amp; Tobacco, Food Items, Meat, Seafood &amp; Eggs, SeafoodCanned Seafood</v>
      </c>
    </row>
    <row r="2015" hidden="1">
      <c r="A2015" s="29">
        <v>5812.0</v>
      </c>
      <c r="B2015" s="29" t="s">
        <v>1978</v>
      </c>
      <c r="C2015" s="29" t="s">
        <v>2019</v>
      </c>
      <c r="D2015" s="29" t="s">
        <v>2255</v>
      </c>
      <c r="E2015" s="29" t="s">
        <v>2265</v>
      </c>
      <c r="F2015" s="29" t="s">
        <v>2267</v>
      </c>
      <c r="G2015" s="20" t="str">
        <f t="shared" si="1"/>
        <v>Food, Beverages &amp; Tobacco, Food Items, Meat, Seafood &amp; Eggs, SeafoodFresh &amp; Frozen Seafood</v>
      </c>
    </row>
    <row r="2016" hidden="1">
      <c r="A2016" s="29">
        <v>433.0</v>
      </c>
      <c r="B2016" s="29" t="s">
        <v>1978</v>
      </c>
      <c r="C2016" s="29" t="s">
        <v>2019</v>
      </c>
      <c r="D2016" s="29" t="s">
        <v>2268</v>
      </c>
      <c r="E2016" s="62"/>
      <c r="F2016" s="62"/>
      <c r="G2016" s="20" t="str">
        <f t="shared" si="1"/>
        <v>Food, Beverages &amp; Tobacco, Food Items, Nuts &amp; Seeds, </v>
      </c>
    </row>
    <row r="2017" hidden="1">
      <c r="A2017" s="29">
        <v>434.0</v>
      </c>
      <c r="B2017" s="29" t="s">
        <v>1978</v>
      </c>
      <c r="C2017" s="29" t="s">
        <v>2019</v>
      </c>
      <c r="D2017" s="29" t="s">
        <v>2269</v>
      </c>
      <c r="E2017" s="62"/>
      <c r="F2017" s="62"/>
      <c r="G2017" s="20" t="str">
        <f t="shared" si="1"/>
        <v>Food, Beverages &amp; Tobacco, Food Items, Pasta &amp; Noodles, </v>
      </c>
    </row>
    <row r="2018" hidden="1">
      <c r="A2018" s="29">
        <v>5814.0</v>
      </c>
      <c r="B2018" s="29" t="s">
        <v>1978</v>
      </c>
      <c r="C2018" s="29" t="s">
        <v>2019</v>
      </c>
      <c r="D2018" s="29" t="s">
        <v>2270</v>
      </c>
      <c r="E2018" s="62"/>
      <c r="F2018" s="62"/>
      <c r="G2018" s="20" t="str">
        <f t="shared" si="1"/>
        <v>Food, Beverages &amp; Tobacco, Food Items, Prepared Foods, </v>
      </c>
    </row>
    <row r="2019" hidden="1">
      <c r="A2019" s="29">
        <v>499989.0</v>
      </c>
      <c r="B2019" s="29" t="s">
        <v>1978</v>
      </c>
      <c r="C2019" s="29" t="s">
        <v>2019</v>
      </c>
      <c r="D2019" s="29" t="s">
        <v>2270</v>
      </c>
      <c r="E2019" s="29" t="s">
        <v>2271</v>
      </c>
      <c r="G2019" s="20" t="str">
        <f t="shared" si="1"/>
        <v>Food, Beverages &amp; Tobacco, Food Items, Prepared Foods, Prepared Appetizers &amp; Side Dishes</v>
      </c>
    </row>
    <row r="2020" hidden="1">
      <c r="A2020" s="29">
        <v>499988.0</v>
      </c>
      <c r="B2020" s="29" t="s">
        <v>1978</v>
      </c>
      <c r="C2020" s="29" t="s">
        <v>2019</v>
      </c>
      <c r="D2020" s="29" t="s">
        <v>2270</v>
      </c>
      <c r="E2020" s="29" t="s">
        <v>2272</v>
      </c>
      <c r="F2020" s="62"/>
      <c r="G2020" s="20" t="str">
        <f t="shared" si="1"/>
        <v>Food, Beverages &amp; Tobacco, Food Items, Prepared Foods, Prepared Meals &amp; Entrées</v>
      </c>
    </row>
    <row r="2021" hidden="1">
      <c r="A2021" s="29">
        <v>4608.0</v>
      </c>
      <c r="B2021" s="29" t="s">
        <v>1978</v>
      </c>
      <c r="C2021" s="29" t="s">
        <v>2019</v>
      </c>
      <c r="D2021" s="29" t="s">
        <v>2273</v>
      </c>
      <c r="E2021" s="62"/>
      <c r="F2021" s="62"/>
      <c r="G2021" s="20" t="str">
        <f t="shared" si="1"/>
        <v>Food, Beverages &amp; Tobacco, Food Items, Seasonings &amp; Spices, </v>
      </c>
    </row>
    <row r="2022" hidden="1">
      <c r="A2022" s="29">
        <v>1529.0</v>
      </c>
      <c r="B2022" s="29" t="s">
        <v>1978</v>
      </c>
      <c r="C2022" s="29" t="s">
        <v>2019</v>
      </c>
      <c r="D2022" s="29" t="s">
        <v>2273</v>
      </c>
      <c r="E2022" s="29" t="s">
        <v>2274</v>
      </c>
      <c r="F2022" s="62"/>
      <c r="G2022" s="20" t="str">
        <f t="shared" si="1"/>
        <v>Food, Beverages &amp; Tobacco, Food Items, Seasonings &amp; Spices, Herbs &amp; Spices</v>
      </c>
    </row>
    <row r="2023" hidden="1">
      <c r="A2023" s="29">
        <v>4610.0</v>
      </c>
      <c r="B2023" s="29" t="s">
        <v>1978</v>
      </c>
      <c r="C2023" s="29" t="s">
        <v>2019</v>
      </c>
      <c r="D2023" s="29" t="s">
        <v>2273</v>
      </c>
      <c r="E2023" s="29" t="s">
        <v>2275</v>
      </c>
      <c r="F2023" s="62"/>
      <c r="G2023" s="20" t="str">
        <f t="shared" si="1"/>
        <v>Food, Beverages &amp; Tobacco, Food Items, Seasonings &amp; Spices, MSG</v>
      </c>
    </row>
    <row r="2024" hidden="1">
      <c r="A2024" s="29">
        <v>6199.0</v>
      </c>
      <c r="B2024" s="29" t="s">
        <v>1978</v>
      </c>
      <c r="C2024" s="29" t="s">
        <v>2019</v>
      </c>
      <c r="D2024" s="29" t="s">
        <v>2273</v>
      </c>
      <c r="E2024" s="29" t="s">
        <v>2276</v>
      </c>
      <c r="F2024" s="62"/>
      <c r="G2024" s="20" t="str">
        <f t="shared" si="1"/>
        <v>Food, Beverages &amp; Tobacco, Food Items, Seasonings &amp; Spices, Pepper</v>
      </c>
    </row>
    <row r="2025" hidden="1">
      <c r="A2025" s="29">
        <v>4611.0</v>
      </c>
      <c r="B2025" s="29" t="s">
        <v>1978</v>
      </c>
      <c r="C2025" s="29" t="s">
        <v>2019</v>
      </c>
      <c r="D2025" s="29" t="s">
        <v>2273</v>
      </c>
      <c r="E2025" s="29" t="s">
        <v>2277</v>
      </c>
      <c r="F2025" s="62"/>
      <c r="G2025" s="20" t="str">
        <f t="shared" si="1"/>
        <v>Food, Beverages &amp; Tobacco, Food Items, Seasonings &amp; Spices, Salt</v>
      </c>
    </row>
    <row r="2026" hidden="1">
      <c r="A2026" s="29">
        <v>423.0</v>
      </c>
      <c r="B2026" s="29" t="s">
        <v>1978</v>
      </c>
      <c r="C2026" s="29" t="s">
        <v>2019</v>
      </c>
      <c r="D2026" s="29" t="s">
        <v>2278</v>
      </c>
      <c r="E2026" s="62"/>
      <c r="F2026" s="62"/>
      <c r="G2026" s="20" t="str">
        <f t="shared" si="1"/>
        <v>Food, Beverages &amp; Tobacco, Food Items, Snack Foods, </v>
      </c>
    </row>
    <row r="2027" hidden="1">
      <c r="A2027" s="29">
        <v>7159.0</v>
      </c>
      <c r="B2027" s="29" t="s">
        <v>1978</v>
      </c>
      <c r="C2027" s="29" t="s">
        <v>2019</v>
      </c>
      <c r="D2027" s="29" t="s">
        <v>2278</v>
      </c>
      <c r="E2027" s="29" t="s">
        <v>2279</v>
      </c>
      <c r="F2027" s="62"/>
      <c r="G2027" s="20" t="str">
        <f t="shared" si="1"/>
        <v>Food, Beverages &amp; Tobacco, Food Items, Snack Foods, Breadsticks</v>
      </c>
    </row>
    <row r="2028" hidden="1">
      <c r="A2028" s="29">
        <v>5747.0</v>
      </c>
      <c r="B2028" s="29" t="s">
        <v>1978</v>
      </c>
      <c r="C2028" s="29" t="s">
        <v>2019</v>
      </c>
      <c r="D2028" s="29" t="s">
        <v>2278</v>
      </c>
      <c r="E2028" s="29" t="s">
        <v>2280</v>
      </c>
      <c r="F2028" s="62"/>
      <c r="G2028" s="20" t="str">
        <f t="shared" si="1"/>
        <v>Food, Beverages &amp; Tobacco, Food Items, Snack Foods, Cereal &amp; Granola Bars</v>
      </c>
    </row>
    <row r="2029" hidden="1">
      <c r="A2029" s="29">
        <v>543651.0</v>
      </c>
      <c r="B2029" s="29" t="s">
        <v>1978</v>
      </c>
      <c r="C2029" s="29" t="s">
        <v>2019</v>
      </c>
      <c r="D2029" s="29" t="s">
        <v>2278</v>
      </c>
      <c r="E2029" s="29" t="s">
        <v>2280</v>
      </c>
      <c r="F2029" s="29" t="s">
        <v>2281</v>
      </c>
      <c r="G2029" s="20" t="str">
        <f t="shared" si="1"/>
        <v>Food, Beverages &amp; Tobacco, Food Items, Snack Foods, Cereal &amp; Granola BarsCereal Bars</v>
      </c>
    </row>
    <row r="2030" hidden="1">
      <c r="A2030" s="29">
        <v>543652.0</v>
      </c>
      <c r="B2030" s="29" t="s">
        <v>1978</v>
      </c>
      <c r="C2030" s="29" t="s">
        <v>2019</v>
      </c>
      <c r="D2030" s="29" t="s">
        <v>2278</v>
      </c>
      <c r="E2030" s="29" t="s">
        <v>2280</v>
      </c>
      <c r="F2030" s="29" t="s">
        <v>2282</v>
      </c>
      <c r="G2030" s="20" t="str">
        <f t="shared" si="1"/>
        <v>Food, Beverages &amp; Tobacco, Food Items, Snack Foods, Cereal &amp; Granola BarsGranola Bars</v>
      </c>
    </row>
    <row r="2031" hidden="1">
      <c r="A2031" s="29">
        <v>6192.0</v>
      </c>
      <c r="B2031" s="29" t="s">
        <v>1978</v>
      </c>
      <c r="C2031" s="29" t="s">
        <v>2019</v>
      </c>
      <c r="D2031" s="29" t="s">
        <v>2278</v>
      </c>
      <c r="E2031" s="29" t="s">
        <v>2283</v>
      </c>
      <c r="F2031" s="62"/>
      <c r="G2031" s="20" t="str">
        <f t="shared" si="1"/>
        <v>Food, Beverages &amp; Tobacco, Food Items, Snack Foods, Cheese Puffs</v>
      </c>
    </row>
    <row r="2032" hidden="1">
      <c r="A2032" s="29">
        <v>2392.0</v>
      </c>
      <c r="B2032" s="29" t="s">
        <v>1978</v>
      </c>
      <c r="C2032" s="29" t="s">
        <v>2019</v>
      </c>
      <c r="D2032" s="29" t="s">
        <v>2278</v>
      </c>
      <c r="E2032" s="29" t="s">
        <v>2284</v>
      </c>
      <c r="F2032" s="62"/>
      <c r="G2032" s="20" t="str">
        <f t="shared" si="1"/>
        <v>Food, Beverages &amp; Tobacco, Food Items, Snack Foods, Chips</v>
      </c>
    </row>
    <row r="2033" hidden="1">
      <c r="A2033" s="29">
        <v>1445.0</v>
      </c>
      <c r="B2033" s="29" t="s">
        <v>1978</v>
      </c>
      <c r="C2033" s="29" t="s">
        <v>2019</v>
      </c>
      <c r="D2033" s="29" t="s">
        <v>2278</v>
      </c>
      <c r="E2033" s="29" t="s">
        <v>2285</v>
      </c>
      <c r="F2033" s="62"/>
      <c r="G2033" s="20" t="str">
        <f t="shared" si="1"/>
        <v>Food, Beverages &amp; Tobacco, Food Items, Snack Foods, Crackers</v>
      </c>
    </row>
    <row r="2034" hidden="1">
      <c r="A2034" s="29">
        <v>5746.0</v>
      </c>
      <c r="B2034" s="29" t="s">
        <v>1978</v>
      </c>
      <c r="C2034" s="29" t="s">
        <v>2019</v>
      </c>
      <c r="D2034" s="29" t="s">
        <v>2278</v>
      </c>
      <c r="E2034" s="29" t="s">
        <v>2286</v>
      </c>
      <c r="F2034" s="62"/>
      <c r="G2034" s="20" t="str">
        <f t="shared" si="1"/>
        <v>Food, Beverages &amp; Tobacco, Food Items, Snack Foods, Croutons</v>
      </c>
    </row>
    <row r="2035" hidden="1">
      <c r="A2035" s="29">
        <v>5744.0</v>
      </c>
      <c r="B2035" s="29" t="s">
        <v>1978</v>
      </c>
      <c r="C2035" s="29" t="s">
        <v>2019</v>
      </c>
      <c r="D2035" s="29" t="s">
        <v>2278</v>
      </c>
      <c r="E2035" s="29" t="s">
        <v>2287</v>
      </c>
      <c r="F2035" s="62"/>
      <c r="G2035" s="20" t="str">
        <f t="shared" si="1"/>
        <v>Food, Beverages &amp; Tobacco, Food Items, Snack Foods, Fruit Snacks</v>
      </c>
    </row>
    <row r="2036" hidden="1">
      <c r="A2036" s="29">
        <v>3284.0</v>
      </c>
      <c r="B2036" s="29" t="s">
        <v>1978</v>
      </c>
      <c r="C2036" s="29" t="s">
        <v>2019</v>
      </c>
      <c r="D2036" s="29" t="s">
        <v>2278</v>
      </c>
      <c r="E2036" s="29" t="s">
        <v>2288</v>
      </c>
      <c r="F2036" s="62"/>
      <c r="G2036" s="20" t="str">
        <f t="shared" si="1"/>
        <v>Food, Beverages &amp; Tobacco, Food Items, Snack Foods, Jerky</v>
      </c>
    </row>
    <row r="2037" hidden="1">
      <c r="A2037" s="29">
        <v>1534.0</v>
      </c>
      <c r="B2037" s="29" t="s">
        <v>1978</v>
      </c>
      <c r="C2037" s="29" t="s">
        <v>2019</v>
      </c>
      <c r="D2037" s="29" t="s">
        <v>2278</v>
      </c>
      <c r="E2037" s="29" t="s">
        <v>2289</v>
      </c>
      <c r="F2037" s="62"/>
      <c r="G2037" s="20" t="str">
        <f t="shared" si="1"/>
        <v>Food, Beverages &amp; Tobacco, Food Items, Snack Foods, Popcorn</v>
      </c>
    </row>
    <row r="2038" hidden="1">
      <c r="A2038" s="29">
        <v>6194.0</v>
      </c>
      <c r="B2038" s="29" t="s">
        <v>1978</v>
      </c>
      <c r="C2038" s="29" t="s">
        <v>2019</v>
      </c>
      <c r="D2038" s="29" t="s">
        <v>2278</v>
      </c>
      <c r="E2038" s="29" t="s">
        <v>2290</v>
      </c>
      <c r="F2038" s="62"/>
      <c r="G2038" s="20" t="str">
        <f t="shared" si="1"/>
        <v>Food, Beverages &amp; Tobacco, Food Items, Snack Foods, Pork Rinds</v>
      </c>
    </row>
    <row r="2039" hidden="1">
      <c r="A2039" s="29">
        <v>3446.0</v>
      </c>
      <c r="B2039" s="29" t="s">
        <v>1978</v>
      </c>
      <c r="C2039" s="29" t="s">
        <v>2019</v>
      </c>
      <c r="D2039" s="29" t="s">
        <v>2278</v>
      </c>
      <c r="E2039" s="29" t="s">
        <v>2291</v>
      </c>
      <c r="F2039" s="62"/>
      <c r="G2039" s="20" t="str">
        <f t="shared" si="1"/>
        <v>Food, Beverages &amp; Tobacco, Food Items, Snack Foods, Pretzels</v>
      </c>
    </row>
    <row r="2040" hidden="1">
      <c r="A2040" s="29">
        <v>5743.0</v>
      </c>
      <c r="B2040" s="29" t="s">
        <v>1978</v>
      </c>
      <c r="C2040" s="29" t="s">
        <v>2019</v>
      </c>
      <c r="D2040" s="29" t="s">
        <v>2278</v>
      </c>
      <c r="E2040" s="29" t="s">
        <v>2292</v>
      </c>
      <c r="F2040" s="62"/>
      <c r="G2040" s="20" t="str">
        <f t="shared" si="1"/>
        <v>Food, Beverages &amp; Tobacco, Food Items, Snack Foods, Pudding &amp; Gelatin Snacks</v>
      </c>
    </row>
    <row r="2041" hidden="1">
      <c r="A2041" s="29">
        <v>2432.0</v>
      </c>
      <c r="B2041" s="29" t="s">
        <v>1978</v>
      </c>
      <c r="C2041" s="29" t="s">
        <v>2019</v>
      </c>
      <c r="D2041" s="29" t="s">
        <v>2278</v>
      </c>
      <c r="E2041" s="29" t="s">
        <v>2293</v>
      </c>
      <c r="F2041" s="62"/>
      <c r="G2041" s="20" t="str">
        <f t="shared" si="1"/>
        <v>Food, Beverages &amp; Tobacco, Food Items, Snack Foods, Puffed Rice Cakes</v>
      </c>
    </row>
    <row r="2042" hidden="1">
      <c r="A2042" s="29">
        <v>6847.0</v>
      </c>
      <c r="B2042" s="29" t="s">
        <v>1978</v>
      </c>
      <c r="C2042" s="29" t="s">
        <v>2019</v>
      </c>
      <c r="D2042" s="29" t="s">
        <v>2278</v>
      </c>
      <c r="E2042" s="29" t="s">
        <v>2294</v>
      </c>
      <c r="F2042" s="62"/>
      <c r="G2042" s="20" t="str">
        <f t="shared" si="1"/>
        <v>Food, Beverages &amp; Tobacco, Food Items, Snack Foods, Salad Toppings</v>
      </c>
    </row>
    <row r="2043" hidden="1">
      <c r="A2043" s="29">
        <v>7427.0</v>
      </c>
      <c r="B2043" s="29" t="s">
        <v>1978</v>
      </c>
      <c r="C2043" s="29" t="s">
        <v>2019</v>
      </c>
      <c r="D2043" s="29" t="s">
        <v>2278</v>
      </c>
      <c r="E2043" s="29" t="s">
        <v>2295</v>
      </c>
      <c r="F2043" s="62"/>
      <c r="G2043" s="20" t="str">
        <f t="shared" si="1"/>
        <v>Food, Beverages &amp; Tobacco, Food Items, Snack Foods, Sesame Sticks</v>
      </c>
    </row>
    <row r="2044" hidden="1">
      <c r="A2044" s="29">
        <v>6785.0</v>
      </c>
      <c r="B2044" s="29" t="s">
        <v>1978</v>
      </c>
      <c r="C2044" s="29" t="s">
        <v>2019</v>
      </c>
      <c r="D2044" s="29" t="s">
        <v>2278</v>
      </c>
      <c r="E2044" s="29" t="s">
        <v>2296</v>
      </c>
      <c r="F2044" s="62"/>
      <c r="G2044" s="20" t="str">
        <f t="shared" si="1"/>
        <v>Food, Beverages &amp; Tobacco, Food Items, Snack Foods, Snack Cakes</v>
      </c>
    </row>
    <row r="2045" hidden="1">
      <c r="A2045" s="29">
        <v>7327.0</v>
      </c>
      <c r="B2045" s="29" t="s">
        <v>1978</v>
      </c>
      <c r="C2045" s="29" t="s">
        <v>2019</v>
      </c>
      <c r="D2045" s="29" t="s">
        <v>2278</v>
      </c>
      <c r="E2045" s="29" t="s">
        <v>2297</v>
      </c>
      <c r="F2045" s="62"/>
      <c r="G2045" s="20" t="str">
        <f t="shared" si="1"/>
        <v>Food, Beverages &amp; Tobacco, Food Items, Snack Foods, Sticky Rice Cakes</v>
      </c>
    </row>
    <row r="2046" hidden="1">
      <c r="A2046" s="29">
        <v>5745.0</v>
      </c>
      <c r="B2046" s="29" t="s">
        <v>1978</v>
      </c>
      <c r="C2046" s="29" t="s">
        <v>2019</v>
      </c>
      <c r="D2046" s="29" t="s">
        <v>2278</v>
      </c>
      <c r="E2046" s="29" t="s">
        <v>2298</v>
      </c>
      <c r="F2046" s="62"/>
      <c r="G2046" s="20" t="str">
        <f t="shared" si="1"/>
        <v>Food, Beverages &amp; Tobacco, Food Items, Snack Foods, Trail &amp; Snack Mixes</v>
      </c>
    </row>
    <row r="2047" hidden="1">
      <c r="A2047" s="29">
        <v>2423.0</v>
      </c>
      <c r="B2047" s="29" t="s">
        <v>1978</v>
      </c>
      <c r="C2047" s="29" t="s">
        <v>2019</v>
      </c>
      <c r="D2047" s="29" t="s">
        <v>2299</v>
      </c>
      <c r="E2047" s="62"/>
      <c r="F2047" s="62"/>
      <c r="G2047" s="20" t="str">
        <f t="shared" si="1"/>
        <v>Food, Beverages &amp; Tobacco, Food Items, Soups &amp; Broths, </v>
      </c>
    </row>
    <row r="2048" hidden="1">
      <c r="A2048" s="29">
        <v>5807.0</v>
      </c>
      <c r="B2048" s="29" t="s">
        <v>1978</v>
      </c>
      <c r="C2048" s="29" t="s">
        <v>2019</v>
      </c>
      <c r="D2048" s="29" t="s">
        <v>2300</v>
      </c>
      <c r="F2048" s="62"/>
      <c r="G2048" s="20" t="str">
        <f t="shared" si="1"/>
        <v>Food, Beverages &amp; Tobacco, Food Items, Tofu, Soy &amp; Vegetarian Products, </v>
      </c>
    </row>
    <row r="2049" hidden="1">
      <c r="A2049" s="29">
        <v>6839.0</v>
      </c>
      <c r="B2049" s="29" t="s">
        <v>1978</v>
      </c>
      <c r="C2049" s="29" t="s">
        <v>2019</v>
      </c>
      <c r="D2049" s="29" t="s">
        <v>2300</v>
      </c>
      <c r="E2049" s="29" t="s">
        <v>2301</v>
      </c>
      <c r="F2049" s="62"/>
      <c r="G2049" s="20" t="str">
        <f t="shared" si="1"/>
        <v>Food, Beverages &amp; Tobacco, Food Items, Tofu, Soy &amp; Vegetarian Products, Cheese Alternatives</v>
      </c>
    </row>
    <row r="2050" hidden="1">
      <c r="A2050" s="29">
        <v>6843.0</v>
      </c>
      <c r="B2050" s="29" t="s">
        <v>1978</v>
      </c>
      <c r="C2050" s="29" t="s">
        <v>2019</v>
      </c>
      <c r="D2050" s="29" t="s">
        <v>2300</v>
      </c>
      <c r="E2050" s="29" t="s">
        <v>2302</v>
      </c>
      <c r="F2050" s="62"/>
      <c r="G2050" s="20" t="str">
        <f t="shared" si="1"/>
        <v>Food, Beverages &amp; Tobacco, Food Items, Tofu, Soy &amp; Vegetarian Products, Meat Alternatives</v>
      </c>
    </row>
    <row r="2051" hidden="1">
      <c r="A2051" s="29">
        <v>5808.0</v>
      </c>
      <c r="B2051" s="29" t="s">
        <v>1978</v>
      </c>
      <c r="C2051" s="29" t="s">
        <v>2019</v>
      </c>
      <c r="D2051" s="29" t="s">
        <v>2300</v>
      </c>
      <c r="E2051" s="29" t="s">
        <v>2303</v>
      </c>
      <c r="F2051" s="62"/>
      <c r="G2051" s="20" t="str">
        <f t="shared" si="1"/>
        <v>Food, Beverages &amp; Tobacco, Food Items, Tofu, Soy &amp; Vegetarian Products, Seitan</v>
      </c>
    </row>
    <row r="2052" hidden="1">
      <c r="A2052" s="29">
        <v>5810.0</v>
      </c>
      <c r="B2052" s="29" t="s">
        <v>1978</v>
      </c>
      <c r="C2052" s="29" t="s">
        <v>2019</v>
      </c>
      <c r="D2052" s="29" t="s">
        <v>2300</v>
      </c>
      <c r="E2052" s="29" t="s">
        <v>2304</v>
      </c>
      <c r="F2052" s="62"/>
      <c r="G2052" s="20" t="str">
        <f t="shared" si="1"/>
        <v>Food, Beverages &amp; Tobacco, Food Items, Tofu, Soy &amp; Vegetarian Products, Tempeh</v>
      </c>
    </row>
    <row r="2053" hidden="1">
      <c r="A2053" s="29">
        <v>5809.0</v>
      </c>
      <c r="B2053" s="29" t="s">
        <v>1978</v>
      </c>
      <c r="C2053" s="29" t="s">
        <v>2019</v>
      </c>
      <c r="D2053" s="29" t="s">
        <v>2300</v>
      </c>
      <c r="E2053" s="29" t="s">
        <v>2305</v>
      </c>
      <c r="F2053" s="62"/>
      <c r="G2053" s="20" t="str">
        <f t="shared" si="1"/>
        <v>Food, Beverages &amp; Tobacco, Food Items, Tofu, Soy &amp; Vegetarian Products, Tofu</v>
      </c>
    </row>
    <row r="2054" hidden="1">
      <c r="A2054" s="29">
        <v>435.0</v>
      </c>
      <c r="B2054" s="29" t="s">
        <v>1978</v>
      </c>
      <c r="C2054" s="29" t="s">
        <v>2306</v>
      </c>
      <c r="D2054" s="62"/>
      <c r="E2054" s="62"/>
      <c r="F2054" s="62"/>
      <c r="G2054" s="20" t="str">
        <f t="shared" si="1"/>
        <v>Food, Beverages &amp; Tobacco, Tobacco Products, , </v>
      </c>
    </row>
    <row r="2055" hidden="1">
      <c r="A2055" s="29">
        <v>3916.0</v>
      </c>
      <c r="B2055" s="29" t="s">
        <v>1978</v>
      </c>
      <c r="C2055" s="29" t="s">
        <v>2306</v>
      </c>
      <c r="D2055" s="29" t="s">
        <v>2307</v>
      </c>
      <c r="E2055" s="62"/>
      <c r="F2055" s="62"/>
      <c r="G2055" s="20" t="str">
        <f t="shared" si="1"/>
        <v>Food, Beverages &amp; Tobacco, Tobacco Products, Chewing Tobacco, </v>
      </c>
    </row>
    <row r="2056" hidden="1">
      <c r="A2056" s="29">
        <v>3151.0</v>
      </c>
      <c r="B2056" s="29" t="s">
        <v>1978</v>
      </c>
      <c r="C2056" s="29" t="s">
        <v>2306</v>
      </c>
      <c r="D2056" s="29" t="s">
        <v>2308</v>
      </c>
      <c r="E2056" s="62"/>
      <c r="F2056" s="62"/>
      <c r="G2056" s="20" t="str">
        <f t="shared" si="1"/>
        <v>Food, Beverages &amp; Tobacco, Tobacco Products, Cigarettes, </v>
      </c>
    </row>
    <row r="2057" hidden="1">
      <c r="A2057" s="29">
        <v>3682.0</v>
      </c>
      <c r="B2057" s="29" t="s">
        <v>1978</v>
      </c>
      <c r="C2057" s="29" t="s">
        <v>2306</v>
      </c>
      <c r="D2057" s="29" t="s">
        <v>2309</v>
      </c>
      <c r="E2057" s="62"/>
      <c r="F2057" s="62"/>
      <c r="G2057" s="20" t="str">
        <f t="shared" si="1"/>
        <v>Food, Beverages &amp; Tobacco, Tobacco Products, Cigars, </v>
      </c>
    </row>
    <row r="2058" hidden="1">
      <c r="A2058" s="29">
        <v>3741.0</v>
      </c>
      <c r="B2058" s="29" t="s">
        <v>1978</v>
      </c>
      <c r="C2058" s="29" t="s">
        <v>2306</v>
      </c>
      <c r="D2058" s="29" t="s">
        <v>2310</v>
      </c>
      <c r="E2058" s="62"/>
      <c r="F2058" s="62"/>
      <c r="G2058" s="20" t="str">
        <f t="shared" si="1"/>
        <v>Food, Beverages &amp; Tobacco, Tobacco Products, Loose Tobacco, </v>
      </c>
    </row>
    <row r="2059" hidden="1">
      <c r="A2059" s="29">
        <v>499963.0</v>
      </c>
      <c r="B2059" s="29" t="s">
        <v>1978</v>
      </c>
      <c r="C2059" s="29" t="s">
        <v>2306</v>
      </c>
      <c r="D2059" s="29" t="s">
        <v>2311</v>
      </c>
      <c r="E2059" s="62"/>
      <c r="F2059" s="62"/>
      <c r="G2059" s="20" t="str">
        <f t="shared" si="1"/>
        <v>Food, Beverages &amp; Tobacco, Tobacco Products, Smoking Pipes, </v>
      </c>
    </row>
    <row r="2060" hidden="1">
      <c r="A2060" s="29">
        <v>4091.0</v>
      </c>
      <c r="B2060" s="29" t="s">
        <v>1978</v>
      </c>
      <c r="C2060" s="29" t="s">
        <v>2306</v>
      </c>
      <c r="D2060" s="29" t="s">
        <v>2312</v>
      </c>
      <c r="F2060" s="62"/>
      <c r="G2060" s="20" t="str">
        <f t="shared" si="1"/>
        <v>Food, Beverages &amp; Tobacco, Tobacco Products, Vaporizers &amp; Electronic Cigarettes, </v>
      </c>
    </row>
    <row r="2061" hidden="1">
      <c r="A2061" s="29">
        <v>543635.0</v>
      </c>
      <c r="B2061" s="29" t="s">
        <v>1978</v>
      </c>
      <c r="C2061" s="29" t="s">
        <v>2306</v>
      </c>
      <c r="D2061" s="29" t="s">
        <v>2312</v>
      </c>
      <c r="E2061" s="29" t="s">
        <v>2313</v>
      </c>
      <c r="F2061" s="62"/>
      <c r="G2061" s="20" t="str">
        <f t="shared" si="1"/>
        <v>Food, Beverages &amp; Tobacco, Tobacco Products, Vaporizers &amp; Electronic Cigarettes, Electronic Cigarettes</v>
      </c>
    </row>
    <row r="2062" hidden="1">
      <c r="A2062" s="29">
        <v>543634.0</v>
      </c>
      <c r="B2062" s="29" t="s">
        <v>1978</v>
      </c>
      <c r="C2062" s="29" t="s">
        <v>2306</v>
      </c>
      <c r="D2062" s="29" t="s">
        <v>2312</v>
      </c>
      <c r="E2062" s="29" t="s">
        <v>2314</v>
      </c>
      <c r="F2062" s="62"/>
      <c r="G2062" s="20" t="str">
        <f t="shared" si="1"/>
        <v>Food, Beverages &amp; Tobacco, Tobacco Products, Vaporizers &amp; Electronic Cigarettes, Vaporizers</v>
      </c>
    </row>
    <row r="2063">
      <c r="A2063" s="29"/>
      <c r="B2063" s="29" t="s">
        <v>2315</v>
      </c>
      <c r="C2063" s="62"/>
      <c r="D2063" s="62"/>
      <c r="E2063" s="62"/>
      <c r="F2063" s="62"/>
      <c r="G2063" s="20" t="str">
        <f t="shared" si="1"/>
        <v>Furniture, , , </v>
      </c>
    </row>
    <row r="2064">
      <c r="A2064" s="29">
        <v>554.0</v>
      </c>
      <c r="B2064" s="29" t="s">
        <v>2315</v>
      </c>
      <c r="C2064" s="29" t="s">
        <v>2316</v>
      </c>
      <c r="D2064" s="62"/>
      <c r="E2064" s="62"/>
      <c r="F2064" s="62"/>
      <c r="G2064" s="20" t="str">
        <f t="shared" si="1"/>
        <v>Furniture, Baby &amp; Toddler Furniture, , </v>
      </c>
    </row>
    <row r="2065">
      <c r="A2065" s="29">
        <v>6349.0</v>
      </c>
      <c r="B2065" s="29" t="s">
        <v>2315</v>
      </c>
      <c r="C2065" s="29" t="s">
        <v>2316</v>
      </c>
      <c r="D2065" s="29" t="s">
        <v>2317</v>
      </c>
      <c r="F2065" s="62"/>
      <c r="G2065" s="20" t="str">
        <f t="shared" si="1"/>
        <v>Furniture, Baby &amp; Toddler Furniture, Baby &amp; Toddler Furniture Sets, </v>
      </c>
    </row>
    <row r="2066">
      <c r="A2066" s="29">
        <v>7068.0</v>
      </c>
      <c r="B2066" s="29" t="s">
        <v>2315</v>
      </c>
      <c r="C2066" s="29" t="s">
        <v>2316</v>
      </c>
      <c r="D2066" s="29" t="s">
        <v>2318</v>
      </c>
      <c r="F2066" s="62"/>
      <c r="G2066" s="20" t="str">
        <f t="shared" si="1"/>
        <v>Furniture, Baby &amp; Toddler Furniture, Bassinet &amp; Cradle Accessories, </v>
      </c>
    </row>
    <row r="2067">
      <c r="A2067" s="29">
        <v>6393.0</v>
      </c>
      <c r="B2067" s="29" t="s">
        <v>2315</v>
      </c>
      <c r="C2067" s="29" t="s">
        <v>2316</v>
      </c>
      <c r="D2067" s="29" t="s">
        <v>2319</v>
      </c>
      <c r="E2067" s="62"/>
      <c r="F2067" s="62"/>
      <c r="G2067" s="20" t="str">
        <f t="shared" si="1"/>
        <v>Furniture, Baby &amp; Toddler Furniture, Bassinets &amp; Cradles, </v>
      </c>
    </row>
    <row r="2068">
      <c r="A2068" s="29">
        <v>558.0</v>
      </c>
      <c r="B2068" s="29" t="s">
        <v>2315</v>
      </c>
      <c r="C2068" s="29" t="s">
        <v>2316</v>
      </c>
      <c r="D2068" s="29" t="s">
        <v>2320</v>
      </c>
      <c r="E2068" s="62"/>
      <c r="F2068" s="62"/>
      <c r="G2068" s="20" t="str">
        <f t="shared" si="1"/>
        <v>Furniture, Baby &amp; Toddler Furniture, Changing Tables, </v>
      </c>
    </row>
    <row r="2069">
      <c r="A2069" s="29">
        <v>7070.0</v>
      </c>
      <c r="B2069" s="29" t="s">
        <v>2315</v>
      </c>
      <c r="C2069" s="29" t="s">
        <v>2316</v>
      </c>
      <c r="D2069" s="29" t="s">
        <v>2321</v>
      </c>
      <c r="F2069" s="62"/>
      <c r="G2069" s="20" t="str">
        <f t="shared" si="1"/>
        <v>Furniture, Baby &amp; Toddler Furniture, Crib &amp; Toddler Bed Accessories, </v>
      </c>
    </row>
    <row r="2070">
      <c r="A2070" s="29">
        <v>7072.0</v>
      </c>
      <c r="B2070" s="29" t="s">
        <v>2315</v>
      </c>
      <c r="C2070" s="29" t="s">
        <v>2316</v>
      </c>
      <c r="D2070" s="29" t="s">
        <v>2321</v>
      </c>
      <c r="E2070" s="29" t="s">
        <v>2322</v>
      </c>
      <c r="F2070" s="62"/>
      <c r="G2070" s="20" t="str">
        <f t="shared" si="1"/>
        <v>Furniture, Baby &amp; Toddler Furniture, Crib &amp; Toddler Bed Accessories, Crib Bumpers &amp; Liners</v>
      </c>
    </row>
    <row r="2071">
      <c r="A2071" s="29">
        <v>7071.0</v>
      </c>
      <c r="B2071" s="29" t="s">
        <v>2315</v>
      </c>
      <c r="C2071" s="29" t="s">
        <v>2316</v>
      </c>
      <c r="D2071" s="29" t="s">
        <v>2321</v>
      </c>
      <c r="E2071" s="29" t="s">
        <v>2323</v>
      </c>
      <c r="F2071" s="62"/>
      <c r="G2071" s="20" t="str">
        <f t="shared" si="1"/>
        <v>Furniture, Baby &amp; Toddler Furniture, Crib &amp; Toddler Bed Accessories, Crib Conversion Kits</v>
      </c>
    </row>
    <row r="2072">
      <c r="A2072" s="29">
        <v>6394.0</v>
      </c>
      <c r="B2072" s="29" t="s">
        <v>2315</v>
      </c>
      <c r="C2072" s="29" t="s">
        <v>2316</v>
      </c>
      <c r="D2072" s="29" t="s">
        <v>2324</v>
      </c>
      <c r="E2072" s="62"/>
      <c r="F2072" s="62"/>
      <c r="G2072" s="20" t="str">
        <f t="shared" si="1"/>
        <v>Furniture, Baby &amp; Toddler Furniture, Cribs &amp; Toddler Beds, </v>
      </c>
    </row>
    <row r="2073">
      <c r="A2073" s="29">
        <v>6969.0</v>
      </c>
      <c r="B2073" s="29" t="s">
        <v>2315</v>
      </c>
      <c r="C2073" s="29" t="s">
        <v>2316</v>
      </c>
      <c r="D2073" s="29" t="s">
        <v>2325</v>
      </c>
      <c r="F2073" s="62"/>
      <c r="G2073" s="20" t="str">
        <f t="shared" si="1"/>
        <v>Furniture, Baby &amp; Toddler Furniture, High Chair &amp; Booster Seat Accessories, </v>
      </c>
    </row>
    <row r="2074">
      <c r="A2074" s="29">
        <v>559.0</v>
      </c>
      <c r="B2074" s="29" t="s">
        <v>2315</v>
      </c>
      <c r="C2074" s="29" t="s">
        <v>2316</v>
      </c>
      <c r="D2074" s="29" t="s">
        <v>2326</v>
      </c>
      <c r="F2074" s="62"/>
      <c r="G2074" s="20" t="str">
        <f t="shared" si="1"/>
        <v>Furniture, Baby &amp; Toddler Furniture, High Chairs &amp; Booster Seats, </v>
      </c>
    </row>
    <row r="2075">
      <c r="A2075" s="29">
        <v>6433.0</v>
      </c>
      <c r="B2075" s="29" t="s">
        <v>2315</v>
      </c>
      <c r="C2075" s="29" t="s">
        <v>2327</v>
      </c>
      <c r="D2075" s="62"/>
      <c r="E2075" s="62"/>
      <c r="F2075" s="62"/>
      <c r="G2075" s="20" t="str">
        <f t="shared" si="1"/>
        <v>Furniture, Beds &amp; Accessories, , </v>
      </c>
    </row>
    <row r="2076">
      <c r="A2076" s="29">
        <v>4437.0</v>
      </c>
      <c r="B2076" s="29" t="s">
        <v>2315</v>
      </c>
      <c r="C2076" s="29" t="s">
        <v>2327</v>
      </c>
      <c r="D2076" s="29" t="s">
        <v>2328</v>
      </c>
      <c r="F2076" s="62"/>
      <c r="G2076" s="20" t="str">
        <f t="shared" si="1"/>
        <v>Furniture, Beds &amp; Accessories, Bed &amp; Bed Frame Accessories, </v>
      </c>
    </row>
    <row r="2077">
      <c r="A2077" s="29">
        <v>505764.0</v>
      </c>
      <c r="B2077" s="29" t="s">
        <v>2315</v>
      </c>
      <c r="C2077" s="29" t="s">
        <v>2327</v>
      </c>
      <c r="D2077" s="29" t="s">
        <v>2329</v>
      </c>
      <c r="E2077" s="62"/>
      <c r="F2077" s="62"/>
      <c r="G2077" s="20" t="str">
        <f t="shared" si="1"/>
        <v>Furniture, Beds &amp; Accessories, Beds &amp; Bed Frames, </v>
      </c>
    </row>
    <row r="2078">
      <c r="A2078" s="29">
        <v>451.0</v>
      </c>
      <c r="B2078" s="29" t="s">
        <v>2315</v>
      </c>
      <c r="C2078" s="29" t="s">
        <v>2327</v>
      </c>
      <c r="D2078" s="29" t="s">
        <v>2330</v>
      </c>
      <c r="F2078" s="62"/>
      <c r="G2078" s="20" t="str">
        <f t="shared" si="1"/>
        <v>Furniture, Beds &amp; Accessories, Headboards &amp; Footboards, </v>
      </c>
    </row>
    <row r="2079">
      <c r="A2079" s="29">
        <v>2720.0</v>
      </c>
      <c r="B2079" s="29" t="s">
        <v>2315</v>
      </c>
      <c r="C2079" s="29" t="s">
        <v>2327</v>
      </c>
      <c r="D2079" s="29" t="s">
        <v>2331</v>
      </c>
      <c r="E2079" s="62"/>
      <c r="F2079" s="62"/>
      <c r="G2079" s="20" t="str">
        <f t="shared" si="1"/>
        <v>Furniture, Beds &amp; Accessories, Mattress Foundations, </v>
      </c>
    </row>
    <row r="2080">
      <c r="A2080" s="29">
        <v>2696.0</v>
      </c>
      <c r="B2080" s="29" t="s">
        <v>2315</v>
      </c>
      <c r="C2080" s="29" t="s">
        <v>2327</v>
      </c>
      <c r="D2080" s="29" t="s">
        <v>13</v>
      </c>
      <c r="E2080" s="62"/>
      <c r="F2080" s="62"/>
      <c r="G2080" s="20" t="str">
        <f t="shared" si="1"/>
        <v>Furniture, Beds &amp; Accessories, Mattresses, </v>
      </c>
    </row>
    <row r="2081">
      <c r="A2081" s="29">
        <v>441.0</v>
      </c>
      <c r="B2081" s="29" t="s">
        <v>2315</v>
      </c>
      <c r="C2081" s="29" t="s">
        <v>130</v>
      </c>
      <c r="D2081" s="62"/>
      <c r="E2081" s="62"/>
      <c r="F2081" s="62"/>
      <c r="G2081" s="20" t="str">
        <f t="shared" si="1"/>
        <v>Furniture, Benches, , </v>
      </c>
    </row>
    <row r="2082">
      <c r="A2082" s="29">
        <v>6850.0</v>
      </c>
      <c r="B2082" s="29" t="s">
        <v>2315</v>
      </c>
      <c r="C2082" s="29" t="s">
        <v>130</v>
      </c>
      <c r="D2082" s="29" t="s">
        <v>2332</v>
      </c>
      <c r="E2082" s="62"/>
      <c r="F2082" s="62"/>
      <c r="G2082" s="20" t="str">
        <f t="shared" si="1"/>
        <v>Furniture, Benches, Kitchen &amp; Dining Benches, </v>
      </c>
    </row>
    <row r="2083">
      <c r="A2083" s="29">
        <v>6851.0</v>
      </c>
      <c r="B2083" s="29" t="s">
        <v>2315</v>
      </c>
      <c r="C2083" s="29" t="s">
        <v>130</v>
      </c>
      <c r="D2083" s="29" t="s">
        <v>2333</v>
      </c>
      <c r="F2083" s="62"/>
      <c r="G2083" s="20" t="str">
        <f t="shared" si="1"/>
        <v>Furniture, Benches, Storage &amp; Entryway Benches, </v>
      </c>
    </row>
    <row r="2084">
      <c r="A2084" s="29">
        <v>4241.0</v>
      </c>
      <c r="B2084" s="29" t="s">
        <v>2315</v>
      </c>
      <c r="C2084" s="29" t="s">
        <v>130</v>
      </c>
      <c r="D2084" s="29" t="s">
        <v>2334</v>
      </c>
      <c r="E2084" s="62"/>
      <c r="F2084" s="62"/>
      <c r="G2084" s="20" t="str">
        <f t="shared" si="1"/>
        <v>Furniture, Benches, Vanity Benches, </v>
      </c>
    </row>
    <row r="2085">
      <c r="A2085" s="29">
        <v>6356.0</v>
      </c>
      <c r="B2085" s="29" t="s">
        <v>2315</v>
      </c>
      <c r="C2085" s="29" t="s">
        <v>2335</v>
      </c>
      <c r="D2085" s="62"/>
      <c r="E2085" s="62"/>
      <c r="F2085" s="62"/>
      <c r="G2085" s="20" t="str">
        <f t="shared" si="1"/>
        <v>Furniture, Cabinets &amp; Storage, , </v>
      </c>
    </row>
    <row r="2086">
      <c r="A2086" s="29">
        <v>4063.0</v>
      </c>
      <c r="B2086" s="29" t="s">
        <v>2315</v>
      </c>
      <c r="C2086" s="29" t="s">
        <v>2335</v>
      </c>
      <c r="D2086" s="29" t="s">
        <v>2336</v>
      </c>
      <c r="E2086" s="62"/>
      <c r="F2086" s="62"/>
      <c r="G2086" s="20" t="str">
        <f t="shared" si="1"/>
        <v>Furniture, Cabinets &amp; Storage, Armoires &amp; Wardrobes, </v>
      </c>
    </row>
    <row r="2087">
      <c r="A2087" s="29">
        <v>447.0</v>
      </c>
      <c r="B2087" s="29" t="s">
        <v>2315</v>
      </c>
      <c r="C2087" s="29" t="s">
        <v>2335</v>
      </c>
      <c r="D2087" s="29" t="s">
        <v>2337</v>
      </c>
      <c r="E2087" s="62"/>
      <c r="F2087" s="62"/>
      <c r="G2087" s="20" t="str">
        <f t="shared" si="1"/>
        <v>Furniture, Cabinets &amp; Storage, Buffets &amp; Sideboards, </v>
      </c>
    </row>
    <row r="2088">
      <c r="A2088" s="29">
        <v>448.0</v>
      </c>
      <c r="B2088" s="29" t="s">
        <v>2315</v>
      </c>
      <c r="C2088" s="29" t="s">
        <v>2335</v>
      </c>
      <c r="D2088" s="29" t="s">
        <v>2338</v>
      </c>
      <c r="F2088" s="62"/>
      <c r="G2088" s="20" t="str">
        <f t="shared" si="1"/>
        <v>Furniture, Cabinets &amp; Storage, China Cabinets &amp; Hutches, </v>
      </c>
    </row>
    <row r="2089">
      <c r="A2089" s="29">
        <v>4195.0</v>
      </c>
      <c r="B2089" s="29" t="s">
        <v>2315</v>
      </c>
      <c r="C2089" s="29" t="s">
        <v>2335</v>
      </c>
      <c r="D2089" s="29" t="s">
        <v>148</v>
      </c>
      <c r="E2089" s="62"/>
      <c r="F2089" s="62"/>
      <c r="G2089" s="20" t="str">
        <f t="shared" si="1"/>
        <v>Furniture, Cabinets &amp; Storage, Dressers, </v>
      </c>
    </row>
    <row r="2090">
      <c r="A2090" s="29">
        <v>463.0</v>
      </c>
      <c r="B2090" s="29" t="s">
        <v>2315</v>
      </c>
      <c r="C2090" s="29" t="s">
        <v>2335</v>
      </c>
      <c r="D2090" s="29" t="s">
        <v>309</v>
      </c>
      <c r="E2090" s="62"/>
      <c r="F2090" s="62"/>
      <c r="G2090" s="20" t="str">
        <f t="shared" si="1"/>
        <v>Furniture, Cabinets &amp; Storage, File Cabinets, </v>
      </c>
    </row>
    <row r="2091">
      <c r="A2091" s="29">
        <v>465846.0</v>
      </c>
      <c r="B2091" s="29" t="s">
        <v>2315</v>
      </c>
      <c r="C2091" s="29" t="s">
        <v>2335</v>
      </c>
      <c r="D2091" s="29" t="s">
        <v>2339</v>
      </c>
      <c r="E2091" s="62"/>
      <c r="F2091" s="62"/>
      <c r="G2091" s="20" t="str">
        <f t="shared" si="1"/>
        <v>Furniture, Cabinets &amp; Storage, Ironing Centers, </v>
      </c>
    </row>
    <row r="2092">
      <c r="A2092" s="29">
        <v>6934.0</v>
      </c>
      <c r="B2092" s="29" t="s">
        <v>2315</v>
      </c>
      <c r="C2092" s="29" t="s">
        <v>2335</v>
      </c>
      <c r="D2092" s="29" t="s">
        <v>2340</v>
      </c>
      <c r="E2092" s="62"/>
      <c r="F2092" s="62"/>
      <c r="G2092" s="20" t="str">
        <f t="shared" si="1"/>
        <v>Furniture, Cabinets &amp; Storage, Kitchen Cabinets, </v>
      </c>
    </row>
    <row r="2093">
      <c r="A2093" s="29">
        <v>6539.0</v>
      </c>
      <c r="B2093" s="29" t="s">
        <v>2315</v>
      </c>
      <c r="C2093" s="29" t="s">
        <v>2335</v>
      </c>
      <c r="D2093" s="29" t="s">
        <v>2341</v>
      </c>
      <c r="E2093" s="62"/>
      <c r="F2093" s="62"/>
      <c r="G2093" s="20" t="str">
        <f t="shared" si="1"/>
        <v>Furniture, Cabinets &amp; Storage, Magazine Racks, </v>
      </c>
    </row>
    <row r="2094">
      <c r="A2094" s="29">
        <v>6358.0</v>
      </c>
      <c r="B2094" s="29" t="s">
        <v>2315</v>
      </c>
      <c r="C2094" s="29" t="s">
        <v>2335</v>
      </c>
      <c r="D2094" s="29" t="s">
        <v>2342</v>
      </c>
      <c r="F2094" s="62"/>
      <c r="G2094" s="20" t="str">
        <f t="shared" si="1"/>
        <v>Furniture, Cabinets &amp; Storage, Media Storage Cabinets &amp; Racks, </v>
      </c>
    </row>
    <row r="2095">
      <c r="A2095" s="29">
        <v>5938.0</v>
      </c>
      <c r="B2095" s="29" t="s">
        <v>2315</v>
      </c>
      <c r="C2095" s="29" t="s">
        <v>2335</v>
      </c>
      <c r="D2095" s="29" t="s">
        <v>2343</v>
      </c>
      <c r="F2095" s="62"/>
      <c r="G2095" s="20" t="str">
        <f t="shared" si="1"/>
        <v>Furniture, Cabinets &amp; Storage, Storage Cabinets &amp; Lockers, </v>
      </c>
    </row>
    <row r="2096">
      <c r="A2096" s="29">
        <v>4205.0</v>
      </c>
      <c r="B2096" s="29" t="s">
        <v>2315</v>
      </c>
      <c r="C2096" s="29" t="s">
        <v>2335</v>
      </c>
      <c r="D2096" s="29" t="s">
        <v>2344</v>
      </c>
      <c r="E2096" s="62"/>
      <c r="F2096" s="62"/>
      <c r="G2096" s="20" t="str">
        <f t="shared" si="1"/>
        <v>Furniture, Cabinets &amp; Storage, Storage Chests, </v>
      </c>
    </row>
    <row r="2097">
      <c r="A2097" s="29">
        <v>6947.0</v>
      </c>
      <c r="B2097" s="29" t="s">
        <v>2315</v>
      </c>
      <c r="C2097" s="29" t="s">
        <v>2335</v>
      </c>
      <c r="D2097" s="29" t="s">
        <v>2344</v>
      </c>
      <c r="E2097" s="29" t="s">
        <v>2345</v>
      </c>
      <c r="F2097" s="62"/>
      <c r="G2097" s="20" t="str">
        <f t="shared" si="1"/>
        <v>Furniture, Cabinets &amp; Storage, Storage Chests, Hope Chests</v>
      </c>
    </row>
    <row r="2098">
      <c r="A2098" s="29">
        <v>4268.0</v>
      </c>
      <c r="B2098" s="29" t="s">
        <v>2315</v>
      </c>
      <c r="C2098" s="29" t="s">
        <v>2335</v>
      </c>
      <c r="D2098" s="29" t="s">
        <v>2344</v>
      </c>
      <c r="E2098" s="29" t="s">
        <v>2346</v>
      </c>
      <c r="F2098" s="62"/>
      <c r="G2098" s="20" t="str">
        <f t="shared" si="1"/>
        <v>Furniture, Cabinets &amp; Storage, Storage Chests, Toy Chests</v>
      </c>
    </row>
    <row r="2099">
      <c r="A2099" s="29">
        <v>4148.0</v>
      </c>
      <c r="B2099" s="29" t="s">
        <v>2315</v>
      </c>
      <c r="C2099" s="29" t="s">
        <v>2335</v>
      </c>
      <c r="D2099" s="29" t="s">
        <v>2347</v>
      </c>
      <c r="E2099" s="62"/>
      <c r="F2099" s="62"/>
      <c r="G2099" s="20" t="str">
        <f t="shared" si="1"/>
        <v>Furniture, Cabinets &amp; Storage, Vanities, </v>
      </c>
    </row>
    <row r="2100">
      <c r="A2100" s="29">
        <v>2081.0</v>
      </c>
      <c r="B2100" s="29" t="s">
        <v>2315</v>
      </c>
      <c r="C2100" s="29" t="s">
        <v>2335</v>
      </c>
      <c r="D2100" s="29" t="s">
        <v>2347</v>
      </c>
      <c r="E2100" s="29" t="s">
        <v>2348</v>
      </c>
      <c r="F2100" s="62"/>
      <c r="G2100" s="20" t="str">
        <f t="shared" si="1"/>
        <v>Furniture, Cabinets &amp; Storage, Vanities, Bathroom Vanities</v>
      </c>
    </row>
    <row r="2101">
      <c r="A2101" s="29">
        <v>6360.0</v>
      </c>
      <c r="B2101" s="29" t="s">
        <v>2315</v>
      </c>
      <c r="C2101" s="29" t="s">
        <v>2335</v>
      </c>
      <c r="D2101" s="29" t="s">
        <v>2347</v>
      </c>
      <c r="E2101" s="29" t="s">
        <v>2349</v>
      </c>
      <c r="F2101" s="62"/>
      <c r="G2101" s="20" t="str">
        <f t="shared" si="1"/>
        <v>Furniture, Cabinets &amp; Storage, Vanities, Bedroom Vanities</v>
      </c>
    </row>
    <row r="2102">
      <c r="A2102" s="29">
        <v>6357.0</v>
      </c>
      <c r="B2102" s="29" t="s">
        <v>2315</v>
      </c>
      <c r="C2102" s="29" t="s">
        <v>2335</v>
      </c>
      <c r="D2102" s="29" t="s">
        <v>2350</v>
      </c>
      <c r="E2102" s="62"/>
      <c r="F2102" s="62"/>
      <c r="G2102" s="20" t="str">
        <f t="shared" si="1"/>
        <v>Furniture, Cabinets &amp; Storage, Wine &amp; Liquor Cabinets, </v>
      </c>
    </row>
    <row r="2103">
      <c r="A2103" s="29">
        <v>5578.0</v>
      </c>
      <c r="B2103" s="29" t="s">
        <v>2315</v>
      </c>
      <c r="C2103" s="29" t="s">
        <v>2335</v>
      </c>
      <c r="D2103" s="29" t="s">
        <v>2351</v>
      </c>
      <c r="E2103" s="62"/>
      <c r="F2103" s="62"/>
      <c r="G2103" s="20" t="str">
        <f t="shared" si="1"/>
        <v>Furniture, Cabinets &amp; Storage, Wine Racks, </v>
      </c>
    </row>
    <row r="2104">
      <c r="A2104" s="29">
        <v>442.0</v>
      </c>
      <c r="B2104" s="29" t="s">
        <v>2315</v>
      </c>
      <c r="C2104" s="29" t="s">
        <v>2352</v>
      </c>
      <c r="D2104" s="62"/>
      <c r="E2104" s="62"/>
      <c r="F2104" s="62"/>
      <c r="G2104" s="20" t="str">
        <f t="shared" si="1"/>
        <v>Furniture, Carts &amp; Islands, , </v>
      </c>
    </row>
    <row r="2105">
      <c r="A2105" s="29">
        <v>453.0</v>
      </c>
      <c r="B2105" s="29" t="s">
        <v>2315</v>
      </c>
      <c r="C2105" s="29" t="s">
        <v>2352</v>
      </c>
      <c r="D2105" s="29" t="s">
        <v>2353</v>
      </c>
      <c r="E2105" s="62"/>
      <c r="F2105" s="62"/>
      <c r="G2105" s="20" t="str">
        <f t="shared" si="1"/>
        <v>Furniture, Carts &amp; Islands, Kitchen &amp; Dining Carts, </v>
      </c>
    </row>
    <row r="2106">
      <c r="A2106" s="29">
        <v>6374.0</v>
      </c>
      <c r="B2106" s="29" t="s">
        <v>2315</v>
      </c>
      <c r="C2106" s="29" t="s">
        <v>2352</v>
      </c>
      <c r="D2106" s="29" t="s">
        <v>2354</v>
      </c>
      <c r="E2106" s="62"/>
      <c r="F2106" s="62"/>
      <c r="G2106" s="20" t="str">
        <f t="shared" si="1"/>
        <v>Furniture, Carts &amp; Islands, Kitchen Islands, </v>
      </c>
    </row>
    <row r="2107">
      <c r="A2107" s="29">
        <v>7248.0</v>
      </c>
      <c r="B2107" s="29" t="s">
        <v>2315</v>
      </c>
      <c r="C2107" s="29" t="s">
        <v>2355</v>
      </c>
      <c r="D2107" s="62"/>
      <c r="E2107" s="62"/>
      <c r="F2107" s="62"/>
      <c r="G2107" s="20" t="str">
        <f t="shared" si="1"/>
        <v>Furniture, Chair Accessories, , </v>
      </c>
    </row>
    <row r="2108">
      <c r="A2108" s="29">
        <v>8206.0</v>
      </c>
      <c r="B2108" s="29" t="s">
        <v>2315</v>
      </c>
      <c r="C2108" s="29" t="s">
        <v>2355</v>
      </c>
      <c r="D2108" s="29" t="s">
        <v>2356</v>
      </c>
      <c r="F2108" s="62"/>
      <c r="G2108" s="20" t="str">
        <f t="shared" si="1"/>
        <v>Furniture, Chair Accessories, Hanging Chair Replacement Parts, </v>
      </c>
    </row>
    <row r="2109">
      <c r="A2109" s="29">
        <v>443.0</v>
      </c>
      <c r="B2109" s="29" t="s">
        <v>2315</v>
      </c>
      <c r="C2109" s="29" t="s">
        <v>192</v>
      </c>
      <c r="D2109" s="62"/>
      <c r="E2109" s="62"/>
      <c r="F2109" s="62"/>
      <c r="G2109" s="20" t="str">
        <f t="shared" si="1"/>
        <v>Furniture, Chairs, , </v>
      </c>
    </row>
    <row r="2110">
      <c r="A2110" s="29">
        <v>6499.0</v>
      </c>
      <c r="B2110" s="29" t="s">
        <v>2315</v>
      </c>
      <c r="C2110" s="29" t="s">
        <v>192</v>
      </c>
      <c r="D2110" s="29" t="s">
        <v>2357</v>
      </c>
      <c r="F2110" s="62"/>
      <c r="G2110" s="20" t="str">
        <f t="shared" si="1"/>
        <v>Furniture, Chairs, Arm Chairs, Recliners &amp; Sleeper Chairs, </v>
      </c>
    </row>
    <row r="2111">
      <c r="A2111" s="29">
        <v>438.0</v>
      </c>
      <c r="B2111" s="29" t="s">
        <v>2315</v>
      </c>
      <c r="C2111" s="29" t="s">
        <v>192</v>
      </c>
      <c r="D2111" s="29" t="s">
        <v>2358</v>
      </c>
      <c r="E2111" s="62"/>
      <c r="F2111" s="62"/>
      <c r="G2111" s="20" t="str">
        <f t="shared" si="1"/>
        <v>Furniture, Chairs, Bean Bag Chairs, </v>
      </c>
    </row>
    <row r="2112">
      <c r="A2112" s="29">
        <v>456.0</v>
      </c>
      <c r="B2112" s="29" t="s">
        <v>2315</v>
      </c>
      <c r="C2112" s="29" t="s">
        <v>192</v>
      </c>
      <c r="D2112" s="29" t="s">
        <v>2359</v>
      </c>
      <c r="E2112" s="62"/>
      <c r="F2112" s="62"/>
      <c r="G2112" s="20" t="str">
        <f t="shared" si="1"/>
        <v>Furniture, Chairs, Chaises, </v>
      </c>
    </row>
    <row r="2113">
      <c r="A2113" s="29">
        <v>2919.0</v>
      </c>
      <c r="B2113" s="29" t="s">
        <v>2315</v>
      </c>
      <c r="C2113" s="29" t="s">
        <v>192</v>
      </c>
      <c r="D2113" s="29" t="s">
        <v>2360</v>
      </c>
      <c r="F2113" s="62"/>
      <c r="G2113" s="20" t="str">
        <f t="shared" si="1"/>
        <v>Furniture, Chairs, Electric Massaging Chairs, </v>
      </c>
    </row>
    <row r="2114">
      <c r="A2114" s="29">
        <v>500051.0</v>
      </c>
      <c r="B2114" s="29" t="s">
        <v>2315</v>
      </c>
      <c r="C2114" s="29" t="s">
        <v>192</v>
      </c>
      <c r="D2114" s="29" t="s">
        <v>2361</v>
      </c>
      <c r="E2114" s="62"/>
      <c r="F2114" s="62"/>
      <c r="G2114" s="20" t="str">
        <f t="shared" si="1"/>
        <v>Furniture, Chairs, Floor Chairs, </v>
      </c>
    </row>
    <row r="2115">
      <c r="A2115" s="29">
        <v>3358.0</v>
      </c>
      <c r="B2115" s="29" t="s">
        <v>2315</v>
      </c>
      <c r="C2115" s="29" t="s">
        <v>192</v>
      </c>
      <c r="D2115" s="29" t="s">
        <v>2362</v>
      </c>
      <c r="E2115" s="62"/>
      <c r="F2115" s="62"/>
      <c r="G2115" s="20" t="str">
        <f t="shared" si="1"/>
        <v>Furniture, Chairs, Folding Chairs &amp; Stools, </v>
      </c>
    </row>
    <row r="2116">
      <c r="A2116" s="29">
        <v>6800.0</v>
      </c>
      <c r="B2116" s="29" t="s">
        <v>2315</v>
      </c>
      <c r="C2116" s="29" t="s">
        <v>192</v>
      </c>
      <c r="D2116" s="29" t="s">
        <v>2363</v>
      </c>
      <c r="E2116" s="62"/>
      <c r="F2116" s="62"/>
      <c r="G2116" s="20" t="str">
        <f t="shared" si="1"/>
        <v>Furniture, Chairs, Gaming Chairs, </v>
      </c>
    </row>
    <row r="2117">
      <c r="A2117" s="29">
        <v>7197.0</v>
      </c>
      <c r="B2117" s="29" t="s">
        <v>2315</v>
      </c>
      <c r="C2117" s="29" t="s">
        <v>192</v>
      </c>
      <c r="D2117" s="29" t="s">
        <v>2364</v>
      </c>
      <c r="E2117" s="62"/>
      <c r="F2117" s="62"/>
      <c r="G2117" s="20" t="str">
        <f t="shared" si="1"/>
        <v>Furniture, Chairs, Hanging Chairs, </v>
      </c>
    </row>
    <row r="2118">
      <c r="A2118" s="29">
        <v>5886.0</v>
      </c>
      <c r="B2118" s="29" t="s">
        <v>2315</v>
      </c>
      <c r="C2118" s="29" t="s">
        <v>192</v>
      </c>
      <c r="D2118" s="29" t="s">
        <v>2365</v>
      </c>
      <c r="F2118" s="62"/>
      <c r="G2118" s="20" t="str">
        <f t="shared" si="1"/>
        <v>Furniture, Chairs, Kitchen &amp; Dining Room Chairs, </v>
      </c>
    </row>
    <row r="2119">
      <c r="A2119" s="29">
        <v>2002.0</v>
      </c>
      <c r="B2119" s="29" t="s">
        <v>2315</v>
      </c>
      <c r="C2119" s="29" t="s">
        <v>192</v>
      </c>
      <c r="D2119" s="29" t="s">
        <v>2366</v>
      </c>
      <c r="E2119" s="62"/>
      <c r="F2119" s="62"/>
      <c r="G2119" s="20" t="str">
        <f t="shared" si="1"/>
        <v>Furniture, Chairs, Rocking Chairs, </v>
      </c>
    </row>
    <row r="2120">
      <c r="A2120" s="29">
        <v>6859.0</v>
      </c>
      <c r="B2120" s="29" t="s">
        <v>2315</v>
      </c>
      <c r="C2120" s="29" t="s">
        <v>192</v>
      </c>
      <c r="D2120" s="29" t="s">
        <v>2367</v>
      </c>
      <c r="E2120" s="62"/>
      <c r="F2120" s="62"/>
      <c r="G2120" s="20" t="str">
        <f t="shared" si="1"/>
        <v>Furniture, Chairs, Slipper Chairs, </v>
      </c>
    </row>
    <row r="2121">
      <c r="A2121" s="29">
        <v>1463.0</v>
      </c>
      <c r="B2121" s="29" t="s">
        <v>2315</v>
      </c>
      <c r="C2121" s="29" t="s">
        <v>192</v>
      </c>
      <c r="D2121" s="29" t="s">
        <v>2368</v>
      </c>
      <c r="E2121" s="62"/>
      <c r="F2121" s="62"/>
      <c r="G2121" s="20" t="str">
        <f t="shared" si="1"/>
        <v>Furniture, Chairs, Table &amp; Bar Stools, </v>
      </c>
    </row>
    <row r="2122">
      <c r="A2122" s="29">
        <v>457.0</v>
      </c>
      <c r="B2122" s="29" t="s">
        <v>2315</v>
      </c>
      <c r="C2122" s="29" t="s">
        <v>2369</v>
      </c>
      <c r="D2122" s="62"/>
      <c r="E2122" s="62"/>
      <c r="F2122" s="62"/>
      <c r="G2122" s="20" t="str">
        <f t="shared" si="1"/>
        <v>Furniture, Entertainment Centers &amp; TV Stands, , </v>
      </c>
    </row>
    <row r="2123">
      <c r="A2123" s="29">
        <v>6345.0</v>
      </c>
      <c r="B2123" s="29" t="s">
        <v>2315</v>
      </c>
      <c r="C2123" s="29" t="s">
        <v>2370</v>
      </c>
      <c r="D2123" s="62"/>
      <c r="E2123" s="62"/>
      <c r="F2123" s="62"/>
      <c r="G2123" s="20" t="str">
        <f t="shared" si="1"/>
        <v>Furniture, Furniture Sets, , </v>
      </c>
    </row>
    <row r="2124">
      <c r="A2124" s="29">
        <v>500000.0</v>
      </c>
      <c r="B2124" s="29" t="s">
        <v>2315</v>
      </c>
      <c r="C2124" s="29" t="s">
        <v>2370</v>
      </c>
      <c r="D2124" s="29" t="s">
        <v>2371</v>
      </c>
      <c r="E2124" s="62"/>
      <c r="F2124" s="62"/>
      <c r="G2124" s="20" t="str">
        <f t="shared" si="1"/>
        <v>Furniture, Furniture Sets, Bathroom Furniture Sets, </v>
      </c>
    </row>
    <row r="2125">
      <c r="A2125" s="29">
        <v>6346.0</v>
      </c>
      <c r="B2125" s="29" t="s">
        <v>2315</v>
      </c>
      <c r="C2125" s="29" t="s">
        <v>2370</v>
      </c>
      <c r="D2125" s="29" t="s">
        <v>2372</v>
      </c>
      <c r="E2125" s="62"/>
      <c r="F2125" s="62"/>
      <c r="G2125" s="20" t="str">
        <f t="shared" si="1"/>
        <v>Furniture, Furniture Sets, Bedroom Furniture Sets, </v>
      </c>
    </row>
    <row r="2126">
      <c r="A2126" s="29">
        <v>6347.0</v>
      </c>
      <c r="B2126" s="29" t="s">
        <v>2315</v>
      </c>
      <c r="C2126" s="29" t="s">
        <v>2370</v>
      </c>
      <c r="D2126" s="29" t="s">
        <v>2373</v>
      </c>
      <c r="F2126" s="62"/>
      <c r="G2126" s="20" t="str">
        <f t="shared" si="1"/>
        <v>Furniture, Furniture Sets, Kitchen &amp; Dining Furniture Sets, </v>
      </c>
    </row>
    <row r="2127">
      <c r="A2127" s="29">
        <v>6348.0</v>
      </c>
      <c r="B2127" s="29" t="s">
        <v>2315</v>
      </c>
      <c r="C2127" s="29" t="s">
        <v>2370</v>
      </c>
      <c r="D2127" s="29" t="s">
        <v>2374</v>
      </c>
      <c r="F2127" s="62"/>
      <c r="G2127" s="20" t="str">
        <f t="shared" si="1"/>
        <v>Furniture, Furniture Sets, Living Room Furniture Sets, </v>
      </c>
    </row>
    <row r="2128">
      <c r="A2128" s="29">
        <v>6860.0</v>
      </c>
      <c r="B2128" s="29" t="s">
        <v>2315</v>
      </c>
      <c r="C2128" s="29" t="s">
        <v>2375</v>
      </c>
      <c r="D2128" s="62"/>
      <c r="E2128" s="62"/>
      <c r="F2128" s="62"/>
      <c r="G2128" s="20" t="str">
        <f t="shared" si="1"/>
        <v>Furniture, Futon Frames, , </v>
      </c>
    </row>
    <row r="2129">
      <c r="A2129" s="29">
        <v>2786.0</v>
      </c>
      <c r="B2129" s="29" t="s">
        <v>2315</v>
      </c>
      <c r="C2129" s="29" t="s">
        <v>2376</v>
      </c>
      <c r="D2129" s="62"/>
      <c r="E2129" s="62"/>
      <c r="F2129" s="62"/>
      <c r="G2129" s="20" t="str">
        <f t="shared" si="1"/>
        <v>Furniture, Futon Pads, , </v>
      </c>
    </row>
    <row r="2130">
      <c r="A2130" s="29">
        <v>450.0</v>
      </c>
      <c r="B2130" s="29" t="s">
        <v>2315</v>
      </c>
      <c r="C2130" s="29" t="s">
        <v>2377</v>
      </c>
      <c r="D2130" s="62"/>
      <c r="E2130" s="62"/>
      <c r="F2130" s="62"/>
      <c r="G2130" s="20" t="str">
        <f t="shared" si="1"/>
        <v>Furniture, Futons, , </v>
      </c>
    </row>
    <row r="2131">
      <c r="A2131" s="29">
        <v>6362.0</v>
      </c>
      <c r="B2131" s="29" t="s">
        <v>2315</v>
      </c>
      <c r="C2131" s="29" t="s">
        <v>2378</v>
      </c>
      <c r="D2131" s="62"/>
      <c r="E2131" s="62"/>
      <c r="F2131" s="62"/>
      <c r="G2131" s="20" t="str">
        <f t="shared" si="1"/>
        <v>Furniture, Office Furniture, , </v>
      </c>
    </row>
    <row r="2132">
      <c r="A2132" s="29">
        <v>4191.0</v>
      </c>
      <c r="B2132" s="29" t="s">
        <v>2315</v>
      </c>
      <c r="C2132" s="29" t="s">
        <v>2378</v>
      </c>
      <c r="D2132" s="29" t="s">
        <v>302</v>
      </c>
      <c r="E2132" s="62"/>
      <c r="F2132" s="62"/>
      <c r="G2132" s="20" t="str">
        <f t="shared" si="1"/>
        <v>Furniture, Office Furniture, Desks, </v>
      </c>
    </row>
    <row r="2133">
      <c r="A2133" s="29">
        <v>2045.0</v>
      </c>
      <c r="B2133" s="29" t="s">
        <v>2315</v>
      </c>
      <c r="C2133" s="29" t="s">
        <v>2378</v>
      </c>
      <c r="D2133" s="29" t="s">
        <v>2379</v>
      </c>
      <c r="E2133" s="62"/>
      <c r="F2133" s="62"/>
      <c r="G2133" s="20" t="str">
        <f t="shared" si="1"/>
        <v>Furniture, Office Furniture, Office Chairs, </v>
      </c>
    </row>
    <row r="2134">
      <c r="A2134" s="29">
        <v>500061.0</v>
      </c>
      <c r="B2134" s="29" t="s">
        <v>2315</v>
      </c>
      <c r="C2134" s="29" t="s">
        <v>2378</v>
      </c>
      <c r="D2134" s="29" t="s">
        <v>2380</v>
      </c>
      <c r="E2134" s="62"/>
      <c r="F2134" s="62"/>
      <c r="G2134" s="20" t="str">
        <f t="shared" si="1"/>
        <v>Furniture, Office Furniture, Office Furniture Sets, </v>
      </c>
    </row>
    <row r="2135">
      <c r="A2135" s="29">
        <v>6363.0</v>
      </c>
      <c r="B2135" s="29" t="s">
        <v>2315</v>
      </c>
      <c r="C2135" s="29" t="s">
        <v>2378</v>
      </c>
      <c r="D2135" s="29" t="s">
        <v>2381</v>
      </c>
      <c r="E2135" s="62"/>
      <c r="F2135" s="62"/>
      <c r="G2135" s="20" t="str">
        <f t="shared" si="1"/>
        <v>Furniture, Office Furniture, Workspace Tables, </v>
      </c>
    </row>
    <row r="2136">
      <c r="A2136" s="29">
        <v>2242.0</v>
      </c>
      <c r="B2136" s="29" t="s">
        <v>2315</v>
      </c>
      <c r="C2136" s="29" t="s">
        <v>2378</v>
      </c>
      <c r="D2136" s="29" t="s">
        <v>2381</v>
      </c>
      <c r="E2136" s="29" t="s">
        <v>2382</v>
      </c>
      <c r="F2136" s="62"/>
      <c r="G2136" s="20" t="str">
        <f t="shared" si="1"/>
        <v>Furniture, Office Furniture, Workspace Tables, Art &amp; Drafting Tables</v>
      </c>
    </row>
    <row r="2137">
      <c r="A2137" s="29">
        <v>4317.0</v>
      </c>
      <c r="B2137" s="29" t="s">
        <v>2315</v>
      </c>
      <c r="C2137" s="29" t="s">
        <v>2378</v>
      </c>
      <c r="D2137" s="29" t="s">
        <v>2381</v>
      </c>
      <c r="E2137" s="29" t="s">
        <v>2383</v>
      </c>
      <c r="F2137" s="62"/>
      <c r="G2137" s="20" t="str">
        <f t="shared" si="1"/>
        <v>Furniture, Office Furniture, Workspace Tables, Conference Room Tables</v>
      </c>
    </row>
    <row r="2138">
      <c r="A2138" s="29">
        <v>6908.0</v>
      </c>
      <c r="B2138" s="29" t="s">
        <v>2315</v>
      </c>
      <c r="C2138" s="29" t="s">
        <v>2378</v>
      </c>
      <c r="D2138" s="29" t="s">
        <v>2384</v>
      </c>
      <c r="E2138" s="62"/>
      <c r="F2138" s="62"/>
      <c r="G2138" s="20" t="str">
        <f t="shared" si="1"/>
        <v>Furniture, Office Furniture, Workstations &amp; Cubicles, </v>
      </c>
    </row>
    <row r="2139">
      <c r="A2139" s="29">
        <v>503765.0</v>
      </c>
      <c r="B2139" s="29" t="s">
        <v>2315</v>
      </c>
      <c r="C2139" s="29" t="s">
        <v>2385</v>
      </c>
      <c r="D2139" s="62"/>
      <c r="E2139" s="62"/>
      <c r="F2139" s="62"/>
      <c r="G2139" s="20" t="str">
        <f t="shared" si="1"/>
        <v>Furniture, Office Furniture Accessories, , </v>
      </c>
    </row>
    <row r="2140">
      <c r="A2140" s="29">
        <v>503766.0</v>
      </c>
      <c r="B2140" s="29" t="s">
        <v>2315</v>
      </c>
      <c r="C2140" s="29" t="s">
        <v>2385</v>
      </c>
      <c r="D2140" s="29" t="s">
        <v>2386</v>
      </c>
      <c r="F2140" s="62"/>
      <c r="G2140" s="20" t="str">
        <f t="shared" si="1"/>
        <v>Furniture, Office Furniture Accessories, Desk Parts &amp; Accessories, </v>
      </c>
    </row>
    <row r="2141">
      <c r="A2141" s="29">
        <v>7559.0</v>
      </c>
      <c r="B2141" s="29" t="s">
        <v>2315</v>
      </c>
      <c r="C2141" s="29" t="s">
        <v>2385</v>
      </c>
      <c r="D2141" s="29" t="s">
        <v>2387</v>
      </c>
      <c r="E2141" s="62"/>
      <c r="F2141" s="62"/>
      <c r="G2141" s="20" t="str">
        <f t="shared" si="1"/>
        <v>Furniture, Office Furniture Accessories, Office Chair Accessories, </v>
      </c>
    </row>
    <row r="2142">
      <c r="A2142" s="29">
        <v>6909.0</v>
      </c>
      <c r="B2142" s="29" t="s">
        <v>2315</v>
      </c>
      <c r="C2142" s="29" t="s">
        <v>2385</v>
      </c>
      <c r="D2142" s="29" t="s">
        <v>2388</v>
      </c>
      <c r="F2142" s="62"/>
      <c r="G2142" s="20" t="str">
        <f t="shared" si="1"/>
        <v>Furniture, Office Furniture Accessories, Workstation &amp; Cubicle Accessories, </v>
      </c>
    </row>
    <row r="2143">
      <c r="A2143" s="29">
        <v>458.0</v>
      </c>
      <c r="B2143" s="29" t="s">
        <v>2315</v>
      </c>
      <c r="C2143" s="29" t="s">
        <v>436</v>
      </c>
      <c r="D2143" s="62"/>
      <c r="E2143" s="62"/>
      <c r="F2143" s="62"/>
      <c r="G2143" s="20" t="str">
        <f t="shared" si="1"/>
        <v>Furniture, Ottomans, , </v>
      </c>
    </row>
    <row r="2144">
      <c r="A2144" s="63">
        <v>4299.0</v>
      </c>
      <c r="B2144" s="63" t="s">
        <v>2315</v>
      </c>
      <c r="C2144" s="63" t="s">
        <v>2389</v>
      </c>
      <c r="D2144" s="64"/>
      <c r="E2144" s="64"/>
      <c r="F2144" s="64"/>
      <c r="G2144" s="65" t="str">
        <f t="shared" si="1"/>
        <v>Furniture, Outdoor Furniture, , </v>
      </c>
      <c r="H2144" s="65"/>
      <c r="I2144" s="65"/>
      <c r="J2144" s="65"/>
      <c r="K2144" s="65"/>
      <c r="L2144" s="65"/>
      <c r="M2144" s="65"/>
      <c r="N2144" s="65"/>
      <c r="O2144" s="65"/>
      <c r="P2144" s="65"/>
      <c r="Q2144" s="65"/>
      <c r="R2144" s="65"/>
      <c r="S2144" s="65"/>
      <c r="T2144" s="65"/>
      <c r="U2144" s="65"/>
      <c r="V2144" s="65"/>
      <c r="W2144" s="65"/>
      <c r="X2144" s="65"/>
      <c r="Y2144" s="65"/>
      <c r="Z2144" s="65"/>
    </row>
    <row r="2145">
      <c r="A2145" s="63">
        <v>6892.0</v>
      </c>
      <c r="B2145" s="63" t="s">
        <v>2315</v>
      </c>
      <c r="C2145" s="63" t="s">
        <v>2389</v>
      </c>
      <c r="D2145" s="63" t="s">
        <v>2390</v>
      </c>
      <c r="E2145" s="64"/>
      <c r="F2145" s="64"/>
      <c r="G2145" s="65" t="str">
        <f t="shared" si="1"/>
        <v>Furniture, Outdoor Furniture, Outdoor Beds, </v>
      </c>
      <c r="H2145" s="65"/>
      <c r="I2145" s="65"/>
      <c r="J2145" s="65"/>
      <c r="K2145" s="65"/>
      <c r="L2145" s="65"/>
      <c r="M2145" s="65"/>
      <c r="N2145" s="65"/>
      <c r="O2145" s="65"/>
      <c r="P2145" s="65"/>
      <c r="Q2145" s="65"/>
      <c r="R2145" s="65"/>
      <c r="S2145" s="65"/>
      <c r="T2145" s="65"/>
      <c r="U2145" s="65"/>
      <c r="V2145" s="65"/>
      <c r="W2145" s="65"/>
      <c r="X2145" s="65"/>
      <c r="Y2145" s="65"/>
      <c r="Z2145" s="65"/>
    </row>
    <row r="2146">
      <c r="A2146" s="63">
        <v>6367.0</v>
      </c>
      <c r="B2146" s="63" t="s">
        <v>2315</v>
      </c>
      <c r="C2146" s="63" t="s">
        <v>2389</v>
      </c>
      <c r="D2146" s="63" t="s">
        <v>2391</v>
      </c>
      <c r="E2146" s="64"/>
      <c r="F2146" s="64"/>
      <c r="G2146" s="65" t="str">
        <f t="shared" si="1"/>
        <v>Furniture, Outdoor Furniture, Outdoor Furniture Sets, </v>
      </c>
      <c r="H2146" s="65"/>
      <c r="I2146" s="65"/>
      <c r="J2146" s="65"/>
      <c r="K2146" s="65"/>
      <c r="L2146" s="65"/>
      <c r="M2146" s="65"/>
      <c r="N2146" s="65"/>
      <c r="O2146" s="65"/>
      <c r="P2146" s="65"/>
      <c r="Q2146" s="65"/>
      <c r="R2146" s="65"/>
      <c r="S2146" s="65"/>
      <c r="T2146" s="65"/>
      <c r="U2146" s="65"/>
      <c r="V2146" s="65"/>
      <c r="W2146" s="65"/>
      <c r="X2146" s="65"/>
      <c r="Y2146" s="65"/>
      <c r="Z2146" s="65"/>
    </row>
    <row r="2147">
      <c r="A2147" s="63">
        <v>6822.0</v>
      </c>
      <c r="B2147" s="63" t="s">
        <v>2315</v>
      </c>
      <c r="C2147" s="63" t="s">
        <v>2389</v>
      </c>
      <c r="D2147" s="63" t="s">
        <v>2392</v>
      </c>
      <c r="E2147" s="64"/>
      <c r="F2147" s="64"/>
      <c r="G2147" s="65" t="str">
        <f t="shared" si="1"/>
        <v>Furniture, Outdoor Furniture, Outdoor Ottomans, </v>
      </c>
      <c r="H2147" s="65"/>
      <c r="I2147" s="65"/>
      <c r="J2147" s="65"/>
      <c r="K2147" s="65"/>
      <c r="L2147" s="65"/>
      <c r="M2147" s="65"/>
      <c r="N2147" s="65"/>
      <c r="O2147" s="65"/>
      <c r="P2147" s="65"/>
      <c r="Q2147" s="65"/>
      <c r="R2147" s="65"/>
      <c r="S2147" s="65"/>
      <c r="T2147" s="65"/>
      <c r="U2147" s="65"/>
      <c r="V2147" s="65"/>
      <c r="W2147" s="65"/>
      <c r="X2147" s="65"/>
      <c r="Y2147" s="65"/>
      <c r="Z2147" s="65"/>
    </row>
    <row r="2148">
      <c r="A2148" s="63">
        <v>6368.0</v>
      </c>
      <c r="B2148" s="63" t="s">
        <v>2315</v>
      </c>
      <c r="C2148" s="63" t="s">
        <v>2389</v>
      </c>
      <c r="D2148" s="63" t="s">
        <v>2393</v>
      </c>
      <c r="E2148" s="64"/>
      <c r="F2148" s="64"/>
      <c r="G2148" s="65" t="str">
        <f t="shared" si="1"/>
        <v>Furniture, Outdoor Furniture, Outdoor Seating, </v>
      </c>
      <c r="H2148" s="65"/>
      <c r="I2148" s="65"/>
      <c r="J2148" s="65"/>
      <c r="K2148" s="65"/>
      <c r="L2148" s="65"/>
      <c r="M2148" s="65"/>
      <c r="N2148" s="65"/>
      <c r="O2148" s="65"/>
      <c r="P2148" s="65"/>
      <c r="Q2148" s="65"/>
      <c r="R2148" s="65"/>
      <c r="S2148" s="65"/>
      <c r="T2148" s="65"/>
      <c r="U2148" s="65"/>
      <c r="V2148" s="65"/>
      <c r="W2148" s="65"/>
      <c r="X2148" s="65"/>
      <c r="Y2148" s="65"/>
      <c r="Z2148" s="65"/>
    </row>
    <row r="2149">
      <c r="A2149" s="63">
        <v>5044.0</v>
      </c>
      <c r="B2149" s="63" t="s">
        <v>2315</v>
      </c>
      <c r="C2149" s="63" t="s">
        <v>2389</v>
      </c>
      <c r="D2149" s="63" t="s">
        <v>2393</v>
      </c>
      <c r="E2149" s="63" t="s">
        <v>2394</v>
      </c>
      <c r="F2149" s="64"/>
      <c r="G2149" s="65" t="str">
        <f t="shared" si="1"/>
        <v>Furniture, Outdoor Furniture, Outdoor Seating, Outdoor Benches</v>
      </c>
      <c r="H2149" s="65"/>
      <c r="I2149" s="65"/>
      <c r="J2149" s="65"/>
      <c r="K2149" s="65"/>
      <c r="L2149" s="65"/>
      <c r="M2149" s="65"/>
      <c r="N2149" s="65"/>
      <c r="O2149" s="65"/>
      <c r="P2149" s="65"/>
      <c r="Q2149" s="65"/>
      <c r="R2149" s="65"/>
      <c r="S2149" s="65"/>
      <c r="T2149" s="65"/>
      <c r="U2149" s="65"/>
      <c r="V2149" s="65"/>
      <c r="W2149" s="65"/>
      <c r="X2149" s="65"/>
      <c r="Y2149" s="65"/>
      <c r="Z2149" s="65"/>
    </row>
    <row r="2150">
      <c r="A2150" s="63">
        <v>6828.0</v>
      </c>
      <c r="B2150" s="63" t="s">
        <v>2315</v>
      </c>
      <c r="C2150" s="63" t="s">
        <v>2389</v>
      </c>
      <c r="D2150" s="63" t="s">
        <v>2393</v>
      </c>
      <c r="E2150" s="63" t="s">
        <v>2395</v>
      </c>
      <c r="F2150" s="64"/>
      <c r="G2150" s="65" t="str">
        <f t="shared" si="1"/>
        <v>Furniture, Outdoor Furniture, Outdoor Seating, Outdoor Chairs</v>
      </c>
      <c r="H2150" s="65"/>
      <c r="I2150" s="65"/>
      <c r="J2150" s="65"/>
      <c r="K2150" s="65"/>
      <c r="L2150" s="65"/>
      <c r="M2150" s="65"/>
      <c r="N2150" s="65"/>
      <c r="O2150" s="65"/>
      <c r="P2150" s="65"/>
      <c r="Q2150" s="65"/>
      <c r="R2150" s="65"/>
      <c r="S2150" s="65"/>
      <c r="T2150" s="65"/>
      <c r="U2150" s="65"/>
      <c r="V2150" s="65"/>
      <c r="W2150" s="65"/>
      <c r="X2150" s="65"/>
      <c r="Y2150" s="65"/>
      <c r="Z2150" s="65"/>
    </row>
    <row r="2151">
      <c r="A2151" s="63">
        <v>500111.0</v>
      </c>
      <c r="B2151" s="63" t="s">
        <v>2315</v>
      </c>
      <c r="C2151" s="63" t="s">
        <v>2389</v>
      </c>
      <c r="D2151" s="63" t="s">
        <v>2393</v>
      </c>
      <c r="E2151" s="63" t="s">
        <v>2396</v>
      </c>
      <c r="F2151" s="64"/>
      <c r="G2151" s="65" t="str">
        <f t="shared" si="1"/>
        <v>Furniture, Outdoor Furniture, Outdoor Seating, Outdoor Sectional Sofa Units</v>
      </c>
      <c r="H2151" s="65"/>
      <c r="I2151" s="65"/>
      <c r="J2151" s="65"/>
      <c r="K2151" s="65"/>
      <c r="L2151" s="65"/>
      <c r="M2151" s="65"/>
      <c r="N2151" s="65"/>
      <c r="O2151" s="65"/>
      <c r="P2151" s="65"/>
      <c r="Q2151" s="65"/>
      <c r="R2151" s="65"/>
      <c r="S2151" s="65"/>
      <c r="T2151" s="65"/>
      <c r="U2151" s="65"/>
      <c r="V2151" s="65"/>
      <c r="W2151" s="65"/>
      <c r="X2151" s="65"/>
      <c r="Y2151" s="65"/>
      <c r="Z2151" s="65"/>
    </row>
    <row r="2152">
      <c r="A2152" s="63">
        <v>4513.0</v>
      </c>
      <c r="B2152" s="63" t="s">
        <v>2315</v>
      </c>
      <c r="C2152" s="63" t="s">
        <v>2389</v>
      </c>
      <c r="D2152" s="63" t="s">
        <v>2393</v>
      </c>
      <c r="E2152" s="63" t="s">
        <v>2397</v>
      </c>
      <c r="F2152" s="64"/>
      <c r="G2152" s="65" t="str">
        <f t="shared" si="1"/>
        <v>Furniture, Outdoor Furniture, Outdoor Seating, Outdoor Sofas</v>
      </c>
      <c r="H2152" s="65"/>
      <c r="I2152" s="65"/>
      <c r="J2152" s="65"/>
      <c r="K2152" s="65"/>
      <c r="L2152" s="65"/>
      <c r="M2152" s="65"/>
      <c r="N2152" s="65"/>
      <c r="O2152" s="65"/>
      <c r="P2152" s="65"/>
      <c r="Q2152" s="65"/>
      <c r="R2152" s="65"/>
      <c r="S2152" s="65"/>
      <c r="T2152" s="65"/>
      <c r="U2152" s="65"/>
      <c r="V2152" s="65"/>
      <c r="W2152" s="65"/>
      <c r="X2152" s="65"/>
      <c r="Y2152" s="65"/>
      <c r="Z2152" s="65"/>
    </row>
    <row r="2153">
      <c r="A2153" s="63">
        <v>4105.0</v>
      </c>
      <c r="B2153" s="63" t="s">
        <v>2315</v>
      </c>
      <c r="C2153" s="63" t="s">
        <v>2389</v>
      </c>
      <c r="D2153" s="63" t="s">
        <v>2393</v>
      </c>
      <c r="E2153" s="63" t="s">
        <v>2398</v>
      </c>
      <c r="F2153" s="64"/>
      <c r="G2153" s="65" t="str">
        <f t="shared" si="1"/>
        <v>Furniture, Outdoor Furniture, Outdoor Seating, Sunloungers</v>
      </c>
      <c r="H2153" s="65"/>
      <c r="I2153" s="65"/>
      <c r="J2153" s="65"/>
      <c r="K2153" s="65"/>
      <c r="L2153" s="65"/>
      <c r="M2153" s="65"/>
      <c r="N2153" s="65"/>
      <c r="O2153" s="65"/>
      <c r="P2153" s="65"/>
      <c r="Q2153" s="65"/>
      <c r="R2153" s="65"/>
      <c r="S2153" s="65"/>
      <c r="T2153" s="65"/>
      <c r="U2153" s="65"/>
      <c r="V2153" s="65"/>
      <c r="W2153" s="65"/>
      <c r="X2153" s="65"/>
      <c r="Y2153" s="65"/>
      <c r="Z2153" s="65"/>
    </row>
    <row r="2154">
      <c r="A2154" s="63">
        <v>7310.0</v>
      </c>
      <c r="B2154" s="63" t="s">
        <v>2315</v>
      </c>
      <c r="C2154" s="63" t="s">
        <v>2389</v>
      </c>
      <c r="D2154" s="63" t="s">
        <v>2399</v>
      </c>
      <c r="E2154" s="64"/>
      <c r="F2154" s="64"/>
      <c r="G2154" s="65" t="str">
        <f t="shared" si="1"/>
        <v>Furniture, Outdoor Furniture, Outdoor Storage Boxes, </v>
      </c>
      <c r="H2154" s="65"/>
      <c r="I2154" s="65"/>
      <c r="J2154" s="65"/>
      <c r="K2154" s="65"/>
      <c r="L2154" s="65"/>
      <c r="M2154" s="65"/>
      <c r="N2154" s="65"/>
      <c r="O2154" s="65"/>
      <c r="P2154" s="65"/>
      <c r="Q2154" s="65"/>
      <c r="R2154" s="65"/>
      <c r="S2154" s="65"/>
      <c r="T2154" s="65"/>
      <c r="U2154" s="65"/>
      <c r="V2154" s="65"/>
      <c r="W2154" s="65"/>
      <c r="X2154" s="65"/>
      <c r="Y2154" s="65"/>
      <c r="Z2154" s="65"/>
    </row>
    <row r="2155">
      <c r="A2155" s="63">
        <v>2684.0</v>
      </c>
      <c r="B2155" s="63" t="s">
        <v>2315</v>
      </c>
      <c r="C2155" s="63" t="s">
        <v>2389</v>
      </c>
      <c r="D2155" s="63" t="s">
        <v>2400</v>
      </c>
      <c r="E2155" s="64"/>
      <c r="F2155" s="64"/>
      <c r="G2155" s="65" t="str">
        <f t="shared" si="1"/>
        <v>Furniture, Outdoor Furniture, Outdoor Tables, </v>
      </c>
      <c r="H2155" s="65"/>
      <c r="I2155" s="65"/>
      <c r="J2155" s="65"/>
      <c r="K2155" s="65"/>
      <c r="L2155" s="65"/>
      <c r="M2155" s="65"/>
      <c r="N2155" s="65"/>
      <c r="O2155" s="65"/>
      <c r="P2155" s="65"/>
      <c r="Q2155" s="65"/>
      <c r="R2155" s="65"/>
      <c r="S2155" s="65"/>
      <c r="T2155" s="65"/>
      <c r="U2155" s="65"/>
      <c r="V2155" s="65"/>
      <c r="W2155" s="65"/>
      <c r="X2155" s="65"/>
      <c r="Y2155" s="65"/>
      <c r="Z2155" s="65"/>
    </row>
    <row r="2156">
      <c r="A2156" s="63">
        <v>6963.0</v>
      </c>
      <c r="B2156" s="63" t="s">
        <v>2315</v>
      </c>
      <c r="C2156" s="63" t="s">
        <v>2401</v>
      </c>
      <c r="D2156" s="64"/>
      <c r="E2156" s="64"/>
      <c r="F2156" s="64"/>
      <c r="G2156" s="65" t="str">
        <f t="shared" si="1"/>
        <v>Furniture, Outdoor Furniture Accessories, , </v>
      </c>
      <c r="H2156" s="65"/>
      <c r="I2156" s="65"/>
      <c r="J2156" s="65"/>
      <c r="K2156" s="65"/>
      <c r="L2156" s="65"/>
      <c r="M2156" s="65"/>
      <c r="N2156" s="65"/>
      <c r="O2156" s="65"/>
      <c r="P2156" s="65"/>
      <c r="Q2156" s="65"/>
      <c r="R2156" s="65"/>
      <c r="S2156" s="65"/>
      <c r="T2156" s="65"/>
      <c r="U2156" s="65"/>
      <c r="V2156" s="65"/>
      <c r="W2156" s="65"/>
      <c r="X2156" s="65"/>
      <c r="Y2156" s="65"/>
      <c r="Z2156" s="65"/>
    </row>
    <row r="2157">
      <c r="A2157" s="63">
        <v>6964.0</v>
      </c>
      <c r="B2157" s="63" t="s">
        <v>2315</v>
      </c>
      <c r="C2157" s="63" t="s">
        <v>2401</v>
      </c>
      <c r="D2157" s="63" t="s">
        <v>2402</v>
      </c>
      <c r="E2157" s="64"/>
      <c r="F2157" s="64"/>
      <c r="G2157" s="65" t="str">
        <f t="shared" si="1"/>
        <v>Furniture, Outdoor Furniture Accessories, Outdoor Furniture Covers, </v>
      </c>
      <c r="H2157" s="65"/>
      <c r="I2157" s="65"/>
      <c r="J2157" s="65"/>
      <c r="K2157" s="65"/>
      <c r="L2157" s="65"/>
      <c r="M2157" s="65"/>
      <c r="N2157" s="65"/>
      <c r="O2157" s="65"/>
      <c r="P2157" s="65"/>
      <c r="Q2157" s="65"/>
      <c r="R2157" s="65"/>
      <c r="S2157" s="65"/>
      <c r="T2157" s="65"/>
      <c r="U2157" s="65"/>
      <c r="V2157" s="65"/>
      <c r="W2157" s="65"/>
      <c r="X2157" s="65"/>
      <c r="Y2157" s="65"/>
      <c r="Z2157" s="65"/>
    </row>
    <row r="2158">
      <c r="A2158" s="29">
        <v>6915.0</v>
      </c>
      <c r="B2158" s="29" t="s">
        <v>2315</v>
      </c>
      <c r="C2158" s="29" t="s">
        <v>2403</v>
      </c>
      <c r="D2158" s="62"/>
      <c r="E2158" s="62"/>
      <c r="F2158" s="62"/>
      <c r="G2158" s="20" t="str">
        <f t="shared" si="1"/>
        <v>Furniture, Room Divider Accessories, , </v>
      </c>
    </row>
    <row r="2159">
      <c r="A2159" s="29">
        <v>4163.0</v>
      </c>
      <c r="B2159" s="29" t="s">
        <v>2315</v>
      </c>
      <c r="C2159" s="29" t="s">
        <v>2404</v>
      </c>
      <c r="D2159" s="62"/>
      <c r="E2159" s="62"/>
      <c r="F2159" s="62"/>
      <c r="G2159" s="20" t="str">
        <f t="shared" si="1"/>
        <v>Furniture, Room Dividers, , </v>
      </c>
    </row>
    <row r="2160">
      <c r="A2160" s="29">
        <v>464.0</v>
      </c>
      <c r="B2160" s="29" t="s">
        <v>2315</v>
      </c>
      <c r="C2160" s="29" t="s">
        <v>2405</v>
      </c>
      <c r="D2160" s="62"/>
      <c r="E2160" s="62"/>
      <c r="F2160" s="62"/>
      <c r="G2160" s="20" t="str">
        <f t="shared" si="1"/>
        <v>Furniture, Shelving, , </v>
      </c>
    </row>
    <row r="2161">
      <c r="A2161" s="29">
        <v>465.0</v>
      </c>
      <c r="B2161" s="29" t="s">
        <v>2315</v>
      </c>
      <c r="C2161" s="29" t="s">
        <v>2405</v>
      </c>
      <c r="D2161" s="29" t="s">
        <v>2406</v>
      </c>
      <c r="F2161" s="62"/>
      <c r="G2161" s="20" t="str">
        <f t="shared" si="1"/>
        <v>Furniture, Shelving, Bookcases &amp; Standing Shelves, </v>
      </c>
    </row>
    <row r="2162">
      <c r="A2162" s="29">
        <v>6372.0</v>
      </c>
      <c r="B2162" s="29" t="s">
        <v>2315</v>
      </c>
      <c r="C2162" s="29" t="s">
        <v>2405</v>
      </c>
      <c r="D2162" s="29" t="s">
        <v>2407</v>
      </c>
      <c r="E2162" s="62"/>
      <c r="F2162" s="62"/>
      <c r="G2162" s="20" t="str">
        <f t="shared" si="1"/>
        <v>Furniture, Shelving, Wall Shelves &amp; Ledges, </v>
      </c>
    </row>
    <row r="2163">
      <c r="A2163" s="29">
        <v>8023.0</v>
      </c>
      <c r="B2163" s="29" t="s">
        <v>2315</v>
      </c>
      <c r="C2163" s="29" t="s">
        <v>2408</v>
      </c>
      <c r="D2163" s="62"/>
      <c r="E2163" s="62"/>
      <c r="F2163" s="62"/>
      <c r="G2163" s="20" t="str">
        <f t="shared" si="1"/>
        <v>Furniture, Shelving Accessories, , </v>
      </c>
    </row>
    <row r="2164">
      <c r="A2164" s="29">
        <v>8024.0</v>
      </c>
      <c r="B2164" s="29" t="s">
        <v>2315</v>
      </c>
      <c r="C2164" s="29" t="s">
        <v>2408</v>
      </c>
      <c r="D2164" s="29" t="s">
        <v>2409</v>
      </c>
      <c r="E2164" s="62"/>
      <c r="F2164" s="62"/>
      <c r="G2164" s="20" t="str">
        <f t="shared" si="1"/>
        <v>Furniture, Shelving Accessories, Replacement Shelves, </v>
      </c>
    </row>
    <row r="2165">
      <c r="A2165" s="29">
        <v>7212.0</v>
      </c>
      <c r="B2165" s="29" t="s">
        <v>2315</v>
      </c>
      <c r="C2165" s="29" t="s">
        <v>2410</v>
      </c>
      <c r="D2165" s="62"/>
      <c r="E2165" s="62"/>
      <c r="F2165" s="62"/>
      <c r="G2165" s="20" t="str">
        <f t="shared" si="1"/>
        <v>Furniture, Sofa Accessories, , </v>
      </c>
    </row>
    <row r="2166">
      <c r="A2166" s="29">
        <v>7213.0</v>
      </c>
      <c r="B2166" s="29" t="s">
        <v>2315</v>
      </c>
      <c r="C2166" s="29" t="s">
        <v>2410</v>
      </c>
      <c r="D2166" s="29" t="s">
        <v>2411</v>
      </c>
      <c r="E2166" s="62"/>
      <c r="F2166" s="62"/>
      <c r="G2166" s="20" t="str">
        <f t="shared" si="1"/>
        <v>Furniture, Sofa Accessories, Chair &amp; Sofa Supports, </v>
      </c>
    </row>
    <row r="2167">
      <c r="A2167" s="29">
        <v>500064.0</v>
      </c>
      <c r="B2167" s="29" t="s">
        <v>2315</v>
      </c>
      <c r="C2167" s="29" t="s">
        <v>2410</v>
      </c>
      <c r="D2167" s="29" t="s">
        <v>2412</v>
      </c>
      <c r="E2167" s="62"/>
      <c r="F2167" s="62"/>
      <c r="G2167" s="20" t="str">
        <f t="shared" si="1"/>
        <v>Furniture, Sofa Accessories, Sectional Sofa Units, </v>
      </c>
    </row>
    <row r="2168">
      <c r="A2168" s="29">
        <v>460.0</v>
      </c>
      <c r="B2168" s="29" t="s">
        <v>2315</v>
      </c>
      <c r="C2168" s="29" t="s">
        <v>464</v>
      </c>
      <c r="D2168" s="62"/>
      <c r="E2168" s="62"/>
      <c r="F2168" s="62"/>
      <c r="G2168" s="20" t="str">
        <f t="shared" si="1"/>
        <v>Furniture, Sofas, , </v>
      </c>
    </row>
    <row r="2169">
      <c r="A2169" s="29">
        <v>6913.0</v>
      </c>
      <c r="B2169" s="29" t="s">
        <v>2315</v>
      </c>
      <c r="C2169" s="29" t="s">
        <v>2413</v>
      </c>
      <c r="D2169" s="62"/>
      <c r="E2169" s="62"/>
      <c r="F2169" s="62"/>
      <c r="G2169" s="20" t="str">
        <f t="shared" si="1"/>
        <v>Furniture, Table Accessories, , </v>
      </c>
    </row>
    <row r="2170">
      <c r="A2170" s="29">
        <v>6911.0</v>
      </c>
      <c r="B2170" s="29" t="s">
        <v>2315</v>
      </c>
      <c r="C2170" s="29" t="s">
        <v>2413</v>
      </c>
      <c r="D2170" s="29" t="s">
        <v>2414</v>
      </c>
      <c r="E2170" s="62"/>
      <c r="F2170" s="62"/>
      <c r="G2170" s="20" t="str">
        <f t="shared" si="1"/>
        <v>Furniture, Table Accessories, Table Legs, </v>
      </c>
    </row>
    <row r="2171">
      <c r="A2171" s="29">
        <v>6910.0</v>
      </c>
      <c r="B2171" s="29" t="s">
        <v>2315</v>
      </c>
      <c r="C2171" s="29" t="s">
        <v>2413</v>
      </c>
      <c r="D2171" s="29" t="s">
        <v>2415</v>
      </c>
      <c r="E2171" s="62"/>
      <c r="F2171" s="62"/>
      <c r="G2171" s="20" t="str">
        <f t="shared" si="1"/>
        <v>Furniture, Table Accessories, Table Tops, </v>
      </c>
    </row>
    <row r="2172">
      <c r="A2172" s="29">
        <v>6392.0</v>
      </c>
      <c r="B2172" s="29" t="s">
        <v>2315</v>
      </c>
      <c r="C2172" s="29" t="s">
        <v>225</v>
      </c>
      <c r="D2172" s="62"/>
      <c r="E2172" s="62"/>
      <c r="F2172" s="62"/>
      <c r="G2172" s="20" t="str">
        <f t="shared" si="1"/>
        <v>Furniture, Tables, , </v>
      </c>
    </row>
    <row r="2173">
      <c r="A2173" s="29">
        <v>6369.0</v>
      </c>
      <c r="B2173" s="29" t="s">
        <v>2315</v>
      </c>
      <c r="C2173" s="29" t="s">
        <v>225</v>
      </c>
      <c r="D2173" s="29" t="s">
        <v>2416</v>
      </c>
      <c r="E2173" s="62"/>
      <c r="F2173" s="62"/>
      <c r="G2173" s="20" t="str">
        <f t="shared" si="1"/>
        <v>Furniture, Tables, Accent Tables, </v>
      </c>
    </row>
    <row r="2174">
      <c r="A2174" s="29">
        <v>1395.0</v>
      </c>
      <c r="B2174" s="29" t="s">
        <v>2315</v>
      </c>
      <c r="C2174" s="29" t="s">
        <v>225</v>
      </c>
      <c r="D2174" s="29" t="s">
        <v>2416</v>
      </c>
      <c r="E2174" s="29" t="s">
        <v>278</v>
      </c>
      <c r="F2174" s="62"/>
      <c r="G2174" s="20" t="str">
        <f t="shared" si="1"/>
        <v>Furniture, Tables, Accent Tables, Coffee Tables</v>
      </c>
    </row>
    <row r="2175">
      <c r="A2175" s="29">
        <v>1549.0</v>
      </c>
      <c r="B2175" s="29" t="s">
        <v>2315</v>
      </c>
      <c r="C2175" s="29" t="s">
        <v>225</v>
      </c>
      <c r="D2175" s="29" t="s">
        <v>2416</v>
      </c>
      <c r="E2175" s="29" t="s">
        <v>283</v>
      </c>
      <c r="F2175" s="62"/>
      <c r="G2175" s="20" t="str">
        <f t="shared" si="1"/>
        <v>Furniture, Tables, Accent Tables, End Tables</v>
      </c>
    </row>
    <row r="2176">
      <c r="A2176" s="29">
        <v>1602.0</v>
      </c>
      <c r="B2176" s="29" t="s">
        <v>2315</v>
      </c>
      <c r="C2176" s="29" t="s">
        <v>225</v>
      </c>
      <c r="D2176" s="29" t="s">
        <v>2416</v>
      </c>
      <c r="E2176" s="29" t="s">
        <v>288</v>
      </c>
      <c r="F2176" s="62"/>
      <c r="G2176" s="20" t="str">
        <f t="shared" si="1"/>
        <v>Furniture, Tables, Accent Tables, Sofa Tables</v>
      </c>
    </row>
    <row r="2177">
      <c r="A2177" s="29">
        <v>6351.0</v>
      </c>
      <c r="B2177" s="29" t="s">
        <v>2315</v>
      </c>
      <c r="C2177" s="29" t="s">
        <v>225</v>
      </c>
      <c r="D2177" s="29" t="s">
        <v>2417</v>
      </c>
      <c r="E2177" s="62"/>
      <c r="F2177" s="62"/>
      <c r="G2177" s="20" t="str">
        <f t="shared" si="1"/>
        <v>Furniture, Tables, Activity Tables, </v>
      </c>
    </row>
    <row r="2178">
      <c r="A2178" s="29">
        <v>4080.0</v>
      </c>
      <c r="B2178" s="29" t="s">
        <v>2315</v>
      </c>
      <c r="C2178" s="29" t="s">
        <v>225</v>
      </c>
      <c r="D2178" s="29" t="s">
        <v>2418</v>
      </c>
      <c r="E2178" s="62"/>
      <c r="F2178" s="62"/>
      <c r="G2178" s="20" t="str">
        <f t="shared" si="1"/>
        <v>Furniture, Tables, Folding Tables, </v>
      </c>
    </row>
    <row r="2179">
      <c r="A2179" s="29">
        <v>4355.0</v>
      </c>
      <c r="B2179" s="29" t="s">
        <v>2315</v>
      </c>
      <c r="C2179" s="29" t="s">
        <v>225</v>
      </c>
      <c r="D2179" s="29" t="s">
        <v>2419</v>
      </c>
      <c r="F2179" s="62"/>
      <c r="G2179" s="20" t="str">
        <f t="shared" si="1"/>
        <v>Furniture, Tables, Kitchen &amp; Dining Room Tables, </v>
      </c>
    </row>
    <row r="2180">
      <c r="A2180" s="29">
        <v>4484.0</v>
      </c>
      <c r="B2180" s="29" t="s">
        <v>2315</v>
      </c>
      <c r="C2180" s="29" t="s">
        <v>225</v>
      </c>
      <c r="D2180" s="29" t="s">
        <v>2420</v>
      </c>
      <c r="E2180" s="62"/>
      <c r="F2180" s="62"/>
      <c r="G2180" s="20" t="str">
        <f t="shared" si="1"/>
        <v>Furniture, Tables, Kotatsu, </v>
      </c>
    </row>
    <row r="2181">
      <c r="A2181" s="29">
        <v>462.0</v>
      </c>
      <c r="B2181" s="29" t="s">
        <v>2315</v>
      </c>
      <c r="C2181" s="29" t="s">
        <v>225</v>
      </c>
      <c r="D2181" s="29" t="s">
        <v>169</v>
      </c>
      <c r="E2181" s="62"/>
      <c r="F2181" s="62"/>
      <c r="G2181" s="20" t="str">
        <f t="shared" si="1"/>
        <v>Furniture, Tables, Nightstands, </v>
      </c>
    </row>
    <row r="2182">
      <c r="A2182" s="29">
        <v>2693.0</v>
      </c>
      <c r="B2182" s="29" t="s">
        <v>2315</v>
      </c>
      <c r="C2182" s="29" t="s">
        <v>225</v>
      </c>
      <c r="D2182" s="29" t="s">
        <v>2421</v>
      </c>
      <c r="E2182" s="62"/>
      <c r="F2182" s="62"/>
      <c r="G2182" s="20" t="str">
        <f t="shared" si="1"/>
        <v>Furniture, Tables, Poker &amp; Game Tables, </v>
      </c>
    </row>
    <row r="2183">
      <c r="A2183" s="29">
        <v>5121.0</v>
      </c>
      <c r="B2183" s="29" t="s">
        <v>2315</v>
      </c>
      <c r="C2183" s="29" t="s">
        <v>225</v>
      </c>
      <c r="D2183" s="29" t="s">
        <v>2422</v>
      </c>
      <c r="E2183" s="62"/>
      <c r="F2183" s="62"/>
      <c r="G2183" s="20" t="str">
        <f t="shared" si="1"/>
        <v>Furniture, Tables, Sewing Machine Tables, </v>
      </c>
    </row>
    <row r="2184">
      <c r="A2184" s="29">
        <v>632.0</v>
      </c>
      <c r="B2184" s="29" t="s">
        <v>2423</v>
      </c>
      <c r="C2184" s="62"/>
      <c r="D2184" s="62"/>
      <c r="E2184" s="62"/>
      <c r="F2184" s="62"/>
      <c r="G2184" s="20" t="str">
        <f t="shared" si="1"/>
        <v>Hardware, , , </v>
      </c>
    </row>
    <row r="2185">
      <c r="A2185" s="29">
        <v>503739.0</v>
      </c>
      <c r="B2185" s="29" t="s">
        <v>2423</v>
      </c>
      <c r="C2185" s="29" t="s">
        <v>2424</v>
      </c>
      <c r="D2185" s="62"/>
      <c r="E2185" s="62"/>
      <c r="F2185" s="62"/>
      <c r="G2185" s="20" t="str">
        <f t="shared" si="1"/>
        <v>Hardware, Building Consumables, , </v>
      </c>
    </row>
    <row r="2186">
      <c r="A2186" s="29">
        <v>2277.0</v>
      </c>
      <c r="B2186" s="29" t="s">
        <v>2423</v>
      </c>
      <c r="C2186" s="29" t="s">
        <v>2424</v>
      </c>
      <c r="D2186" s="29" t="s">
        <v>2425</v>
      </c>
      <c r="E2186" s="62"/>
      <c r="F2186" s="62"/>
      <c r="G2186" s="20" t="str">
        <f t="shared" si="1"/>
        <v>Hardware, Building Consumables, Chemicals, </v>
      </c>
    </row>
    <row r="2187">
      <c r="A2187" s="29">
        <v>1735.0</v>
      </c>
      <c r="B2187" s="29" t="s">
        <v>2423</v>
      </c>
      <c r="C2187" s="29" t="s">
        <v>2424</v>
      </c>
      <c r="D2187" s="29" t="s">
        <v>2425</v>
      </c>
      <c r="E2187" s="29" t="s">
        <v>2426</v>
      </c>
      <c r="F2187" s="62"/>
      <c r="G2187" s="20" t="str">
        <f t="shared" si="1"/>
        <v>Hardware, Building Consumables, Chemicals, Acid Neutralizers</v>
      </c>
    </row>
    <row r="2188">
      <c r="A2188" s="29">
        <v>6795.0</v>
      </c>
      <c r="B2188" s="29" t="s">
        <v>2423</v>
      </c>
      <c r="C2188" s="29" t="s">
        <v>2424</v>
      </c>
      <c r="D2188" s="29" t="s">
        <v>2425</v>
      </c>
      <c r="E2188" s="29" t="s">
        <v>2427</v>
      </c>
      <c r="F2188" s="62"/>
      <c r="G2188" s="20" t="str">
        <f t="shared" si="1"/>
        <v>Hardware, Building Consumables, Chemicals, Ammonia</v>
      </c>
    </row>
    <row r="2189">
      <c r="A2189" s="29">
        <v>1479.0</v>
      </c>
      <c r="B2189" s="29" t="s">
        <v>2423</v>
      </c>
      <c r="C2189" s="29" t="s">
        <v>2424</v>
      </c>
      <c r="D2189" s="29" t="s">
        <v>2425</v>
      </c>
      <c r="E2189" s="29" t="s">
        <v>2428</v>
      </c>
      <c r="F2189" s="62"/>
      <c r="G2189" s="20" t="str">
        <f t="shared" si="1"/>
        <v>Hardware, Building Consumables, Chemicals, Chimney Cleaners</v>
      </c>
    </row>
    <row r="2190">
      <c r="A2190" s="29">
        <v>7504.0</v>
      </c>
      <c r="B2190" s="29" t="s">
        <v>2423</v>
      </c>
      <c r="C2190" s="29" t="s">
        <v>2424</v>
      </c>
      <c r="D2190" s="29" t="s">
        <v>2425</v>
      </c>
      <c r="E2190" s="29" t="s">
        <v>2429</v>
      </c>
      <c r="F2190" s="62"/>
      <c r="G2190" s="20" t="str">
        <f t="shared" si="1"/>
        <v>Hardware, Building Consumables, Chemicals, Concrete &amp; Masonry Cleaners</v>
      </c>
    </row>
    <row r="2191">
      <c r="A2191" s="29">
        <v>6191.0</v>
      </c>
      <c r="B2191" s="29" t="s">
        <v>2423</v>
      </c>
      <c r="C2191" s="29" t="s">
        <v>2424</v>
      </c>
      <c r="D2191" s="29" t="s">
        <v>2425</v>
      </c>
      <c r="E2191" s="29" t="s">
        <v>2430</v>
      </c>
      <c r="F2191" s="62"/>
      <c r="G2191" s="20" t="str">
        <f t="shared" si="1"/>
        <v>Hardware, Building Consumables, Chemicals, De-icers</v>
      </c>
    </row>
    <row r="2192">
      <c r="A2192" s="29">
        <v>7503.0</v>
      </c>
      <c r="B2192" s="29" t="s">
        <v>2423</v>
      </c>
      <c r="C2192" s="29" t="s">
        <v>2424</v>
      </c>
      <c r="D2192" s="29" t="s">
        <v>2425</v>
      </c>
      <c r="E2192" s="29" t="s">
        <v>2431</v>
      </c>
      <c r="F2192" s="62"/>
      <c r="G2192" s="20" t="str">
        <f t="shared" si="1"/>
        <v>Hardware, Building Consumables, Chemicals, Deck &amp; Fence Cleaners</v>
      </c>
    </row>
    <row r="2193">
      <c r="A2193" s="29">
        <v>1749.0</v>
      </c>
      <c r="B2193" s="29" t="s">
        <v>2423</v>
      </c>
      <c r="C2193" s="29" t="s">
        <v>2424</v>
      </c>
      <c r="D2193" s="29" t="s">
        <v>2425</v>
      </c>
      <c r="E2193" s="29" t="s">
        <v>2432</v>
      </c>
      <c r="F2193" s="62"/>
      <c r="G2193" s="20" t="str">
        <f t="shared" si="1"/>
        <v>Hardware, Building Consumables, Chemicals, Drain Cleaners</v>
      </c>
    </row>
    <row r="2194">
      <c r="A2194" s="29">
        <v>505319.0</v>
      </c>
      <c r="B2194" s="29" t="s">
        <v>2423</v>
      </c>
      <c r="C2194" s="29" t="s">
        <v>2424</v>
      </c>
      <c r="D2194" s="29" t="s">
        <v>2425</v>
      </c>
      <c r="E2194" s="29" t="s">
        <v>2433</v>
      </c>
      <c r="F2194" s="62"/>
      <c r="G2194" s="20" t="str">
        <f t="shared" si="1"/>
        <v>Hardware, Building Consumables, Chemicals, Electrical Freeze Sprays</v>
      </c>
    </row>
    <row r="2195">
      <c r="A2195" s="29">
        <v>500088.0</v>
      </c>
      <c r="B2195" s="29" t="s">
        <v>2423</v>
      </c>
      <c r="C2195" s="29" t="s">
        <v>2424</v>
      </c>
      <c r="D2195" s="29" t="s">
        <v>2425</v>
      </c>
      <c r="E2195" s="29" t="s">
        <v>2434</v>
      </c>
      <c r="F2195" s="62"/>
      <c r="G2195" s="20" t="str">
        <f t="shared" si="1"/>
        <v>Hardware, Building Consumables, Chemicals, Lighter Fluid</v>
      </c>
    </row>
    <row r="2196">
      <c r="A2196" s="29">
        <v>7470.0</v>
      </c>
      <c r="B2196" s="29" t="s">
        <v>2423</v>
      </c>
      <c r="C2196" s="29" t="s">
        <v>2424</v>
      </c>
      <c r="D2196" s="29" t="s">
        <v>2425</v>
      </c>
      <c r="E2196" s="29" t="s">
        <v>2435</v>
      </c>
      <c r="G2196" s="20" t="str">
        <f t="shared" si="1"/>
        <v>Hardware, Building Consumables, Chemicals, Septic Tank &amp; Cesspool Treatments</v>
      </c>
    </row>
    <row r="2197">
      <c r="A2197" s="29">
        <v>503742.0</v>
      </c>
      <c r="B2197" s="29" t="s">
        <v>2423</v>
      </c>
      <c r="C2197" s="29" t="s">
        <v>2424</v>
      </c>
      <c r="D2197" s="29" t="s">
        <v>2436</v>
      </c>
      <c r="F2197" s="62"/>
      <c r="G2197" s="20" t="str">
        <f t="shared" si="1"/>
        <v>Hardware, Building Consumables, Hardware Glue &amp; Adhesives, </v>
      </c>
    </row>
    <row r="2198">
      <c r="A2198" s="29">
        <v>2212.0</v>
      </c>
      <c r="B2198" s="29" t="s">
        <v>2423</v>
      </c>
      <c r="C2198" s="29" t="s">
        <v>2424</v>
      </c>
      <c r="D2198" s="29" t="s">
        <v>2437</v>
      </c>
      <c r="E2198" s="62"/>
      <c r="F2198" s="62"/>
      <c r="G2198" s="20" t="str">
        <f t="shared" si="1"/>
        <v>Hardware, Building Consumables, Hardware Tape, </v>
      </c>
    </row>
    <row r="2199">
      <c r="A2199" s="29">
        <v>1753.0</v>
      </c>
      <c r="B2199" s="29" t="s">
        <v>2423</v>
      </c>
      <c r="C2199" s="29" t="s">
        <v>2424</v>
      </c>
      <c r="D2199" s="29" t="s">
        <v>2438</v>
      </c>
      <c r="E2199" s="62"/>
      <c r="F2199" s="62"/>
      <c r="G2199" s="20" t="str">
        <f t="shared" si="1"/>
        <v>Hardware, Building Consumables, Lubricants, </v>
      </c>
    </row>
    <row r="2200">
      <c r="A2200" s="29">
        <v>503743.0</v>
      </c>
      <c r="B2200" s="29" t="s">
        <v>2423</v>
      </c>
      <c r="C2200" s="29" t="s">
        <v>2424</v>
      </c>
      <c r="D2200" s="29" t="s">
        <v>2439</v>
      </c>
      <c r="E2200" s="62"/>
      <c r="F2200" s="62"/>
      <c r="G2200" s="20" t="str">
        <f t="shared" si="1"/>
        <v>Hardware, Building Consumables, Masonry Consumables, </v>
      </c>
    </row>
    <row r="2201">
      <c r="A2201" s="29">
        <v>3031.0</v>
      </c>
      <c r="B2201" s="29" t="s">
        <v>2423</v>
      </c>
      <c r="C2201" s="29" t="s">
        <v>2424</v>
      </c>
      <c r="D2201" s="29" t="s">
        <v>2439</v>
      </c>
      <c r="E2201" s="29" t="s">
        <v>2440</v>
      </c>
      <c r="F2201" s="62"/>
      <c r="G2201" s="20" t="str">
        <f t="shared" si="1"/>
        <v>Hardware, Building Consumables, Masonry Consumables, Bricks &amp; Concrete Blocks</v>
      </c>
    </row>
    <row r="2202">
      <c r="A2202" s="29">
        <v>2282.0</v>
      </c>
      <c r="B2202" s="29" t="s">
        <v>2423</v>
      </c>
      <c r="C2202" s="29" t="s">
        <v>2424</v>
      </c>
      <c r="D2202" s="29" t="s">
        <v>2439</v>
      </c>
      <c r="E2202" s="29" t="s">
        <v>2441</v>
      </c>
      <c r="G2202" s="20" t="str">
        <f t="shared" si="1"/>
        <v>Hardware, Building Consumables, Masonry Consumables, Cement, Mortar &amp; Concrete Mixes</v>
      </c>
    </row>
    <row r="2203">
      <c r="A2203" s="29">
        <v>499876.0</v>
      </c>
      <c r="B2203" s="29" t="s">
        <v>2423</v>
      </c>
      <c r="C2203" s="29" t="s">
        <v>2424</v>
      </c>
      <c r="D2203" s="29" t="s">
        <v>2439</v>
      </c>
      <c r="E2203" s="29" t="s">
        <v>2442</v>
      </c>
      <c r="F2203" s="62"/>
      <c r="G2203" s="20" t="str">
        <f t="shared" si="1"/>
        <v>Hardware, Building Consumables, Masonry Consumables, Grout</v>
      </c>
    </row>
    <row r="2204">
      <c r="A2204" s="29">
        <v>503740.0</v>
      </c>
      <c r="B2204" s="29" t="s">
        <v>2423</v>
      </c>
      <c r="C2204" s="29" t="s">
        <v>2424</v>
      </c>
      <c r="D2204" s="29" t="s">
        <v>2443</v>
      </c>
      <c r="E2204" s="62"/>
      <c r="F2204" s="62"/>
      <c r="G2204" s="20" t="str">
        <f t="shared" si="1"/>
        <v>Hardware, Building Consumables, Painting Consumables, </v>
      </c>
    </row>
    <row r="2205">
      <c r="A2205" s="29">
        <v>1361.0</v>
      </c>
      <c r="B2205" s="29" t="s">
        <v>2423</v>
      </c>
      <c r="C2205" s="29" t="s">
        <v>2424</v>
      </c>
      <c r="D2205" s="29" t="s">
        <v>2443</v>
      </c>
      <c r="E2205" s="29" t="s">
        <v>2444</v>
      </c>
      <c r="F2205" s="62"/>
      <c r="G2205" s="20" t="str">
        <f t="shared" si="1"/>
        <v>Hardware, Building Consumables, Painting Consumables, Paint</v>
      </c>
    </row>
    <row r="2206">
      <c r="A2206" s="29">
        <v>2474.0</v>
      </c>
      <c r="B2206" s="29" t="s">
        <v>2423</v>
      </c>
      <c r="C2206" s="29" t="s">
        <v>2424</v>
      </c>
      <c r="D2206" s="29" t="s">
        <v>2443</v>
      </c>
      <c r="E2206" s="29" t="s">
        <v>2445</v>
      </c>
      <c r="F2206" s="62"/>
      <c r="G2206" s="20" t="str">
        <f t="shared" si="1"/>
        <v>Hardware, Building Consumables, Painting Consumables, Paint Binders</v>
      </c>
    </row>
    <row r="2207">
      <c r="A2207" s="29">
        <v>2058.0</v>
      </c>
      <c r="B2207" s="29" t="s">
        <v>2423</v>
      </c>
      <c r="C2207" s="29" t="s">
        <v>2424</v>
      </c>
      <c r="D2207" s="29" t="s">
        <v>2443</v>
      </c>
      <c r="E2207" s="29" t="s">
        <v>2446</v>
      </c>
      <c r="F2207" s="62"/>
      <c r="G2207" s="20" t="str">
        <f t="shared" si="1"/>
        <v>Hardware, Building Consumables, Painting Consumables, Primers</v>
      </c>
    </row>
    <row r="2208">
      <c r="A2208" s="29">
        <v>1648.0</v>
      </c>
      <c r="B2208" s="29" t="s">
        <v>2423</v>
      </c>
      <c r="C2208" s="29" t="s">
        <v>2424</v>
      </c>
      <c r="D2208" s="29" t="s">
        <v>2443</v>
      </c>
      <c r="E2208" s="29" t="s">
        <v>2447</v>
      </c>
      <c r="F2208" s="62"/>
      <c r="G2208" s="20" t="str">
        <f t="shared" si="1"/>
        <v>Hardware, Building Consumables, Painting Consumables, Stains</v>
      </c>
    </row>
    <row r="2209">
      <c r="A2209" s="29">
        <v>503738.0</v>
      </c>
      <c r="B2209" s="29" t="s">
        <v>2423</v>
      </c>
      <c r="C2209" s="29" t="s">
        <v>2424</v>
      </c>
      <c r="D2209" s="29" t="s">
        <v>2443</v>
      </c>
      <c r="E2209" s="29" t="s">
        <v>2448</v>
      </c>
      <c r="F2209" s="62"/>
      <c r="G2209" s="20" t="str">
        <f t="shared" si="1"/>
        <v>Hardware, Building Consumables, Painting Consumables, Varnishes &amp; Finishes</v>
      </c>
    </row>
    <row r="2210">
      <c r="A2210" s="29">
        <v>505305.0</v>
      </c>
      <c r="B2210" s="29" t="s">
        <v>2423</v>
      </c>
      <c r="C2210" s="29" t="s">
        <v>2424</v>
      </c>
      <c r="D2210" s="29" t="s">
        <v>2449</v>
      </c>
      <c r="E2210" s="62"/>
      <c r="F2210" s="62"/>
      <c r="G2210" s="20" t="str">
        <f t="shared" si="1"/>
        <v>Hardware, Building Consumables, Plumbing Primer, </v>
      </c>
    </row>
    <row r="2211">
      <c r="A2211" s="29">
        <v>503744.0</v>
      </c>
      <c r="B2211" s="29" t="s">
        <v>2423</v>
      </c>
      <c r="C2211" s="29" t="s">
        <v>2424</v>
      </c>
      <c r="D2211" s="29" t="s">
        <v>2450</v>
      </c>
      <c r="F2211" s="62"/>
      <c r="G2211" s="20" t="str">
        <f t="shared" si="1"/>
        <v>Hardware, Building Consumables, Protective Coatings &amp; Sealants, </v>
      </c>
    </row>
    <row r="2212">
      <c r="A2212" s="29">
        <v>1995.0</v>
      </c>
      <c r="B2212" s="29" t="s">
        <v>2423</v>
      </c>
      <c r="C2212" s="29" t="s">
        <v>2424</v>
      </c>
      <c r="D2212" s="29" t="s">
        <v>2451</v>
      </c>
      <c r="E2212" s="62"/>
      <c r="F2212" s="62"/>
      <c r="G2212" s="20" t="str">
        <f t="shared" si="1"/>
        <v>Hardware, Building Consumables, Solder &amp; Flux, </v>
      </c>
    </row>
    <row r="2213">
      <c r="A2213" s="29">
        <v>503741.0</v>
      </c>
      <c r="B2213" s="29" t="s">
        <v>2423</v>
      </c>
      <c r="C2213" s="29" t="s">
        <v>2424</v>
      </c>
      <c r="D2213" s="29" t="s">
        <v>2452</v>
      </c>
      <c r="F2213" s="62"/>
      <c r="G2213" s="20" t="str">
        <f t="shared" si="1"/>
        <v>Hardware, Building Consumables, Solvents, Strippers &amp; Thinners, </v>
      </c>
    </row>
    <row r="2214">
      <c r="A2214" s="29">
        <v>505802.0</v>
      </c>
      <c r="B2214" s="29" t="s">
        <v>2423</v>
      </c>
      <c r="C2214" s="29" t="s">
        <v>2424</v>
      </c>
      <c r="D2214" s="29" t="s">
        <v>2453</v>
      </c>
      <c r="F2214" s="62"/>
      <c r="G2214" s="20" t="str">
        <f t="shared" si="1"/>
        <v>Hardware, Building Consumables, Wall Patching Compounds &amp; Plaster, </v>
      </c>
    </row>
    <row r="2215">
      <c r="A2215" s="29">
        <v>115.0</v>
      </c>
      <c r="B2215" s="29" t="s">
        <v>2423</v>
      </c>
      <c r="C2215" s="29" t="s">
        <v>2454</v>
      </c>
      <c r="D2215" s="62"/>
      <c r="E2215" s="62"/>
      <c r="F2215" s="62"/>
      <c r="G2215" s="20" t="str">
        <f t="shared" si="1"/>
        <v>Hardware, Building Materials, , </v>
      </c>
    </row>
    <row r="2216">
      <c r="A2216" s="29">
        <v>2729.0</v>
      </c>
      <c r="B2216" s="29" t="s">
        <v>2423</v>
      </c>
      <c r="C2216" s="29" t="s">
        <v>2454</v>
      </c>
      <c r="D2216" s="29" t="s">
        <v>2455</v>
      </c>
      <c r="E2216" s="62"/>
      <c r="F2216" s="62"/>
      <c r="G2216" s="20" t="str">
        <f t="shared" si="1"/>
        <v>Hardware, Building Materials, Countertops, </v>
      </c>
    </row>
    <row r="2217">
      <c r="A2217" s="29">
        <v>6343.0</v>
      </c>
      <c r="B2217" s="29" t="s">
        <v>2423</v>
      </c>
      <c r="C2217" s="29" t="s">
        <v>2454</v>
      </c>
      <c r="D2217" s="29" t="s">
        <v>2456</v>
      </c>
      <c r="E2217" s="62"/>
      <c r="F2217" s="62"/>
      <c r="G2217" s="20" t="str">
        <f t="shared" si="1"/>
        <v>Hardware, Building Materials, Door Hardware, </v>
      </c>
    </row>
    <row r="2218">
      <c r="A2218" s="29">
        <v>2972.0</v>
      </c>
      <c r="B2218" s="29" t="s">
        <v>2423</v>
      </c>
      <c r="C2218" s="29" t="s">
        <v>2454</v>
      </c>
      <c r="D2218" s="29" t="s">
        <v>2456</v>
      </c>
      <c r="E2218" s="29" t="s">
        <v>2457</v>
      </c>
      <c r="F2218" s="62"/>
      <c r="G2218" s="20" t="str">
        <f t="shared" si="1"/>
        <v>Hardware, Building Materials, Door Hardware, Door Bells &amp; Chimes</v>
      </c>
    </row>
    <row r="2219">
      <c r="A2219" s="29">
        <v>6446.0</v>
      </c>
      <c r="B2219" s="29" t="s">
        <v>2423</v>
      </c>
      <c r="C2219" s="29" t="s">
        <v>2454</v>
      </c>
      <c r="D2219" s="29" t="s">
        <v>2456</v>
      </c>
      <c r="E2219" s="29" t="s">
        <v>2458</v>
      </c>
      <c r="F2219" s="62"/>
      <c r="G2219" s="20" t="str">
        <f t="shared" si="1"/>
        <v>Hardware, Building Materials, Door Hardware, Door Closers</v>
      </c>
    </row>
    <row r="2220">
      <c r="A2220" s="29">
        <v>503727.0</v>
      </c>
      <c r="B2220" s="29" t="s">
        <v>2423</v>
      </c>
      <c r="C2220" s="29" t="s">
        <v>2454</v>
      </c>
      <c r="D2220" s="29" t="s">
        <v>2456</v>
      </c>
      <c r="E2220" s="29" t="s">
        <v>2459</v>
      </c>
      <c r="F2220" s="62"/>
      <c r="G2220" s="20" t="str">
        <f t="shared" si="1"/>
        <v>Hardware, Building Materials, Door Hardware, Door Frames</v>
      </c>
    </row>
    <row r="2221">
      <c r="A2221" s="29">
        <v>99338.0</v>
      </c>
      <c r="B2221" s="29" t="s">
        <v>2423</v>
      </c>
      <c r="C2221" s="29" t="s">
        <v>2454</v>
      </c>
      <c r="D2221" s="29" t="s">
        <v>2456</v>
      </c>
      <c r="E2221" s="29" t="s">
        <v>2460</v>
      </c>
      <c r="F2221" s="62"/>
      <c r="G2221" s="20" t="str">
        <f t="shared" si="1"/>
        <v>Hardware, Building Materials, Door Hardware, Door Keyhole Escutcheons</v>
      </c>
    </row>
    <row r="2222">
      <c r="A2222" s="29">
        <v>1356.0</v>
      </c>
      <c r="B2222" s="29" t="s">
        <v>2423</v>
      </c>
      <c r="C2222" s="29" t="s">
        <v>2454</v>
      </c>
      <c r="D2222" s="29" t="s">
        <v>2456</v>
      </c>
      <c r="E2222" s="29" t="s">
        <v>2461</v>
      </c>
      <c r="F2222" s="62"/>
      <c r="G2222" s="20" t="str">
        <f t="shared" si="1"/>
        <v>Hardware, Building Materials, Door Hardware, Door Knobs &amp; Handles</v>
      </c>
    </row>
    <row r="2223">
      <c r="A2223" s="29">
        <v>2795.0</v>
      </c>
      <c r="B2223" s="29" t="s">
        <v>2423</v>
      </c>
      <c r="C2223" s="29" t="s">
        <v>2454</v>
      </c>
      <c r="D2223" s="29" t="s">
        <v>2456</v>
      </c>
      <c r="E2223" s="29" t="s">
        <v>2462</v>
      </c>
      <c r="F2223" s="62"/>
      <c r="G2223" s="20" t="str">
        <f t="shared" si="1"/>
        <v>Hardware, Building Materials, Door Hardware, Door Knockers</v>
      </c>
    </row>
    <row r="2224">
      <c r="A2224" s="29">
        <v>499970.0</v>
      </c>
      <c r="B2224" s="29" t="s">
        <v>2423</v>
      </c>
      <c r="C2224" s="29" t="s">
        <v>2454</v>
      </c>
      <c r="D2224" s="29" t="s">
        <v>2456</v>
      </c>
      <c r="E2224" s="29" t="s">
        <v>2463</v>
      </c>
      <c r="F2224" s="62"/>
      <c r="G2224" s="20" t="str">
        <f t="shared" si="1"/>
        <v>Hardware, Building Materials, Door Hardware, Door Push Plates</v>
      </c>
    </row>
    <row r="2225">
      <c r="A2225" s="29">
        <v>2665.0</v>
      </c>
      <c r="B2225" s="29" t="s">
        <v>2423</v>
      </c>
      <c r="C2225" s="29" t="s">
        <v>2454</v>
      </c>
      <c r="D2225" s="29" t="s">
        <v>2456</v>
      </c>
      <c r="E2225" s="29" t="s">
        <v>2464</v>
      </c>
      <c r="F2225" s="62"/>
      <c r="G2225" s="20" t="str">
        <f t="shared" si="1"/>
        <v>Hardware, Building Materials, Door Hardware, Door Stops</v>
      </c>
    </row>
    <row r="2226">
      <c r="A2226" s="29">
        <v>6458.0</v>
      </c>
      <c r="B2226" s="29" t="s">
        <v>2423</v>
      </c>
      <c r="C2226" s="29" t="s">
        <v>2454</v>
      </c>
      <c r="D2226" s="29" t="s">
        <v>2456</v>
      </c>
      <c r="E2226" s="29" t="s">
        <v>2465</v>
      </c>
      <c r="F2226" s="62"/>
      <c r="G2226" s="20" t="str">
        <f t="shared" si="1"/>
        <v>Hardware, Building Materials, Door Hardware, Door Strikes</v>
      </c>
    </row>
    <row r="2227">
      <c r="A2227" s="29">
        <v>119.0</v>
      </c>
      <c r="B2227" s="29" t="s">
        <v>2423</v>
      </c>
      <c r="C2227" s="29" t="s">
        <v>2454</v>
      </c>
      <c r="D2227" s="29" t="s">
        <v>2466</v>
      </c>
      <c r="E2227" s="62"/>
      <c r="F2227" s="62"/>
      <c r="G2227" s="20" t="str">
        <f t="shared" si="1"/>
        <v>Hardware, Building Materials, Doors, </v>
      </c>
    </row>
    <row r="2228">
      <c r="A2228" s="29">
        <v>4468.0</v>
      </c>
      <c r="B2228" s="29" t="s">
        <v>2423</v>
      </c>
      <c r="C2228" s="29" t="s">
        <v>2454</v>
      </c>
      <c r="D2228" s="29" t="s">
        <v>2466</v>
      </c>
      <c r="E2228" s="29" t="s">
        <v>2467</v>
      </c>
      <c r="F2228" s="62"/>
      <c r="G2228" s="20" t="str">
        <f t="shared" si="1"/>
        <v>Hardware, Building Materials, Doors, Garage Doors</v>
      </c>
    </row>
    <row r="2229">
      <c r="A2229" s="29">
        <v>4634.0</v>
      </c>
      <c r="B2229" s="29" t="s">
        <v>2423</v>
      </c>
      <c r="C2229" s="29" t="s">
        <v>2454</v>
      </c>
      <c r="D2229" s="29" t="s">
        <v>2466</v>
      </c>
      <c r="E2229" s="29" t="s">
        <v>2468</v>
      </c>
      <c r="F2229" s="62"/>
      <c r="G2229" s="20" t="str">
        <f t="shared" si="1"/>
        <v>Hardware, Building Materials, Doors, Home Doors</v>
      </c>
    </row>
    <row r="2230">
      <c r="A2230" s="29">
        <v>503776.0</v>
      </c>
      <c r="B2230" s="29" t="s">
        <v>2423</v>
      </c>
      <c r="C2230" s="29" t="s">
        <v>2454</v>
      </c>
      <c r="D2230" s="29" t="s">
        <v>2469</v>
      </c>
      <c r="E2230" s="62"/>
      <c r="F2230" s="62"/>
      <c r="G2230" s="20" t="str">
        <f t="shared" si="1"/>
        <v>Hardware, Building Materials, Drywall, </v>
      </c>
    </row>
    <row r="2231">
      <c r="A2231" s="29">
        <v>2826.0</v>
      </c>
      <c r="B2231" s="29" t="s">
        <v>2423</v>
      </c>
      <c r="C2231" s="29" t="s">
        <v>2454</v>
      </c>
      <c r="D2231" s="29" t="s">
        <v>2470</v>
      </c>
      <c r="E2231" s="62"/>
      <c r="F2231" s="62"/>
      <c r="G2231" s="20" t="str">
        <f t="shared" si="1"/>
        <v>Hardware, Building Materials, Flooring &amp; Carpet, </v>
      </c>
    </row>
    <row r="2232">
      <c r="A2232" s="29">
        <v>120.0</v>
      </c>
      <c r="B2232" s="29" t="s">
        <v>2423</v>
      </c>
      <c r="C2232" s="29" t="s">
        <v>2454</v>
      </c>
      <c r="D2232" s="29" t="s">
        <v>2471</v>
      </c>
      <c r="E2232" s="62"/>
      <c r="F2232" s="62"/>
      <c r="G2232" s="20" t="str">
        <f t="shared" si="1"/>
        <v>Hardware, Building Materials, Glass, </v>
      </c>
    </row>
    <row r="2233">
      <c r="A2233" s="29">
        <v>499949.0</v>
      </c>
      <c r="B2233" s="29" t="s">
        <v>2423</v>
      </c>
      <c r="C2233" s="29" t="s">
        <v>2454</v>
      </c>
      <c r="D2233" s="29" t="s">
        <v>2472</v>
      </c>
      <c r="F2233" s="62"/>
      <c r="G2233" s="20" t="str">
        <f t="shared" si="1"/>
        <v>Hardware, Building Materials, Handrails &amp; Railing Systems, </v>
      </c>
    </row>
    <row r="2234">
      <c r="A2234" s="29">
        <v>2030.0</v>
      </c>
      <c r="B2234" s="29" t="s">
        <v>2423</v>
      </c>
      <c r="C2234" s="29" t="s">
        <v>2454</v>
      </c>
      <c r="D2234" s="29" t="s">
        <v>2473</v>
      </c>
      <c r="E2234" s="62"/>
      <c r="F2234" s="62"/>
      <c r="G2234" s="20" t="str">
        <f t="shared" si="1"/>
        <v>Hardware, Building Materials, Hatches, </v>
      </c>
    </row>
    <row r="2235">
      <c r="A2235" s="29">
        <v>122.0</v>
      </c>
      <c r="B2235" s="29" t="s">
        <v>2423</v>
      </c>
      <c r="C2235" s="29" t="s">
        <v>2454</v>
      </c>
      <c r="D2235" s="29" t="s">
        <v>2474</v>
      </c>
      <c r="E2235" s="62"/>
      <c r="F2235" s="62"/>
      <c r="G2235" s="20" t="str">
        <f t="shared" si="1"/>
        <v>Hardware, Building Materials, Insulation, </v>
      </c>
    </row>
    <row r="2236">
      <c r="A2236" s="29">
        <v>125.0</v>
      </c>
      <c r="B2236" s="29" t="s">
        <v>2423</v>
      </c>
      <c r="C2236" s="29" t="s">
        <v>2454</v>
      </c>
      <c r="D2236" s="29" t="s">
        <v>2475</v>
      </c>
      <c r="E2236" s="62"/>
      <c r="F2236" s="62"/>
      <c r="G2236" s="20" t="str">
        <f t="shared" si="1"/>
        <v>Hardware, Building Materials, Lumber &amp; Sheet Stock, </v>
      </c>
    </row>
    <row r="2237">
      <c r="A2237" s="29">
        <v>7112.0</v>
      </c>
      <c r="B2237" s="29" t="s">
        <v>2423</v>
      </c>
      <c r="C2237" s="29" t="s">
        <v>2454</v>
      </c>
      <c r="D2237" s="29" t="s">
        <v>2476</v>
      </c>
      <c r="E2237" s="62"/>
      <c r="F2237" s="62"/>
      <c r="G2237" s="20" t="str">
        <f t="shared" si="1"/>
        <v>Hardware, Building Materials, Molding, </v>
      </c>
    </row>
    <row r="2238">
      <c r="A2238" s="29">
        <v>503777.0</v>
      </c>
      <c r="B2238" s="29" t="s">
        <v>2423</v>
      </c>
      <c r="C2238" s="29" t="s">
        <v>2454</v>
      </c>
      <c r="D2238" s="29" t="s">
        <v>2477</v>
      </c>
      <c r="E2238" s="62"/>
      <c r="F2238" s="62"/>
      <c r="G2238" s="20" t="str">
        <f t="shared" si="1"/>
        <v>Hardware, Building Materials, Rebar &amp; Remesh, </v>
      </c>
    </row>
    <row r="2239">
      <c r="A2239" s="29">
        <v>123.0</v>
      </c>
      <c r="B2239" s="29" t="s">
        <v>2423</v>
      </c>
      <c r="C2239" s="29" t="s">
        <v>2454</v>
      </c>
      <c r="D2239" s="29" t="s">
        <v>2478</v>
      </c>
      <c r="E2239" s="62"/>
      <c r="F2239" s="62"/>
      <c r="G2239" s="20" t="str">
        <f t="shared" si="1"/>
        <v>Hardware, Building Materials, Roofing, </v>
      </c>
    </row>
    <row r="2240">
      <c r="A2240" s="29">
        <v>4544.0</v>
      </c>
      <c r="B2240" s="29" t="s">
        <v>2423</v>
      </c>
      <c r="C2240" s="29" t="s">
        <v>2454</v>
      </c>
      <c r="D2240" s="29" t="s">
        <v>2478</v>
      </c>
      <c r="E2240" s="29" t="s">
        <v>2479</v>
      </c>
      <c r="F2240" s="62"/>
      <c r="G2240" s="20" t="str">
        <f t="shared" si="1"/>
        <v>Hardware, Building Materials, Roofing, Gutter Accessories</v>
      </c>
    </row>
    <row r="2241">
      <c r="A2241" s="29">
        <v>121.0</v>
      </c>
      <c r="B2241" s="29" t="s">
        <v>2423</v>
      </c>
      <c r="C2241" s="29" t="s">
        <v>2454</v>
      </c>
      <c r="D2241" s="29" t="s">
        <v>2478</v>
      </c>
      <c r="E2241" s="29" t="s">
        <v>2480</v>
      </c>
      <c r="F2241" s="62"/>
      <c r="G2241" s="20" t="str">
        <f t="shared" si="1"/>
        <v>Hardware, Building Materials, Roofing, Gutters</v>
      </c>
    </row>
    <row r="2242">
      <c r="A2242" s="29">
        <v>2008.0</v>
      </c>
      <c r="B2242" s="29" t="s">
        <v>2423</v>
      </c>
      <c r="C2242" s="29" t="s">
        <v>2454</v>
      </c>
      <c r="D2242" s="29" t="s">
        <v>2478</v>
      </c>
      <c r="E2242" s="29" t="s">
        <v>2481</v>
      </c>
      <c r="F2242" s="62"/>
      <c r="G2242" s="20" t="str">
        <f t="shared" si="1"/>
        <v>Hardware, Building Materials, Roofing, Roof Flashings</v>
      </c>
    </row>
    <row r="2243">
      <c r="A2243" s="29">
        <v>8270.0</v>
      </c>
      <c r="B2243" s="29" t="s">
        <v>2423</v>
      </c>
      <c r="C2243" s="29" t="s">
        <v>2454</v>
      </c>
      <c r="D2243" s="29" t="s">
        <v>2478</v>
      </c>
      <c r="E2243" s="29" t="s">
        <v>2482</v>
      </c>
      <c r="F2243" s="62"/>
      <c r="G2243" s="20" t="str">
        <f t="shared" si="1"/>
        <v>Hardware, Building Materials, Roofing, Roofing Shingles &amp; Tiles</v>
      </c>
    </row>
    <row r="2244">
      <c r="A2244" s="29">
        <v>6943.0</v>
      </c>
      <c r="B2244" s="29" t="s">
        <v>2423</v>
      </c>
      <c r="C2244" s="29" t="s">
        <v>2454</v>
      </c>
      <c r="D2244" s="29" t="s">
        <v>2483</v>
      </c>
      <c r="E2244" s="62"/>
      <c r="F2244" s="62"/>
      <c r="G2244" s="20" t="str">
        <f t="shared" si="1"/>
        <v>Hardware, Building Materials, Shutters, </v>
      </c>
    </row>
    <row r="2245">
      <c r="A2245" s="29">
        <v>503775.0</v>
      </c>
      <c r="B2245" s="29" t="s">
        <v>2423</v>
      </c>
      <c r="C2245" s="29" t="s">
        <v>2454</v>
      </c>
      <c r="D2245" s="29" t="s">
        <v>2484</v>
      </c>
      <c r="E2245" s="62"/>
      <c r="F2245" s="62"/>
      <c r="G2245" s="20" t="str">
        <f t="shared" si="1"/>
        <v>Hardware, Building Materials, Siding, </v>
      </c>
    </row>
    <row r="2246">
      <c r="A2246" s="29">
        <v>7439.0</v>
      </c>
      <c r="B2246" s="29" t="s">
        <v>2423</v>
      </c>
      <c r="C2246" s="29" t="s">
        <v>2454</v>
      </c>
      <c r="D2246" s="29" t="s">
        <v>2485</v>
      </c>
      <c r="F2246" s="62"/>
      <c r="G2246" s="20" t="str">
        <f t="shared" si="1"/>
        <v>Hardware, Building Materials, Sound Dampening Panels &amp; Foam, </v>
      </c>
    </row>
    <row r="2247">
      <c r="A2247" s="29">
        <v>7004.0</v>
      </c>
      <c r="B2247" s="29" t="s">
        <v>2423</v>
      </c>
      <c r="C2247" s="29" t="s">
        <v>2454</v>
      </c>
      <c r="D2247" s="29" t="s">
        <v>2486</v>
      </c>
      <c r="E2247" s="62"/>
      <c r="F2247" s="62"/>
      <c r="G2247" s="20" t="str">
        <f t="shared" si="1"/>
        <v>Hardware, Building Materials, Staircases, </v>
      </c>
    </row>
    <row r="2248">
      <c r="A2248" s="29">
        <v>7136.0</v>
      </c>
      <c r="B2248" s="29" t="s">
        <v>2423</v>
      </c>
      <c r="C2248" s="29" t="s">
        <v>2454</v>
      </c>
      <c r="D2248" s="29" t="s">
        <v>2487</v>
      </c>
      <c r="E2248" s="62"/>
      <c r="F2248" s="62"/>
      <c r="G2248" s="20" t="str">
        <f t="shared" si="1"/>
        <v>Hardware, Building Materials, Wall &amp; Ceiling Tile, </v>
      </c>
    </row>
    <row r="2249">
      <c r="A2249" s="29">
        <v>7053.0</v>
      </c>
      <c r="B2249" s="29" t="s">
        <v>2423</v>
      </c>
      <c r="C2249" s="29" t="s">
        <v>2454</v>
      </c>
      <c r="D2249" s="29" t="s">
        <v>2488</v>
      </c>
      <c r="E2249" s="62"/>
      <c r="F2249" s="62"/>
      <c r="G2249" s="20" t="str">
        <f t="shared" si="1"/>
        <v>Hardware, Building Materials, Wall Paneling, </v>
      </c>
    </row>
    <row r="2250">
      <c r="A2250" s="29">
        <v>505300.0</v>
      </c>
      <c r="B2250" s="29" t="s">
        <v>2423</v>
      </c>
      <c r="C2250" s="29" t="s">
        <v>2454</v>
      </c>
      <c r="D2250" s="29" t="s">
        <v>2489</v>
      </c>
      <c r="F2250" s="62"/>
      <c r="G2250" s="20" t="str">
        <f t="shared" si="1"/>
        <v>Hardware, Building Materials, Weather Stripping &amp; Weatherization Supplies, </v>
      </c>
    </row>
    <row r="2251">
      <c r="A2251" s="29">
        <v>499772.0</v>
      </c>
      <c r="B2251" s="29" t="s">
        <v>2423</v>
      </c>
      <c r="C2251" s="29" t="s">
        <v>2454</v>
      </c>
      <c r="D2251" s="29" t="s">
        <v>2490</v>
      </c>
      <c r="E2251" s="62"/>
      <c r="F2251" s="62"/>
      <c r="G2251" s="20" t="str">
        <f t="shared" si="1"/>
        <v>Hardware, Building Materials, Window Hardware, </v>
      </c>
    </row>
    <row r="2252">
      <c r="A2252" s="29">
        <v>499773.0</v>
      </c>
      <c r="B2252" s="29" t="s">
        <v>2423</v>
      </c>
      <c r="C2252" s="29" t="s">
        <v>2454</v>
      </c>
      <c r="D2252" s="29" t="s">
        <v>2490</v>
      </c>
      <c r="E2252" s="29" t="s">
        <v>2491</v>
      </c>
      <c r="F2252" s="62"/>
      <c r="G2252" s="20" t="str">
        <f t="shared" si="1"/>
        <v>Hardware, Building Materials, Window Hardware, Window Cranks</v>
      </c>
    </row>
    <row r="2253">
      <c r="A2253" s="29">
        <v>503728.0</v>
      </c>
      <c r="B2253" s="29" t="s">
        <v>2423</v>
      </c>
      <c r="C2253" s="29" t="s">
        <v>2454</v>
      </c>
      <c r="D2253" s="29" t="s">
        <v>2490</v>
      </c>
      <c r="E2253" s="29" t="s">
        <v>2492</v>
      </c>
      <c r="F2253" s="62"/>
      <c r="G2253" s="20" t="str">
        <f t="shared" si="1"/>
        <v>Hardware, Building Materials, Window Hardware, Window Frames</v>
      </c>
    </row>
    <row r="2254">
      <c r="A2254" s="29">
        <v>124.0</v>
      </c>
      <c r="B2254" s="29" t="s">
        <v>2423</v>
      </c>
      <c r="C2254" s="29" t="s">
        <v>2454</v>
      </c>
      <c r="D2254" s="29" t="s">
        <v>2493</v>
      </c>
      <c r="E2254" s="62"/>
      <c r="F2254" s="62"/>
      <c r="G2254" s="20" t="str">
        <f t="shared" si="1"/>
        <v>Hardware, Building Materials, Windows, </v>
      </c>
    </row>
    <row r="2255">
      <c r="A2255" s="29">
        <v>128.0</v>
      </c>
      <c r="B2255" s="29" t="s">
        <v>2423</v>
      </c>
      <c r="C2255" s="29" t="s">
        <v>2494</v>
      </c>
      <c r="D2255" s="62"/>
      <c r="E2255" s="62"/>
      <c r="F2255" s="62"/>
      <c r="G2255" s="20" t="str">
        <f t="shared" si="1"/>
        <v>Hardware, Fencing &amp; Barriers, , </v>
      </c>
    </row>
    <row r="2256">
      <c r="A2256" s="29">
        <v>502983.0</v>
      </c>
      <c r="B2256" s="29" t="s">
        <v>2423</v>
      </c>
      <c r="C2256" s="29" t="s">
        <v>2494</v>
      </c>
      <c r="D2256" s="29" t="s">
        <v>2495</v>
      </c>
      <c r="F2256" s="62"/>
      <c r="G2256" s="20" t="str">
        <f t="shared" si="1"/>
        <v>Hardware, Fencing &amp; Barriers, Fence &amp; Gate Accessories, </v>
      </c>
    </row>
    <row r="2257">
      <c r="A2257" s="29">
        <v>502973.0</v>
      </c>
      <c r="B2257" s="29" t="s">
        <v>2423</v>
      </c>
      <c r="C2257" s="29" t="s">
        <v>2494</v>
      </c>
      <c r="D2257" s="29" t="s">
        <v>2496</v>
      </c>
      <c r="E2257" s="62"/>
      <c r="F2257" s="62"/>
      <c r="G2257" s="20" t="str">
        <f t="shared" si="1"/>
        <v>Hardware, Fencing &amp; Barriers, Fence Panels, </v>
      </c>
    </row>
    <row r="2258">
      <c r="A2258" s="29">
        <v>1352.0</v>
      </c>
      <c r="B2258" s="29" t="s">
        <v>2423</v>
      </c>
      <c r="C2258" s="29" t="s">
        <v>2494</v>
      </c>
      <c r="D2258" s="29" t="s">
        <v>2497</v>
      </c>
      <c r="E2258" s="62"/>
      <c r="F2258" s="62"/>
      <c r="G2258" s="20" t="str">
        <f t="shared" si="1"/>
        <v>Hardware, Fencing &amp; Barriers, Fence Pickets, </v>
      </c>
    </row>
    <row r="2259">
      <c r="A2259" s="29">
        <v>1919.0</v>
      </c>
      <c r="B2259" s="29" t="s">
        <v>2423</v>
      </c>
      <c r="C2259" s="29" t="s">
        <v>2494</v>
      </c>
      <c r="D2259" s="29" t="s">
        <v>2498</v>
      </c>
      <c r="E2259" s="62"/>
      <c r="F2259" s="62"/>
      <c r="G2259" s="20" t="str">
        <f t="shared" si="1"/>
        <v>Hardware, Fencing &amp; Barriers, Fence Posts &amp; Rails, </v>
      </c>
    </row>
    <row r="2260">
      <c r="A2260" s="29">
        <v>502986.0</v>
      </c>
      <c r="B2260" s="29" t="s">
        <v>2423</v>
      </c>
      <c r="C2260" s="29" t="s">
        <v>2494</v>
      </c>
      <c r="D2260" s="29" t="s">
        <v>2499</v>
      </c>
      <c r="F2260" s="62"/>
      <c r="G2260" s="20" t="str">
        <f t="shared" si="1"/>
        <v>Hardware, Fencing &amp; Barriers, Garden Borders &amp; Edging, </v>
      </c>
    </row>
    <row r="2261">
      <c r="A2261" s="29">
        <v>1788.0</v>
      </c>
      <c r="B2261" s="29" t="s">
        <v>2423</v>
      </c>
      <c r="C2261" s="29" t="s">
        <v>2494</v>
      </c>
      <c r="D2261" s="29" t="s">
        <v>2500</v>
      </c>
      <c r="E2261" s="62"/>
      <c r="F2261" s="62"/>
      <c r="G2261" s="20" t="str">
        <f t="shared" si="1"/>
        <v>Hardware, Fencing &amp; Barriers, Gates, </v>
      </c>
    </row>
    <row r="2262">
      <c r="A2262" s="29">
        <v>502984.0</v>
      </c>
      <c r="B2262" s="29" t="s">
        <v>2423</v>
      </c>
      <c r="C2262" s="29" t="s">
        <v>2494</v>
      </c>
      <c r="D2262" s="29" t="s">
        <v>2501</v>
      </c>
      <c r="E2262" s="62"/>
      <c r="F2262" s="62"/>
      <c r="G2262" s="20" t="str">
        <f t="shared" si="1"/>
        <v>Hardware, Fencing &amp; Barriers, Lattice, </v>
      </c>
    </row>
    <row r="2263">
      <c r="A2263" s="29">
        <v>499958.0</v>
      </c>
      <c r="B2263" s="29" t="s">
        <v>2423</v>
      </c>
      <c r="C2263" s="29" t="s">
        <v>2494</v>
      </c>
      <c r="D2263" s="29" t="s">
        <v>2502</v>
      </c>
      <c r="F2263" s="62"/>
      <c r="G2263" s="20" t="str">
        <f t="shared" si="1"/>
        <v>Hardware, Fencing &amp; Barriers, Safety &amp; Crowd Control Barriers, </v>
      </c>
    </row>
    <row r="2264">
      <c r="A2264" s="29">
        <v>543575.0</v>
      </c>
      <c r="B2264" s="29" t="s">
        <v>2423</v>
      </c>
      <c r="C2264" s="29" t="s">
        <v>2503</v>
      </c>
      <c r="D2264" s="62"/>
      <c r="E2264" s="62"/>
      <c r="F2264" s="62"/>
      <c r="G2264" s="20" t="str">
        <f t="shared" si="1"/>
        <v>Hardware, Fuel, , </v>
      </c>
    </row>
    <row r="2265">
      <c r="A2265" s="29">
        <v>543703.0</v>
      </c>
      <c r="B2265" s="29" t="s">
        <v>2423</v>
      </c>
      <c r="C2265" s="29" t="s">
        <v>2503</v>
      </c>
      <c r="D2265" s="29" t="s">
        <v>2504</v>
      </c>
      <c r="E2265" s="62"/>
      <c r="F2265" s="62"/>
      <c r="G2265" s="20" t="str">
        <f t="shared" si="1"/>
        <v>Hardware, Fuel, Home Heating Oil, </v>
      </c>
    </row>
    <row r="2266">
      <c r="A2266" s="29">
        <v>543576.0</v>
      </c>
      <c r="B2266" s="29" t="s">
        <v>2423</v>
      </c>
      <c r="C2266" s="29" t="s">
        <v>2503</v>
      </c>
      <c r="D2266" s="29" t="s">
        <v>2505</v>
      </c>
      <c r="E2266" s="62"/>
      <c r="F2266" s="62"/>
      <c r="G2266" s="20" t="str">
        <f t="shared" si="1"/>
        <v>Hardware, Fuel, Kerosene, </v>
      </c>
    </row>
    <row r="2267">
      <c r="A2267" s="29">
        <v>543579.0</v>
      </c>
      <c r="B2267" s="29" t="s">
        <v>2423</v>
      </c>
      <c r="C2267" s="29" t="s">
        <v>2503</v>
      </c>
      <c r="D2267" s="29" t="s">
        <v>2505</v>
      </c>
      <c r="E2267" s="29" t="s">
        <v>2506</v>
      </c>
      <c r="F2267" s="62"/>
      <c r="G2267" s="20" t="str">
        <f t="shared" si="1"/>
        <v>Hardware, Fuel, Kerosene, Clear Kerosene</v>
      </c>
    </row>
    <row r="2268">
      <c r="A2268" s="29">
        <v>543578.0</v>
      </c>
      <c r="B2268" s="29" t="s">
        <v>2423</v>
      </c>
      <c r="C2268" s="29" t="s">
        <v>2503</v>
      </c>
      <c r="D2268" s="29" t="s">
        <v>2505</v>
      </c>
      <c r="E2268" s="29" t="s">
        <v>2507</v>
      </c>
      <c r="F2268" s="62"/>
      <c r="G2268" s="20" t="str">
        <f t="shared" si="1"/>
        <v>Hardware, Fuel, Kerosene, Dyed Kerosene</v>
      </c>
    </row>
    <row r="2269">
      <c r="A2269" s="29">
        <v>543577.0</v>
      </c>
      <c r="B2269" s="29" t="s">
        <v>2423</v>
      </c>
      <c r="C2269" s="29" t="s">
        <v>2503</v>
      </c>
      <c r="D2269" s="29" t="s">
        <v>2508</v>
      </c>
      <c r="E2269" s="62"/>
      <c r="F2269" s="62"/>
      <c r="G2269" s="20" t="str">
        <f t="shared" si="1"/>
        <v>Hardware, Fuel, Propane, </v>
      </c>
    </row>
    <row r="2270">
      <c r="A2270" s="29">
        <v>502975.0</v>
      </c>
      <c r="B2270" s="29" t="s">
        <v>2423</v>
      </c>
      <c r="C2270" s="29" t="s">
        <v>2509</v>
      </c>
      <c r="D2270" s="62"/>
      <c r="E2270" s="62"/>
      <c r="F2270" s="62"/>
      <c r="G2270" s="20" t="str">
        <f t="shared" si="1"/>
        <v>Hardware, Fuel Containers &amp; Tanks, , </v>
      </c>
    </row>
    <row r="2271">
      <c r="A2271" s="29">
        <v>2878.0</v>
      </c>
      <c r="B2271" s="29" t="s">
        <v>2423</v>
      </c>
      <c r="C2271" s="29" t="s">
        <v>2510</v>
      </c>
      <c r="D2271" s="62"/>
      <c r="E2271" s="62"/>
      <c r="F2271" s="62"/>
      <c r="G2271" s="20" t="str">
        <f t="shared" si="1"/>
        <v>Hardware, Hardware Accessories, , </v>
      </c>
    </row>
    <row r="2272">
      <c r="A2272" s="29">
        <v>7092.0</v>
      </c>
      <c r="B2272" s="29" t="s">
        <v>2423</v>
      </c>
      <c r="C2272" s="29" t="s">
        <v>2510</v>
      </c>
      <c r="D2272" s="29" t="s">
        <v>2511</v>
      </c>
      <c r="F2272" s="62"/>
      <c r="G2272" s="20" t="str">
        <f t="shared" si="1"/>
        <v>Hardware, Hardware Accessories, Brackets &amp; Reinforcement Braces, </v>
      </c>
    </row>
    <row r="2273">
      <c r="A2273" s="29">
        <v>4696.0</v>
      </c>
      <c r="B2273" s="29" t="s">
        <v>2423</v>
      </c>
      <c r="C2273" s="29" t="s">
        <v>2510</v>
      </c>
      <c r="D2273" s="29" t="s">
        <v>2512</v>
      </c>
      <c r="E2273" s="62"/>
      <c r="F2273" s="62"/>
      <c r="G2273" s="20" t="str">
        <f t="shared" si="1"/>
        <v>Hardware, Hardware Accessories, Cabinet Hardware, </v>
      </c>
    </row>
    <row r="2274">
      <c r="A2274" s="29">
        <v>232167.0</v>
      </c>
      <c r="B2274" s="29" t="s">
        <v>2423</v>
      </c>
      <c r="C2274" s="29" t="s">
        <v>2510</v>
      </c>
      <c r="D2274" s="29" t="s">
        <v>2512</v>
      </c>
      <c r="E2274" s="29" t="s">
        <v>2513</v>
      </c>
      <c r="G2274" s="20" t="str">
        <f t="shared" si="1"/>
        <v>Hardware, Hardware Accessories, Cabinet Hardware, Cabinet &amp; Furniture Keyhole Escutcheons</v>
      </c>
    </row>
    <row r="2275">
      <c r="A2275" s="29">
        <v>4697.0</v>
      </c>
      <c r="B2275" s="29" t="s">
        <v>2423</v>
      </c>
      <c r="C2275" s="29" t="s">
        <v>2510</v>
      </c>
      <c r="D2275" s="29" t="s">
        <v>2512</v>
      </c>
      <c r="E2275" s="29" t="s">
        <v>2514</v>
      </c>
      <c r="F2275" s="62"/>
      <c r="G2275" s="20" t="str">
        <f t="shared" si="1"/>
        <v>Hardware, Hardware Accessories, Cabinet Hardware, Cabinet Backplates</v>
      </c>
    </row>
    <row r="2276">
      <c r="A2276" s="29">
        <v>4698.0</v>
      </c>
      <c r="B2276" s="29" t="s">
        <v>2423</v>
      </c>
      <c r="C2276" s="29" t="s">
        <v>2510</v>
      </c>
      <c r="D2276" s="29" t="s">
        <v>2512</v>
      </c>
      <c r="E2276" s="29" t="s">
        <v>2515</v>
      </c>
      <c r="F2276" s="62"/>
      <c r="G2276" s="20" t="str">
        <f t="shared" si="1"/>
        <v>Hardware, Hardware Accessories, Cabinet Hardware, Cabinet Catches</v>
      </c>
    </row>
    <row r="2277">
      <c r="A2277" s="29">
        <v>4699.0</v>
      </c>
      <c r="B2277" s="29" t="s">
        <v>2423</v>
      </c>
      <c r="C2277" s="29" t="s">
        <v>2510</v>
      </c>
      <c r="D2277" s="29" t="s">
        <v>2512</v>
      </c>
      <c r="E2277" s="29" t="s">
        <v>2516</v>
      </c>
      <c r="F2277" s="62"/>
      <c r="G2277" s="20" t="str">
        <f t="shared" si="1"/>
        <v>Hardware, Hardware Accessories, Cabinet Hardware, Cabinet Doors</v>
      </c>
    </row>
    <row r="2278">
      <c r="A2278" s="29">
        <v>4700.0</v>
      </c>
      <c r="B2278" s="29" t="s">
        <v>2423</v>
      </c>
      <c r="C2278" s="29" t="s">
        <v>2510</v>
      </c>
      <c r="D2278" s="29" t="s">
        <v>2512</v>
      </c>
      <c r="E2278" s="29" t="s">
        <v>2517</v>
      </c>
      <c r="F2278" s="62"/>
      <c r="G2278" s="20" t="str">
        <f t="shared" si="1"/>
        <v>Hardware, Hardware Accessories, Cabinet Hardware, Cabinet Knobs &amp; Handles</v>
      </c>
    </row>
    <row r="2279">
      <c r="A2279" s="29">
        <v>499981.0</v>
      </c>
      <c r="B2279" s="29" t="s">
        <v>2423</v>
      </c>
      <c r="C2279" s="29" t="s">
        <v>2510</v>
      </c>
      <c r="D2279" s="29" t="s">
        <v>2518</v>
      </c>
      <c r="E2279" s="62"/>
      <c r="F2279" s="62"/>
      <c r="G2279" s="20" t="str">
        <f t="shared" si="1"/>
        <v>Hardware, Hardware Accessories, Casters, </v>
      </c>
    </row>
    <row r="2280">
      <c r="A2280" s="29">
        <v>502977.0</v>
      </c>
      <c r="B2280" s="29" t="s">
        <v>2423</v>
      </c>
      <c r="C2280" s="29" t="s">
        <v>2510</v>
      </c>
      <c r="D2280" s="29" t="s">
        <v>2519</v>
      </c>
      <c r="E2280" s="62"/>
      <c r="F2280" s="62"/>
      <c r="G2280" s="20" t="str">
        <f t="shared" si="1"/>
        <v>Hardware, Hardware Accessories, Chain, Wire &amp; Rope, </v>
      </c>
    </row>
    <row r="2281">
      <c r="A2281" s="29">
        <v>6298.0</v>
      </c>
      <c r="B2281" s="29" t="s">
        <v>2423</v>
      </c>
      <c r="C2281" s="29" t="s">
        <v>2510</v>
      </c>
      <c r="D2281" s="29" t="s">
        <v>2519</v>
      </c>
      <c r="E2281" s="29" t="s">
        <v>2520</v>
      </c>
      <c r="F2281" s="62"/>
      <c r="G2281" s="20" t="str">
        <f t="shared" si="1"/>
        <v>Hardware, Hardware Accessories, Chain, Wire &amp; Rope, Bungee Cords</v>
      </c>
    </row>
    <row r="2282">
      <c r="A2282" s="29">
        <v>1492.0</v>
      </c>
      <c r="B2282" s="29" t="s">
        <v>2423</v>
      </c>
      <c r="C2282" s="29" t="s">
        <v>2510</v>
      </c>
      <c r="D2282" s="29" t="s">
        <v>2519</v>
      </c>
      <c r="E2282" s="29" t="s">
        <v>2521</v>
      </c>
      <c r="F2282" s="62"/>
      <c r="G2282" s="20" t="str">
        <f t="shared" si="1"/>
        <v>Hardware, Hardware Accessories, Chain, Wire &amp; Rope, Chains</v>
      </c>
    </row>
    <row r="2283">
      <c r="A2283" s="29">
        <v>4469.0</v>
      </c>
      <c r="B2283" s="29" t="s">
        <v>2423</v>
      </c>
      <c r="C2283" s="29" t="s">
        <v>2510</v>
      </c>
      <c r="D2283" s="29" t="s">
        <v>2519</v>
      </c>
      <c r="E2283" s="29" t="s">
        <v>2522</v>
      </c>
      <c r="F2283" s="62"/>
      <c r="G2283" s="20" t="str">
        <f t="shared" si="1"/>
        <v>Hardware, Hardware Accessories, Chain, Wire &amp; Rope, Pull Chains</v>
      </c>
    </row>
    <row r="2284">
      <c r="A2284" s="29">
        <v>3053.0</v>
      </c>
      <c r="B2284" s="29" t="s">
        <v>2423</v>
      </c>
      <c r="C2284" s="29" t="s">
        <v>2510</v>
      </c>
      <c r="D2284" s="29" t="s">
        <v>2519</v>
      </c>
      <c r="E2284" s="29" t="s">
        <v>2523</v>
      </c>
      <c r="F2284" s="62"/>
      <c r="G2284" s="20" t="str">
        <f t="shared" si="1"/>
        <v>Hardware, Hardware Accessories, Chain, Wire &amp; Rope, Ropes &amp; Hardware Cable</v>
      </c>
    </row>
    <row r="2285">
      <c r="A2285" s="29">
        <v>6297.0</v>
      </c>
      <c r="B2285" s="29" t="s">
        <v>2423</v>
      </c>
      <c r="C2285" s="29" t="s">
        <v>2510</v>
      </c>
      <c r="D2285" s="29" t="s">
        <v>2519</v>
      </c>
      <c r="E2285" s="29" t="s">
        <v>2524</v>
      </c>
      <c r="F2285" s="62"/>
      <c r="G2285" s="20" t="str">
        <f t="shared" si="1"/>
        <v>Hardware, Hardware Accessories, Chain, Wire &amp; Rope, Tie Down Straps</v>
      </c>
    </row>
    <row r="2286">
      <c r="A2286" s="29">
        <v>5119.0</v>
      </c>
      <c r="B2286" s="29" t="s">
        <v>2423</v>
      </c>
      <c r="C2286" s="29" t="s">
        <v>2510</v>
      </c>
      <c r="D2286" s="29" t="s">
        <v>2519</v>
      </c>
      <c r="E2286" s="29" t="s">
        <v>2525</v>
      </c>
      <c r="F2286" s="62"/>
      <c r="G2286" s="20" t="str">
        <f t="shared" si="1"/>
        <v>Hardware, Hardware Accessories, Chain, Wire &amp; Rope, Twine</v>
      </c>
    </row>
    <row r="2287">
      <c r="A2287" s="29">
        <v>6904.0</v>
      </c>
      <c r="B2287" s="29" t="s">
        <v>2423</v>
      </c>
      <c r="C2287" s="29" t="s">
        <v>2510</v>
      </c>
      <c r="D2287" s="29" t="s">
        <v>2519</v>
      </c>
      <c r="E2287" s="29" t="s">
        <v>2526</v>
      </c>
      <c r="F2287" s="62"/>
      <c r="G2287" s="20" t="str">
        <f t="shared" si="1"/>
        <v>Hardware, Hardware Accessories, Chain, Wire &amp; Rope, Utility Wire</v>
      </c>
    </row>
    <row r="2288">
      <c r="A2288" s="29">
        <v>1318.0</v>
      </c>
      <c r="B2288" s="29" t="s">
        <v>2423</v>
      </c>
      <c r="C2288" s="29" t="s">
        <v>2510</v>
      </c>
      <c r="D2288" s="29" t="s">
        <v>2527</v>
      </c>
      <c r="E2288" s="62"/>
      <c r="F2288" s="62"/>
      <c r="G2288" s="20" t="str">
        <f t="shared" si="1"/>
        <v>Hardware, Hardware Accessories, Coils, </v>
      </c>
    </row>
    <row r="2289">
      <c r="A2289" s="29">
        <v>7086.0</v>
      </c>
      <c r="B2289" s="29" t="s">
        <v>2423</v>
      </c>
      <c r="C2289" s="29" t="s">
        <v>2510</v>
      </c>
      <c r="D2289" s="29" t="s">
        <v>2528</v>
      </c>
      <c r="E2289" s="62"/>
      <c r="F2289" s="62"/>
      <c r="G2289" s="20" t="str">
        <f t="shared" si="1"/>
        <v>Hardware, Hardware Accessories, Concrete Molds, </v>
      </c>
    </row>
    <row r="2290">
      <c r="A2290" s="29">
        <v>7270.0</v>
      </c>
      <c r="B2290" s="29" t="s">
        <v>2423</v>
      </c>
      <c r="C2290" s="29" t="s">
        <v>2510</v>
      </c>
      <c r="D2290" s="29" t="s">
        <v>2529</v>
      </c>
      <c r="E2290" s="62"/>
      <c r="F2290" s="62"/>
      <c r="G2290" s="20" t="str">
        <f t="shared" si="1"/>
        <v>Hardware, Hardware Accessories, Dowel Pins &amp; Rods, </v>
      </c>
    </row>
    <row r="2291">
      <c r="A2291" s="29">
        <v>8470.0</v>
      </c>
      <c r="B2291" s="29" t="s">
        <v>2423</v>
      </c>
      <c r="C2291" s="29" t="s">
        <v>2510</v>
      </c>
      <c r="D2291" s="29" t="s">
        <v>2530</v>
      </c>
      <c r="E2291" s="62"/>
      <c r="F2291" s="62"/>
      <c r="G2291" s="20" t="str">
        <f t="shared" si="1"/>
        <v>Hardware, Hardware Accessories, Drawer Slides, </v>
      </c>
    </row>
    <row r="2292">
      <c r="A2292" s="29">
        <v>1979.0</v>
      </c>
      <c r="B2292" s="29" t="s">
        <v>2423</v>
      </c>
      <c r="C2292" s="29" t="s">
        <v>2510</v>
      </c>
      <c r="D2292" s="29" t="s">
        <v>2531</v>
      </c>
      <c r="E2292" s="62"/>
      <c r="F2292" s="62"/>
      <c r="G2292" s="20" t="str">
        <f t="shared" si="1"/>
        <v>Hardware, Hardware Accessories, Drop Cloths, </v>
      </c>
    </row>
    <row r="2293">
      <c r="A2293" s="29">
        <v>1816.0</v>
      </c>
      <c r="B2293" s="29" t="s">
        <v>2423</v>
      </c>
      <c r="C2293" s="29" t="s">
        <v>2510</v>
      </c>
      <c r="D2293" s="29" t="s">
        <v>2532</v>
      </c>
      <c r="E2293" s="62"/>
      <c r="F2293" s="62"/>
      <c r="G2293" s="20" t="str">
        <f t="shared" si="1"/>
        <v>Hardware, Hardware Accessories, Filters &amp; Screens, </v>
      </c>
    </row>
    <row r="2294">
      <c r="A2294" s="29">
        <v>7557.0</v>
      </c>
      <c r="B2294" s="29" t="s">
        <v>2423</v>
      </c>
      <c r="C2294" s="29" t="s">
        <v>2510</v>
      </c>
      <c r="D2294" s="29" t="s">
        <v>2533</v>
      </c>
      <c r="E2294" s="62"/>
      <c r="F2294" s="62"/>
      <c r="G2294" s="20" t="str">
        <f t="shared" si="1"/>
        <v>Hardware, Hardware Accessories, Flagging &amp; Caution Tape, </v>
      </c>
    </row>
    <row r="2295">
      <c r="A2295" s="29">
        <v>6841.0</v>
      </c>
      <c r="B2295" s="29" t="s">
        <v>2423</v>
      </c>
      <c r="C2295" s="29" t="s">
        <v>2510</v>
      </c>
      <c r="D2295" s="29" t="s">
        <v>2534</v>
      </c>
      <c r="E2295" s="62"/>
      <c r="F2295" s="62"/>
      <c r="G2295" s="20" t="str">
        <f t="shared" si="1"/>
        <v>Hardware, Hardware Accessories, Gas Hoses, </v>
      </c>
    </row>
    <row r="2296">
      <c r="A2296" s="29">
        <v>8112.0</v>
      </c>
      <c r="B2296" s="29" t="s">
        <v>2423</v>
      </c>
      <c r="C2296" s="29" t="s">
        <v>2510</v>
      </c>
      <c r="D2296" s="29" t="s">
        <v>2535</v>
      </c>
      <c r="E2296" s="62"/>
      <c r="F2296" s="62"/>
      <c r="G2296" s="20" t="str">
        <f t="shared" si="1"/>
        <v>Hardware, Hardware Accessories, Ground Spikes, </v>
      </c>
    </row>
    <row r="2297">
      <c r="A2297" s="29">
        <v>500054.0</v>
      </c>
      <c r="B2297" s="29" t="s">
        <v>2423</v>
      </c>
      <c r="C2297" s="29" t="s">
        <v>2510</v>
      </c>
      <c r="D2297" s="29" t="s">
        <v>2536</v>
      </c>
      <c r="E2297" s="62"/>
      <c r="F2297" s="62"/>
      <c r="G2297" s="20" t="str">
        <f t="shared" si="1"/>
        <v>Hardware, Hardware Accessories, Hardware Fasteners, </v>
      </c>
    </row>
    <row r="2298">
      <c r="A2298" s="29">
        <v>1508.0</v>
      </c>
      <c r="B2298" s="29" t="s">
        <v>2423</v>
      </c>
      <c r="C2298" s="29" t="s">
        <v>2510</v>
      </c>
      <c r="D2298" s="29" t="s">
        <v>2536</v>
      </c>
      <c r="E2298" s="29" t="s">
        <v>2537</v>
      </c>
      <c r="F2298" s="62"/>
      <c r="G2298" s="20" t="str">
        <f t="shared" si="1"/>
        <v>Hardware, Hardware Accessories, Hardware Fasteners, Drywall Anchors</v>
      </c>
    </row>
    <row r="2299">
      <c r="A2299" s="29">
        <v>2408.0</v>
      </c>
      <c r="B2299" s="29" t="s">
        <v>2423</v>
      </c>
      <c r="C2299" s="29" t="s">
        <v>2510</v>
      </c>
      <c r="D2299" s="29" t="s">
        <v>2536</v>
      </c>
      <c r="E2299" s="29" t="s">
        <v>2538</v>
      </c>
      <c r="F2299" s="62"/>
      <c r="G2299" s="20" t="str">
        <f t="shared" si="1"/>
        <v>Hardware, Hardware Accessories, Hardware Fasteners, Nails</v>
      </c>
    </row>
    <row r="2300">
      <c r="A2300" s="29">
        <v>1739.0</v>
      </c>
      <c r="B2300" s="29" t="s">
        <v>2423</v>
      </c>
      <c r="C2300" s="29" t="s">
        <v>2510</v>
      </c>
      <c r="D2300" s="29" t="s">
        <v>2536</v>
      </c>
      <c r="E2300" s="29" t="s">
        <v>2539</v>
      </c>
      <c r="F2300" s="62"/>
      <c r="G2300" s="20" t="str">
        <f t="shared" si="1"/>
        <v>Hardware, Hardware Accessories, Hardware Fasteners, Nuts &amp; Bolts</v>
      </c>
    </row>
    <row r="2301">
      <c r="A2301" s="29">
        <v>7062.0</v>
      </c>
      <c r="B2301" s="29" t="s">
        <v>2423</v>
      </c>
      <c r="C2301" s="29" t="s">
        <v>2510</v>
      </c>
      <c r="D2301" s="29" t="s">
        <v>2536</v>
      </c>
      <c r="E2301" s="29" t="s">
        <v>2540</v>
      </c>
      <c r="F2301" s="62"/>
      <c r="G2301" s="20" t="str">
        <f t="shared" si="1"/>
        <v>Hardware, Hardware Accessories, Hardware Fasteners, Rivets</v>
      </c>
    </row>
    <row r="2302">
      <c r="A2302" s="29">
        <v>2230.0</v>
      </c>
      <c r="B2302" s="29" t="s">
        <v>2423</v>
      </c>
      <c r="C2302" s="29" t="s">
        <v>2510</v>
      </c>
      <c r="D2302" s="29" t="s">
        <v>2536</v>
      </c>
      <c r="E2302" s="29" t="s">
        <v>2541</v>
      </c>
      <c r="F2302" s="62"/>
      <c r="G2302" s="20" t="str">
        <f t="shared" si="1"/>
        <v>Hardware, Hardware Accessories, Hardware Fasteners, Screw Posts</v>
      </c>
    </row>
    <row r="2303">
      <c r="A2303" s="29">
        <v>2251.0</v>
      </c>
      <c r="B2303" s="29" t="s">
        <v>2423</v>
      </c>
      <c r="C2303" s="29" t="s">
        <v>2510</v>
      </c>
      <c r="D2303" s="29" t="s">
        <v>2536</v>
      </c>
      <c r="E2303" s="29" t="s">
        <v>2542</v>
      </c>
      <c r="F2303" s="62"/>
      <c r="G2303" s="20" t="str">
        <f t="shared" si="1"/>
        <v>Hardware, Hardware Accessories, Hardware Fasteners, Screws</v>
      </c>
    </row>
    <row r="2304">
      <c r="A2304" s="29">
        <v>500055.0</v>
      </c>
      <c r="B2304" s="29" t="s">
        <v>2423</v>
      </c>
      <c r="C2304" s="29" t="s">
        <v>2510</v>
      </c>
      <c r="D2304" s="29" t="s">
        <v>2536</v>
      </c>
      <c r="E2304" s="29" t="s">
        <v>2543</v>
      </c>
      <c r="F2304" s="62"/>
      <c r="G2304" s="20" t="str">
        <f t="shared" si="1"/>
        <v>Hardware, Hardware Accessories, Hardware Fasteners, Threaded Rods</v>
      </c>
    </row>
    <row r="2305">
      <c r="A2305" s="29">
        <v>2195.0</v>
      </c>
      <c r="B2305" s="29" t="s">
        <v>2423</v>
      </c>
      <c r="C2305" s="29" t="s">
        <v>2510</v>
      </c>
      <c r="D2305" s="29" t="s">
        <v>2536</v>
      </c>
      <c r="E2305" s="29" t="s">
        <v>2544</v>
      </c>
      <c r="F2305" s="62"/>
      <c r="G2305" s="20" t="str">
        <f t="shared" si="1"/>
        <v>Hardware, Hardware Accessories, Hardware Fasteners, Washers</v>
      </c>
    </row>
    <row r="2306">
      <c r="A2306" s="29">
        <v>1771.0</v>
      </c>
      <c r="B2306" s="29" t="s">
        <v>2423</v>
      </c>
      <c r="C2306" s="29" t="s">
        <v>2510</v>
      </c>
      <c r="D2306" s="29" t="s">
        <v>2545</v>
      </c>
      <c r="E2306" s="62"/>
      <c r="F2306" s="62"/>
      <c r="G2306" s="20" t="str">
        <f t="shared" si="1"/>
        <v>Hardware, Hardware Accessories, Hinges, </v>
      </c>
    </row>
    <row r="2307">
      <c r="A2307" s="29">
        <v>503773.0</v>
      </c>
      <c r="B2307" s="29" t="s">
        <v>2423</v>
      </c>
      <c r="C2307" s="29" t="s">
        <v>2510</v>
      </c>
      <c r="D2307" s="29" t="s">
        <v>2546</v>
      </c>
      <c r="F2307" s="62"/>
      <c r="G2307" s="20" t="str">
        <f t="shared" si="1"/>
        <v>Hardware, Hardware Accessories, Hooks, Buckles &amp; Fasteners, </v>
      </c>
    </row>
    <row r="2308">
      <c r="A2308" s="29">
        <v>503764.0</v>
      </c>
      <c r="B2308" s="29" t="s">
        <v>2423</v>
      </c>
      <c r="C2308" s="29" t="s">
        <v>2510</v>
      </c>
      <c r="D2308" s="29" t="s">
        <v>2546</v>
      </c>
      <c r="E2308" s="29" t="s">
        <v>2547</v>
      </c>
      <c r="F2308" s="62"/>
      <c r="G2308" s="20" t="str">
        <f t="shared" si="1"/>
        <v>Hardware, Hardware Accessories, Hooks, Buckles &amp; Fasteners, Chain Connectors &amp; Links</v>
      </c>
    </row>
    <row r="2309">
      <c r="A2309" s="29">
        <v>502978.0</v>
      </c>
      <c r="B2309" s="29" t="s">
        <v>2423</v>
      </c>
      <c r="C2309" s="29" t="s">
        <v>2510</v>
      </c>
      <c r="D2309" s="29" t="s">
        <v>2546</v>
      </c>
      <c r="E2309" s="29" t="s">
        <v>2548</v>
      </c>
      <c r="F2309" s="62"/>
      <c r="G2309" s="20" t="str">
        <f t="shared" si="1"/>
        <v>Hardware, Hardware Accessories, Hooks, Buckles &amp; Fasteners, Gear Ties</v>
      </c>
    </row>
    <row r="2310">
      <c r="A2310" s="29">
        <v>503770.0</v>
      </c>
      <c r="B2310" s="29" t="s">
        <v>2423</v>
      </c>
      <c r="C2310" s="29" t="s">
        <v>2510</v>
      </c>
      <c r="D2310" s="29" t="s">
        <v>2546</v>
      </c>
      <c r="E2310" s="29" t="s">
        <v>2549</v>
      </c>
      <c r="F2310" s="62"/>
      <c r="G2310" s="20" t="str">
        <f t="shared" si="1"/>
        <v>Hardware, Hardware Accessories, Hooks, Buckles &amp; Fasteners, Lifting Hooks, Clamps &amp; Shackles</v>
      </c>
    </row>
    <row r="2311">
      <c r="A2311" s="29">
        <v>502992.0</v>
      </c>
      <c r="B2311" s="29" t="s">
        <v>2423</v>
      </c>
      <c r="C2311" s="29" t="s">
        <v>2510</v>
      </c>
      <c r="D2311" s="29" t="s">
        <v>2546</v>
      </c>
      <c r="E2311" s="29" t="s">
        <v>2550</v>
      </c>
      <c r="F2311" s="62"/>
      <c r="G2311" s="20" t="str">
        <f t="shared" si="1"/>
        <v>Hardware, Hardware Accessories, Hooks, Buckles &amp; Fasteners, Utility Buckles</v>
      </c>
    </row>
    <row r="2312">
      <c r="A2312" s="29">
        <v>6770.0</v>
      </c>
      <c r="B2312" s="29" t="s">
        <v>2423</v>
      </c>
      <c r="C2312" s="29" t="s">
        <v>2510</v>
      </c>
      <c r="D2312" s="29" t="s">
        <v>2551</v>
      </c>
      <c r="E2312" s="62"/>
      <c r="F2312" s="62"/>
      <c r="G2312" s="20" t="str">
        <f t="shared" si="1"/>
        <v>Hardware, Hardware Accessories, Lubrication Hoses, </v>
      </c>
    </row>
    <row r="2313">
      <c r="A2313" s="29">
        <v>503731.0</v>
      </c>
      <c r="B2313" s="29" t="s">
        <v>2423</v>
      </c>
      <c r="C2313" s="29" t="s">
        <v>2510</v>
      </c>
      <c r="D2313" s="29" t="s">
        <v>2552</v>
      </c>
      <c r="E2313" s="62"/>
      <c r="F2313" s="62"/>
      <c r="G2313" s="20" t="str">
        <f t="shared" si="1"/>
        <v>Hardware, Hardware Accessories, Metal Casting Molds, </v>
      </c>
    </row>
    <row r="2314">
      <c r="A2314" s="29">
        <v>500030.0</v>
      </c>
      <c r="B2314" s="29" t="s">
        <v>2423</v>
      </c>
      <c r="C2314" s="29" t="s">
        <v>2510</v>
      </c>
      <c r="D2314" s="29" t="s">
        <v>2553</v>
      </c>
      <c r="F2314" s="62"/>
      <c r="G2314" s="20" t="str">
        <f t="shared" si="1"/>
        <v>Hardware, Hardware Accessories, Moving &amp; Soundproofing Blankets &amp; Covers, </v>
      </c>
    </row>
    <row r="2315">
      <c r="A2315" s="29">
        <v>6769.0</v>
      </c>
      <c r="B2315" s="29" t="s">
        <v>2423</v>
      </c>
      <c r="C2315" s="29" t="s">
        <v>2510</v>
      </c>
      <c r="D2315" s="29" t="s">
        <v>2554</v>
      </c>
      <c r="E2315" s="62"/>
      <c r="F2315" s="62"/>
      <c r="G2315" s="20" t="str">
        <f t="shared" si="1"/>
        <v>Hardware, Hardware Accessories, Pneumatic Hoses, </v>
      </c>
    </row>
    <row r="2316">
      <c r="A2316" s="29">
        <v>8113.0</v>
      </c>
      <c r="B2316" s="29" t="s">
        <v>2423</v>
      </c>
      <c r="C2316" s="29" t="s">
        <v>2510</v>
      </c>
      <c r="D2316" s="29" t="s">
        <v>2555</v>
      </c>
      <c r="E2316" s="62"/>
      <c r="F2316" s="62"/>
      <c r="G2316" s="20" t="str">
        <f t="shared" si="1"/>
        <v>Hardware, Hardware Accessories, Post Base Plates, </v>
      </c>
    </row>
    <row r="2317">
      <c r="A2317" s="29">
        <v>499933.0</v>
      </c>
      <c r="B2317" s="29" t="s">
        <v>2423</v>
      </c>
      <c r="C2317" s="29" t="s">
        <v>2510</v>
      </c>
      <c r="D2317" s="29" t="s">
        <v>2556</v>
      </c>
      <c r="E2317" s="62"/>
      <c r="F2317" s="62"/>
      <c r="G2317" s="20" t="str">
        <f t="shared" si="1"/>
        <v>Hardware, Hardware Accessories, Springs, </v>
      </c>
    </row>
    <row r="2318">
      <c r="A2318" s="29">
        <v>4988.0</v>
      </c>
      <c r="B2318" s="29" t="s">
        <v>2423</v>
      </c>
      <c r="C2318" s="29" t="s">
        <v>2510</v>
      </c>
      <c r="D2318" s="29" t="s">
        <v>2557</v>
      </c>
      <c r="E2318" s="62"/>
      <c r="F2318" s="62"/>
      <c r="G2318" s="20" t="str">
        <f t="shared" si="1"/>
        <v>Hardware, Hardware Accessories, Tarps, </v>
      </c>
    </row>
    <row r="2319">
      <c r="A2319" s="29">
        <v>3974.0</v>
      </c>
      <c r="B2319" s="29" t="s">
        <v>2423</v>
      </c>
      <c r="C2319" s="29" t="s">
        <v>2510</v>
      </c>
      <c r="D2319" s="29" t="s">
        <v>2558</v>
      </c>
      <c r="F2319" s="62"/>
      <c r="G2319" s="20" t="str">
        <f t="shared" si="1"/>
        <v>Hardware, Hardware Accessories, Tool Storage &amp; Organization, </v>
      </c>
    </row>
    <row r="2320">
      <c r="A2320" s="29">
        <v>4199.0</v>
      </c>
      <c r="B2320" s="29" t="s">
        <v>2423</v>
      </c>
      <c r="C2320" s="29" t="s">
        <v>2510</v>
      </c>
      <c r="D2320" s="29" t="s">
        <v>2558</v>
      </c>
      <c r="E2320" s="29" t="s">
        <v>2559</v>
      </c>
      <c r="F2320" s="62"/>
      <c r="G2320" s="20" t="str">
        <f t="shared" si="1"/>
        <v>Hardware, Hardware Accessories, Tool Storage &amp; Organization, Garden Hose Storage</v>
      </c>
    </row>
    <row r="2321">
      <c r="A2321" s="29">
        <v>2485.0</v>
      </c>
      <c r="B2321" s="29" t="s">
        <v>2423</v>
      </c>
      <c r="C2321" s="29" t="s">
        <v>2510</v>
      </c>
      <c r="D2321" s="29" t="s">
        <v>2558</v>
      </c>
      <c r="E2321" s="29" t="s">
        <v>2560</v>
      </c>
      <c r="F2321" s="62"/>
      <c r="G2321" s="20" t="str">
        <f t="shared" si="1"/>
        <v>Hardware, Hardware Accessories, Tool Storage &amp; Organization, Tool &amp; Equipment Belts</v>
      </c>
    </row>
    <row r="2322">
      <c r="A2322" s="29">
        <v>6876.0</v>
      </c>
      <c r="B2322" s="29" t="s">
        <v>2423</v>
      </c>
      <c r="C2322" s="29" t="s">
        <v>2510</v>
      </c>
      <c r="D2322" s="29" t="s">
        <v>2558</v>
      </c>
      <c r="E2322" s="29" t="s">
        <v>2561</v>
      </c>
      <c r="F2322" s="62"/>
      <c r="G2322" s="20" t="str">
        <f t="shared" si="1"/>
        <v>Hardware, Hardware Accessories, Tool Storage &amp; Organization, Tool Bags</v>
      </c>
    </row>
    <row r="2323">
      <c r="A2323" s="29">
        <v>3980.0</v>
      </c>
      <c r="B2323" s="29" t="s">
        <v>2423</v>
      </c>
      <c r="C2323" s="29" t="s">
        <v>2510</v>
      </c>
      <c r="D2323" s="29" t="s">
        <v>2558</v>
      </c>
      <c r="E2323" s="29" t="s">
        <v>2562</v>
      </c>
      <c r="F2323" s="62"/>
      <c r="G2323" s="20" t="str">
        <f t="shared" si="1"/>
        <v>Hardware, Hardware Accessories, Tool Storage &amp; Organization, Tool Boxes</v>
      </c>
    </row>
    <row r="2324">
      <c r="A2324" s="29">
        <v>3280.0</v>
      </c>
      <c r="B2324" s="29" t="s">
        <v>2423</v>
      </c>
      <c r="C2324" s="29" t="s">
        <v>2510</v>
      </c>
      <c r="D2324" s="29" t="s">
        <v>2558</v>
      </c>
      <c r="E2324" s="29" t="s">
        <v>2563</v>
      </c>
      <c r="F2324" s="62"/>
      <c r="G2324" s="20" t="str">
        <f t="shared" si="1"/>
        <v>Hardware, Hardware Accessories, Tool Storage &amp; Organization, Tool Cabinets &amp; Chests</v>
      </c>
    </row>
    <row r="2325">
      <c r="A2325" s="29">
        <v>500103.0</v>
      </c>
      <c r="B2325" s="29" t="s">
        <v>2423</v>
      </c>
      <c r="C2325" s="29" t="s">
        <v>2510</v>
      </c>
      <c r="D2325" s="29" t="s">
        <v>2558</v>
      </c>
      <c r="E2325" s="29" t="s">
        <v>2564</v>
      </c>
      <c r="F2325" s="62"/>
      <c r="G2325" s="20" t="str">
        <f t="shared" si="1"/>
        <v>Hardware, Hardware Accessories, Tool Storage &amp; Organization, Tool Organizer Liners &amp; Inserts</v>
      </c>
    </row>
    <row r="2326">
      <c r="A2326" s="29">
        <v>4031.0</v>
      </c>
      <c r="B2326" s="29" t="s">
        <v>2423</v>
      </c>
      <c r="C2326" s="29" t="s">
        <v>2510</v>
      </c>
      <c r="D2326" s="29" t="s">
        <v>2558</v>
      </c>
      <c r="E2326" s="29" t="s">
        <v>2565</v>
      </c>
      <c r="F2326" s="62"/>
      <c r="G2326" s="20" t="str">
        <f t="shared" si="1"/>
        <v>Hardware, Hardware Accessories, Tool Storage &amp; Organization, Tool Sheaths</v>
      </c>
    </row>
    <row r="2327">
      <c r="A2327" s="29">
        <v>3919.0</v>
      </c>
      <c r="B2327" s="29" t="s">
        <v>2423</v>
      </c>
      <c r="C2327" s="29" t="s">
        <v>2510</v>
      </c>
      <c r="D2327" s="29" t="s">
        <v>2558</v>
      </c>
      <c r="E2327" s="29" t="s">
        <v>2566</v>
      </c>
      <c r="F2327" s="62"/>
      <c r="G2327" s="20" t="str">
        <f t="shared" si="1"/>
        <v>Hardware, Hardware Accessories, Tool Storage &amp; Organization, Work Benches</v>
      </c>
    </row>
    <row r="2328">
      <c r="A2328" s="29">
        <v>505320.0</v>
      </c>
      <c r="B2328" s="29" t="s">
        <v>2423</v>
      </c>
      <c r="C2328" s="29" t="s">
        <v>2510</v>
      </c>
      <c r="D2328" s="29" t="s">
        <v>2567</v>
      </c>
      <c r="E2328" s="62"/>
      <c r="F2328" s="62"/>
      <c r="G2328" s="20" t="str">
        <f t="shared" si="1"/>
        <v>Hardware, Hardware Accessories, Wall Jacks &amp; Braces, </v>
      </c>
    </row>
    <row r="2329">
      <c r="A2329" s="29">
        <v>500096.0</v>
      </c>
      <c r="B2329" s="29" t="s">
        <v>2423</v>
      </c>
      <c r="C2329" s="29" t="s">
        <v>2568</v>
      </c>
      <c r="D2329" s="62"/>
      <c r="E2329" s="62"/>
      <c r="F2329" s="62"/>
      <c r="G2329" s="20" t="str">
        <f t="shared" si="1"/>
        <v>Hardware, Hardware Pumps, , </v>
      </c>
    </row>
    <row r="2330">
      <c r="A2330" s="29">
        <v>500099.0</v>
      </c>
      <c r="B2330" s="29" t="s">
        <v>2423</v>
      </c>
      <c r="C2330" s="29" t="s">
        <v>2568</v>
      </c>
      <c r="D2330" s="29" t="s">
        <v>2569</v>
      </c>
      <c r="E2330" s="62"/>
      <c r="F2330" s="62"/>
      <c r="G2330" s="20" t="str">
        <f t="shared" si="1"/>
        <v>Hardware, Hardware Pumps, Home Appliance Pumps, </v>
      </c>
    </row>
    <row r="2331">
      <c r="A2331" s="29">
        <v>500098.0</v>
      </c>
      <c r="B2331" s="29" t="s">
        <v>2423</v>
      </c>
      <c r="C2331" s="29" t="s">
        <v>2568</v>
      </c>
      <c r="D2331" s="29" t="s">
        <v>2570</v>
      </c>
      <c r="F2331" s="62"/>
      <c r="G2331" s="20" t="str">
        <f t="shared" si="1"/>
        <v>Hardware, Hardware Pumps, Pool, Fountain &amp; Pond Pumps, </v>
      </c>
    </row>
    <row r="2332">
      <c r="A2332" s="29">
        <v>500097.0</v>
      </c>
      <c r="B2332" s="29" t="s">
        <v>2423</v>
      </c>
      <c r="C2332" s="29" t="s">
        <v>2568</v>
      </c>
      <c r="D2332" s="29" t="s">
        <v>2571</v>
      </c>
      <c r="F2332" s="62"/>
      <c r="G2332" s="20" t="str">
        <f t="shared" si="1"/>
        <v>Hardware, Hardware Pumps, Sprinkler, Booster &amp; Irrigation System Pumps, </v>
      </c>
    </row>
    <row r="2333">
      <c r="A2333" s="29">
        <v>500102.0</v>
      </c>
      <c r="B2333" s="29" t="s">
        <v>2423</v>
      </c>
      <c r="C2333" s="29" t="s">
        <v>2568</v>
      </c>
      <c r="D2333" s="29" t="s">
        <v>2572</v>
      </c>
      <c r="F2333" s="62"/>
      <c r="G2333" s="20" t="str">
        <f t="shared" si="1"/>
        <v>Hardware, Hardware Pumps, Sump, Sewage &amp; Effluent Pumps, </v>
      </c>
    </row>
    <row r="2334">
      <c r="A2334" s="29">
        <v>500101.0</v>
      </c>
      <c r="B2334" s="29" t="s">
        <v>2423</v>
      </c>
      <c r="C2334" s="29" t="s">
        <v>2568</v>
      </c>
      <c r="D2334" s="29" t="s">
        <v>2573</v>
      </c>
      <c r="E2334" s="62"/>
      <c r="F2334" s="62"/>
      <c r="G2334" s="20" t="str">
        <f t="shared" si="1"/>
        <v>Hardware, Hardware Pumps, Utility Pumps, </v>
      </c>
    </row>
    <row r="2335">
      <c r="A2335" s="29">
        <v>500100.0</v>
      </c>
      <c r="B2335" s="29" t="s">
        <v>2423</v>
      </c>
      <c r="C2335" s="29" t="s">
        <v>2568</v>
      </c>
      <c r="D2335" s="29" t="s">
        <v>2574</v>
      </c>
      <c r="E2335" s="62"/>
      <c r="F2335" s="62"/>
      <c r="G2335" s="20" t="str">
        <f t="shared" si="1"/>
        <v>Hardware, Hardware Pumps, Well Pumps &amp; Systems, </v>
      </c>
    </row>
    <row r="2336">
      <c r="A2336" s="29">
        <v>499873.0</v>
      </c>
      <c r="B2336" s="29" t="s">
        <v>2423</v>
      </c>
      <c r="C2336" s="29" t="s">
        <v>2575</v>
      </c>
      <c r="D2336" s="62"/>
      <c r="E2336" s="62"/>
      <c r="F2336" s="62"/>
      <c r="G2336" s="20" t="str">
        <f t="shared" si="1"/>
        <v>Hardware, Heating, Ventilation &amp; Air Conditioning, , </v>
      </c>
    </row>
    <row r="2337">
      <c r="A2337" s="29">
        <v>500090.0</v>
      </c>
      <c r="B2337" s="29" t="s">
        <v>2423</v>
      </c>
      <c r="C2337" s="29" t="s">
        <v>2575</v>
      </c>
      <c r="D2337" s="29" t="s">
        <v>2576</v>
      </c>
      <c r="E2337" s="62"/>
      <c r="F2337" s="62"/>
      <c r="G2337" s="20" t="str">
        <f t="shared" si="1"/>
        <v>Hardware, Heating, Ventilation &amp; Air Conditioning, Air &amp; Filter Dryers, </v>
      </c>
    </row>
    <row r="2338">
      <c r="A2338" s="29">
        <v>499874.0</v>
      </c>
      <c r="B2338" s="29" t="s">
        <v>2423</v>
      </c>
      <c r="C2338" s="29" t="s">
        <v>2575</v>
      </c>
      <c r="D2338" s="29" t="s">
        <v>2577</v>
      </c>
      <c r="E2338" s="62"/>
      <c r="F2338" s="62"/>
      <c r="G2338" s="20" t="str">
        <f t="shared" si="1"/>
        <v>Hardware, Heating, Ventilation &amp; Air Conditioning, Air Ducts, </v>
      </c>
    </row>
    <row r="2339">
      <c r="A2339" s="29">
        <v>1519.0</v>
      </c>
      <c r="B2339" s="29" t="s">
        <v>2423</v>
      </c>
      <c r="C2339" s="29" t="s">
        <v>2575</v>
      </c>
      <c r="D2339" s="29" t="s">
        <v>2578</v>
      </c>
      <c r="E2339" s="62"/>
      <c r="F2339" s="62"/>
      <c r="G2339" s="20" t="str">
        <f t="shared" si="1"/>
        <v>Hardware, Heating, Ventilation &amp; Air Conditioning, HVAC Controls, </v>
      </c>
    </row>
    <row r="2340">
      <c r="A2340" s="29">
        <v>2238.0</v>
      </c>
      <c r="B2340" s="29" t="s">
        <v>2423</v>
      </c>
      <c r="C2340" s="29" t="s">
        <v>2575</v>
      </c>
      <c r="D2340" s="29" t="s">
        <v>2578</v>
      </c>
      <c r="E2340" s="29" t="s">
        <v>2579</v>
      </c>
      <c r="F2340" s="62"/>
      <c r="G2340" s="20" t="str">
        <f t="shared" si="1"/>
        <v>Hardware, Heating, Ventilation &amp; Air Conditioning, HVAC Controls, Control Panels</v>
      </c>
    </row>
    <row r="2341">
      <c r="A2341" s="29">
        <v>500043.0</v>
      </c>
      <c r="B2341" s="29" t="s">
        <v>2423</v>
      </c>
      <c r="C2341" s="29" t="s">
        <v>2575</v>
      </c>
      <c r="D2341" s="29" t="s">
        <v>2578</v>
      </c>
      <c r="E2341" s="29" t="s">
        <v>2580</v>
      </c>
      <c r="F2341" s="62"/>
      <c r="G2341" s="20" t="str">
        <f t="shared" si="1"/>
        <v>Hardware, Heating, Ventilation &amp; Air Conditioning, HVAC Controls, Humidistats</v>
      </c>
    </row>
    <row r="2342">
      <c r="A2342" s="29">
        <v>1897.0</v>
      </c>
      <c r="B2342" s="29" t="s">
        <v>2423</v>
      </c>
      <c r="C2342" s="29" t="s">
        <v>2575</v>
      </c>
      <c r="D2342" s="29" t="s">
        <v>2578</v>
      </c>
      <c r="E2342" s="29" t="s">
        <v>2581</v>
      </c>
      <c r="F2342" s="62"/>
      <c r="G2342" s="20" t="str">
        <f t="shared" si="1"/>
        <v>Hardware, Heating, Ventilation &amp; Air Conditioning, HVAC Controls, Thermostats</v>
      </c>
    </row>
    <row r="2343">
      <c r="A2343" s="29">
        <v>2766.0</v>
      </c>
      <c r="B2343" s="29" t="s">
        <v>2423</v>
      </c>
      <c r="C2343" s="29" t="s">
        <v>2575</v>
      </c>
      <c r="D2343" s="29" t="s">
        <v>2582</v>
      </c>
      <c r="E2343" s="62"/>
      <c r="F2343" s="62"/>
      <c r="G2343" s="20" t="str">
        <f t="shared" si="1"/>
        <v>Hardware, Heating, Ventilation &amp; Air Conditioning, Vents &amp; Flues, </v>
      </c>
    </row>
    <row r="2344">
      <c r="A2344" s="29">
        <v>1974.0</v>
      </c>
      <c r="B2344" s="29" t="s">
        <v>2423</v>
      </c>
      <c r="C2344" s="29" t="s">
        <v>2583</v>
      </c>
      <c r="D2344" s="62"/>
      <c r="E2344" s="62"/>
      <c r="F2344" s="62"/>
      <c r="G2344" s="20" t="str">
        <f t="shared" si="1"/>
        <v>Hardware, Locks &amp; Keys, , </v>
      </c>
    </row>
    <row r="2345">
      <c r="A2345" s="29">
        <v>6488.0</v>
      </c>
      <c r="B2345" s="29" t="s">
        <v>2423</v>
      </c>
      <c r="C2345" s="29" t="s">
        <v>2583</v>
      </c>
      <c r="D2345" s="29" t="s">
        <v>2584</v>
      </c>
      <c r="E2345" s="62"/>
      <c r="F2345" s="62"/>
      <c r="G2345" s="20" t="str">
        <f t="shared" si="1"/>
        <v>Hardware, Locks &amp; Keys, Key Blanks, </v>
      </c>
    </row>
    <row r="2346">
      <c r="A2346" s="29">
        <v>8067.0</v>
      </c>
      <c r="B2346" s="29" t="s">
        <v>2423</v>
      </c>
      <c r="C2346" s="29" t="s">
        <v>2583</v>
      </c>
      <c r="D2346" s="29" t="s">
        <v>2585</v>
      </c>
      <c r="E2346" s="62"/>
      <c r="F2346" s="62"/>
      <c r="G2346" s="20" t="str">
        <f t="shared" si="1"/>
        <v>Hardware, Locks &amp; Keys, Key Caps, </v>
      </c>
    </row>
    <row r="2347">
      <c r="A2347" s="29">
        <v>1870.0</v>
      </c>
      <c r="B2347" s="29" t="s">
        <v>2423</v>
      </c>
      <c r="C2347" s="29" t="s">
        <v>2583</v>
      </c>
      <c r="D2347" s="29" t="s">
        <v>2586</v>
      </c>
      <c r="E2347" s="62"/>
      <c r="F2347" s="62"/>
      <c r="G2347" s="20" t="str">
        <f t="shared" si="1"/>
        <v>Hardware, Locks &amp; Keys, Key Card Entry Systems, </v>
      </c>
    </row>
    <row r="2348">
      <c r="A2348" s="29">
        <v>503730.0</v>
      </c>
      <c r="B2348" s="29" t="s">
        <v>2423</v>
      </c>
      <c r="C2348" s="29" t="s">
        <v>2583</v>
      </c>
      <c r="D2348" s="29" t="s">
        <v>2587</v>
      </c>
      <c r="E2348" s="62"/>
      <c r="F2348" s="62"/>
      <c r="G2348" s="20" t="str">
        <f t="shared" si="1"/>
        <v>Hardware, Locks &amp; Keys, Locks &amp; Latches, </v>
      </c>
    </row>
    <row r="2349">
      <c r="A2349" s="29">
        <v>133.0</v>
      </c>
      <c r="B2349" s="29" t="s">
        <v>2423</v>
      </c>
      <c r="C2349" s="29" t="s">
        <v>2588</v>
      </c>
      <c r="D2349" s="62"/>
      <c r="E2349" s="62"/>
      <c r="F2349" s="62"/>
      <c r="G2349" s="20" t="str">
        <f t="shared" si="1"/>
        <v>Hardware, Plumbing, , </v>
      </c>
    </row>
    <row r="2350">
      <c r="A2350" s="29">
        <v>1810.0</v>
      </c>
      <c r="B2350" s="29" t="s">
        <v>2423</v>
      </c>
      <c r="C2350" s="29" t="s">
        <v>2588</v>
      </c>
      <c r="D2350" s="29" t="s">
        <v>2589</v>
      </c>
      <c r="F2350" s="62"/>
      <c r="G2350" s="20" t="str">
        <f t="shared" si="1"/>
        <v>Hardware, Plumbing, Plumbing Fittings &amp; Supports, </v>
      </c>
    </row>
    <row r="2351">
      <c r="A2351" s="29">
        <v>6732.0</v>
      </c>
      <c r="B2351" s="29" t="s">
        <v>2423</v>
      </c>
      <c r="C2351" s="29" t="s">
        <v>2588</v>
      </c>
      <c r="D2351" s="29" t="s">
        <v>2589</v>
      </c>
      <c r="E2351" s="29" t="s">
        <v>2590</v>
      </c>
      <c r="F2351" s="62"/>
      <c r="G2351" s="20" t="str">
        <f t="shared" si="1"/>
        <v>Hardware, Plumbing, Plumbing Fittings &amp; Supports, Gaskets &amp; O-Rings</v>
      </c>
    </row>
    <row r="2352">
      <c r="A2352" s="29">
        <v>499697.0</v>
      </c>
      <c r="B2352" s="29" t="s">
        <v>2423</v>
      </c>
      <c r="C2352" s="29" t="s">
        <v>2588</v>
      </c>
      <c r="D2352" s="29" t="s">
        <v>2589</v>
      </c>
      <c r="E2352" s="29" t="s">
        <v>2591</v>
      </c>
      <c r="G2352" s="20" t="str">
        <f t="shared" si="1"/>
        <v>Hardware, Plumbing, Plumbing Fittings &amp; Supports, In-Wall Carriers &amp; Mounting Frames</v>
      </c>
    </row>
    <row r="2353">
      <c r="A2353" s="29">
        <v>2068.0</v>
      </c>
      <c r="B2353" s="29" t="s">
        <v>2423</v>
      </c>
      <c r="C2353" s="29" t="s">
        <v>2588</v>
      </c>
      <c r="D2353" s="29" t="s">
        <v>2589</v>
      </c>
      <c r="E2353" s="29" t="s">
        <v>2592</v>
      </c>
      <c r="F2353" s="62"/>
      <c r="G2353" s="20" t="str">
        <f t="shared" si="1"/>
        <v>Hardware, Plumbing, Plumbing Fittings &amp; Supports, Nozzles</v>
      </c>
    </row>
    <row r="2354">
      <c r="A2354" s="29">
        <v>2710.0</v>
      </c>
      <c r="B2354" s="29" t="s">
        <v>2423</v>
      </c>
      <c r="C2354" s="29" t="s">
        <v>2588</v>
      </c>
      <c r="D2354" s="29" t="s">
        <v>2589</v>
      </c>
      <c r="E2354" s="29" t="s">
        <v>2593</v>
      </c>
      <c r="F2354" s="62"/>
      <c r="G2354" s="20" t="str">
        <f t="shared" si="1"/>
        <v>Hardware, Plumbing, Plumbing Fittings &amp; Supports, Pipe Adapters &amp; Bushings</v>
      </c>
    </row>
    <row r="2355">
      <c r="A2355" s="29">
        <v>2909.0</v>
      </c>
      <c r="B2355" s="29" t="s">
        <v>2423</v>
      </c>
      <c r="C2355" s="29" t="s">
        <v>2588</v>
      </c>
      <c r="D2355" s="29" t="s">
        <v>2589</v>
      </c>
      <c r="E2355" s="29" t="s">
        <v>2594</v>
      </c>
      <c r="F2355" s="62"/>
      <c r="G2355" s="20" t="str">
        <f t="shared" si="1"/>
        <v>Hardware, Plumbing, Plumbing Fittings &amp; Supports, Pipe Caps &amp; Plugs</v>
      </c>
    </row>
    <row r="2356">
      <c r="A2356" s="29">
        <v>2359.0</v>
      </c>
      <c r="B2356" s="29" t="s">
        <v>2423</v>
      </c>
      <c r="C2356" s="29" t="s">
        <v>2588</v>
      </c>
      <c r="D2356" s="29" t="s">
        <v>2589</v>
      </c>
      <c r="E2356" s="29" t="s">
        <v>2595</v>
      </c>
      <c r="F2356" s="62"/>
      <c r="G2356" s="20" t="str">
        <f t="shared" si="1"/>
        <v>Hardware, Plumbing, Plumbing Fittings &amp; Supports, Pipe Connectors</v>
      </c>
    </row>
    <row r="2357">
      <c r="A2357" s="29">
        <v>1694.0</v>
      </c>
      <c r="B2357" s="29" t="s">
        <v>2423</v>
      </c>
      <c r="C2357" s="29" t="s">
        <v>2588</v>
      </c>
      <c r="D2357" s="29" t="s">
        <v>2589</v>
      </c>
      <c r="E2357" s="29" t="s">
        <v>2596</v>
      </c>
      <c r="F2357" s="62"/>
      <c r="G2357" s="20" t="str">
        <f t="shared" si="1"/>
        <v>Hardware, Plumbing, Plumbing Fittings &amp; Supports, Plumbing Flanges</v>
      </c>
    </row>
    <row r="2358">
      <c r="A2358" s="29">
        <v>2634.0</v>
      </c>
      <c r="B2358" s="29" t="s">
        <v>2423</v>
      </c>
      <c r="C2358" s="29" t="s">
        <v>2588</v>
      </c>
      <c r="D2358" s="29" t="s">
        <v>2589</v>
      </c>
      <c r="E2358" s="29" t="s">
        <v>2597</v>
      </c>
      <c r="F2358" s="62"/>
      <c r="G2358" s="20" t="str">
        <f t="shared" si="1"/>
        <v>Hardware, Plumbing, Plumbing Fittings &amp; Supports, Plumbing Pipe Clamps</v>
      </c>
    </row>
    <row r="2359">
      <c r="A2359" s="29">
        <v>2611.0</v>
      </c>
      <c r="B2359" s="29" t="s">
        <v>2423</v>
      </c>
      <c r="C2359" s="29" t="s">
        <v>2588</v>
      </c>
      <c r="D2359" s="29" t="s">
        <v>2589</v>
      </c>
      <c r="E2359" s="29" t="s">
        <v>2598</v>
      </c>
      <c r="F2359" s="62"/>
      <c r="G2359" s="20" t="str">
        <f t="shared" si="1"/>
        <v>Hardware, Plumbing, Plumbing Fittings &amp; Supports, Plumbing Regulators</v>
      </c>
    </row>
    <row r="2360">
      <c r="A2360" s="29">
        <v>2466.0</v>
      </c>
      <c r="B2360" s="29" t="s">
        <v>2423</v>
      </c>
      <c r="C2360" s="29" t="s">
        <v>2588</v>
      </c>
      <c r="D2360" s="29" t="s">
        <v>2589</v>
      </c>
      <c r="E2360" s="29" t="s">
        <v>2599</v>
      </c>
      <c r="F2360" s="62"/>
      <c r="G2360" s="20" t="str">
        <f t="shared" si="1"/>
        <v>Hardware, Plumbing, Plumbing Fittings &amp; Supports, Plumbing Valves</v>
      </c>
    </row>
    <row r="2361">
      <c r="A2361" s="29">
        <v>504635.0</v>
      </c>
      <c r="B2361" s="29" t="s">
        <v>2423</v>
      </c>
      <c r="C2361" s="29" t="s">
        <v>2588</v>
      </c>
      <c r="D2361" s="29" t="s">
        <v>2600</v>
      </c>
      <c r="F2361" s="62"/>
      <c r="G2361" s="20" t="str">
        <f t="shared" si="1"/>
        <v>Hardware, Plumbing, Plumbing Fixture Hardware &amp; Parts, </v>
      </c>
    </row>
    <row r="2362">
      <c r="A2362" s="29">
        <v>2996.0</v>
      </c>
      <c r="B2362" s="29" t="s">
        <v>2423</v>
      </c>
      <c r="C2362" s="29" t="s">
        <v>2588</v>
      </c>
      <c r="D2362" s="29" t="s">
        <v>2600</v>
      </c>
      <c r="E2362" s="29" t="s">
        <v>2601</v>
      </c>
      <c r="F2362" s="62"/>
      <c r="G2362" s="20" t="str">
        <f t="shared" si="1"/>
        <v>Hardware, Plumbing, Plumbing Fixture Hardware &amp; Parts, Bathtub Accessories</v>
      </c>
    </row>
    <row r="2363">
      <c r="A2363" s="29">
        <v>505368.0</v>
      </c>
      <c r="B2363" s="29" t="s">
        <v>2423</v>
      </c>
      <c r="C2363" s="29" t="s">
        <v>2588</v>
      </c>
      <c r="D2363" s="29" t="s">
        <v>2600</v>
      </c>
      <c r="E2363" s="29" t="s">
        <v>2601</v>
      </c>
      <c r="F2363" s="29" t="s">
        <v>2602</v>
      </c>
      <c r="G2363" s="20" t="str">
        <f t="shared" si="1"/>
        <v>Hardware, Plumbing, Plumbing Fixture Hardware &amp; Parts, Bathtub AccessoriesBathtub Bases &amp; Feet</v>
      </c>
    </row>
    <row r="2364">
      <c r="A2364" s="29">
        <v>5508.0</v>
      </c>
      <c r="B2364" s="29" t="s">
        <v>2423</v>
      </c>
      <c r="C2364" s="29" t="s">
        <v>2588</v>
      </c>
      <c r="D2364" s="29" t="s">
        <v>2600</v>
      </c>
      <c r="E2364" s="29" t="s">
        <v>2601</v>
      </c>
      <c r="F2364" s="29" t="s">
        <v>2603</v>
      </c>
      <c r="G2364" s="20" t="str">
        <f t="shared" si="1"/>
        <v>Hardware, Plumbing, Plumbing Fixture Hardware &amp; Parts, Bathtub AccessoriesBathtub Skirts</v>
      </c>
    </row>
    <row r="2365">
      <c r="A2365" s="29">
        <v>2463.0</v>
      </c>
      <c r="B2365" s="29" t="s">
        <v>2423</v>
      </c>
      <c r="C2365" s="29" t="s">
        <v>2588</v>
      </c>
      <c r="D2365" s="29" t="s">
        <v>2600</v>
      </c>
      <c r="E2365" s="29" t="s">
        <v>2601</v>
      </c>
      <c r="F2365" s="29" t="s">
        <v>2604</v>
      </c>
      <c r="G2365" s="20" t="str">
        <f t="shared" si="1"/>
        <v>Hardware, Plumbing, Plumbing Fixture Hardware &amp; Parts, Bathtub AccessoriesBathtub Spouts</v>
      </c>
    </row>
    <row r="2366">
      <c r="A2366" s="29">
        <v>504637.0</v>
      </c>
      <c r="B2366" s="29" t="s">
        <v>2423</v>
      </c>
      <c r="C2366" s="29" t="s">
        <v>2588</v>
      </c>
      <c r="D2366" s="29" t="s">
        <v>2600</v>
      </c>
      <c r="E2366" s="29" t="s">
        <v>2605</v>
      </c>
      <c r="F2366" s="62"/>
      <c r="G2366" s="20" t="str">
        <f t="shared" si="1"/>
        <v>Hardware, Plumbing, Plumbing Fixture Hardware &amp; Parts, Drain Components</v>
      </c>
    </row>
    <row r="2367">
      <c r="A2367" s="29">
        <v>2851.0</v>
      </c>
      <c r="B2367" s="29" t="s">
        <v>2423</v>
      </c>
      <c r="C2367" s="29" t="s">
        <v>2588</v>
      </c>
      <c r="D2367" s="29" t="s">
        <v>2600</v>
      </c>
      <c r="E2367" s="29" t="s">
        <v>2605</v>
      </c>
      <c r="F2367" s="29" t="s">
        <v>2606</v>
      </c>
      <c r="G2367" s="20" t="str">
        <f t="shared" si="1"/>
        <v>Hardware, Plumbing, Plumbing Fixture Hardware &amp; Parts, Drain ComponentsDrain Covers &amp; Strainers</v>
      </c>
    </row>
    <row r="2368">
      <c r="A2368" s="29">
        <v>1514.0</v>
      </c>
      <c r="B2368" s="29" t="s">
        <v>2423</v>
      </c>
      <c r="C2368" s="29" t="s">
        <v>2588</v>
      </c>
      <c r="D2368" s="29" t="s">
        <v>2600</v>
      </c>
      <c r="E2368" s="29" t="s">
        <v>2605</v>
      </c>
      <c r="F2368" s="29" t="s">
        <v>2607</v>
      </c>
      <c r="G2368" s="20" t="str">
        <f t="shared" si="1"/>
        <v>Hardware, Plumbing, Plumbing Fixture Hardware &amp; Parts, Drain ComponentsDrain Frames</v>
      </c>
    </row>
    <row r="2369">
      <c r="A2369" s="29">
        <v>2257.0</v>
      </c>
      <c r="B2369" s="29" t="s">
        <v>2423</v>
      </c>
      <c r="C2369" s="29" t="s">
        <v>2588</v>
      </c>
      <c r="D2369" s="29" t="s">
        <v>2600</v>
      </c>
      <c r="E2369" s="29" t="s">
        <v>2605</v>
      </c>
      <c r="F2369" s="29" t="s">
        <v>2608</v>
      </c>
      <c r="G2369" s="20" t="str">
        <f t="shared" si="1"/>
        <v>Hardware, Plumbing, Plumbing Fixture Hardware &amp; Parts, Drain ComponentsDrain Liners</v>
      </c>
    </row>
    <row r="2370">
      <c r="A2370" s="29">
        <v>1932.0</v>
      </c>
      <c r="B2370" s="29" t="s">
        <v>2423</v>
      </c>
      <c r="C2370" s="29" t="s">
        <v>2588</v>
      </c>
      <c r="D2370" s="29" t="s">
        <v>2600</v>
      </c>
      <c r="E2370" s="29" t="s">
        <v>2605</v>
      </c>
      <c r="F2370" s="29" t="s">
        <v>2609</v>
      </c>
      <c r="G2370" s="20" t="str">
        <f t="shared" si="1"/>
        <v>Hardware, Plumbing, Plumbing Fixture Hardware &amp; Parts, Drain ComponentsDrain Openers</v>
      </c>
    </row>
    <row r="2371">
      <c r="A2371" s="29">
        <v>1407.0</v>
      </c>
      <c r="B2371" s="29" t="s">
        <v>2423</v>
      </c>
      <c r="C2371" s="29" t="s">
        <v>2588</v>
      </c>
      <c r="D2371" s="29" t="s">
        <v>2600</v>
      </c>
      <c r="E2371" s="29" t="s">
        <v>2605</v>
      </c>
      <c r="F2371" s="29" t="s">
        <v>2610</v>
      </c>
      <c r="G2371" s="20" t="str">
        <f t="shared" si="1"/>
        <v>Hardware, Plumbing, Plumbing Fixture Hardware &amp; Parts, Drain ComponentsDrain Rods</v>
      </c>
    </row>
    <row r="2372">
      <c r="A2372" s="29">
        <v>1319.0</v>
      </c>
      <c r="B2372" s="29" t="s">
        <v>2423</v>
      </c>
      <c r="C2372" s="29" t="s">
        <v>2588</v>
      </c>
      <c r="D2372" s="29" t="s">
        <v>2600</v>
      </c>
      <c r="E2372" s="29" t="s">
        <v>2605</v>
      </c>
      <c r="F2372" s="29" t="s">
        <v>2611</v>
      </c>
      <c r="G2372" s="20" t="str">
        <f t="shared" si="1"/>
        <v>Hardware, Plumbing, Plumbing Fixture Hardware &amp; Parts, Drain ComponentsPlumbing Traps</v>
      </c>
    </row>
    <row r="2373">
      <c r="A2373" s="29">
        <v>2170.0</v>
      </c>
      <c r="B2373" s="29" t="s">
        <v>2423</v>
      </c>
      <c r="C2373" s="29" t="s">
        <v>2588</v>
      </c>
      <c r="D2373" s="29" t="s">
        <v>2600</v>
      </c>
      <c r="E2373" s="29" t="s">
        <v>2605</v>
      </c>
      <c r="F2373" s="29" t="s">
        <v>2612</v>
      </c>
      <c r="G2373" s="20" t="str">
        <f t="shared" si="1"/>
        <v>Hardware, Plumbing, Plumbing Fixture Hardware &amp; Parts, Drain ComponentsPlumbing Wastes</v>
      </c>
    </row>
    <row r="2374">
      <c r="A2374" s="29">
        <v>504636.0</v>
      </c>
      <c r="B2374" s="29" t="s">
        <v>2423</v>
      </c>
      <c r="C2374" s="29" t="s">
        <v>2588</v>
      </c>
      <c r="D2374" s="29" t="s">
        <v>2600</v>
      </c>
      <c r="E2374" s="29" t="s">
        <v>2613</v>
      </c>
      <c r="F2374" s="62"/>
      <c r="G2374" s="20" t="str">
        <f t="shared" si="1"/>
        <v>Hardware, Plumbing, Plumbing Fixture Hardware &amp; Parts, Drains</v>
      </c>
    </row>
    <row r="2375">
      <c r="A2375" s="29">
        <v>1489.0</v>
      </c>
      <c r="B2375" s="29" t="s">
        <v>2423</v>
      </c>
      <c r="C2375" s="29" t="s">
        <v>2588</v>
      </c>
      <c r="D2375" s="29" t="s">
        <v>2600</v>
      </c>
      <c r="E2375" s="29" t="s">
        <v>2614</v>
      </c>
      <c r="F2375" s="62"/>
      <c r="G2375" s="20" t="str">
        <f t="shared" si="1"/>
        <v>Hardware, Plumbing, Plumbing Fixture Hardware &amp; Parts, Faucet Accessories</v>
      </c>
    </row>
    <row r="2376">
      <c r="A2376" s="29">
        <v>8115.0</v>
      </c>
      <c r="B2376" s="29" t="s">
        <v>2423</v>
      </c>
      <c r="C2376" s="29" t="s">
        <v>2588</v>
      </c>
      <c r="D2376" s="29" t="s">
        <v>2600</v>
      </c>
      <c r="E2376" s="29" t="s">
        <v>2614</v>
      </c>
      <c r="F2376" s="29" t="s">
        <v>2615</v>
      </c>
      <c r="G2376" s="20" t="str">
        <f t="shared" si="1"/>
        <v>Hardware, Plumbing, Plumbing Fixture Hardware &amp; Parts, Faucet AccessoriesFaucet Aerators</v>
      </c>
    </row>
    <row r="2377">
      <c r="A2377" s="29">
        <v>8116.0</v>
      </c>
      <c r="B2377" s="29" t="s">
        <v>2423</v>
      </c>
      <c r="C2377" s="29" t="s">
        <v>2588</v>
      </c>
      <c r="D2377" s="29" t="s">
        <v>2600</v>
      </c>
      <c r="E2377" s="29" t="s">
        <v>2614</v>
      </c>
      <c r="F2377" s="29" t="s">
        <v>2616</v>
      </c>
      <c r="G2377" s="20" t="str">
        <f t="shared" si="1"/>
        <v>Hardware, Plumbing, Plumbing Fixture Hardware &amp; Parts, Faucet AccessoriesFaucet Handles &amp; Controls</v>
      </c>
    </row>
    <row r="2378">
      <c r="A2378" s="29">
        <v>1458.0</v>
      </c>
      <c r="B2378" s="29" t="s">
        <v>2423</v>
      </c>
      <c r="C2378" s="29" t="s">
        <v>2588</v>
      </c>
      <c r="D2378" s="29" t="s">
        <v>2600</v>
      </c>
      <c r="E2378" s="29" t="s">
        <v>2617</v>
      </c>
      <c r="F2378" s="62"/>
      <c r="G2378" s="20" t="str">
        <f t="shared" si="1"/>
        <v>Hardware, Plumbing, Plumbing Fixture Hardware &amp; Parts, Fixture Plates</v>
      </c>
    </row>
    <row r="2379">
      <c r="A2379" s="29">
        <v>2206.0</v>
      </c>
      <c r="B2379" s="29" t="s">
        <v>2423</v>
      </c>
      <c r="C2379" s="29" t="s">
        <v>2588</v>
      </c>
      <c r="D2379" s="29" t="s">
        <v>2600</v>
      </c>
      <c r="E2379" s="29" t="s">
        <v>2618</v>
      </c>
      <c r="F2379" s="62"/>
      <c r="G2379" s="20" t="str">
        <f t="shared" si="1"/>
        <v>Hardware, Plumbing, Plumbing Fixture Hardware &amp; Parts, Shower Parts</v>
      </c>
    </row>
    <row r="2380">
      <c r="A2380" s="29">
        <v>8320.0</v>
      </c>
      <c r="B2380" s="29" t="s">
        <v>2423</v>
      </c>
      <c r="C2380" s="29" t="s">
        <v>2588</v>
      </c>
      <c r="D2380" s="29" t="s">
        <v>2600</v>
      </c>
      <c r="E2380" s="29" t="s">
        <v>2618</v>
      </c>
      <c r="F2380" s="29" t="s">
        <v>2619</v>
      </c>
      <c r="G2380" s="20" t="str">
        <f t="shared" si="1"/>
        <v>Hardware, Plumbing, Plumbing Fixture Hardware &amp; Parts, Shower PartsBathtub &amp; Shower Jets</v>
      </c>
    </row>
    <row r="2381">
      <c r="A2381" s="29">
        <v>8277.0</v>
      </c>
      <c r="B2381" s="29" t="s">
        <v>2423</v>
      </c>
      <c r="C2381" s="29" t="s">
        <v>2588</v>
      </c>
      <c r="D2381" s="29" t="s">
        <v>2600</v>
      </c>
      <c r="E2381" s="29" t="s">
        <v>2618</v>
      </c>
      <c r="F2381" s="29" t="s">
        <v>2620</v>
      </c>
      <c r="G2381" s="20" t="str">
        <f t="shared" si="1"/>
        <v>Hardware, Plumbing, Plumbing Fixture Hardware &amp; Parts, Shower PartsElectric &amp; Power Showers</v>
      </c>
    </row>
    <row r="2382">
      <c r="A2382" s="29">
        <v>504638.0</v>
      </c>
      <c r="B2382" s="29" t="s">
        <v>2423</v>
      </c>
      <c r="C2382" s="29" t="s">
        <v>2588</v>
      </c>
      <c r="D2382" s="29" t="s">
        <v>2600</v>
      </c>
      <c r="E2382" s="29" t="s">
        <v>2618</v>
      </c>
      <c r="F2382" s="29" t="s">
        <v>2621</v>
      </c>
      <c r="G2382" s="20" t="str">
        <f t="shared" si="1"/>
        <v>Hardware, Plumbing, Plumbing Fixture Hardware &amp; Parts, Shower PartsShower Arms &amp; Connectors</v>
      </c>
    </row>
    <row r="2383">
      <c r="A2383" s="29">
        <v>4728.0</v>
      </c>
      <c r="B2383" s="29" t="s">
        <v>2423</v>
      </c>
      <c r="C2383" s="29" t="s">
        <v>2588</v>
      </c>
      <c r="D2383" s="29" t="s">
        <v>2600</v>
      </c>
      <c r="E2383" s="29" t="s">
        <v>2618</v>
      </c>
      <c r="F2383" s="29" t="s">
        <v>2622</v>
      </c>
      <c r="G2383" s="20" t="str">
        <f t="shared" si="1"/>
        <v>Hardware, Plumbing, Plumbing Fixture Hardware &amp; Parts, Shower PartsShower Bases</v>
      </c>
    </row>
    <row r="2384">
      <c r="A2384" s="29">
        <v>2088.0</v>
      </c>
      <c r="B2384" s="29" t="s">
        <v>2423</v>
      </c>
      <c r="C2384" s="29" t="s">
        <v>2588</v>
      </c>
      <c r="D2384" s="29" t="s">
        <v>2600</v>
      </c>
      <c r="E2384" s="29" t="s">
        <v>2618</v>
      </c>
      <c r="F2384" s="29" t="s">
        <v>2623</v>
      </c>
      <c r="G2384" s="20" t="str">
        <f t="shared" si="1"/>
        <v>Hardware, Plumbing, Plumbing Fixture Hardware &amp; Parts, Shower PartsShower Columns</v>
      </c>
    </row>
    <row r="2385">
      <c r="A2385" s="29">
        <v>1779.0</v>
      </c>
      <c r="B2385" s="29" t="s">
        <v>2423</v>
      </c>
      <c r="C2385" s="29" t="s">
        <v>2588</v>
      </c>
      <c r="D2385" s="29" t="s">
        <v>2600</v>
      </c>
      <c r="E2385" s="29" t="s">
        <v>2618</v>
      </c>
      <c r="F2385" s="29" t="s">
        <v>2624</v>
      </c>
      <c r="G2385" s="20" t="str">
        <f t="shared" si="1"/>
        <v>Hardware, Plumbing, Plumbing Fixture Hardware &amp; Parts, Shower PartsShower Doors &amp; Enclosures</v>
      </c>
    </row>
    <row r="2386">
      <c r="A2386" s="29">
        <v>581.0</v>
      </c>
      <c r="B2386" s="29" t="s">
        <v>2423</v>
      </c>
      <c r="C2386" s="29" t="s">
        <v>2588</v>
      </c>
      <c r="D2386" s="29" t="s">
        <v>2600</v>
      </c>
      <c r="E2386" s="29" t="s">
        <v>2618</v>
      </c>
      <c r="F2386" s="29" t="s">
        <v>2625</v>
      </c>
      <c r="G2386" s="20" t="str">
        <f t="shared" si="1"/>
        <v>Hardware, Plumbing, Plumbing Fixture Hardware &amp; Parts, Shower PartsShower Heads</v>
      </c>
    </row>
    <row r="2387">
      <c r="A2387" s="29">
        <v>7130.0</v>
      </c>
      <c r="B2387" s="29" t="s">
        <v>2423</v>
      </c>
      <c r="C2387" s="29" t="s">
        <v>2588</v>
      </c>
      <c r="D2387" s="29" t="s">
        <v>2600</v>
      </c>
      <c r="E2387" s="29" t="s">
        <v>2618</v>
      </c>
      <c r="F2387" s="29" t="s">
        <v>2626</v>
      </c>
      <c r="G2387" s="20" t="str">
        <f t="shared" si="1"/>
        <v>Hardware, Plumbing, Plumbing Fixture Hardware &amp; Parts, Shower PartsShower Walls &amp; Surrounds</v>
      </c>
    </row>
    <row r="2388">
      <c r="A2388" s="29">
        <v>5048.0</v>
      </c>
      <c r="B2388" s="29" t="s">
        <v>2423</v>
      </c>
      <c r="C2388" s="29" t="s">
        <v>2588</v>
      </c>
      <c r="D2388" s="29" t="s">
        <v>2600</v>
      </c>
      <c r="E2388" s="29" t="s">
        <v>2618</v>
      </c>
      <c r="F2388" s="29" t="s">
        <v>2627</v>
      </c>
      <c r="G2388" s="20" t="str">
        <f t="shared" si="1"/>
        <v>Hardware, Plumbing, Plumbing Fixture Hardware &amp; Parts, Shower PartsShower Water Filters</v>
      </c>
    </row>
    <row r="2389">
      <c r="A2389" s="29">
        <v>1963.0</v>
      </c>
      <c r="B2389" s="29" t="s">
        <v>2423</v>
      </c>
      <c r="C2389" s="29" t="s">
        <v>2588</v>
      </c>
      <c r="D2389" s="29" t="s">
        <v>2600</v>
      </c>
      <c r="E2389" s="29" t="s">
        <v>2628</v>
      </c>
      <c r="F2389" s="62"/>
      <c r="G2389" s="20" t="str">
        <f t="shared" si="1"/>
        <v>Hardware, Plumbing, Plumbing Fixture Hardware &amp; Parts, Sink Accessories</v>
      </c>
    </row>
    <row r="2390">
      <c r="A2390" s="29">
        <v>2410.0</v>
      </c>
      <c r="B2390" s="29" t="s">
        <v>2423</v>
      </c>
      <c r="C2390" s="29" t="s">
        <v>2588</v>
      </c>
      <c r="D2390" s="29" t="s">
        <v>2600</v>
      </c>
      <c r="E2390" s="29" t="s">
        <v>2628</v>
      </c>
      <c r="F2390" s="29" t="s">
        <v>2629</v>
      </c>
      <c r="G2390" s="20" t="str">
        <f t="shared" si="1"/>
        <v>Hardware, Plumbing, Plumbing Fixture Hardware &amp; Parts, Sink AccessoriesSink Legs</v>
      </c>
    </row>
    <row r="2391">
      <c r="A2391" s="29">
        <v>2691.0</v>
      </c>
      <c r="B2391" s="29" t="s">
        <v>2423</v>
      </c>
      <c r="C2391" s="29" t="s">
        <v>2588</v>
      </c>
      <c r="D2391" s="29" t="s">
        <v>2600</v>
      </c>
      <c r="E2391" s="29" t="s">
        <v>2630</v>
      </c>
      <c r="F2391" s="62"/>
      <c r="G2391" s="20" t="str">
        <f t="shared" si="1"/>
        <v>Hardware, Plumbing, Plumbing Fixture Hardware &amp; Parts, Toilet &amp; Bidet Accessories</v>
      </c>
    </row>
    <row r="2392">
      <c r="A2392" s="29">
        <v>1425.0</v>
      </c>
      <c r="B2392" s="29" t="s">
        <v>2423</v>
      </c>
      <c r="C2392" s="29" t="s">
        <v>2588</v>
      </c>
      <c r="D2392" s="29" t="s">
        <v>2600</v>
      </c>
      <c r="E2392" s="29" t="s">
        <v>2630</v>
      </c>
      <c r="F2392" s="29" t="s">
        <v>2631</v>
      </c>
      <c r="G2392" s="20" t="str">
        <f t="shared" si="1"/>
        <v>Hardware, Plumbing, Plumbing Fixture Hardware &amp; Parts, Toilet &amp; Bidet AccessoriesBallcocks &amp; Flappers</v>
      </c>
    </row>
    <row r="2393">
      <c r="A2393" s="29">
        <v>504634.0</v>
      </c>
      <c r="B2393" s="29" t="s">
        <v>2423</v>
      </c>
      <c r="C2393" s="29" t="s">
        <v>2588</v>
      </c>
      <c r="D2393" s="29" t="s">
        <v>2600</v>
      </c>
      <c r="E2393" s="29" t="s">
        <v>2630</v>
      </c>
      <c r="F2393" s="29" t="s">
        <v>2632</v>
      </c>
      <c r="G2393" s="20" t="str">
        <f t="shared" si="1"/>
        <v>Hardware, Plumbing, Plumbing Fixture Hardware &amp; Parts, Toilet &amp; Bidet AccessoriesBidet Faucets &amp; Sprayers</v>
      </c>
    </row>
    <row r="2394">
      <c r="A2394" s="29">
        <v>1865.0</v>
      </c>
      <c r="B2394" s="29" t="s">
        <v>2423</v>
      </c>
      <c r="C2394" s="29" t="s">
        <v>2588</v>
      </c>
      <c r="D2394" s="29" t="s">
        <v>2600</v>
      </c>
      <c r="E2394" s="29" t="s">
        <v>2630</v>
      </c>
      <c r="F2394" s="29" t="s">
        <v>2633</v>
      </c>
      <c r="G2394" s="20" t="str">
        <f t="shared" si="1"/>
        <v>Hardware, Plumbing, Plumbing Fixture Hardware &amp; Parts, Toilet &amp; Bidet AccessoriesToilet &amp; Bidet Seats</v>
      </c>
    </row>
    <row r="2395">
      <c r="A2395" s="29">
        <v>7358.0</v>
      </c>
      <c r="B2395" s="29" t="s">
        <v>2423</v>
      </c>
      <c r="C2395" s="29" t="s">
        <v>2588</v>
      </c>
      <c r="D2395" s="29" t="s">
        <v>2600</v>
      </c>
      <c r="E2395" s="29" t="s">
        <v>2630</v>
      </c>
      <c r="F2395" s="29" t="s">
        <v>2634</v>
      </c>
      <c r="G2395" s="20" t="str">
        <f t="shared" si="1"/>
        <v>Hardware, Plumbing, Plumbing Fixture Hardware &amp; Parts, Toilet &amp; Bidet AccessoriesToilet Seat Covers</v>
      </c>
    </row>
    <row r="2396">
      <c r="A2396" s="29">
        <v>7446.0</v>
      </c>
      <c r="B2396" s="29" t="s">
        <v>2423</v>
      </c>
      <c r="C2396" s="29" t="s">
        <v>2588</v>
      </c>
      <c r="D2396" s="29" t="s">
        <v>2600</v>
      </c>
      <c r="E2396" s="29" t="s">
        <v>2630</v>
      </c>
      <c r="F2396" s="29" t="s">
        <v>2635</v>
      </c>
      <c r="G2396" s="20" t="str">
        <f t="shared" si="1"/>
        <v>Hardware, Plumbing, Plumbing Fixture Hardware &amp; Parts, Toilet &amp; Bidet AccessoriesToilet Seat Lid Covers</v>
      </c>
    </row>
    <row r="2397">
      <c r="A2397" s="29">
        <v>5666.0</v>
      </c>
      <c r="B2397" s="29" t="s">
        <v>2423</v>
      </c>
      <c r="C2397" s="29" t="s">
        <v>2588</v>
      </c>
      <c r="D2397" s="29" t="s">
        <v>2600</v>
      </c>
      <c r="E2397" s="29" t="s">
        <v>2630</v>
      </c>
      <c r="F2397" s="29" t="s">
        <v>2636</v>
      </c>
      <c r="G2397" s="20" t="str">
        <f t="shared" si="1"/>
        <v>Hardware, Plumbing, Plumbing Fixture Hardware &amp; Parts, Toilet &amp; Bidet AccessoriesToilet Tank Covers</v>
      </c>
    </row>
    <row r="2398">
      <c r="A2398" s="29">
        <v>2817.0</v>
      </c>
      <c r="B2398" s="29" t="s">
        <v>2423</v>
      </c>
      <c r="C2398" s="29" t="s">
        <v>2588</v>
      </c>
      <c r="D2398" s="29" t="s">
        <v>2600</v>
      </c>
      <c r="E2398" s="29" t="s">
        <v>2630</v>
      </c>
      <c r="F2398" s="29" t="s">
        <v>2637</v>
      </c>
      <c r="G2398" s="20" t="str">
        <f t="shared" si="1"/>
        <v>Hardware, Plumbing, Plumbing Fixture Hardware &amp; Parts, Toilet &amp; Bidet AccessoriesToilet Tank Levers</v>
      </c>
    </row>
    <row r="2399">
      <c r="A2399" s="29">
        <v>5665.0</v>
      </c>
      <c r="B2399" s="29" t="s">
        <v>2423</v>
      </c>
      <c r="C2399" s="29" t="s">
        <v>2588</v>
      </c>
      <c r="D2399" s="29" t="s">
        <v>2600</v>
      </c>
      <c r="E2399" s="29" t="s">
        <v>2630</v>
      </c>
      <c r="F2399" s="29" t="s">
        <v>2638</v>
      </c>
      <c r="G2399" s="20" t="str">
        <f t="shared" si="1"/>
        <v>Hardware, Plumbing, Plumbing Fixture Hardware &amp; Parts, Toilet &amp; Bidet AccessoriesToilet Tanks</v>
      </c>
    </row>
    <row r="2400">
      <c r="A2400" s="29">
        <v>2478.0</v>
      </c>
      <c r="B2400" s="29" t="s">
        <v>2423</v>
      </c>
      <c r="C2400" s="29" t="s">
        <v>2588</v>
      </c>
      <c r="D2400" s="29" t="s">
        <v>2600</v>
      </c>
      <c r="E2400" s="29" t="s">
        <v>2630</v>
      </c>
      <c r="F2400" s="29" t="s">
        <v>2639</v>
      </c>
      <c r="G2400" s="20" t="str">
        <f t="shared" si="1"/>
        <v>Hardware, Plumbing, Plumbing Fixture Hardware &amp; Parts, Toilet &amp; Bidet AccessoriesToilet Trim</v>
      </c>
    </row>
    <row r="2401">
      <c r="A2401" s="29">
        <v>1673.0</v>
      </c>
      <c r="B2401" s="29" t="s">
        <v>2423</v>
      </c>
      <c r="C2401" s="29" t="s">
        <v>2588</v>
      </c>
      <c r="D2401" s="29" t="s">
        <v>2640</v>
      </c>
      <c r="E2401" s="62"/>
      <c r="F2401" s="62"/>
      <c r="G2401" s="20" t="str">
        <f t="shared" si="1"/>
        <v>Hardware, Plumbing, Plumbing Fixtures, </v>
      </c>
    </row>
    <row r="2402">
      <c r="A2402" s="29">
        <v>499999.0</v>
      </c>
      <c r="B2402" s="29" t="s">
        <v>2423</v>
      </c>
      <c r="C2402" s="29" t="s">
        <v>2588</v>
      </c>
      <c r="D2402" s="29" t="s">
        <v>2640</v>
      </c>
      <c r="E2402" s="29" t="s">
        <v>2641</v>
      </c>
      <c r="F2402" s="62"/>
      <c r="G2402" s="20" t="str">
        <f t="shared" si="1"/>
        <v>Hardware, Plumbing, Plumbing Fixtures, Bathroom Suites</v>
      </c>
    </row>
    <row r="2403">
      <c r="A2403" s="29">
        <v>1636.0</v>
      </c>
      <c r="B2403" s="29" t="s">
        <v>2423</v>
      </c>
      <c r="C2403" s="29" t="s">
        <v>2588</v>
      </c>
      <c r="D2403" s="29" t="s">
        <v>2640</v>
      </c>
      <c r="E2403" s="29" t="s">
        <v>2642</v>
      </c>
      <c r="F2403" s="62"/>
      <c r="G2403" s="20" t="str">
        <f t="shared" si="1"/>
        <v>Hardware, Plumbing, Plumbing Fixtures, Bathtubs</v>
      </c>
    </row>
    <row r="2404">
      <c r="A2404" s="29">
        <v>2032.0</v>
      </c>
      <c r="B2404" s="29" t="s">
        <v>2423</v>
      </c>
      <c r="C2404" s="29" t="s">
        <v>2588</v>
      </c>
      <c r="D2404" s="29" t="s">
        <v>2640</v>
      </c>
      <c r="E2404" s="29" t="s">
        <v>2643</v>
      </c>
      <c r="F2404" s="62"/>
      <c r="G2404" s="20" t="str">
        <f t="shared" si="1"/>
        <v>Hardware, Plumbing, Plumbing Fixtures, Faucets</v>
      </c>
    </row>
    <row r="2405">
      <c r="A2405" s="29">
        <v>7244.0</v>
      </c>
      <c r="B2405" s="29" t="s">
        <v>2423</v>
      </c>
      <c r="C2405" s="29" t="s">
        <v>2588</v>
      </c>
      <c r="D2405" s="29" t="s">
        <v>2640</v>
      </c>
      <c r="E2405" s="29" t="s">
        <v>2644</v>
      </c>
      <c r="F2405" s="62"/>
      <c r="G2405" s="20" t="str">
        <f t="shared" si="1"/>
        <v>Hardware, Plumbing, Plumbing Fixtures, Shower Stalls &amp; Kits</v>
      </c>
    </row>
    <row r="2406">
      <c r="A2406" s="29">
        <v>1687.0</v>
      </c>
      <c r="B2406" s="29" t="s">
        <v>2423</v>
      </c>
      <c r="C2406" s="29" t="s">
        <v>2588</v>
      </c>
      <c r="D2406" s="29" t="s">
        <v>2640</v>
      </c>
      <c r="E2406" s="29" t="s">
        <v>2645</v>
      </c>
      <c r="F2406" s="62"/>
      <c r="G2406" s="20" t="str">
        <f t="shared" si="1"/>
        <v>Hardware, Plumbing, Plumbing Fixtures, Sinks</v>
      </c>
    </row>
    <row r="2407">
      <c r="A2407" s="29">
        <v>2886.0</v>
      </c>
      <c r="B2407" s="29" t="s">
        <v>2423</v>
      </c>
      <c r="C2407" s="29" t="s">
        <v>2588</v>
      </c>
      <c r="D2407" s="29" t="s">
        <v>2640</v>
      </c>
      <c r="E2407" s="29" t="s">
        <v>2645</v>
      </c>
      <c r="F2407" s="29" t="s">
        <v>2646</v>
      </c>
      <c r="G2407" s="20" t="str">
        <f t="shared" si="1"/>
        <v>Hardware, Plumbing, Plumbing Fixtures, SinksBathroom Sinks</v>
      </c>
    </row>
    <row r="2408">
      <c r="A2408" s="29">
        <v>2757.0</v>
      </c>
      <c r="B2408" s="29" t="s">
        <v>2423</v>
      </c>
      <c r="C2408" s="29" t="s">
        <v>2588</v>
      </c>
      <c r="D2408" s="29" t="s">
        <v>2640</v>
      </c>
      <c r="E2408" s="29" t="s">
        <v>2645</v>
      </c>
      <c r="F2408" s="29" t="s">
        <v>2647</v>
      </c>
      <c r="G2408" s="20" t="str">
        <f t="shared" si="1"/>
        <v>Hardware, Plumbing, Plumbing Fixtures, SinksKitchen &amp; Utility Sinks</v>
      </c>
    </row>
    <row r="2409">
      <c r="A2409" s="29">
        <v>2062.0</v>
      </c>
      <c r="B2409" s="29" t="s">
        <v>2423</v>
      </c>
      <c r="C2409" s="29" t="s">
        <v>2588</v>
      </c>
      <c r="D2409" s="29" t="s">
        <v>2640</v>
      </c>
      <c r="E2409" s="29" t="s">
        <v>2648</v>
      </c>
      <c r="F2409" s="62"/>
      <c r="G2409" s="20" t="str">
        <f t="shared" si="1"/>
        <v>Hardware, Plumbing, Plumbing Fixtures, Toilets &amp; Bidets</v>
      </c>
    </row>
    <row r="2410">
      <c r="A2410" s="29">
        <v>2376.0</v>
      </c>
      <c r="B2410" s="29" t="s">
        <v>2423</v>
      </c>
      <c r="C2410" s="29" t="s">
        <v>2588</v>
      </c>
      <c r="D2410" s="29" t="s">
        <v>2640</v>
      </c>
      <c r="E2410" s="29" t="s">
        <v>2648</v>
      </c>
      <c r="F2410" s="29" t="s">
        <v>2649</v>
      </c>
      <c r="G2410" s="20" t="str">
        <f t="shared" si="1"/>
        <v>Hardware, Plumbing, Plumbing Fixtures, Toilets &amp; BidetsBidets</v>
      </c>
    </row>
    <row r="2411">
      <c r="A2411" s="29">
        <v>1921.0</v>
      </c>
      <c r="B2411" s="29" t="s">
        <v>2423</v>
      </c>
      <c r="C2411" s="29" t="s">
        <v>2588</v>
      </c>
      <c r="D2411" s="29" t="s">
        <v>2640</v>
      </c>
      <c r="E2411" s="29" t="s">
        <v>2648</v>
      </c>
      <c r="F2411" s="29" t="s">
        <v>2650</v>
      </c>
      <c r="G2411" s="20" t="str">
        <f t="shared" si="1"/>
        <v>Hardware, Plumbing, Plumbing Fixtures, Toilets &amp; BidetsToilets</v>
      </c>
    </row>
    <row r="2412">
      <c r="A2412" s="29">
        <v>1746.0</v>
      </c>
      <c r="B2412" s="29" t="s">
        <v>2423</v>
      </c>
      <c r="C2412" s="29" t="s">
        <v>2588</v>
      </c>
      <c r="D2412" s="29" t="s">
        <v>2640</v>
      </c>
      <c r="E2412" s="29" t="s">
        <v>2648</v>
      </c>
      <c r="F2412" s="29" t="s">
        <v>2651</v>
      </c>
      <c r="G2412" s="20" t="str">
        <f t="shared" si="1"/>
        <v>Hardware, Plumbing, Plumbing Fixtures, Toilets &amp; BidetsUrinals</v>
      </c>
    </row>
    <row r="2413">
      <c r="A2413" s="29">
        <v>2570.0</v>
      </c>
      <c r="B2413" s="29" t="s">
        <v>2423</v>
      </c>
      <c r="C2413" s="29" t="s">
        <v>2588</v>
      </c>
      <c r="D2413" s="29" t="s">
        <v>2652</v>
      </c>
      <c r="F2413" s="62"/>
      <c r="G2413" s="20" t="str">
        <f t="shared" si="1"/>
        <v>Hardware, Plumbing, Plumbing Hoses &amp; Supply Lines, </v>
      </c>
    </row>
    <row r="2414">
      <c r="A2414" s="29">
        <v>2216.0</v>
      </c>
      <c r="B2414" s="29" t="s">
        <v>2423</v>
      </c>
      <c r="C2414" s="29" t="s">
        <v>2588</v>
      </c>
      <c r="D2414" s="29" t="s">
        <v>2653</v>
      </c>
      <c r="E2414" s="62"/>
      <c r="F2414" s="62"/>
      <c r="G2414" s="20" t="str">
        <f t="shared" si="1"/>
        <v>Hardware, Plumbing, Plumbing Pipes, </v>
      </c>
    </row>
    <row r="2415">
      <c r="A2415" s="29">
        <v>2203.0</v>
      </c>
      <c r="B2415" s="29" t="s">
        <v>2423</v>
      </c>
      <c r="C2415" s="29" t="s">
        <v>2588</v>
      </c>
      <c r="D2415" s="29" t="s">
        <v>2654</v>
      </c>
      <c r="E2415" s="62"/>
      <c r="F2415" s="62"/>
      <c r="G2415" s="20" t="str">
        <f t="shared" si="1"/>
        <v>Hardware, Plumbing, Plumbing Repair Kits, </v>
      </c>
    </row>
    <row r="2416">
      <c r="A2416" s="29">
        <v>2273.0</v>
      </c>
      <c r="B2416" s="29" t="s">
        <v>2423</v>
      </c>
      <c r="C2416" s="29" t="s">
        <v>2588</v>
      </c>
      <c r="D2416" s="29" t="s">
        <v>2655</v>
      </c>
      <c r="F2416" s="62"/>
      <c r="G2416" s="20" t="str">
        <f t="shared" si="1"/>
        <v>Hardware, Plumbing, Water Dispensing &amp; Filtration, </v>
      </c>
    </row>
    <row r="2417">
      <c r="A2417" s="29">
        <v>2055.0</v>
      </c>
      <c r="B2417" s="29" t="s">
        <v>2423</v>
      </c>
      <c r="C2417" s="29" t="s">
        <v>2588</v>
      </c>
      <c r="D2417" s="29" t="s">
        <v>2655</v>
      </c>
      <c r="E2417" s="29" t="s">
        <v>2656</v>
      </c>
      <c r="F2417" s="62"/>
      <c r="G2417" s="20" t="str">
        <f t="shared" si="1"/>
        <v>Hardware, Plumbing, Water Dispensing &amp; Filtration, In-Line Water Filters</v>
      </c>
    </row>
    <row r="2418">
      <c r="A2418" s="29">
        <v>2343.0</v>
      </c>
      <c r="B2418" s="29" t="s">
        <v>2423</v>
      </c>
      <c r="C2418" s="29" t="s">
        <v>2588</v>
      </c>
      <c r="D2418" s="29" t="s">
        <v>2655</v>
      </c>
      <c r="E2418" s="29" t="s">
        <v>2657</v>
      </c>
      <c r="F2418" s="62"/>
      <c r="G2418" s="20" t="str">
        <f t="shared" si="1"/>
        <v>Hardware, Plumbing, Water Dispensing &amp; Filtration, Water Dispensers</v>
      </c>
    </row>
    <row r="2419">
      <c r="A2419" s="29">
        <v>1821.0</v>
      </c>
      <c r="B2419" s="29" t="s">
        <v>2423</v>
      </c>
      <c r="C2419" s="29" t="s">
        <v>2588</v>
      </c>
      <c r="D2419" s="29" t="s">
        <v>2655</v>
      </c>
      <c r="E2419" s="29" t="s">
        <v>2657</v>
      </c>
      <c r="F2419" s="29" t="s">
        <v>2658</v>
      </c>
      <c r="G2419" s="20" t="str">
        <f t="shared" si="1"/>
        <v>Hardware, Plumbing, Water Dispensing &amp; Filtration, Water DispensersDrinking Fountains</v>
      </c>
    </row>
    <row r="2420">
      <c r="A2420" s="29">
        <v>1354.0</v>
      </c>
      <c r="B2420" s="29" t="s">
        <v>2423</v>
      </c>
      <c r="C2420" s="29" t="s">
        <v>2588</v>
      </c>
      <c r="D2420" s="29" t="s">
        <v>2655</v>
      </c>
      <c r="E2420" s="29" t="s">
        <v>2657</v>
      </c>
      <c r="F2420" s="29" t="s">
        <v>2659</v>
      </c>
      <c r="G2420" s="20" t="str">
        <f t="shared" si="1"/>
        <v>Hardware, Plumbing, Water Dispensing &amp; Filtration, Water DispensersWater Chillers</v>
      </c>
    </row>
    <row r="2421">
      <c r="A2421" s="29">
        <v>1390.0</v>
      </c>
      <c r="B2421" s="29" t="s">
        <v>2423</v>
      </c>
      <c r="C2421" s="29" t="s">
        <v>2588</v>
      </c>
      <c r="D2421" s="29" t="s">
        <v>2655</v>
      </c>
      <c r="E2421" s="29" t="s">
        <v>2660</v>
      </c>
      <c r="F2421" s="62"/>
      <c r="G2421" s="20" t="str">
        <f t="shared" si="1"/>
        <v>Hardware, Plumbing, Water Dispensing &amp; Filtration, Water Distillers</v>
      </c>
    </row>
    <row r="2422">
      <c r="A2422" s="29">
        <v>2171.0</v>
      </c>
      <c r="B2422" s="29" t="s">
        <v>2423</v>
      </c>
      <c r="C2422" s="29" t="s">
        <v>2588</v>
      </c>
      <c r="D2422" s="29" t="s">
        <v>2655</v>
      </c>
      <c r="E2422" s="29" t="s">
        <v>2661</v>
      </c>
      <c r="F2422" s="62"/>
      <c r="G2422" s="20" t="str">
        <f t="shared" si="1"/>
        <v>Hardware, Plumbing, Water Dispensing &amp; Filtration, Water Filtration Accessories</v>
      </c>
    </row>
    <row r="2423">
      <c r="A2423" s="29">
        <v>2063.0</v>
      </c>
      <c r="B2423" s="29" t="s">
        <v>2423</v>
      </c>
      <c r="C2423" s="29" t="s">
        <v>2588</v>
      </c>
      <c r="D2423" s="29" t="s">
        <v>2655</v>
      </c>
      <c r="E2423" s="29" t="s">
        <v>2661</v>
      </c>
      <c r="F2423" s="29" t="s">
        <v>2662</v>
      </c>
      <c r="G2423" s="20" t="str">
        <f t="shared" si="1"/>
        <v>Hardware, Plumbing, Water Dispensing &amp; Filtration, Water Filtration AccessoriesWater Filter Cartridges</v>
      </c>
    </row>
    <row r="2424">
      <c r="A2424" s="29">
        <v>2406.0</v>
      </c>
      <c r="B2424" s="29" t="s">
        <v>2423</v>
      </c>
      <c r="C2424" s="29" t="s">
        <v>2588</v>
      </c>
      <c r="D2424" s="29" t="s">
        <v>2655</v>
      </c>
      <c r="E2424" s="29" t="s">
        <v>2661</v>
      </c>
      <c r="F2424" s="29" t="s">
        <v>2663</v>
      </c>
      <c r="G2424" s="20" t="str">
        <f t="shared" si="1"/>
        <v>Hardware, Plumbing, Water Dispensing &amp; Filtration, Water Filtration AccessoriesWater Filter Housings</v>
      </c>
    </row>
    <row r="2425">
      <c r="A2425" s="29">
        <v>5646.0</v>
      </c>
      <c r="B2425" s="29" t="s">
        <v>2423</v>
      </c>
      <c r="C2425" s="29" t="s">
        <v>2588</v>
      </c>
      <c r="D2425" s="29" t="s">
        <v>2655</v>
      </c>
      <c r="E2425" s="29" t="s">
        <v>2664</v>
      </c>
      <c r="F2425" s="62"/>
      <c r="G2425" s="20" t="str">
        <f t="shared" si="1"/>
        <v>Hardware, Plumbing, Water Dispensing &amp; Filtration, Water Softener Salt</v>
      </c>
    </row>
    <row r="2426">
      <c r="A2426" s="29">
        <v>1952.0</v>
      </c>
      <c r="B2426" s="29" t="s">
        <v>2423</v>
      </c>
      <c r="C2426" s="29" t="s">
        <v>2588</v>
      </c>
      <c r="D2426" s="29" t="s">
        <v>2655</v>
      </c>
      <c r="E2426" s="29" t="s">
        <v>2665</v>
      </c>
      <c r="F2426" s="62"/>
      <c r="G2426" s="20" t="str">
        <f t="shared" si="1"/>
        <v>Hardware, Plumbing, Water Dispensing &amp; Filtration, Water Softeners</v>
      </c>
    </row>
    <row r="2427">
      <c r="A2427" s="29">
        <v>2243.0</v>
      </c>
      <c r="B2427" s="29" t="s">
        <v>2423</v>
      </c>
      <c r="C2427" s="29" t="s">
        <v>2588</v>
      </c>
      <c r="D2427" s="29" t="s">
        <v>2666</v>
      </c>
      <c r="E2427" s="62"/>
      <c r="F2427" s="62"/>
      <c r="G2427" s="20" t="str">
        <f t="shared" si="1"/>
        <v>Hardware, Plumbing, Water Levelers, </v>
      </c>
    </row>
    <row r="2428">
      <c r="A2428" s="29">
        <v>6832.0</v>
      </c>
      <c r="B2428" s="29" t="s">
        <v>2423</v>
      </c>
      <c r="C2428" s="29" t="s">
        <v>2588</v>
      </c>
      <c r="D2428" s="29" t="s">
        <v>2667</v>
      </c>
      <c r="E2428" s="62"/>
      <c r="F2428" s="62"/>
      <c r="G2428" s="20" t="str">
        <f t="shared" si="1"/>
        <v>Hardware, Plumbing, Water Timers, </v>
      </c>
    </row>
    <row r="2429">
      <c r="A2429" s="29">
        <v>1723.0</v>
      </c>
      <c r="B2429" s="29" t="s">
        <v>2423</v>
      </c>
      <c r="C2429" s="29" t="s">
        <v>2588</v>
      </c>
      <c r="D2429" s="29" t="s">
        <v>2668</v>
      </c>
      <c r="E2429" s="62"/>
      <c r="F2429" s="62"/>
      <c r="G2429" s="20" t="str">
        <f t="shared" si="1"/>
        <v>Hardware, Plumbing, Well Supplies, </v>
      </c>
    </row>
    <row r="2430">
      <c r="A2430" s="29">
        <v>127.0</v>
      </c>
      <c r="B2430" s="29" t="s">
        <v>2423</v>
      </c>
      <c r="C2430" s="29" t="s">
        <v>2669</v>
      </c>
      <c r="D2430" s="62"/>
      <c r="E2430" s="62"/>
      <c r="F2430" s="62"/>
      <c r="G2430" s="20" t="str">
        <f t="shared" si="1"/>
        <v>Hardware, Power &amp; Electrical Supplies, , </v>
      </c>
    </row>
    <row r="2431">
      <c r="A2431" s="29">
        <v>500049.0</v>
      </c>
      <c r="B2431" s="29" t="s">
        <v>2423</v>
      </c>
      <c r="C2431" s="29" t="s">
        <v>2669</v>
      </c>
      <c r="D2431" s="29" t="s">
        <v>2670</v>
      </c>
      <c r="F2431" s="62"/>
      <c r="G2431" s="20" t="str">
        <f t="shared" si="1"/>
        <v>Hardware, Power &amp; Electrical Supplies, Armatures, Rotors &amp; Stators, </v>
      </c>
    </row>
    <row r="2432">
      <c r="A2432" s="29">
        <v>7183.0</v>
      </c>
      <c r="B2432" s="29" t="s">
        <v>2423</v>
      </c>
      <c r="C2432" s="29" t="s">
        <v>2669</v>
      </c>
      <c r="D2432" s="29" t="s">
        <v>2671</v>
      </c>
      <c r="E2432" s="62"/>
      <c r="F2432" s="62"/>
      <c r="G2432" s="20" t="str">
        <f t="shared" si="1"/>
        <v>Hardware, Power &amp; Electrical Supplies, Ballasts &amp; Starters, </v>
      </c>
    </row>
    <row r="2433">
      <c r="A2433" s="29">
        <v>499893.0</v>
      </c>
      <c r="B2433" s="29" t="s">
        <v>2423</v>
      </c>
      <c r="C2433" s="29" t="s">
        <v>2669</v>
      </c>
      <c r="D2433" s="29" t="s">
        <v>2672</v>
      </c>
      <c r="E2433" s="62"/>
      <c r="F2433" s="62"/>
      <c r="G2433" s="20" t="str">
        <f t="shared" si="1"/>
        <v>Hardware, Power &amp; Electrical Supplies, Carbon Brushes, </v>
      </c>
    </row>
    <row r="2434">
      <c r="A2434" s="29">
        <v>6807.0</v>
      </c>
      <c r="B2434" s="29" t="s">
        <v>2423</v>
      </c>
      <c r="C2434" s="29" t="s">
        <v>2669</v>
      </c>
      <c r="D2434" s="29" t="s">
        <v>2673</v>
      </c>
      <c r="E2434" s="62"/>
      <c r="F2434" s="62"/>
      <c r="G2434" s="20" t="str">
        <f t="shared" si="1"/>
        <v>Hardware, Power &amp; Electrical Supplies, Circuit Breaker Panels, </v>
      </c>
    </row>
    <row r="2435">
      <c r="A2435" s="29">
        <v>499768.0</v>
      </c>
      <c r="B2435" s="29" t="s">
        <v>2423</v>
      </c>
      <c r="C2435" s="29" t="s">
        <v>2669</v>
      </c>
      <c r="D2435" s="29" t="s">
        <v>2674</v>
      </c>
      <c r="E2435" s="62"/>
      <c r="F2435" s="62"/>
      <c r="G2435" s="20" t="str">
        <f t="shared" si="1"/>
        <v>Hardware, Power &amp; Electrical Supplies, Conduit &amp; Housings, </v>
      </c>
    </row>
    <row r="2436">
      <c r="A2436" s="29">
        <v>499770.0</v>
      </c>
      <c r="B2436" s="29" t="s">
        <v>2423</v>
      </c>
      <c r="C2436" s="29" t="s">
        <v>2669</v>
      </c>
      <c r="D2436" s="29" t="s">
        <v>2674</v>
      </c>
      <c r="E2436" s="29" t="s">
        <v>2675</v>
      </c>
      <c r="F2436" s="62"/>
      <c r="G2436" s="20" t="str">
        <f t="shared" si="1"/>
        <v>Hardware, Power &amp; Electrical Supplies, Conduit &amp; Housings, Electrical Conduit</v>
      </c>
    </row>
    <row r="2437">
      <c r="A2437" s="29">
        <v>3797.0</v>
      </c>
      <c r="B2437" s="29" t="s">
        <v>2423</v>
      </c>
      <c r="C2437" s="29" t="s">
        <v>2669</v>
      </c>
      <c r="D2437" s="29" t="s">
        <v>2674</v>
      </c>
      <c r="E2437" s="29" t="s">
        <v>2676</v>
      </c>
      <c r="F2437" s="62"/>
      <c r="G2437" s="20" t="str">
        <f t="shared" si="1"/>
        <v>Hardware, Power &amp; Electrical Supplies, Conduit &amp; Housings, Heat-Shrink Tubing</v>
      </c>
    </row>
    <row r="2438">
      <c r="A2438" s="29">
        <v>7275.0</v>
      </c>
      <c r="B2438" s="29" t="s">
        <v>2423</v>
      </c>
      <c r="C2438" s="29" t="s">
        <v>2669</v>
      </c>
      <c r="D2438" s="29" t="s">
        <v>2677</v>
      </c>
      <c r="E2438" s="62"/>
      <c r="F2438" s="62"/>
      <c r="G2438" s="20" t="str">
        <f t="shared" si="1"/>
        <v>Hardware, Power &amp; Electrical Supplies, Electrical Motors, </v>
      </c>
    </row>
    <row r="2439">
      <c r="A2439" s="29">
        <v>2006.0</v>
      </c>
      <c r="B2439" s="29" t="s">
        <v>2423</v>
      </c>
      <c r="C2439" s="29" t="s">
        <v>2669</v>
      </c>
      <c r="D2439" s="29" t="s">
        <v>2678</v>
      </c>
      <c r="F2439" s="62"/>
      <c r="G2439" s="20" t="str">
        <f t="shared" si="1"/>
        <v>Hardware, Power &amp; Electrical Supplies, Electrical Mount Boxes &amp; Brackets, </v>
      </c>
    </row>
    <row r="2440">
      <c r="A2440" s="29">
        <v>5627.0</v>
      </c>
      <c r="B2440" s="29" t="s">
        <v>2423</v>
      </c>
      <c r="C2440" s="29" t="s">
        <v>2669</v>
      </c>
      <c r="D2440" s="29" t="s">
        <v>2679</v>
      </c>
      <c r="E2440" s="62"/>
      <c r="F2440" s="62"/>
      <c r="G2440" s="20" t="str">
        <f t="shared" si="1"/>
        <v>Hardware, Power &amp; Electrical Supplies, Electrical Plug Caps, </v>
      </c>
    </row>
    <row r="2441">
      <c r="A2441" s="29">
        <v>6459.0</v>
      </c>
      <c r="B2441" s="29" t="s">
        <v>2423</v>
      </c>
      <c r="C2441" s="29" t="s">
        <v>2669</v>
      </c>
      <c r="D2441" s="29" t="s">
        <v>2680</v>
      </c>
      <c r="E2441" s="62"/>
      <c r="F2441" s="62"/>
      <c r="G2441" s="20" t="str">
        <f t="shared" si="1"/>
        <v>Hardware, Power &amp; Electrical Supplies, Electrical Switches, </v>
      </c>
    </row>
    <row r="2442">
      <c r="A2442" s="29">
        <v>1935.0</v>
      </c>
      <c r="B2442" s="29" t="s">
        <v>2423</v>
      </c>
      <c r="C2442" s="29" t="s">
        <v>2669</v>
      </c>
      <c r="D2442" s="29" t="s">
        <v>2680</v>
      </c>
      <c r="E2442" s="29" t="s">
        <v>2681</v>
      </c>
      <c r="F2442" s="62"/>
      <c r="G2442" s="20" t="str">
        <f t="shared" si="1"/>
        <v>Hardware, Power &amp; Electrical Supplies, Electrical Switches, Light Switches</v>
      </c>
    </row>
    <row r="2443">
      <c r="A2443" s="29">
        <v>499932.0</v>
      </c>
      <c r="B2443" s="29" t="s">
        <v>2423</v>
      </c>
      <c r="C2443" s="29" t="s">
        <v>2669</v>
      </c>
      <c r="D2443" s="29" t="s">
        <v>2680</v>
      </c>
      <c r="E2443" s="29" t="s">
        <v>2682</v>
      </c>
      <c r="G2443" s="20" t="str">
        <f t="shared" si="1"/>
        <v>Hardware, Power &amp; Electrical Supplies, Electrical Switches, Specialty Electrical Switches &amp; Relays</v>
      </c>
    </row>
    <row r="2444">
      <c r="A2444" s="29">
        <v>2345.0</v>
      </c>
      <c r="B2444" s="29" t="s">
        <v>2423</v>
      </c>
      <c r="C2444" s="29" t="s">
        <v>2669</v>
      </c>
      <c r="D2444" s="29" t="s">
        <v>2683</v>
      </c>
      <c r="E2444" s="62"/>
      <c r="F2444" s="62"/>
      <c r="G2444" s="20" t="str">
        <f t="shared" si="1"/>
        <v>Hardware, Power &amp; Electrical Supplies, Electrical Wires &amp; Cable, </v>
      </c>
    </row>
    <row r="2445">
      <c r="A2445" s="29">
        <v>6375.0</v>
      </c>
      <c r="B2445" s="29" t="s">
        <v>2423</v>
      </c>
      <c r="C2445" s="29" t="s">
        <v>2669</v>
      </c>
      <c r="D2445" s="29" t="s">
        <v>2684</v>
      </c>
      <c r="F2445" s="62"/>
      <c r="G2445" s="20" t="str">
        <f t="shared" si="1"/>
        <v>Hardware, Power &amp; Electrical Supplies, Extension Cord Accessories, </v>
      </c>
    </row>
    <row r="2446">
      <c r="A2446" s="29">
        <v>4789.0</v>
      </c>
      <c r="B2446" s="29" t="s">
        <v>2423</v>
      </c>
      <c r="C2446" s="29" t="s">
        <v>2669</v>
      </c>
      <c r="D2446" s="29" t="s">
        <v>2685</v>
      </c>
      <c r="E2446" s="62"/>
      <c r="F2446" s="62"/>
      <c r="G2446" s="20" t="str">
        <f t="shared" si="1"/>
        <v>Hardware, Power &amp; Electrical Supplies, Extension Cords, </v>
      </c>
    </row>
    <row r="2447">
      <c r="A2447" s="29">
        <v>4709.0</v>
      </c>
      <c r="B2447" s="29" t="s">
        <v>2423</v>
      </c>
      <c r="C2447" s="29" t="s">
        <v>2669</v>
      </c>
      <c r="D2447" s="29" t="s">
        <v>2686</v>
      </c>
      <c r="E2447" s="62"/>
      <c r="F2447" s="62"/>
      <c r="G2447" s="20" t="str">
        <f t="shared" si="1"/>
        <v>Hardware, Power &amp; Electrical Supplies, Generator Accessories, </v>
      </c>
    </row>
    <row r="2448">
      <c r="A2448" s="29">
        <v>1218.0</v>
      </c>
      <c r="B2448" s="29" t="s">
        <v>2423</v>
      </c>
      <c r="C2448" s="29" t="s">
        <v>2669</v>
      </c>
      <c r="D2448" s="29" t="s">
        <v>2687</v>
      </c>
      <c r="E2448" s="62"/>
      <c r="F2448" s="62"/>
      <c r="G2448" s="20" t="str">
        <f t="shared" si="1"/>
        <v>Hardware, Power &amp; Electrical Supplies, Generators, </v>
      </c>
    </row>
    <row r="2449">
      <c r="A2449" s="29">
        <v>2413.0</v>
      </c>
      <c r="B2449" s="29" t="s">
        <v>2423</v>
      </c>
      <c r="C2449" s="29" t="s">
        <v>2669</v>
      </c>
      <c r="D2449" s="29" t="s">
        <v>2688</v>
      </c>
      <c r="E2449" s="62"/>
      <c r="F2449" s="62"/>
      <c r="G2449" s="20" t="str">
        <f t="shared" si="1"/>
        <v>Hardware, Power &amp; Electrical Supplies, Home Automation Kits, </v>
      </c>
    </row>
    <row r="2450">
      <c r="A2450" s="29">
        <v>2028.0</v>
      </c>
      <c r="B2450" s="29" t="s">
        <v>2423</v>
      </c>
      <c r="C2450" s="29" t="s">
        <v>2669</v>
      </c>
      <c r="D2450" s="29" t="s">
        <v>2689</v>
      </c>
      <c r="E2450" s="62"/>
      <c r="F2450" s="62"/>
      <c r="G2450" s="20" t="str">
        <f t="shared" si="1"/>
        <v>Hardware, Power &amp; Electrical Supplies, Phone &amp; Data Jacks, </v>
      </c>
    </row>
    <row r="2451">
      <c r="A2451" s="29">
        <v>5533.0</v>
      </c>
      <c r="B2451" s="29" t="s">
        <v>2423</v>
      </c>
      <c r="C2451" s="29" t="s">
        <v>2669</v>
      </c>
      <c r="D2451" s="29" t="s">
        <v>2690</v>
      </c>
      <c r="E2451" s="62"/>
      <c r="F2451" s="62"/>
      <c r="G2451" s="20" t="str">
        <f t="shared" si="1"/>
        <v>Hardware, Power &amp; Electrical Supplies, Power Converters, </v>
      </c>
    </row>
    <row r="2452">
      <c r="A2452" s="29">
        <v>499966.0</v>
      </c>
      <c r="B2452" s="29" t="s">
        <v>2423</v>
      </c>
      <c r="C2452" s="29" t="s">
        <v>2669</v>
      </c>
      <c r="D2452" s="29" t="s">
        <v>2691</v>
      </c>
      <c r="E2452" s="62"/>
      <c r="F2452" s="62"/>
      <c r="G2452" s="20" t="str">
        <f t="shared" si="1"/>
        <v>Hardware, Power &amp; Electrical Supplies, Power Inlets, </v>
      </c>
    </row>
    <row r="2453">
      <c r="A2453" s="29">
        <v>5142.0</v>
      </c>
      <c r="B2453" s="29" t="s">
        <v>2423</v>
      </c>
      <c r="C2453" s="29" t="s">
        <v>2669</v>
      </c>
      <c r="D2453" s="29" t="s">
        <v>2692</v>
      </c>
      <c r="E2453" s="62"/>
      <c r="F2453" s="62"/>
      <c r="G2453" s="20" t="str">
        <f t="shared" si="1"/>
        <v>Hardware, Power &amp; Electrical Supplies, Power Inverters, </v>
      </c>
    </row>
    <row r="2454">
      <c r="A2454" s="29">
        <v>1869.0</v>
      </c>
      <c r="B2454" s="29" t="s">
        <v>2423</v>
      </c>
      <c r="C2454" s="29" t="s">
        <v>2669</v>
      </c>
      <c r="D2454" s="29" t="s">
        <v>2693</v>
      </c>
      <c r="E2454" s="62"/>
      <c r="F2454" s="62"/>
      <c r="G2454" s="20" t="str">
        <f t="shared" si="1"/>
        <v>Hardware, Power &amp; Electrical Supplies, Power Outlets &amp; Sockets, </v>
      </c>
    </row>
    <row r="2455">
      <c r="A2455" s="29">
        <v>4715.0</v>
      </c>
      <c r="B2455" s="29" t="s">
        <v>2423</v>
      </c>
      <c r="C2455" s="29" t="s">
        <v>2669</v>
      </c>
      <c r="D2455" s="29" t="s">
        <v>2694</v>
      </c>
      <c r="E2455" s="62"/>
      <c r="F2455" s="62"/>
      <c r="G2455" s="20" t="str">
        <f t="shared" si="1"/>
        <v>Hardware, Power &amp; Electrical Supplies, Solar Energy Kits, </v>
      </c>
    </row>
    <row r="2456">
      <c r="A2456" s="29">
        <v>4714.0</v>
      </c>
      <c r="B2456" s="29" t="s">
        <v>2423</v>
      </c>
      <c r="C2456" s="29" t="s">
        <v>2669</v>
      </c>
      <c r="D2456" s="29" t="s">
        <v>2695</v>
      </c>
      <c r="E2456" s="62"/>
      <c r="F2456" s="62"/>
      <c r="G2456" s="20" t="str">
        <f t="shared" si="1"/>
        <v>Hardware, Power &amp; Electrical Supplies, Solar Panels, </v>
      </c>
    </row>
    <row r="2457">
      <c r="A2457" s="29">
        <v>505318.0</v>
      </c>
      <c r="B2457" s="29" t="s">
        <v>2423</v>
      </c>
      <c r="C2457" s="29" t="s">
        <v>2669</v>
      </c>
      <c r="D2457" s="29" t="s">
        <v>2696</v>
      </c>
      <c r="F2457" s="62"/>
      <c r="G2457" s="20" t="str">
        <f t="shared" si="1"/>
        <v>Hardware, Power &amp; Electrical Supplies, Voltage Transformers &amp; Regulators, </v>
      </c>
    </row>
    <row r="2458">
      <c r="A2458" s="29">
        <v>2377.0</v>
      </c>
      <c r="B2458" s="29" t="s">
        <v>2423</v>
      </c>
      <c r="C2458" s="29" t="s">
        <v>2669</v>
      </c>
      <c r="D2458" s="29" t="s">
        <v>2697</v>
      </c>
      <c r="E2458" s="62"/>
      <c r="F2458" s="62"/>
      <c r="G2458" s="20" t="str">
        <f t="shared" si="1"/>
        <v>Hardware, Power &amp; Electrical Supplies, Wall Plates &amp; Covers, </v>
      </c>
    </row>
    <row r="2459">
      <c r="A2459" s="29">
        <v>6833.0</v>
      </c>
      <c r="B2459" s="29" t="s">
        <v>2423</v>
      </c>
      <c r="C2459" s="29" t="s">
        <v>2669</v>
      </c>
      <c r="D2459" s="29" t="s">
        <v>2698</v>
      </c>
      <c r="F2459" s="62"/>
      <c r="G2459" s="20" t="str">
        <f t="shared" si="1"/>
        <v>Hardware, Power &amp; Electrical Supplies, Wall Socket Controls &amp; Sensors, </v>
      </c>
    </row>
    <row r="2460">
      <c r="A2460" s="29">
        <v>2274.0</v>
      </c>
      <c r="B2460" s="29" t="s">
        <v>2423</v>
      </c>
      <c r="C2460" s="29" t="s">
        <v>2669</v>
      </c>
      <c r="D2460" s="29" t="s">
        <v>2699</v>
      </c>
      <c r="E2460" s="62"/>
      <c r="F2460" s="62"/>
      <c r="G2460" s="20" t="str">
        <f t="shared" si="1"/>
        <v>Hardware, Power &amp; Electrical Supplies, Wire Caps &amp; Nuts, </v>
      </c>
    </row>
    <row r="2461">
      <c r="A2461" s="29">
        <v>503729.0</v>
      </c>
      <c r="B2461" s="29" t="s">
        <v>2423</v>
      </c>
      <c r="C2461" s="29" t="s">
        <v>2669</v>
      </c>
      <c r="D2461" s="29" t="s">
        <v>2700</v>
      </c>
      <c r="F2461" s="62"/>
      <c r="G2461" s="20" t="str">
        <f t="shared" si="1"/>
        <v>Hardware, Power &amp; Electrical Supplies, Wire Terminals &amp; Connectors, </v>
      </c>
    </row>
    <row r="2462">
      <c r="A2462" s="29">
        <v>499982.0</v>
      </c>
      <c r="B2462" s="29" t="s">
        <v>2423</v>
      </c>
      <c r="C2462" s="29" t="s">
        <v>2701</v>
      </c>
      <c r="D2462" s="62"/>
      <c r="E2462" s="62"/>
      <c r="F2462" s="62"/>
      <c r="G2462" s="20" t="str">
        <f t="shared" si="1"/>
        <v>Hardware, Small Engines, , </v>
      </c>
    </row>
    <row r="2463">
      <c r="A2463" s="29">
        <v>1910.0</v>
      </c>
      <c r="B2463" s="29" t="s">
        <v>2423</v>
      </c>
      <c r="C2463" s="29" t="s">
        <v>2702</v>
      </c>
      <c r="D2463" s="62"/>
      <c r="E2463" s="62"/>
      <c r="F2463" s="62"/>
      <c r="G2463" s="20" t="str">
        <f t="shared" si="1"/>
        <v>Hardware, Storage Tanks, , </v>
      </c>
    </row>
    <row r="2464">
      <c r="A2464" s="29">
        <v>3650.0</v>
      </c>
      <c r="B2464" s="29" t="s">
        <v>2423</v>
      </c>
      <c r="C2464" s="29" t="s">
        <v>2703</v>
      </c>
      <c r="D2464" s="62"/>
      <c r="E2464" s="62"/>
      <c r="F2464" s="62"/>
      <c r="G2464" s="20" t="str">
        <f t="shared" si="1"/>
        <v>Hardware, Tool Accessories, , </v>
      </c>
    </row>
    <row r="2465">
      <c r="A2465" s="29">
        <v>6939.0</v>
      </c>
      <c r="B2465" s="29" t="s">
        <v>2423</v>
      </c>
      <c r="C2465" s="29" t="s">
        <v>2703</v>
      </c>
      <c r="D2465" s="29" t="s">
        <v>2704</v>
      </c>
      <c r="F2465" s="62"/>
      <c r="G2465" s="20" t="str">
        <f t="shared" si="1"/>
        <v>Hardware, Tool Accessories, Abrasive Blaster Accessories, </v>
      </c>
    </row>
    <row r="2466">
      <c r="A2466" s="29">
        <v>6940.0</v>
      </c>
      <c r="B2466" s="29" t="s">
        <v>2423</v>
      </c>
      <c r="C2466" s="29" t="s">
        <v>2703</v>
      </c>
      <c r="D2466" s="29" t="s">
        <v>2704</v>
      </c>
      <c r="E2466" s="29" t="s">
        <v>2705</v>
      </c>
      <c r="F2466" s="62"/>
      <c r="G2466" s="20" t="str">
        <f t="shared" si="1"/>
        <v>Hardware, Tool Accessories, Abrasive Blaster Accessories, Sandblasting Cabinets</v>
      </c>
    </row>
    <row r="2467">
      <c r="A2467" s="29">
        <v>7326.0</v>
      </c>
      <c r="B2467" s="29" t="s">
        <v>2423</v>
      </c>
      <c r="C2467" s="29" t="s">
        <v>2703</v>
      </c>
      <c r="D2467" s="29" t="s">
        <v>2706</v>
      </c>
      <c r="E2467" s="62"/>
      <c r="F2467" s="62"/>
      <c r="G2467" s="20" t="str">
        <f t="shared" si="1"/>
        <v>Hardware, Tool Accessories, Axe Accessories, </v>
      </c>
    </row>
    <row r="2468">
      <c r="A2468" s="29">
        <v>7370.0</v>
      </c>
      <c r="B2468" s="29" t="s">
        <v>2423</v>
      </c>
      <c r="C2468" s="29" t="s">
        <v>2703</v>
      </c>
      <c r="D2468" s="29" t="s">
        <v>2706</v>
      </c>
      <c r="E2468" s="29" t="s">
        <v>2707</v>
      </c>
      <c r="F2468" s="62"/>
      <c r="G2468" s="20" t="str">
        <f t="shared" si="1"/>
        <v>Hardware, Tool Accessories, Axe Accessories, Axe Handles</v>
      </c>
    </row>
    <row r="2469">
      <c r="A2469" s="29">
        <v>7369.0</v>
      </c>
      <c r="B2469" s="29" t="s">
        <v>2423</v>
      </c>
      <c r="C2469" s="29" t="s">
        <v>2703</v>
      </c>
      <c r="D2469" s="29" t="s">
        <v>2706</v>
      </c>
      <c r="E2469" s="29" t="s">
        <v>2708</v>
      </c>
      <c r="F2469" s="62"/>
      <c r="G2469" s="20" t="str">
        <f t="shared" si="1"/>
        <v>Hardware, Tool Accessories, Axe Accessories, Axe Heads</v>
      </c>
    </row>
    <row r="2470">
      <c r="A2470" s="29">
        <v>8117.0</v>
      </c>
      <c r="B2470" s="29" t="s">
        <v>2423</v>
      </c>
      <c r="C2470" s="29" t="s">
        <v>2703</v>
      </c>
      <c r="D2470" s="29" t="s">
        <v>2709</v>
      </c>
      <c r="E2470" s="62"/>
      <c r="F2470" s="62"/>
      <c r="G2470" s="20" t="str">
        <f t="shared" si="1"/>
        <v>Hardware, Tool Accessories, Cutter Accessories, </v>
      </c>
    </row>
    <row r="2471">
      <c r="A2471" s="29">
        <v>8118.0</v>
      </c>
      <c r="B2471" s="29" t="s">
        <v>2423</v>
      </c>
      <c r="C2471" s="29" t="s">
        <v>2703</v>
      </c>
      <c r="D2471" s="29" t="s">
        <v>2709</v>
      </c>
      <c r="E2471" s="29" t="s">
        <v>2710</v>
      </c>
      <c r="F2471" s="62"/>
      <c r="G2471" s="20" t="str">
        <f t="shared" si="1"/>
        <v>Hardware, Tool Accessories, Cutter Accessories, Nibbler Dies</v>
      </c>
    </row>
    <row r="2472">
      <c r="A2472" s="29">
        <v>3944.0</v>
      </c>
      <c r="B2472" s="29" t="s">
        <v>2423</v>
      </c>
      <c r="C2472" s="29" t="s">
        <v>2703</v>
      </c>
      <c r="D2472" s="29" t="s">
        <v>2711</v>
      </c>
      <c r="F2472" s="62"/>
      <c r="G2472" s="20" t="str">
        <f t="shared" si="1"/>
        <v>Hardware, Tool Accessories, Drill &amp; Screwdriver Accessories, </v>
      </c>
    </row>
    <row r="2473">
      <c r="A2473" s="29">
        <v>1540.0</v>
      </c>
      <c r="B2473" s="29" t="s">
        <v>2423</v>
      </c>
      <c r="C2473" s="29" t="s">
        <v>2703</v>
      </c>
      <c r="D2473" s="29" t="s">
        <v>2711</v>
      </c>
      <c r="E2473" s="29" t="s">
        <v>2712</v>
      </c>
      <c r="F2473" s="62"/>
      <c r="G2473" s="20" t="str">
        <f t="shared" si="1"/>
        <v>Hardware, Tool Accessories, Drill &amp; Screwdriver Accessories, Drill &amp; Screwdriver Bits</v>
      </c>
    </row>
    <row r="2474">
      <c r="A2474" s="29">
        <v>7140.0</v>
      </c>
      <c r="B2474" s="29" t="s">
        <v>2423</v>
      </c>
      <c r="C2474" s="29" t="s">
        <v>2703</v>
      </c>
      <c r="D2474" s="29" t="s">
        <v>2711</v>
      </c>
      <c r="E2474" s="29" t="s">
        <v>2713</v>
      </c>
      <c r="F2474" s="62"/>
      <c r="G2474" s="20" t="str">
        <f t="shared" si="1"/>
        <v>Hardware, Tool Accessories, Drill &amp; Screwdriver Accessories, Drill Bit Extensions</v>
      </c>
    </row>
    <row r="2475">
      <c r="A2475" s="29">
        <v>6378.0</v>
      </c>
      <c r="B2475" s="29" t="s">
        <v>2423</v>
      </c>
      <c r="C2475" s="29" t="s">
        <v>2703</v>
      </c>
      <c r="D2475" s="29" t="s">
        <v>2711</v>
      </c>
      <c r="E2475" s="29" t="s">
        <v>2714</v>
      </c>
      <c r="F2475" s="62"/>
      <c r="G2475" s="20" t="str">
        <f t="shared" si="1"/>
        <v>Hardware, Tool Accessories, Drill &amp; Screwdriver Accessories, Drill Bit Sharpeners</v>
      </c>
    </row>
    <row r="2476">
      <c r="A2476" s="29">
        <v>8276.0</v>
      </c>
      <c r="B2476" s="29" t="s">
        <v>2423</v>
      </c>
      <c r="C2476" s="29" t="s">
        <v>2703</v>
      </c>
      <c r="D2476" s="29" t="s">
        <v>2711</v>
      </c>
      <c r="E2476" s="29" t="s">
        <v>2715</v>
      </c>
      <c r="F2476" s="62"/>
      <c r="G2476" s="20" t="str">
        <f t="shared" si="1"/>
        <v>Hardware, Tool Accessories, Drill &amp; Screwdriver Accessories, Drill Chucks</v>
      </c>
    </row>
    <row r="2477">
      <c r="A2477" s="29">
        <v>8275.0</v>
      </c>
      <c r="B2477" s="29" t="s">
        <v>2423</v>
      </c>
      <c r="C2477" s="29" t="s">
        <v>2703</v>
      </c>
      <c r="D2477" s="29" t="s">
        <v>2711</v>
      </c>
      <c r="E2477" s="29" t="s">
        <v>2716</v>
      </c>
      <c r="F2477" s="62"/>
      <c r="G2477" s="20" t="str">
        <f t="shared" si="1"/>
        <v>Hardware, Tool Accessories, Drill &amp; Screwdriver Accessories, Drill Stands &amp; Guides</v>
      </c>
    </row>
    <row r="2478">
      <c r="A2478" s="29">
        <v>6806.0</v>
      </c>
      <c r="B2478" s="29" t="s">
        <v>2423</v>
      </c>
      <c r="C2478" s="29" t="s">
        <v>2703</v>
      </c>
      <c r="D2478" s="29" t="s">
        <v>2711</v>
      </c>
      <c r="E2478" s="29" t="s">
        <v>2717</v>
      </c>
      <c r="F2478" s="62"/>
      <c r="G2478" s="20" t="str">
        <f t="shared" si="1"/>
        <v>Hardware, Tool Accessories, Drill &amp; Screwdriver Accessories, Hole Saws</v>
      </c>
    </row>
    <row r="2479">
      <c r="A2479" s="29">
        <v>6471.0</v>
      </c>
      <c r="B2479" s="29" t="s">
        <v>2423</v>
      </c>
      <c r="C2479" s="29" t="s">
        <v>2703</v>
      </c>
      <c r="D2479" s="29" t="s">
        <v>2718</v>
      </c>
      <c r="E2479" s="62"/>
      <c r="F2479" s="62"/>
      <c r="G2479" s="20" t="str">
        <f t="shared" si="1"/>
        <v>Hardware, Tool Accessories, Driver Accessories, </v>
      </c>
    </row>
    <row r="2480">
      <c r="A2480" s="29">
        <v>2447.0</v>
      </c>
      <c r="B2480" s="29" t="s">
        <v>2423</v>
      </c>
      <c r="C2480" s="29" t="s">
        <v>2703</v>
      </c>
      <c r="D2480" s="29" t="s">
        <v>2719</v>
      </c>
      <c r="E2480" s="62"/>
      <c r="F2480" s="62"/>
      <c r="G2480" s="20" t="str">
        <f t="shared" si="1"/>
        <v>Hardware, Tool Accessories, Flashlight Accessories, </v>
      </c>
    </row>
    <row r="2481">
      <c r="A2481" s="29">
        <v>499859.0</v>
      </c>
      <c r="B2481" s="29" t="s">
        <v>2423</v>
      </c>
      <c r="C2481" s="29" t="s">
        <v>2703</v>
      </c>
      <c r="D2481" s="29" t="s">
        <v>2720</v>
      </c>
      <c r="E2481" s="62"/>
      <c r="F2481" s="62"/>
      <c r="G2481" s="20" t="str">
        <f t="shared" si="1"/>
        <v>Hardware, Tool Accessories, Grinder Accessories, </v>
      </c>
    </row>
    <row r="2482">
      <c r="A2482" s="29">
        <v>499860.0</v>
      </c>
      <c r="B2482" s="29" t="s">
        <v>2423</v>
      </c>
      <c r="C2482" s="29" t="s">
        <v>2703</v>
      </c>
      <c r="D2482" s="29" t="s">
        <v>2720</v>
      </c>
      <c r="E2482" s="29" t="s">
        <v>2721</v>
      </c>
      <c r="F2482" s="62"/>
      <c r="G2482" s="20" t="str">
        <f t="shared" si="1"/>
        <v>Hardware, Tool Accessories, Grinder Accessories, Grinding Wheels &amp; Points</v>
      </c>
    </row>
    <row r="2483">
      <c r="A2483" s="29">
        <v>7056.0</v>
      </c>
      <c r="B2483" s="29" t="s">
        <v>2423</v>
      </c>
      <c r="C2483" s="29" t="s">
        <v>2703</v>
      </c>
      <c r="D2483" s="29" t="s">
        <v>2722</v>
      </c>
      <c r="E2483" s="62"/>
      <c r="F2483" s="62"/>
      <c r="G2483" s="20" t="str">
        <f t="shared" si="1"/>
        <v>Hardware, Tool Accessories, Hammer Accessories, </v>
      </c>
    </row>
    <row r="2484">
      <c r="A2484" s="29">
        <v>7087.0</v>
      </c>
      <c r="B2484" s="29" t="s">
        <v>2423</v>
      </c>
      <c r="C2484" s="29" t="s">
        <v>2703</v>
      </c>
      <c r="D2484" s="29" t="s">
        <v>2722</v>
      </c>
      <c r="E2484" s="29" t="s">
        <v>2723</v>
      </c>
      <c r="F2484" s="62"/>
      <c r="G2484" s="20" t="str">
        <f t="shared" si="1"/>
        <v>Hardware, Tool Accessories, Hammer Accessories, Air Hammer Accessories</v>
      </c>
    </row>
    <row r="2485">
      <c r="A2485" s="29">
        <v>7055.0</v>
      </c>
      <c r="B2485" s="29" t="s">
        <v>2423</v>
      </c>
      <c r="C2485" s="29" t="s">
        <v>2703</v>
      </c>
      <c r="D2485" s="29" t="s">
        <v>2722</v>
      </c>
      <c r="E2485" s="29" t="s">
        <v>2724</v>
      </c>
      <c r="F2485" s="62"/>
      <c r="G2485" s="20" t="str">
        <f t="shared" si="1"/>
        <v>Hardware, Tool Accessories, Hammer Accessories, Hammer Handles</v>
      </c>
    </row>
    <row r="2486">
      <c r="A2486" s="29">
        <v>7057.0</v>
      </c>
      <c r="B2486" s="29" t="s">
        <v>2423</v>
      </c>
      <c r="C2486" s="29" t="s">
        <v>2703</v>
      </c>
      <c r="D2486" s="29" t="s">
        <v>2722</v>
      </c>
      <c r="E2486" s="29" t="s">
        <v>2725</v>
      </c>
      <c r="F2486" s="62"/>
      <c r="G2486" s="20" t="str">
        <f t="shared" si="1"/>
        <v>Hardware, Tool Accessories, Hammer Accessories, Hammer Heads</v>
      </c>
    </row>
    <row r="2487">
      <c r="A2487" s="29">
        <v>2380.0</v>
      </c>
      <c r="B2487" s="29" t="s">
        <v>2423</v>
      </c>
      <c r="C2487" s="29" t="s">
        <v>2703</v>
      </c>
      <c r="D2487" s="29" t="s">
        <v>2726</v>
      </c>
      <c r="E2487" s="62"/>
      <c r="F2487" s="62"/>
      <c r="G2487" s="20" t="str">
        <f t="shared" si="1"/>
        <v>Hardware, Tool Accessories, Industrial Staples, </v>
      </c>
    </row>
    <row r="2488">
      <c r="A2488" s="29">
        <v>6907.0</v>
      </c>
      <c r="B2488" s="29" t="s">
        <v>2423</v>
      </c>
      <c r="C2488" s="29" t="s">
        <v>2703</v>
      </c>
      <c r="D2488" s="29" t="s">
        <v>2727</v>
      </c>
      <c r="E2488" s="62"/>
      <c r="F2488" s="62"/>
      <c r="G2488" s="20" t="str">
        <f t="shared" si="1"/>
        <v>Hardware, Tool Accessories, Jigs, </v>
      </c>
    </row>
    <row r="2489">
      <c r="A2489" s="29">
        <v>7472.0</v>
      </c>
      <c r="B2489" s="29" t="s">
        <v>2423</v>
      </c>
      <c r="C2489" s="29" t="s">
        <v>2703</v>
      </c>
      <c r="D2489" s="29" t="s">
        <v>2728</v>
      </c>
      <c r="F2489" s="62"/>
      <c r="G2489" s="20" t="str">
        <f t="shared" si="1"/>
        <v>Hardware, Tool Accessories, Magnetizers &amp; Demagnetizers, </v>
      </c>
    </row>
    <row r="2490">
      <c r="A2490" s="29">
        <v>505323.0</v>
      </c>
      <c r="B2490" s="29" t="s">
        <v>2423</v>
      </c>
      <c r="C2490" s="29" t="s">
        <v>2703</v>
      </c>
      <c r="D2490" s="29" t="s">
        <v>2729</v>
      </c>
      <c r="F2490" s="62"/>
      <c r="G2490" s="20" t="str">
        <f t="shared" si="1"/>
        <v>Hardware, Tool Accessories, Mattock &amp; Pickaxe Accessories, </v>
      </c>
    </row>
    <row r="2491">
      <c r="A2491" s="29">
        <v>505324.0</v>
      </c>
      <c r="B2491" s="29" t="s">
        <v>2423</v>
      </c>
      <c r="C2491" s="29" t="s">
        <v>2703</v>
      </c>
      <c r="D2491" s="29" t="s">
        <v>2729</v>
      </c>
      <c r="E2491" s="29" t="s">
        <v>2730</v>
      </c>
      <c r="F2491" s="62"/>
      <c r="G2491" s="20" t="str">
        <f t="shared" si="1"/>
        <v>Hardware, Tool Accessories, Mattock &amp; Pickaxe Accessories, Mattock &amp; Pickaxe Handles</v>
      </c>
    </row>
    <row r="2492">
      <c r="A2492" s="29">
        <v>5526.0</v>
      </c>
      <c r="B2492" s="29" t="s">
        <v>2423</v>
      </c>
      <c r="C2492" s="29" t="s">
        <v>2703</v>
      </c>
      <c r="D2492" s="29" t="s">
        <v>2731</v>
      </c>
      <c r="F2492" s="62"/>
      <c r="G2492" s="20" t="str">
        <f t="shared" si="1"/>
        <v>Hardware, Tool Accessories, Measuring Tool &amp; Sensor Accessories, </v>
      </c>
    </row>
    <row r="2493">
      <c r="A2493" s="29">
        <v>5557.0</v>
      </c>
      <c r="B2493" s="29" t="s">
        <v>2423</v>
      </c>
      <c r="C2493" s="29" t="s">
        <v>2703</v>
      </c>
      <c r="D2493" s="29" t="s">
        <v>2731</v>
      </c>
      <c r="E2493" s="29" t="s">
        <v>2732</v>
      </c>
      <c r="G2493" s="20" t="str">
        <f t="shared" si="1"/>
        <v>Hardware, Tool Accessories, Measuring Tool &amp; Sensor Accessories, Electrical Testing Tool Accessories</v>
      </c>
    </row>
    <row r="2494">
      <c r="A2494" s="29">
        <v>5556.0</v>
      </c>
      <c r="B2494" s="29" t="s">
        <v>2423</v>
      </c>
      <c r="C2494" s="29" t="s">
        <v>2703</v>
      </c>
      <c r="D2494" s="29" t="s">
        <v>2731</v>
      </c>
      <c r="E2494" s="29" t="s">
        <v>2733</v>
      </c>
      <c r="F2494" s="62"/>
      <c r="G2494" s="20" t="str">
        <f t="shared" si="1"/>
        <v>Hardware, Tool Accessories, Measuring Tool &amp; Sensor Accessories, Gas Detector Accessories</v>
      </c>
    </row>
    <row r="2495">
      <c r="A2495" s="29">
        <v>503007.0</v>
      </c>
      <c r="B2495" s="29" t="s">
        <v>2423</v>
      </c>
      <c r="C2495" s="29" t="s">
        <v>2703</v>
      </c>
      <c r="D2495" s="29" t="s">
        <v>2731</v>
      </c>
      <c r="E2495" s="29" t="s">
        <v>2734</v>
      </c>
      <c r="F2495" s="62"/>
      <c r="G2495" s="20" t="str">
        <f t="shared" si="1"/>
        <v>Hardware, Tool Accessories, Measuring Tool &amp; Sensor Accessories, Measuring Scale Accessories</v>
      </c>
    </row>
    <row r="2496">
      <c r="A2496" s="29">
        <v>7415.0</v>
      </c>
      <c r="B2496" s="29" t="s">
        <v>2423</v>
      </c>
      <c r="C2496" s="29" t="s">
        <v>2703</v>
      </c>
      <c r="D2496" s="29" t="s">
        <v>2731</v>
      </c>
      <c r="E2496" s="29" t="s">
        <v>2735</v>
      </c>
      <c r="F2496" s="62"/>
      <c r="G2496" s="20" t="str">
        <f t="shared" si="1"/>
        <v>Hardware, Tool Accessories, Measuring Tool &amp; Sensor Accessories, Multimeter Accessories</v>
      </c>
    </row>
    <row r="2497">
      <c r="A2497" s="29">
        <v>499886.0</v>
      </c>
      <c r="B2497" s="29" t="s">
        <v>2423</v>
      </c>
      <c r="C2497" s="29" t="s">
        <v>2703</v>
      </c>
      <c r="D2497" s="29" t="s">
        <v>2736</v>
      </c>
      <c r="E2497" s="62"/>
      <c r="F2497" s="62"/>
      <c r="G2497" s="20" t="str">
        <f t="shared" si="1"/>
        <v>Hardware, Tool Accessories, Mixing Tool Paddles, </v>
      </c>
    </row>
    <row r="2498">
      <c r="A2498" s="29">
        <v>7019.0</v>
      </c>
      <c r="B2498" s="29" t="s">
        <v>2423</v>
      </c>
      <c r="C2498" s="29" t="s">
        <v>2703</v>
      </c>
      <c r="D2498" s="29" t="s">
        <v>2737</v>
      </c>
      <c r="E2498" s="62"/>
      <c r="F2498" s="62"/>
      <c r="G2498" s="20" t="str">
        <f t="shared" si="1"/>
        <v>Hardware, Tool Accessories, Paint Tool Accessories, </v>
      </c>
    </row>
    <row r="2499">
      <c r="A2499" s="29">
        <v>6887.0</v>
      </c>
      <c r="B2499" s="29" t="s">
        <v>2423</v>
      </c>
      <c r="C2499" s="29" t="s">
        <v>2703</v>
      </c>
      <c r="D2499" s="29" t="s">
        <v>2737</v>
      </c>
      <c r="E2499" s="29" t="s">
        <v>2738</v>
      </c>
      <c r="F2499" s="62"/>
      <c r="G2499" s="20" t="str">
        <f t="shared" si="1"/>
        <v>Hardware, Tool Accessories, Paint Tool Accessories, Airbrush Accessories</v>
      </c>
    </row>
    <row r="2500">
      <c r="A2500" s="29">
        <v>328062.0</v>
      </c>
      <c r="B2500" s="29" t="s">
        <v>2423</v>
      </c>
      <c r="C2500" s="29" t="s">
        <v>2703</v>
      </c>
      <c r="D2500" s="29" t="s">
        <v>2737</v>
      </c>
      <c r="E2500" s="29" t="s">
        <v>2739</v>
      </c>
      <c r="F2500" s="62"/>
      <c r="G2500" s="20" t="str">
        <f t="shared" si="1"/>
        <v>Hardware, Tool Accessories, Paint Tool Accessories, Paint Brush Cleaning Solutions</v>
      </c>
    </row>
    <row r="2501">
      <c r="A2501" s="29">
        <v>7020.0</v>
      </c>
      <c r="B2501" s="29" t="s">
        <v>2423</v>
      </c>
      <c r="C2501" s="29" t="s">
        <v>2703</v>
      </c>
      <c r="D2501" s="29" t="s">
        <v>2737</v>
      </c>
      <c r="E2501" s="29" t="s">
        <v>2740</v>
      </c>
      <c r="F2501" s="62"/>
      <c r="G2501" s="20" t="str">
        <f t="shared" si="1"/>
        <v>Hardware, Tool Accessories, Paint Tool Accessories, Paint Roller Accessories</v>
      </c>
    </row>
    <row r="2502">
      <c r="A2502" s="29">
        <v>6295.0</v>
      </c>
      <c r="B2502" s="29" t="s">
        <v>2423</v>
      </c>
      <c r="C2502" s="29" t="s">
        <v>2703</v>
      </c>
      <c r="D2502" s="29" t="s">
        <v>2741</v>
      </c>
      <c r="E2502" s="62"/>
      <c r="F2502" s="62"/>
      <c r="G2502" s="20" t="str">
        <f t="shared" si="1"/>
        <v>Hardware, Tool Accessories, Power Tool Batteries, </v>
      </c>
    </row>
    <row r="2503">
      <c r="A2503" s="29">
        <v>6292.0</v>
      </c>
      <c r="B2503" s="29" t="s">
        <v>2423</v>
      </c>
      <c r="C2503" s="29" t="s">
        <v>2703</v>
      </c>
      <c r="D2503" s="29" t="s">
        <v>2742</v>
      </c>
      <c r="E2503" s="62"/>
      <c r="F2503" s="62"/>
      <c r="G2503" s="20" t="str">
        <f t="shared" si="1"/>
        <v>Hardware, Tool Accessories, Power Tool Chargers, </v>
      </c>
    </row>
    <row r="2504">
      <c r="A2504" s="29">
        <v>3744.0</v>
      </c>
      <c r="B2504" s="29" t="s">
        <v>2423</v>
      </c>
      <c r="C2504" s="29" t="s">
        <v>2703</v>
      </c>
      <c r="D2504" s="29" t="s">
        <v>2743</v>
      </c>
      <c r="E2504" s="62"/>
      <c r="F2504" s="62"/>
      <c r="G2504" s="20" t="str">
        <f t="shared" si="1"/>
        <v>Hardware, Tool Accessories, Router Accessories, </v>
      </c>
    </row>
    <row r="2505">
      <c r="A2505" s="29">
        <v>3673.0</v>
      </c>
      <c r="B2505" s="29" t="s">
        <v>2423</v>
      </c>
      <c r="C2505" s="29" t="s">
        <v>2703</v>
      </c>
      <c r="D2505" s="29" t="s">
        <v>2743</v>
      </c>
      <c r="E2505" s="29" t="s">
        <v>2744</v>
      </c>
      <c r="F2505" s="62"/>
      <c r="G2505" s="20" t="str">
        <f t="shared" si="1"/>
        <v>Hardware, Tool Accessories, Router Accessories, Router Bits</v>
      </c>
    </row>
    <row r="2506">
      <c r="A2506" s="29">
        <v>3300.0</v>
      </c>
      <c r="B2506" s="29" t="s">
        <v>2423</v>
      </c>
      <c r="C2506" s="29" t="s">
        <v>2703</v>
      </c>
      <c r="D2506" s="29" t="s">
        <v>2743</v>
      </c>
      <c r="E2506" s="29" t="s">
        <v>2745</v>
      </c>
      <c r="F2506" s="62"/>
      <c r="G2506" s="20" t="str">
        <f t="shared" si="1"/>
        <v>Hardware, Tool Accessories, Router Accessories, Router Tables</v>
      </c>
    </row>
    <row r="2507">
      <c r="A2507" s="29">
        <v>4487.0</v>
      </c>
      <c r="B2507" s="29" t="s">
        <v>2423</v>
      </c>
      <c r="C2507" s="29" t="s">
        <v>2703</v>
      </c>
      <c r="D2507" s="29" t="s">
        <v>2746</v>
      </c>
      <c r="E2507" s="62"/>
      <c r="F2507" s="62"/>
      <c r="G2507" s="20" t="str">
        <f t="shared" si="1"/>
        <v>Hardware, Tool Accessories, Sanding Accessories, </v>
      </c>
    </row>
    <row r="2508">
      <c r="A2508" s="29">
        <v>3240.0</v>
      </c>
      <c r="B2508" s="29" t="s">
        <v>2423</v>
      </c>
      <c r="C2508" s="29" t="s">
        <v>2703</v>
      </c>
      <c r="D2508" s="29" t="s">
        <v>2746</v>
      </c>
      <c r="E2508" s="29" t="s">
        <v>2747</v>
      </c>
      <c r="F2508" s="62"/>
      <c r="G2508" s="20" t="str">
        <f t="shared" si="1"/>
        <v>Hardware, Tool Accessories, Sanding Accessories, Sandpaper &amp; Sanding Sponges</v>
      </c>
    </row>
    <row r="2509">
      <c r="A2509" s="29">
        <v>6549.0</v>
      </c>
      <c r="B2509" s="29" t="s">
        <v>2423</v>
      </c>
      <c r="C2509" s="29" t="s">
        <v>2703</v>
      </c>
      <c r="D2509" s="29" t="s">
        <v>2748</v>
      </c>
      <c r="E2509" s="62"/>
      <c r="F2509" s="62"/>
      <c r="G2509" s="20" t="str">
        <f t="shared" si="1"/>
        <v>Hardware, Tool Accessories, Saw Accessories, </v>
      </c>
    </row>
    <row r="2510">
      <c r="A2510" s="29">
        <v>7515.0</v>
      </c>
      <c r="B2510" s="29" t="s">
        <v>2423</v>
      </c>
      <c r="C2510" s="29" t="s">
        <v>2703</v>
      </c>
      <c r="D2510" s="29" t="s">
        <v>2748</v>
      </c>
      <c r="E2510" s="29" t="s">
        <v>2749</v>
      </c>
      <c r="F2510" s="62"/>
      <c r="G2510" s="20" t="str">
        <f t="shared" si="1"/>
        <v>Hardware, Tool Accessories, Saw Accessories, Band Saw Accessories</v>
      </c>
    </row>
    <row r="2511">
      <c r="A2511" s="29">
        <v>7345.0</v>
      </c>
      <c r="B2511" s="29" t="s">
        <v>2423</v>
      </c>
      <c r="C2511" s="29" t="s">
        <v>2703</v>
      </c>
      <c r="D2511" s="29" t="s">
        <v>2748</v>
      </c>
      <c r="E2511" s="29" t="s">
        <v>2750</v>
      </c>
      <c r="G2511" s="20" t="str">
        <f t="shared" si="1"/>
        <v>Hardware, Tool Accessories, Saw Accessories, Handheld Circular Saw Accessories</v>
      </c>
    </row>
    <row r="2512">
      <c r="A2512" s="29">
        <v>7346.0</v>
      </c>
      <c r="B2512" s="29" t="s">
        <v>2423</v>
      </c>
      <c r="C2512" s="29" t="s">
        <v>2703</v>
      </c>
      <c r="D2512" s="29" t="s">
        <v>2748</v>
      </c>
      <c r="E2512" s="29" t="s">
        <v>2751</v>
      </c>
      <c r="F2512" s="62"/>
      <c r="G2512" s="20" t="str">
        <f t="shared" si="1"/>
        <v>Hardware, Tool Accessories, Saw Accessories, Jigsaw Accessories</v>
      </c>
    </row>
    <row r="2513">
      <c r="A2513" s="29">
        <v>6503.0</v>
      </c>
      <c r="B2513" s="29" t="s">
        <v>2423</v>
      </c>
      <c r="C2513" s="29" t="s">
        <v>2703</v>
      </c>
      <c r="D2513" s="29" t="s">
        <v>2748</v>
      </c>
      <c r="E2513" s="29" t="s">
        <v>2752</v>
      </c>
      <c r="F2513" s="62"/>
      <c r="G2513" s="20" t="str">
        <f t="shared" si="1"/>
        <v>Hardware, Tool Accessories, Saw Accessories, Miter Saw Accessories</v>
      </c>
    </row>
    <row r="2514">
      <c r="A2514" s="29">
        <v>6501.0</v>
      </c>
      <c r="B2514" s="29" t="s">
        <v>2423</v>
      </c>
      <c r="C2514" s="29" t="s">
        <v>2703</v>
      </c>
      <c r="D2514" s="29" t="s">
        <v>2748</v>
      </c>
      <c r="E2514" s="29" t="s">
        <v>2753</v>
      </c>
      <c r="F2514" s="62"/>
      <c r="G2514" s="20" t="str">
        <f t="shared" si="1"/>
        <v>Hardware, Tool Accessories, Saw Accessories, Table Saw Accessories</v>
      </c>
    </row>
    <row r="2515">
      <c r="A2515" s="29">
        <v>3470.0</v>
      </c>
      <c r="B2515" s="29" t="s">
        <v>2423</v>
      </c>
      <c r="C2515" s="29" t="s">
        <v>2703</v>
      </c>
      <c r="D2515" s="29" t="s">
        <v>2754</v>
      </c>
      <c r="E2515" s="62"/>
      <c r="F2515" s="62"/>
      <c r="G2515" s="20" t="str">
        <f t="shared" si="1"/>
        <v>Hardware, Tool Accessories, Shaper Accessories, </v>
      </c>
    </row>
    <row r="2516">
      <c r="A2516" s="29">
        <v>3210.0</v>
      </c>
      <c r="B2516" s="29" t="s">
        <v>2423</v>
      </c>
      <c r="C2516" s="29" t="s">
        <v>2703</v>
      </c>
      <c r="D2516" s="29" t="s">
        <v>2754</v>
      </c>
      <c r="E2516" s="29" t="s">
        <v>2755</v>
      </c>
      <c r="F2516" s="62"/>
      <c r="G2516" s="20" t="str">
        <f t="shared" si="1"/>
        <v>Hardware, Tool Accessories, Shaper Accessories, Shaper Cutters</v>
      </c>
    </row>
    <row r="2517">
      <c r="A2517" s="29">
        <v>3281.0</v>
      </c>
      <c r="B2517" s="29" t="s">
        <v>2423</v>
      </c>
      <c r="C2517" s="29" t="s">
        <v>2703</v>
      </c>
      <c r="D2517" s="29" t="s">
        <v>2756</v>
      </c>
      <c r="F2517" s="62"/>
      <c r="G2517" s="20" t="str">
        <f t="shared" si="1"/>
        <v>Hardware, Tool Accessories, Soldering Iron Accessories, </v>
      </c>
    </row>
    <row r="2518">
      <c r="A2518" s="29">
        <v>3629.0</v>
      </c>
      <c r="B2518" s="29" t="s">
        <v>2423</v>
      </c>
      <c r="C2518" s="29" t="s">
        <v>2703</v>
      </c>
      <c r="D2518" s="29" t="s">
        <v>2756</v>
      </c>
      <c r="E2518" s="29" t="s">
        <v>2757</v>
      </c>
      <c r="F2518" s="62"/>
      <c r="G2518" s="20" t="str">
        <f t="shared" si="1"/>
        <v>Hardware, Tool Accessories, Soldering Iron Accessories, Soldering Iron Stands</v>
      </c>
    </row>
    <row r="2519">
      <c r="A2519" s="29">
        <v>3609.0</v>
      </c>
      <c r="B2519" s="29" t="s">
        <v>2423</v>
      </c>
      <c r="C2519" s="29" t="s">
        <v>2703</v>
      </c>
      <c r="D2519" s="29" t="s">
        <v>2756</v>
      </c>
      <c r="E2519" s="29" t="s">
        <v>2758</v>
      </c>
      <c r="F2519" s="62"/>
      <c r="G2519" s="20" t="str">
        <f t="shared" si="1"/>
        <v>Hardware, Tool Accessories, Soldering Iron Accessories, Soldering Iron Tips</v>
      </c>
    </row>
    <row r="2520">
      <c r="A2520" s="29">
        <v>2174.0</v>
      </c>
      <c r="B2520" s="29" t="s">
        <v>2423</v>
      </c>
      <c r="C2520" s="29" t="s">
        <v>2703</v>
      </c>
      <c r="D2520" s="29" t="s">
        <v>2759</v>
      </c>
      <c r="E2520" s="62"/>
      <c r="F2520" s="62"/>
      <c r="G2520" s="20" t="str">
        <f t="shared" si="1"/>
        <v>Hardware, Tool Accessories, Tool Blades, </v>
      </c>
    </row>
    <row r="2521">
      <c r="A2521" s="29">
        <v>505831.0</v>
      </c>
      <c r="B2521" s="29" t="s">
        <v>2423</v>
      </c>
      <c r="C2521" s="29" t="s">
        <v>2703</v>
      </c>
      <c r="D2521" s="29" t="s">
        <v>2759</v>
      </c>
      <c r="E2521" s="29" t="s">
        <v>2760</v>
      </c>
      <c r="F2521" s="62"/>
      <c r="G2521" s="20" t="str">
        <f t="shared" si="1"/>
        <v>Hardware, Tool Accessories, Tool Blades, Cutter &amp; Scraper Blades</v>
      </c>
    </row>
    <row r="2522">
      <c r="A2522" s="29">
        <v>2202.0</v>
      </c>
      <c r="B2522" s="29" t="s">
        <v>2423</v>
      </c>
      <c r="C2522" s="29" t="s">
        <v>2703</v>
      </c>
      <c r="D2522" s="29" t="s">
        <v>2759</v>
      </c>
      <c r="E2522" s="29" t="s">
        <v>2761</v>
      </c>
      <c r="F2522" s="62"/>
      <c r="G2522" s="20" t="str">
        <f t="shared" si="1"/>
        <v>Hardware, Tool Accessories, Tool Blades, Saw Blades</v>
      </c>
    </row>
    <row r="2523">
      <c r="A2523" s="29">
        <v>505810.0</v>
      </c>
      <c r="B2523" s="29" t="s">
        <v>2423</v>
      </c>
      <c r="C2523" s="29" t="s">
        <v>2703</v>
      </c>
      <c r="D2523" s="29" t="s">
        <v>2762</v>
      </c>
      <c r="E2523" s="62"/>
      <c r="F2523" s="62"/>
      <c r="G2523" s="20" t="str">
        <f t="shared" si="1"/>
        <v>Hardware, Tool Accessories, Tool Handle Wedges, </v>
      </c>
    </row>
    <row r="2524">
      <c r="A2524" s="29">
        <v>8258.0</v>
      </c>
      <c r="B2524" s="29" t="s">
        <v>2423</v>
      </c>
      <c r="C2524" s="29" t="s">
        <v>2703</v>
      </c>
      <c r="D2524" s="29" t="s">
        <v>2763</v>
      </c>
      <c r="E2524" s="62"/>
      <c r="F2524" s="62"/>
      <c r="G2524" s="20" t="str">
        <f t="shared" si="1"/>
        <v>Hardware, Tool Accessories, Tool Safety Tethers, </v>
      </c>
    </row>
    <row r="2525">
      <c r="A2525" s="29">
        <v>5571.0</v>
      </c>
      <c r="B2525" s="29" t="s">
        <v>2423</v>
      </c>
      <c r="C2525" s="29" t="s">
        <v>2703</v>
      </c>
      <c r="D2525" s="29" t="s">
        <v>2764</v>
      </c>
      <c r="E2525" s="62"/>
      <c r="F2525" s="62"/>
      <c r="G2525" s="20" t="str">
        <f t="shared" si="1"/>
        <v>Hardware, Tool Accessories, Tool Sockets, </v>
      </c>
    </row>
    <row r="2526">
      <c r="A2526" s="29">
        <v>4658.0</v>
      </c>
      <c r="B2526" s="29" t="s">
        <v>2423</v>
      </c>
      <c r="C2526" s="29" t="s">
        <v>2703</v>
      </c>
      <c r="D2526" s="29" t="s">
        <v>2765</v>
      </c>
      <c r="E2526" s="62"/>
      <c r="F2526" s="62"/>
      <c r="G2526" s="20" t="str">
        <f t="shared" si="1"/>
        <v>Hardware, Tool Accessories, Tool Stands, </v>
      </c>
    </row>
    <row r="2527">
      <c r="A2527" s="29">
        <v>4659.0</v>
      </c>
      <c r="B2527" s="29" t="s">
        <v>2423</v>
      </c>
      <c r="C2527" s="29" t="s">
        <v>2703</v>
      </c>
      <c r="D2527" s="29" t="s">
        <v>2765</v>
      </c>
      <c r="E2527" s="29" t="s">
        <v>2766</v>
      </c>
      <c r="F2527" s="62"/>
      <c r="G2527" s="20" t="str">
        <f t="shared" si="1"/>
        <v>Hardware, Tool Accessories, Tool Stands, Saw Stands</v>
      </c>
    </row>
    <row r="2528">
      <c r="A2528" s="29">
        <v>505812.0</v>
      </c>
      <c r="B2528" s="29" t="s">
        <v>2423</v>
      </c>
      <c r="C2528" s="29" t="s">
        <v>2703</v>
      </c>
      <c r="D2528" s="29" t="s">
        <v>2767</v>
      </c>
      <c r="E2528" s="62"/>
      <c r="F2528" s="62"/>
      <c r="G2528" s="20" t="str">
        <f t="shared" si="1"/>
        <v>Hardware, Tool Accessories, Wedge Tools, </v>
      </c>
    </row>
    <row r="2529">
      <c r="A2529" s="29">
        <v>499947.0</v>
      </c>
      <c r="B2529" s="29" t="s">
        <v>2423</v>
      </c>
      <c r="C2529" s="29" t="s">
        <v>2703</v>
      </c>
      <c r="D2529" s="29" t="s">
        <v>2768</v>
      </c>
      <c r="E2529" s="62"/>
      <c r="F2529" s="62"/>
      <c r="G2529" s="20" t="str">
        <f t="shared" si="1"/>
        <v>Hardware, Tool Accessories, Welding Accessories, </v>
      </c>
    </row>
    <row r="2530">
      <c r="A2530" s="29">
        <v>1167.0</v>
      </c>
      <c r="B2530" s="29" t="s">
        <v>2423</v>
      </c>
      <c r="C2530" s="29" t="s">
        <v>2769</v>
      </c>
      <c r="D2530" s="62"/>
      <c r="E2530" s="62"/>
      <c r="F2530" s="62"/>
      <c r="G2530" s="20" t="str">
        <f t="shared" si="1"/>
        <v>Hardware, Tools, , </v>
      </c>
    </row>
    <row r="2531">
      <c r="A2531" s="29">
        <v>6938.0</v>
      </c>
      <c r="B2531" s="29" t="s">
        <v>2423</v>
      </c>
      <c r="C2531" s="29" t="s">
        <v>2769</v>
      </c>
      <c r="D2531" s="29" t="s">
        <v>2770</v>
      </c>
      <c r="E2531" s="62"/>
      <c r="F2531" s="62"/>
      <c r="G2531" s="20" t="str">
        <f t="shared" si="1"/>
        <v>Hardware, Tools, Abrasive Blasters, </v>
      </c>
    </row>
    <row r="2532">
      <c r="A2532" s="29">
        <v>1169.0</v>
      </c>
      <c r="B2532" s="29" t="s">
        <v>2423</v>
      </c>
      <c r="C2532" s="29" t="s">
        <v>2769</v>
      </c>
      <c r="D2532" s="29" t="s">
        <v>2771</v>
      </c>
      <c r="E2532" s="62"/>
      <c r="F2532" s="62"/>
      <c r="G2532" s="20" t="str">
        <f t="shared" si="1"/>
        <v>Hardware, Tools, Anvils, </v>
      </c>
    </row>
    <row r="2533">
      <c r="A2533" s="29">
        <v>1171.0</v>
      </c>
      <c r="B2533" s="29" t="s">
        <v>2423</v>
      </c>
      <c r="C2533" s="29" t="s">
        <v>2769</v>
      </c>
      <c r="D2533" s="29" t="s">
        <v>2772</v>
      </c>
      <c r="E2533" s="62"/>
      <c r="F2533" s="62"/>
      <c r="G2533" s="20" t="str">
        <f t="shared" si="1"/>
        <v>Hardware, Tools, Axes, </v>
      </c>
    </row>
    <row r="2534">
      <c r="A2534" s="29">
        <v>7271.0</v>
      </c>
      <c r="B2534" s="29" t="s">
        <v>2423</v>
      </c>
      <c r="C2534" s="29" t="s">
        <v>2769</v>
      </c>
      <c r="D2534" s="29" t="s">
        <v>2773</v>
      </c>
      <c r="E2534" s="62"/>
      <c r="F2534" s="62"/>
      <c r="G2534" s="20" t="str">
        <f t="shared" si="1"/>
        <v>Hardware, Tools, Carpentry Jointers, </v>
      </c>
    </row>
    <row r="2535">
      <c r="A2535" s="29">
        <v>1174.0</v>
      </c>
      <c r="B2535" s="29" t="s">
        <v>2423</v>
      </c>
      <c r="C2535" s="29" t="s">
        <v>2769</v>
      </c>
      <c r="D2535" s="29" t="s">
        <v>2774</v>
      </c>
      <c r="F2535" s="62"/>
      <c r="G2535" s="20" t="str">
        <f t="shared" si="1"/>
        <v>Hardware, Tools, Carving Chisels &amp; Gouges, </v>
      </c>
    </row>
    <row r="2536">
      <c r="A2536" s="29">
        <v>1215.0</v>
      </c>
      <c r="B2536" s="29" t="s">
        <v>2423</v>
      </c>
      <c r="C2536" s="29" t="s">
        <v>2769</v>
      </c>
      <c r="D2536" s="29" t="s">
        <v>2775</v>
      </c>
      <c r="E2536" s="62"/>
      <c r="F2536" s="62"/>
      <c r="G2536" s="20" t="str">
        <f t="shared" si="1"/>
        <v>Hardware, Tools, Caulking Tools, </v>
      </c>
    </row>
    <row r="2537">
      <c r="A2537" s="29">
        <v>2792.0</v>
      </c>
      <c r="B2537" s="29" t="s">
        <v>2423</v>
      </c>
      <c r="C2537" s="29" t="s">
        <v>2769</v>
      </c>
      <c r="D2537" s="29" t="s">
        <v>2776</v>
      </c>
      <c r="E2537" s="62"/>
      <c r="F2537" s="62"/>
      <c r="G2537" s="20" t="str">
        <f t="shared" si="1"/>
        <v>Hardware, Tools, Chimney Brushes, </v>
      </c>
    </row>
    <row r="2538">
      <c r="A2538" s="29">
        <v>4325.0</v>
      </c>
      <c r="B2538" s="29" t="s">
        <v>2423</v>
      </c>
      <c r="C2538" s="29" t="s">
        <v>2769</v>
      </c>
      <c r="D2538" s="29" t="s">
        <v>2777</v>
      </c>
      <c r="E2538" s="62"/>
      <c r="F2538" s="62"/>
      <c r="G2538" s="20" t="str">
        <f t="shared" si="1"/>
        <v>Hardware, Tools, Compactors, </v>
      </c>
    </row>
    <row r="2539">
      <c r="A2539" s="29">
        <v>2015.0</v>
      </c>
      <c r="B2539" s="29" t="s">
        <v>2423</v>
      </c>
      <c r="C2539" s="29" t="s">
        <v>2769</v>
      </c>
      <c r="D2539" s="29" t="s">
        <v>2778</v>
      </c>
      <c r="E2539" s="62"/>
      <c r="F2539" s="62"/>
      <c r="G2539" s="20" t="str">
        <f t="shared" si="1"/>
        <v>Hardware, Tools, Compressors, </v>
      </c>
    </row>
    <row r="2540">
      <c r="A2540" s="29">
        <v>4672.0</v>
      </c>
      <c r="B2540" s="29" t="s">
        <v>2423</v>
      </c>
      <c r="C2540" s="29" t="s">
        <v>2769</v>
      </c>
      <c r="D2540" s="29" t="s">
        <v>2779</v>
      </c>
      <c r="E2540" s="62"/>
      <c r="F2540" s="62"/>
      <c r="G2540" s="20" t="str">
        <f t="shared" si="1"/>
        <v>Hardware, Tools, Concrete Brooms, </v>
      </c>
    </row>
    <row r="2541">
      <c r="A2541" s="29">
        <v>1180.0</v>
      </c>
      <c r="B2541" s="29" t="s">
        <v>2423</v>
      </c>
      <c r="C2541" s="29" t="s">
        <v>2769</v>
      </c>
      <c r="D2541" s="29" t="s">
        <v>2780</v>
      </c>
      <c r="E2541" s="62"/>
      <c r="F2541" s="62"/>
      <c r="G2541" s="20" t="str">
        <f t="shared" si="1"/>
        <v>Hardware, Tools, Cutters, </v>
      </c>
    </row>
    <row r="2542">
      <c r="A2542" s="29">
        <v>1181.0</v>
      </c>
      <c r="B2542" s="29" t="s">
        <v>2423</v>
      </c>
      <c r="C2542" s="29" t="s">
        <v>2769</v>
      </c>
      <c r="D2542" s="29" t="s">
        <v>2780</v>
      </c>
      <c r="E2542" s="29" t="s">
        <v>2781</v>
      </c>
      <c r="F2542" s="62"/>
      <c r="G2542" s="20" t="str">
        <f t="shared" si="1"/>
        <v>Hardware, Tools, Cutters, Bolt Cutters</v>
      </c>
    </row>
    <row r="2543">
      <c r="A2543" s="29">
        <v>1182.0</v>
      </c>
      <c r="B2543" s="29" t="s">
        <v>2423</v>
      </c>
      <c r="C2543" s="29" t="s">
        <v>2769</v>
      </c>
      <c r="D2543" s="29" t="s">
        <v>2780</v>
      </c>
      <c r="E2543" s="29" t="s">
        <v>2782</v>
      </c>
      <c r="F2543" s="62"/>
      <c r="G2543" s="20" t="str">
        <f t="shared" si="1"/>
        <v>Hardware, Tools, Cutters, Glass Cutters</v>
      </c>
    </row>
    <row r="2544">
      <c r="A2544" s="29">
        <v>1454.0</v>
      </c>
      <c r="B2544" s="29" t="s">
        <v>2423</v>
      </c>
      <c r="C2544" s="29" t="s">
        <v>2769</v>
      </c>
      <c r="D2544" s="29" t="s">
        <v>2780</v>
      </c>
      <c r="E2544" s="29" t="s">
        <v>2783</v>
      </c>
      <c r="G2544" s="20" t="str">
        <f t="shared" si="1"/>
        <v>Hardware, Tools, Cutters, Handheld Metal Shears &amp; Nibblers</v>
      </c>
    </row>
    <row r="2545">
      <c r="A2545" s="29">
        <v>7562.0</v>
      </c>
      <c r="B2545" s="29" t="s">
        <v>2423</v>
      </c>
      <c r="C2545" s="29" t="s">
        <v>2769</v>
      </c>
      <c r="D2545" s="29" t="s">
        <v>2780</v>
      </c>
      <c r="E2545" s="29" t="s">
        <v>2784</v>
      </c>
      <c r="F2545" s="62"/>
      <c r="G2545" s="20" t="str">
        <f t="shared" si="1"/>
        <v>Hardware, Tools, Cutters, Nippers</v>
      </c>
    </row>
    <row r="2546">
      <c r="A2546" s="29">
        <v>2080.0</v>
      </c>
      <c r="B2546" s="29" t="s">
        <v>2423</v>
      </c>
      <c r="C2546" s="29" t="s">
        <v>2769</v>
      </c>
      <c r="D2546" s="29" t="s">
        <v>2780</v>
      </c>
      <c r="E2546" s="29" t="s">
        <v>2785</v>
      </c>
      <c r="F2546" s="62"/>
      <c r="G2546" s="20" t="str">
        <f t="shared" si="1"/>
        <v>Hardware, Tools, Cutters, Pipe Cutters</v>
      </c>
    </row>
    <row r="2547">
      <c r="A2547" s="29">
        <v>1824.0</v>
      </c>
      <c r="B2547" s="29" t="s">
        <v>2423</v>
      </c>
      <c r="C2547" s="29" t="s">
        <v>2769</v>
      </c>
      <c r="D2547" s="29" t="s">
        <v>2780</v>
      </c>
      <c r="E2547" s="29" t="s">
        <v>2786</v>
      </c>
      <c r="F2547" s="62"/>
      <c r="G2547" s="20" t="str">
        <f t="shared" si="1"/>
        <v>Hardware, Tools, Cutters, Rebar Cutters</v>
      </c>
    </row>
    <row r="2548">
      <c r="A2548" s="29">
        <v>2726.0</v>
      </c>
      <c r="B2548" s="29" t="s">
        <v>2423</v>
      </c>
      <c r="C2548" s="29" t="s">
        <v>2769</v>
      </c>
      <c r="D2548" s="29" t="s">
        <v>2780</v>
      </c>
      <c r="E2548" s="29" t="s">
        <v>2787</v>
      </c>
      <c r="F2548" s="62"/>
      <c r="G2548" s="20" t="str">
        <f t="shared" si="1"/>
        <v>Hardware, Tools, Cutters, Tile &amp; Shingle Cutters</v>
      </c>
    </row>
    <row r="2549">
      <c r="A2549" s="29">
        <v>2411.0</v>
      </c>
      <c r="B2549" s="29" t="s">
        <v>2423</v>
      </c>
      <c r="C2549" s="29" t="s">
        <v>2769</v>
      </c>
      <c r="D2549" s="29" t="s">
        <v>2780</v>
      </c>
      <c r="E2549" s="29" t="s">
        <v>2788</v>
      </c>
      <c r="F2549" s="62"/>
      <c r="G2549" s="20" t="str">
        <f t="shared" si="1"/>
        <v>Hardware, Tools, Cutters, Utility Knives</v>
      </c>
    </row>
    <row r="2550">
      <c r="A2550" s="29">
        <v>1391.0</v>
      </c>
      <c r="B2550" s="29" t="s">
        <v>2423</v>
      </c>
      <c r="C2550" s="29" t="s">
        <v>2769</v>
      </c>
      <c r="D2550" s="29" t="s">
        <v>2789</v>
      </c>
      <c r="E2550" s="62"/>
      <c r="F2550" s="62"/>
      <c r="G2550" s="20" t="str">
        <f t="shared" si="1"/>
        <v>Hardware, Tools, Deburrers, </v>
      </c>
    </row>
    <row r="2551">
      <c r="A2551" s="29">
        <v>126.0</v>
      </c>
      <c r="B2551" s="29" t="s">
        <v>2423</v>
      </c>
      <c r="C2551" s="29" t="s">
        <v>2769</v>
      </c>
      <c r="D2551" s="29" t="s">
        <v>2790</v>
      </c>
      <c r="E2551" s="62"/>
      <c r="F2551" s="62"/>
      <c r="G2551" s="20" t="str">
        <f t="shared" si="1"/>
        <v>Hardware, Tools, Dollies &amp; Hand Trucks, </v>
      </c>
    </row>
    <row r="2552">
      <c r="A2552" s="29">
        <v>1217.0</v>
      </c>
      <c r="B2552" s="29" t="s">
        <v>2423</v>
      </c>
      <c r="C2552" s="29" t="s">
        <v>2769</v>
      </c>
      <c r="D2552" s="29" t="s">
        <v>2791</v>
      </c>
      <c r="E2552" s="62"/>
      <c r="F2552" s="62"/>
      <c r="G2552" s="20" t="str">
        <f t="shared" si="1"/>
        <v>Hardware, Tools, Drills, </v>
      </c>
    </row>
    <row r="2553">
      <c r="A2553" s="29">
        <v>1367.0</v>
      </c>
      <c r="B2553" s="29" t="s">
        <v>2423</v>
      </c>
      <c r="C2553" s="29" t="s">
        <v>2769</v>
      </c>
      <c r="D2553" s="29" t="s">
        <v>2791</v>
      </c>
      <c r="E2553" s="29" t="s">
        <v>2792</v>
      </c>
      <c r="F2553" s="62"/>
      <c r="G2553" s="20" t="str">
        <f t="shared" si="1"/>
        <v>Hardware, Tools, Drills, Augers</v>
      </c>
    </row>
    <row r="2554">
      <c r="A2554" s="29">
        <v>1216.0</v>
      </c>
      <c r="B2554" s="29" t="s">
        <v>2423</v>
      </c>
      <c r="C2554" s="29" t="s">
        <v>2769</v>
      </c>
      <c r="D2554" s="29" t="s">
        <v>2791</v>
      </c>
      <c r="E2554" s="29" t="s">
        <v>2793</v>
      </c>
      <c r="F2554" s="62"/>
      <c r="G2554" s="20" t="str">
        <f t="shared" si="1"/>
        <v>Hardware, Tools, Drills, Drill Presses</v>
      </c>
    </row>
    <row r="2555">
      <c r="A2555" s="29">
        <v>2629.0</v>
      </c>
      <c r="B2555" s="29" t="s">
        <v>2423</v>
      </c>
      <c r="C2555" s="29" t="s">
        <v>2769</v>
      </c>
      <c r="D2555" s="29" t="s">
        <v>2791</v>
      </c>
      <c r="E2555" s="29" t="s">
        <v>2794</v>
      </c>
      <c r="F2555" s="62"/>
      <c r="G2555" s="20" t="str">
        <f t="shared" si="1"/>
        <v>Hardware, Tools, Drills, Handheld Power Drills</v>
      </c>
    </row>
    <row r="2556">
      <c r="A2556" s="29">
        <v>1465.0</v>
      </c>
      <c r="B2556" s="29" t="s">
        <v>2423</v>
      </c>
      <c r="C2556" s="29" t="s">
        <v>2769</v>
      </c>
      <c r="D2556" s="29" t="s">
        <v>2791</v>
      </c>
      <c r="E2556" s="29" t="s">
        <v>2795</v>
      </c>
      <c r="F2556" s="62"/>
      <c r="G2556" s="20" t="str">
        <f t="shared" si="1"/>
        <v>Hardware, Tools, Drills, Mortisers</v>
      </c>
    </row>
    <row r="2557">
      <c r="A2557" s="29">
        <v>1994.0</v>
      </c>
      <c r="B2557" s="29" t="s">
        <v>2423</v>
      </c>
      <c r="C2557" s="29" t="s">
        <v>2769</v>
      </c>
      <c r="D2557" s="29" t="s">
        <v>2791</v>
      </c>
      <c r="E2557" s="29" t="s">
        <v>2796</v>
      </c>
      <c r="F2557" s="62"/>
      <c r="G2557" s="20" t="str">
        <f t="shared" si="1"/>
        <v>Hardware, Tools, Drills, Pneumatic Drills</v>
      </c>
    </row>
    <row r="2558">
      <c r="A2558" s="29">
        <v>6461.0</v>
      </c>
      <c r="B2558" s="29" t="s">
        <v>2423</v>
      </c>
      <c r="C2558" s="29" t="s">
        <v>2769</v>
      </c>
      <c r="D2558" s="29" t="s">
        <v>2797</v>
      </c>
      <c r="E2558" s="62"/>
      <c r="F2558" s="62"/>
      <c r="G2558" s="20" t="str">
        <f t="shared" si="1"/>
        <v>Hardware, Tools, Electrician Fish Tape, </v>
      </c>
    </row>
    <row r="2559">
      <c r="A2559" s="29">
        <v>338.0</v>
      </c>
      <c r="B2559" s="29" t="s">
        <v>2423</v>
      </c>
      <c r="C2559" s="29" t="s">
        <v>2769</v>
      </c>
      <c r="D2559" s="29" t="s">
        <v>2798</v>
      </c>
      <c r="E2559" s="62"/>
      <c r="F2559" s="62"/>
      <c r="G2559" s="20" t="str">
        <f t="shared" si="1"/>
        <v>Hardware, Tools, Flashlights &amp; Headlamps, </v>
      </c>
    </row>
    <row r="2560">
      <c r="A2560" s="29">
        <v>543689.0</v>
      </c>
      <c r="B2560" s="29" t="s">
        <v>2423</v>
      </c>
      <c r="C2560" s="29" t="s">
        <v>2769</v>
      </c>
      <c r="D2560" s="29" t="s">
        <v>2798</v>
      </c>
      <c r="E2560" s="29" t="s">
        <v>2799</v>
      </c>
      <c r="F2560" s="62"/>
      <c r="G2560" s="20" t="str">
        <f t="shared" si="1"/>
        <v>Hardware, Tools, Flashlights &amp; Headlamps, Flashlights</v>
      </c>
    </row>
    <row r="2561">
      <c r="A2561" s="29">
        <v>2454.0</v>
      </c>
      <c r="B2561" s="29" t="s">
        <v>2423</v>
      </c>
      <c r="C2561" s="29" t="s">
        <v>2769</v>
      </c>
      <c r="D2561" s="29" t="s">
        <v>2798</v>
      </c>
      <c r="E2561" s="29" t="s">
        <v>2800</v>
      </c>
      <c r="F2561" s="62"/>
      <c r="G2561" s="20" t="str">
        <f t="shared" si="1"/>
        <v>Hardware, Tools, Flashlights &amp; Headlamps, Headlamps</v>
      </c>
    </row>
    <row r="2562">
      <c r="A2562" s="29">
        <v>7556.0</v>
      </c>
      <c r="B2562" s="29" t="s">
        <v>2423</v>
      </c>
      <c r="C2562" s="29" t="s">
        <v>2769</v>
      </c>
      <c r="D2562" s="29" t="s">
        <v>2801</v>
      </c>
      <c r="E2562" s="62"/>
      <c r="F2562" s="62"/>
      <c r="G2562" s="20" t="str">
        <f t="shared" si="1"/>
        <v>Hardware, Tools, Grease Guns, </v>
      </c>
    </row>
    <row r="2563">
      <c r="A2563" s="29">
        <v>1219.0</v>
      </c>
      <c r="B2563" s="29" t="s">
        <v>2423</v>
      </c>
      <c r="C2563" s="29" t="s">
        <v>2769</v>
      </c>
      <c r="D2563" s="29" t="s">
        <v>2802</v>
      </c>
      <c r="E2563" s="62"/>
      <c r="F2563" s="62"/>
      <c r="G2563" s="20" t="str">
        <f t="shared" si="1"/>
        <v>Hardware, Tools, Grinders, </v>
      </c>
    </row>
    <row r="2564">
      <c r="A2564" s="29">
        <v>1185.0</v>
      </c>
      <c r="B2564" s="29" t="s">
        <v>2423</v>
      </c>
      <c r="C2564" s="29" t="s">
        <v>2769</v>
      </c>
      <c r="D2564" s="29" t="s">
        <v>2803</v>
      </c>
      <c r="E2564" s="62"/>
      <c r="F2564" s="62"/>
      <c r="G2564" s="20" t="str">
        <f t="shared" si="1"/>
        <v>Hardware, Tools, Grips, </v>
      </c>
    </row>
    <row r="2565">
      <c r="A2565" s="29">
        <v>1186.0</v>
      </c>
      <c r="B2565" s="29" t="s">
        <v>2423</v>
      </c>
      <c r="C2565" s="29" t="s">
        <v>2769</v>
      </c>
      <c r="D2565" s="29" t="s">
        <v>2804</v>
      </c>
      <c r="E2565" s="62"/>
      <c r="F2565" s="62"/>
      <c r="G2565" s="20" t="str">
        <f t="shared" si="1"/>
        <v>Hardware, Tools, Hammers, </v>
      </c>
    </row>
    <row r="2566">
      <c r="A2566" s="29">
        <v>2208.0</v>
      </c>
      <c r="B2566" s="29" t="s">
        <v>2423</v>
      </c>
      <c r="C2566" s="29" t="s">
        <v>2769</v>
      </c>
      <c r="D2566" s="29" t="s">
        <v>2804</v>
      </c>
      <c r="E2566" s="29" t="s">
        <v>2805</v>
      </c>
      <c r="F2566" s="62"/>
      <c r="G2566" s="20" t="str">
        <f t="shared" si="1"/>
        <v>Hardware, Tools, Hammers, Manual Hammers</v>
      </c>
    </row>
    <row r="2567">
      <c r="A2567" s="29">
        <v>505364.0</v>
      </c>
      <c r="B2567" s="29" t="s">
        <v>2423</v>
      </c>
      <c r="C2567" s="29" t="s">
        <v>2769</v>
      </c>
      <c r="D2567" s="29" t="s">
        <v>2804</v>
      </c>
      <c r="E2567" s="29" t="s">
        <v>2806</v>
      </c>
      <c r="F2567" s="62"/>
      <c r="G2567" s="20" t="str">
        <f t="shared" si="1"/>
        <v>Hardware, Tools, Hammers, Powered Hammers</v>
      </c>
    </row>
    <row r="2568">
      <c r="A2568" s="29">
        <v>499887.0</v>
      </c>
      <c r="B2568" s="29" t="s">
        <v>2423</v>
      </c>
      <c r="C2568" s="29" t="s">
        <v>2769</v>
      </c>
      <c r="D2568" s="29" t="s">
        <v>2807</v>
      </c>
      <c r="E2568" s="62"/>
      <c r="F2568" s="62"/>
      <c r="G2568" s="20" t="str">
        <f t="shared" si="1"/>
        <v>Hardware, Tools, Handheld Power Mixers, </v>
      </c>
    </row>
    <row r="2569">
      <c r="A2569" s="29">
        <v>5927.0</v>
      </c>
      <c r="B2569" s="29" t="s">
        <v>2423</v>
      </c>
      <c r="C2569" s="29" t="s">
        <v>2769</v>
      </c>
      <c r="D2569" s="29" t="s">
        <v>2808</v>
      </c>
      <c r="E2569" s="62"/>
      <c r="F2569" s="62"/>
      <c r="G2569" s="20" t="str">
        <f t="shared" si="1"/>
        <v>Hardware, Tools, Hardware Torches, </v>
      </c>
    </row>
    <row r="2570">
      <c r="A2570" s="29">
        <v>1220.0</v>
      </c>
      <c r="B2570" s="29" t="s">
        <v>2423</v>
      </c>
      <c r="C2570" s="29" t="s">
        <v>2769</v>
      </c>
      <c r="D2570" s="29" t="s">
        <v>2809</v>
      </c>
      <c r="E2570" s="62"/>
      <c r="F2570" s="62"/>
      <c r="G2570" s="20" t="str">
        <f t="shared" si="1"/>
        <v>Hardware, Tools, Heat Guns, </v>
      </c>
    </row>
    <row r="2571">
      <c r="A2571" s="29">
        <v>1221.0</v>
      </c>
      <c r="B2571" s="29" t="s">
        <v>2423</v>
      </c>
      <c r="C2571" s="29" t="s">
        <v>2769</v>
      </c>
      <c r="D2571" s="29" t="s">
        <v>2810</v>
      </c>
      <c r="F2571" s="62"/>
      <c r="G2571" s="20" t="str">
        <f t="shared" si="1"/>
        <v>Hardware, Tools, Impact Wrenches &amp; Drivers, </v>
      </c>
    </row>
    <row r="2572">
      <c r="A2572" s="29">
        <v>2456.0</v>
      </c>
      <c r="B2572" s="29" t="s">
        <v>2423</v>
      </c>
      <c r="C2572" s="29" t="s">
        <v>2769</v>
      </c>
      <c r="D2572" s="29" t="s">
        <v>2811</v>
      </c>
      <c r="E2572" s="62"/>
      <c r="F2572" s="62"/>
      <c r="G2572" s="20" t="str">
        <f t="shared" si="1"/>
        <v>Hardware, Tools, Industrial Vibrators, </v>
      </c>
    </row>
    <row r="2573">
      <c r="A2573" s="29">
        <v>7416.0</v>
      </c>
      <c r="B2573" s="29" t="s">
        <v>2423</v>
      </c>
      <c r="C2573" s="29" t="s">
        <v>2769</v>
      </c>
      <c r="D2573" s="29" t="s">
        <v>2812</v>
      </c>
      <c r="E2573" s="62"/>
      <c r="F2573" s="62"/>
      <c r="G2573" s="20" t="str">
        <f t="shared" si="1"/>
        <v>Hardware, Tools, Inspection Mirrors, </v>
      </c>
    </row>
    <row r="2574">
      <c r="A2574" s="29">
        <v>130.0</v>
      </c>
      <c r="B2574" s="29" t="s">
        <v>2423</v>
      </c>
      <c r="C2574" s="29" t="s">
        <v>2769</v>
      </c>
      <c r="D2574" s="29" t="s">
        <v>2813</v>
      </c>
      <c r="E2574" s="62"/>
      <c r="F2574" s="62"/>
      <c r="G2574" s="20" t="str">
        <f t="shared" si="1"/>
        <v>Hardware, Tools, Ladders &amp; Scaffolding, </v>
      </c>
    </row>
    <row r="2575">
      <c r="A2575" s="29">
        <v>2416.0</v>
      </c>
      <c r="B2575" s="29" t="s">
        <v>2423</v>
      </c>
      <c r="C2575" s="29" t="s">
        <v>2769</v>
      </c>
      <c r="D2575" s="29" t="s">
        <v>2813</v>
      </c>
      <c r="E2575" s="29" t="s">
        <v>2814</v>
      </c>
      <c r="F2575" s="62"/>
      <c r="G2575" s="20" t="str">
        <f t="shared" si="1"/>
        <v>Hardware, Tools, Ladders &amp; Scaffolding, Ladder Carts</v>
      </c>
    </row>
    <row r="2576">
      <c r="A2576" s="29">
        <v>6928.0</v>
      </c>
      <c r="B2576" s="29" t="s">
        <v>2423</v>
      </c>
      <c r="C2576" s="29" t="s">
        <v>2769</v>
      </c>
      <c r="D2576" s="29" t="s">
        <v>2813</v>
      </c>
      <c r="E2576" s="29" t="s">
        <v>2815</v>
      </c>
      <c r="F2576" s="62"/>
      <c r="G2576" s="20" t="str">
        <f t="shared" si="1"/>
        <v>Hardware, Tools, Ladders &amp; Scaffolding, Ladders</v>
      </c>
    </row>
    <row r="2577">
      <c r="A2577" s="29">
        <v>1866.0</v>
      </c>
      <c r="B2577" s="29" t="s">
        <v>2423</v>
      </c>
      <c r="C2577" s="29" t="s">
        <v>2769</v>
      </c>
      <c r="D2577" s="29" t="s">
        <v>2813</v>
      </c>
      <c r="E2577" s="29" t="s">
        <v>2816</v>
      </c>
      <c r="F2577" s="62"/>
      <c r="G2577" s="20" t="str">
        <f t="shared" si="1"/>
        <v>Hardware, Tools, Ladders &amp; Scaffolding, Scaffolding</v>
      </c>
    </row>
    <row r="2578">
      <c r="A2578" s="29">
        <v>635.0</v>
      </c>
      <c r="B2578" s="29" t="s">
        <v>2423</v>
      </c>
      <c r="C2578" s="29" t="s">
        <v>2769</v>
      </c>
      <c r="D2578" s="29" t="s">
        <v>2813</v>
      </c>
      <c r="E2578" s="29" t="s">
        <v>2817</v>
      </c>
      <c r="F2578" s="62"/>
      <c r="G2578" s="20" t="str">
        <f t="shared" si="1"/>
        <v>Hardware, Tools, Ladders &amp; Scaffolding, Step Stools</v>
      </c>
    </row>
    <row r="2579">
      <c r="A2579" s="29">
        <v>1809.0</v>
      </c>
      <c r="B2579" s="29" t="s">
        <v>2423</v>
      </c>
      <c r="C2579" s="29" t="s">
        <v>2769</v>
      </c>
      <c r="D2579" s="29" t="s">
        <v>2813</v>
      </c>
      <c r="E2579" s="29" t="s">
        <v>2818</v>
      </c>
      <c r="F2579" s="62"/>
      <c r="G2579" s="20" t="str">
        <f t="shared" si="1"/>
        <v>Hardware, Tools, Ladders &amp; Scaffolding, Work Platforms</v>
      </c>
    </row>
    <row r="2580">
      <c r="A2580" s="29">
        <v>1663.0</v>
      </c>
      <c r="B2580" s="29" t="s">
        <v>2423</v>
      </c>
      <c r="C2580" s="29" t="s">
        <v>2769</v>
      </c>
      <c r="D2580" s="29" t="s">
        <v>2819</v>
      </c>
      <c r="E2580" s="62"/>
      <c r="F2580" s="62"/>
      <c r="G2580" s="20" t="str">
        <f t="shared" si="1"/>
        <v>Hardware, Tools, Lathes, </v>
      </c>
    </row>
    <row r="2581">
      <c r="A2581" s="29">
        <v>1603.0</v>
      </c>
      <c r="B2581" s="29" t="s">
        <v>2423</v>
      </c>
      <c r="C2581" s="29" t="s">
        <v>2769</v>
      </c>
      <c r="D2581" s="29" t="s">
        <v>2820</v>
      </c>
      <c r="E2581" s="62"/>
      <c r="F2581" s="62"/>
      <c r="G2581" s="20" t="str">
        <f t="shared" si="1"/>
        <v>Hardware, Tools, Light Bulb Changers, </v>
      </c>
    </row>
    <row r="2582">
      <c r="A2582" s="29">
        <v>503774.0</v>
      </c>
      <c r="B2582" s="29" t="s">
        <v>2423</v>
      </c>
      <c r="C2582" s="29" t="s">
        <v>2769</v>
      </c>
      <c r="D2582" s="29" t="s">
        <v>2821</v>
      </c>
      <c r="E2582" s="62"/>
      <c r="F2582" s="62"/>
      <c r="G2582" s="20" t="str">
        <f t="shared" si="1"/>
        <v>Hardware, Tools, Lighters &amp; Matches, </v>
      </c>
    </row>
    <row r="2583">
      <c r="A2583" s="29">
        <v>7030.0</v>
      </c>
      <c r="B2583" s="29" t="s">
        <v>2423</v>
      </c>
      <c r="C2583" s="29" t="s">
        <v>2769</v>
      </c>
      <c r="D2583" s="29" t="s">
        <v>2822</v>
      </c>
      <c r="E2583" s="62"/>
      <c r="F2583" s="62"/>
      <c r="G2583" s="20" t="str">
        <f t="shared" si="1"/>
        <v>Hardware, Tools, Log Splitters, </v>
      </c>
    </row>
    <row r="2584">
      <c r="A2584" s="29">
        <v>5873.0</v>
      </c>
      <c r="B2584" s="29" t="s">
        <v>2423</v>
      </c>
      <c r="C2584" s="29" t="s">
        <v>2769</v>
      </c>
      <c r="D2584" s="29" t="s">
        <v>2823</v>
      </c>
      <c r="E2584" s="62"/>
      <c r="F2584" s="62"/>
      <c r="G2584" s="20" t="str">
        <f t="shared" si="1"/>
        <v>Hardware, Tools, Magnetic Sweepers, </v>
      </c>
    </row>
    <row r="2585">
      <c r="A2585" s="29">
        <v>1832.0</v>
      </c>
      <c r="B2585" s="29" t="s">
        <v>2423</v>
      </c>
      <c r="C2585" s="29" t="s">
        <v>2769</v>
      </c>
      <c r="D2585" s="29" t="s">
        <v>2824</v>
      </c>
      <c r="E2585" s="62"/>
      <c r="F2585" s="62"/>
      <c r="G2585" s="20" t="str">
        <f t="shared" si="1"/>
        <v>Hardware, Tools, Marking Tools, </v>
      </c>
    </row>
    <row r="2586">
      <c r="A2586" s="29">
        <v>1193.0</v>
      </c>
      <c r="B2586" s="29" t="s">
        <v>2423</v>
      </c>
      <c r="C2586" s="29" t="s">
        <v>2769</v>
      </c>
      <c r="D2586" s="29" t="s">
        <v>2825</v>
      </c>
      <c r="E2586" s="62"/>
      <c r="F2586" s="62"/>
      <c r="G2586" s="20" t="str">
        <f t="shared" si="1"/>
        <v>Hardware, Tools, Masonry Tools, </v>
      </c>
    </row>
    <row r="2587">
      <c r="A2587" s="29">
        <v>1668.0</v>
      </c>
      <c r="B2587" s="29" t="s">
        <v>2423</v>
      </c>
      <c r="C2587" s="29" t="s">
        <v>2769</v>
      </c>
      <c r="D2587" s="29" t="s">
        <v>2825</v>
      </c>
      <c r="E2587" s="29" t="s">
        <v>2826</v>
      </c>
      <c r="F2587" s="62"/>
      <c r="G2587" s="20" t="str">
        <f t="shared" si="1"/>
        <v>Hardware, Tools, Masonry Tools, Brick Tools</v>
      </c>
    </row>
    <row r="2588">
      <c r="A2588" s="29">
        <v>2305.0</v>
      </c>
      <c r="B2588" s="29" t="s">
        <v>2423</v>
      </c>
      <c r="C2588" s="29" t="s">
        <v>2769</v>
      </c>
      <c r="D2588" s="29" t="s">
        <v>2825</v>
      </c>
      <c r="E2588" s="29" t="s">
        <v>2827</v>
      </c>
      <c r="F2588" s="62"/>
      <c r="G2588" s="20" t="str">
        <f t="shared" si="1"/>
        <v>Hardware, Tools, Masonry Tools, Cement Mixers</v>
      </c>
    </row>
    <row r="2589">
      <c r="A2589" s="29">
        <v>1555.0</v>
      </c>
      <c r="B2589" s="29" t="s">
        <v>2423</v>
      </c>
      <c r="C2589" s="29" t="s">
        <v>2769</v>
      </c>
      <c r="D2589" s="29" t="s">
        <v>2825</v>
      </c>
      <c r="E2589" s="29" t="s">
        <v>2828</v>
      </c>
      <c r="F2589" s="62"/>
      <c r="G2589" s="20" t="str">
        <f t="shared" si="1"/>
        <v>Hardware, Tools, Masonry Tools, Construction Lines</v>
      </c>
    </row>
    <row r="2590">
      <c r="A2590" s="29">
        <v>2337.0</v>
      </c>
      <c r="B2590" s="29" t="s">
        <v>2423</v>
      </c>
      <c r="C2590" s="29" t="s">
        <v>2769</v>
      </c>
      <c r="D2590" s="29" t="s">
        <v>2825</v>
      </c>
      <c r="E2590" s="29" t="s">
        <v>2829</v>
      </c>
      <c r="F2590" s="62"/>
      <c r="G2590" s="20" t="str">
        <f t="shared" si="1"/>
        <v>Hardware, Tools, Masonry Tools, Floats</v>
      </c>
    </row>
    <row r="2591">
      <c r="A2591" s="29">
        <v>7484.0</v>
      </c>
      <c r="B2591" s="29" t="s">
        <v>2423</v>
      </c>
      <c r="C2591" s="29" t="s">
        <v>2769</v>
      </c>
      <c r="D2591" s="29" t="s">
        <v>2825</v>
      </c>
      <c r="E2591" s="29" t="s">
        <v>2830</v>
      </c>
      <c r="F2591" s="62"/>
      <c r="G2591" s="20" t="str">
        <f t="shared" si="1"/>
        <v>Hardware, Tools, Masonry Tools, Grout Sponges</v>
      </c>
    </row>
    <row r="2592">
      <c r="A2592" s="29">
        <v>1799.0</v>
      </c>
      <c r="B2592" s="29" t="s">
        <v>2423</v>
      </c>
      <c r="C2592" s="29" t="s">
        <v>2769</v>
      </c>
      <c r="D2592" s="29" t="s">
        <v>2825</v>
      </c>
      <c r="E2592" s="29" t="s">
        <v>2831</v>
      </c>
      <c r="F2592" s="62"/>
      <c r="G2592" s="20" t="str">
        <f t="shared" si="1"/>
        <v>Hardware, Tools, Masonry Tools, Masonry Edgers &amp; Groovers</v>
      </c>
    </row>
    <row r="2593">
      <c r="A2593" s="29">
        <v>1450.0</v>
      </c>
      <c r="B2593" s="29" t="s">
        <v>2423</v>
      </c>
      <c r="C2593" s="29" t="s">
        <v>2769</v>
      </c>
      <c r="D2593" s="29" t="s">
        <v>2825</v>
      </c>
      <c r="E2593" s="29" t="s">
        <v>2832</v>
      </c>
      <c r="F2593" s="62"/>
      <c r="G2593" s="20" t="str">
        <f t="shared" si="1"/>
        <v>Hardware, Tools, Masonry Tools, Masonry Jointers</v>
      </c>
    </row>
    <row r="2594">
      <c r="A2594" s="29">
        <v>2181.0</v>
      </c>
      <c r="B2594" s="29" t="s">
        <v>2423</v>
      </c>
      <c r="C2594" s="29" t="s">
        <v>2769</v>
      </c>
      <c r="D2594" s="29" t="s">
        <v>2825</v>
      </c>
      <c r="E2594" s="29" t="s">
        <v>2833</v>
      </c>
      <c r="F2594" s="62"/>
      <c r="G2594" s="20" t="str">
        <f t="shared" si="1"/>
        <v>Hardware, Tools, Masonry Tools, Masonry Trowels</v>
      </c>
    </row>
    <row r="2595">
      <c r="A2595" s="29">
        <v>4132.0</v>
      </c>
      <c r="B2595" s="29" t="s">
        <v>2423</v>
      </c>
      <c r="C2595" s="29" t="s">
        <v>2769</v>
      </c>
      <c r="D2595" s="29" t="s">
        <v>2825</v>
      </c>
      <c r="E2595" s="29" t="s">
        <v>2834</v>
      </c>
      <c r="F2595" s="62"/>
      <c r="G2595" s="20" t="str">
        <f t="shared" si="1"/>
        <v>Hardware, Tools, Masonry Tools, Power Trowels</v>
      </c>
    </row>
    <row r="2596">
      <c r="A2596" s="29">
        <v>3932.0</v>
      </c>
      <c r="B2596" s="29" t="s">
        <v>2423</v>
      </c>
      <c r="C2596" s="29" t="s">
        <v>2769</v>
      </c>
      <c r="D2596" s="29" t="s">
        <v>2835</v>
      </c>
      <c r="E2596" s="62"/>
      <c r="F2596" s="62"/>
      <c r="G2596" s="20" t="str">
        <f t="shared" si="1"/>
        <v>Hardware, Tools, Mattocks &amp; Pickaxes, </v>
      </c>
    </row>
    <row r="2597">
      <c r="A2597" s="29">
        <v>1305.0</v>
      </c>
      <c r="B2597" s="29" t="s">
        <v>2423</v>
      </c>
      <c r="C2597" s="29" t="s">
        <v>2769</v>
      </c>
      <c r="D2597" s="29" t="s">
        <v>2836</v>
      </c>
      <c r="F2597" s="62"/>
      <c r="G2597" s="20" t="str">
        <f t="shared" si="1"/>
        <v>Hardware, Tools, Measuring Tools &amp; Sensors, </v>
      </c>
    </row>
    <row r="2598">
      <c r="A2598" s="29">
        <v>5515.0</v>
      </c>
      <c r="B2598" s="29" t="s">
        <v>2423</v>
      </c>
      <c r="C2598" s="29" t="s">
        <v>2769</v>
      </c>
      <c r="D2598" s="29" t="s">
        <v>2836</v>
      </c>
      <c r="E2598" s="29" t="s">
        <v>2837</v>
      </c>
      <c r="F2598" s="62"/>
      <c r="G2598" s="20" t="str">
        <f t="shared" si="1"/>
        <v>Hardware, Tools, Measuring Tools &amp; Sensors, Air Quality Meters</v>
      </c>
    </row>
    <row r="2599">
      <c r="A2599" s="29">
        <v>4022.0</v>
      </c>
      <c r="B2599" s="29" t="s">
        <v>2423</v>
      </c>
      <c r="C2599" s="29" t="s">
        <v>2769</v>
      </c>
      <c r="D2599" s="29" t="s">
        <v>2836</v>
      </c>
      <c r="E2599" s="29" t="s">
        <v>2838</v>
      </c>
      <c r="F2599" s="62"/>
      <c r="G2599" s="20" t="str">
        <f t="shared" si="1"/>
        <v>Hardware, Tools, Measuring Tools &amp; Sensors, Altimeters</v>
      </c>
    </row>
    <row r="2600">
      <c r="A2600" s="29">
        <v>500058.0</v>
      </c>
      <c r="B2600" s="29" t="s">
        <v>2423</v>
      </c>
      <c r="C2600" s="29" t="s">
        <v>2769</v>
      </c>
      <c r="D2600" s="29" t="s">
        <v>2836</v>
      </c>
      <c r="E2600" s="29" t="s">
        <v>2839</v>
      </c>
      <c r="F2600" s="62"/>
      <c r="G2600" s="20" t="str">
        <f t="shared" si="1"/>
        <v>Hardware, Tools, Measuring Tools &amp; Sensors, Anemometers</v>
      </c>
    </row>
    <row r="2601">
      <c r="A2601" s="29">
        <v>3602.0</v>
      </c>
      <c r="B2601" s="29" t="s">
        <v>2423</v>
      </c>
      <c r="C2601" s="29" t="s">
        <v>2769</v>
      </c>
      <c r="D2601" s="29" t="s">
        <v>2836</v>
      </c>
      <c r="E2601" s="29" t="s">
        <v>2840</v>
      </c>
      <c r="F2601" s="62"/>
      <c r="G2601" s="20" t="str">
        <f t="shared" si="1"/>
        <v>Hardware, Tools, Measuring Tools &amp; Sensors, Barometers</v>
      </c>
    </row>
    <row r="2602">
      <c r="A2602" s="29">
        <v>2192.0</v>
      </c>
      <c r="B2602" s="29" t="s">
        <v>2423</v>
      </c>
      <c r="C2602" s="29" t="s">
        <v>2769</v>
      </c>
      <c r="D2602" s="29" t="s">
        <v>2836</v>
      </c>
      <c r="E2602" s="29" t="s">
        <v>2841</v>
      </c>
      <c r="F2602" s="62"/>
      <c r="G2602" s="20" t="str">
        <f t="shared" si="1"/>
        <v>Hardware, Tools, Measuring Tools &amp; Sensors, Calipers</v>
      </c>
    </row>
    <row r="2603">
      <c r="A2603" s="29">
        <v>1533.0</v>
      </c>
      <c r="B2603" s="29" t="s">
        <v>2423</v>
      </c>
      <c r="C2603" s="29" t="s">
        <v>2769</v>
      </c>
      <c r="D2603" s="29" t="s">
        <v>2836</v>
      </c>
      <c r="E2603" s="29" t="s">
        <v>2842</v>
      </c>
      <c r="F2603" s="62"/>
      <c r="G2603" s="20" t="str">
        <f t="shared" si="1"/>
        <v>Hardware, Tools, Measuring Tools &amp; Sensors, Cruising Rods</v>
      </c>
    </row>
    <row r="2604">
      <c r="A2604" s="29">
        <v>5487.0</v>
      </c>
      <c r="B2604" s="29" t="s">
        <v>2423</v>
      </c>
      <c r="C2604" s="29" t="s">
        <v>2769</v>
      </c>
      <c r="D2604" s="29" t="s">
        <v>2836</v>
      </c>
      <c r="E2604" s="29" t="s">
        <v>2843</v>
      </c>
      <c r="F2604" s="62"/>
      <c r="G2604" s="20" t="str">
        <f t="shared" si="1"/>
        <v>Hardware, Tools, Measuring Tools &amp; Sensors, Distance Meters</v>
      </c>
    </row>
    <row r="2605">
      <c r="A2605" s="29">
        <v>1850.0</v>
      </c>
      <c r="B2605" s="29" t="s">
        <v>2423</v>
      </c>
      <c r="C2605" s="29" t="s">
        <v>2769</v>
      </c>
      <c r="D2605" s="29" t="s">
        <v>2836</v>
      </c>
      <c r="E2605" s="29" t="s">
        <v>2844</v>
      </c>
      <c r="F2605" s="62"/>
      <c r="G2605" s="20" t="str">
        <f t="shared" si="1"/>
        <v>Hardware, Tools, Measuring Tools &amp; Sensors, Dividers</v>
      </c>
    </row>
    <row r="2606">
      <c r="A2606" s="29">
        <v>503737.0</v>
      </c>
      <c r="B2606" s="29" t="s">
        <v>2423</v>
      </c>
      <c r="C2606" s="29" t="s">
        <v>2769</v>
      </c>
      <c r="D2606" s="29" t="s">
        <v>2836</v>
      </c>
      <c r="E2606" s="29" t="s">
        <v>2845</v>
      </c>
      <c r="F2606" s="62"/>
      <c r="G2606" s="20" t="str">
        <f t="shared" si="1"/>
        <v>Hardware, Tools, Measuring Tools &amp; Sensors, Electrical Testing Tools</v>
      </c>
    </row>
    <row r="2607">
      <c r="A2607" s="29">
        <v>1640.0</v>
      </c>
      <c r="B2607" s="29" t="s">
        <v>2423</v>
      </c>
      <c r="C2607" s="29" t="s">
        <v>2769</v>
      </c>
      <c r="D2607" s="29" t="s">
        <v>2836</v>
      </c>
      <c r="E2607" s="29" t="s">
        <v>2846</v>
      </c>
      <c r="F2607" s="62"/>
      <c r="G2607" s="20" t="str">
        <f t="shared" si="1"/>
        <v>Hardware, Tools, Measuring Tools &amp; Sensors, Flow Meters &amp; Controllers</v>
      </c>
    </row>
    <row r="2608">
      <c r="A2608" s="29">
        <v>1991.0</v>
      </c>
      <c r="B2608" s="29" t="s">
        <v>2423</v>
      </c>
      <c r="C2608" s="29" t="s">
        <v>2769</v>
      </c>
      <c r="D2608" s="29" t="s">
        <v>2836</v>
      </c>
      <c r="E2608" s="29" t="s">
        <v>2847</v>
      </c>
      <c r="F2608" s="62"/>
      <c r="G2608" s="20" t="str">
        <f t="shared" si="1"/>
        <v>Hardware, Tools, Measuring Tools &amp; Sensors, Gas Detectors</v>
      </c>
    </row>
    <row r="2609">
      <c r="A2609" s="29">
        <v>1732.0</v>
      </c>
      <c r="B2609" s="29" t="s">
        <v>2423</v>
      </c>
      <c r="C2609" s="29" t="s">
        <v>2769</v>
      </c>
      <c r="D2609" s="29" t="s">
        <v>2836</v>
      </c>
      <c r="E2609" s="29" t="s">
        <v>2848</v>
      </c>
      <c r="F2609" s="62"/>
      <c r="G2609" s="20" t="str">
        <f t="shared" si="1"/>
        <v>Hardware, Tools, Measuring Tools &amp; Sensors, Gauges</v>
      </c>
    </row>
    <row r="2610">
      <c r="A2610" s="29">
        <v>5371.0</v>
      </c>
      <c r="B2610" s="29" t="s">
        <v>2423</v>
      </c>
      <c r="C2610" s="29" t="s">
        <v>2769</v>
      </c>
      <c r="D2610" s="29" t="s">
        <v>2836</v>
      </c>
      <c r="E2610" s="29" t="s">
        <v>2849</v>
      </c>
      <c r="F2610" s="62"/>
      <c r="G2610" s="20" t="str">
        <f t="shared" si="1"/>
        <v>Hardware, Tools, Measuring Tools &amp; Sensors, Geiger Counters</v>
      </c>
    </row>
    <row r="2611">
      <c r="A2611" s="29">
        <v>4754.0</v>
      </c>
      <c r="B2611" s="29" t="s">
        <v>2423</v>
      </c>
      <c r="C2611" s="29" t="s">
        <v>2769</v>
      </c>
      <c r="D2611" s="29" t="s">
        <v>2836</v>
      </c>
      <c r="E2611" s="29" t="s">
        <v>2850</v>
      </c>
      <c r="F2611" s="62"/>
      <c r="G2611" s="20" t="str">
        <f t="shared" si="1"/>
        <v>Hardware, Tools, Measuring Tools &amp; Sensors, Hygrometers</v>
      </c>
    </row>
    <row r="2612">
      <c r="A2612" s="29">
        <v>4506.0</v>
      </c>
      <c r="B2612" s="29" t="s">
        <v>2423</v>
      </c>
      <c r="C2612" s="29" t="s">
        <v>2769</v>
      </c>
      <c r="D2612" s="29" t="s">
        <v>2836</v>
      </c>
      <c r="E2612" s="29" t="s">
        <v>2851</v>
      </c>
      <c r="F2612" s="62"/>
      <c r="G2612" s="20" t="str">
        <f t="shared" si="1"/>
        <v>Hardware, Tools, Measuring Tools &amp; Sensors, Infrared Thermometers</v>
      </c>
    </row>
    <row r="2613">
      <c r="A2613" s="29">
        <v>2330.0</v>
      </c>
      <c r="B2613" s="29" t="s">
        <v>2423</v>
      </c>
      <c r="C2613" s="29" t="s">
        <v>2769</v>
      </c>
      <c r="D2613" s="29" t="s">
        <v>2836</v>
      </c>
      <c r="E2613" s="29" t="s">
        <v>2852</v>
      </c>
      <c r="F2613" s="62"/>
      <c r="G2613" s="20" t="str">
        <f t="shared" si="1"/>
        <v>Hardware, Tools, Measuring Tools &amp; Sensors, Knife Guides</v>
      </c>
    </row>
    <row r="2614">
      <c r="A2614" s="29">
        <v>1191.0</v>
      </c>
      <c r="B2614" s="29" t="s">
        <v>2423</v>
      </c>
      <c r="C2614" s="29" t="s">
        <v>2769</v>
      </c>
      <c r="D2614" s="29" t="s">
        <v>2836</v>
      </c>
      <c r="E2614" s="29" t="s">
        <v>2853</v>
      </c>
      <c r="F2614" s="62"/>
      <c r="G2614" s="20" t="str">
        <f t="shared" si="1"/>
        <v>Hardware, Tools, Measuring Tools &amp; Sensors, Levels</v>
      </c>
    </row>
    <row r="2615">
      <c r="A2615" s="29">
        <v>4081.0</v>
      </c>
      <c r="B2615" s="29" t="s">
        <v>2423</v>
      </c>
      <c r="C2615" s="29" t="s">
        <v>2769</v>
      </c>
      <c r="D2615" s="29" t="s">
        <v>2836</v>
      </c>
      <c r="E2615" s="29" t="s">
        <v>2853</v>
      </c>
      <c r="F2615" s="29" t="s">
        <v>2854</v>
      </c>
      <c r="G2615" s="20" t="str">
        <f t="shared" si="1"/>
        <v>Hardware, Tools, Measuring Tools &amp; Sensors, LevelsBubble Levels</v>
      </c>
    </row>
    <row r="2616">
      <c r="A2616" s="29">
        <v>4931.0</v>
      </c>
      <c r="B2616" s="29" t="s">
        <v>2423</v>
      </c>
      <c r="C2616" s="29" t="s">
        <v>2769</v>
      </c>
      <c r="D2616" s="29" t="s">
        <v>2836</v>
      </c>
      <c r="E2616" s="29" t="s">
        <v>2853</v>
      </c>
      <c r="F2616" s="29" t="s">
        <v>2855</v>
      </c>
      <c r="G2616" s="20" t="str">
        <f t="shared" si="1"/>
        <v>Hardware, Tools, Measuring Tools &amp; Sensors, LevelsLaser Levels</v>
      </c>
    </row>
    <row r="2617">
      <c r="A2617" s="29">
        <v>4294.0</v>
      </c>
      <c r="B2617" s="29" t="s">
        <v>2423</v>
      </c>
      <c r="C2617" s="29" t="s">
        <v>2769</v>
      </c>
      <c r="D2617" s="29" t="s">
        <v>2836</v>
      </c>
      <c r="E2617" s="29" t="s">
        <v>2853</v>
      </c>
      <c r="F2617" s="29" t="s">
        <v>2856</v>
      </c>
      <c r="G2617" s="20" t="str">
        <f t="shared" si="1"/>
        <v>Hardware, Tools, Measuring Tools &amp; Sensors, LevelsSight Levels</v>
      </c>
    </row>
    <row r="2618">
      <c r="A2618" s="29">
        <v>1698.0</v>
      </c>
      <c r="B2618" s="29" t="s">
        <v>2423</v>
      </c>
      <c r="C2618" s="29" t="s">
        <v>2769</v>
      </c>
      <c r="D2618" s="29" t="s">
        <v>2836</v>
      </c>
      <c r="E2618" s="29" t="s">
        <v>2857</v>
      </c>
      <c r="F2618" s="62"/>
      <c r="G2618" s="20" t="str">
        <f t="shared" si="1"/>
        <v>Hardware, Tools, Measuring Tools &amp; Sensors, Measuring Scales</v>
      </c>
    </row>
    <row r="2619">
      <c r="A2619" s="29">
        <v>1459.0</v>
      </c>
      <c r="B2619" s="29" t="s">
        <v>2423</v>
      </c>
      <c r="C2619" s="29" t="s">
        <v>2769</v>
      </c>
      <c r="D2619" s="29" t="s">
        <v>2836</v>
      </c>
      <c r="E2619" s="29" t="s">
        <v>2858</v>
      </c>
      <c r="F2619" s="62"/>
      <c r="G2619" s="20" t="str">
        <f t="shared" si="1"/>
        <v>Hardware, Tools, Measuring Tools &amp; Sensors, Measuring Wheels</v>
      </c>
    </row>
    <row r="2620">
      <c r="A2620" s="29">
        <v>4755.0</v>
      </c>
      <c r="B2620" s="29" t="s">
        <v>2423</v>
      </c>
      <c r="C2620" s="29" t="s">
        <v>2769</v>
      </c>
      <c r="D2620" s="29" t="s">
        <v>2836</v>
      </c>
      <c r="E2620" s="29" t="s">
        <v>2859</v>
      </c>
      <c r="F2620" s="62"/>
      <c r="G2620" s="20" t="str">
        <f t="shared" si="1"/>
        <v>Hardware, Tools, Measuring Tools &amp; Sensors, Moisture Meters</v>
      </c>
    </row>
    <row r="2621">
      <c r="A2621" s="29">
        <v>1785.0</v>
      </c>
      <c r="B2621" s="29" t="s">
        <v>2423</v>
      </c>
      <c r="C2621" s="29" t="s">
        <v>2769</v>
      </c>
      <c r="D2621" s="29" t="s">
        <v>2836</v>
      </c>
      <c r="E2621" s="29" t="s">
        <v>2860</v>
      </c>
      <c r="F2621" s="62"/>
      <c r="G2621" s="20" t="str">
        <f t="shared" si="1"/>
        <v>Hardware, Tools, Measuring Tools &amp; Sensors, Probes &amp; Finders</v>
      </c>
    </row>
    <row r="2622">
      <c r="A2622" s="29">
        <v>1198.0</v>
      </c>
      <c r="B2622" s="29" t="s">
        <v>2423</v>
      </c>
      <c r="C2622" s="29" t="s">
        <v>2769</v>
      </c>
      <c r="D2622" s="29" t="s">
        <v>2836</v>
      </c>
      <c r="E2622" s="29" t="s">
        <v>2861</v>
      </c>
      <c r="F2622" s="62"/>
      <c r="G2622" s="20" t="str">
        <f t="shared" si="1"/>
        <v>Hardware, Tools, Measuring Tools &amp; Sensors, Protractors</v>
      </c>
    </row>
    <row r="2623">
      <c r="A2623" s="29">
        <v>1539.0</v>
      </c>
      <c r="B2623" s="29" t="s">
        <v>2423</v>
      </c>
      <c r="C2623" s="29" t="s">
        <v>2769</v>
      </c>
      <c r="D2623" s="29" t="s">
        <v>2836</v>
      </c>
      <c r="E2623" s="29" t="s">
        <v>2862</v>
      </c>
      <c r="F2623" s="62"/>
      <c r="G2623" s="20" t="str">
        <f t="shared" si="1"/>
        <v>Hardware, Tools, Measuring Tools &amp; Sensors, Rebar Locators</v>
      </c>
    </row>
    <row r="2624">
      <c r="A2624" s="29">
        <v>2021.0</v>
      </c>
      <c r="B2624" s="29" t="s">
        <v>2423</v>
      </c>
      <c r="C2624" s="29" t="s">
        <v>2769</v>
      </c>
      <c r="D2624" s="29" t="s">
        <v>2836</v>
      </c>
      <c r="E2624" s="29" t="s">
        <v>2863</v>
      </c>
      <c r="F2624" s="62"/>
      <c r="G2624" s="20" t="str">
        <f t="shared" si="1"/>
        <v>Hardware, Tools, Measuring Tools &amp; Sensors, Rulers</v>
      </c>
    </row>
    <row r="2625">
      <c r="A2625" s="29">
        <v>4756.0</v>
      </c>
      <c r="B2625" s="29" t="s">
        <v>2423</v>
      </c>
      <c r="C2625" s="29" t="s">
        <v>2769</v>
      </c>
      <c r="D2625" s="29" t="s">
        <v>2836</v>
      </c>
      <c r="E2625" s="29" t="s">
        <v>2864</v>
      </c>
      <c r="F2625" s="62"/>
      <c r="G2625" s="20" t="str">
        <f t="shared" si="1"/>
        <v>Hardware, Tools, Measuring Tools &amp; Sensors, Seismometer</v>
      </c>
    </row>
    <row r="2626">
      <c r="A2626" s="29">
        <v>4757.0</v>
      </c>
      <c r="B2626" s="29" t="s">
        <v>2423</v>
      </c>
      <c r="C2626" s="29" t="s">
        <v>2769</v>
      </c>
      <c r="D2626" s="29" t="s">
        <v>2836</v>
      </c>
      <c r="E2626" s="29" t="s">
        <v>2865</v>
      </c>
      <c r="F2626" s="62"/>
      <c r="G2626" s="20" t="str">
        <f t="shared" si="1"/>
        <v>Hardware, Tools, Measuring Tools &amp; Sensors, Sound Meters</v>
      </c>
    </row>
    <row r="2627">
      <c r="A2627" s="29">
        <v>1205.0</v>
      </c>
      <c r="B2627" s="29" t="s">
        <v>2423</v>
      </c>
      <c r="C2627" s="29" t="s">
        <v>2769</v>
      </c>
      <c r="D2627" s="29" t="s">
        <v>2836</v>
      </c>
      <c r="E2627" s="29" t="s">
        <v>2866</v>
      </c>
      <c r="F2627" s="62"/>
      <c r="G2627" s="20" t="str">
        <f t="shared" si="1"/>
        <v>Hardware, Tools, Measuring Tools &amp; Sensors, Squares</v>
      </c>
    </row>
    <row r="2628">
      <c r="A2628" s="29">
        <v>1413.0</v>
      </c>
      <c r="B2628" s="29" t="s">
        <v>2423</v>
      </c>
      <c r="C2628" s="29" t="s">
        <v>2769</v>
      </c>
      <c r="D2628" s="29" t="s">
        <v>2836</v>
      </c>
      <c r="E2628" s="29" t="s">
        <v>2867</v>
      </c>
      <c r="F2628" s="62"/>
      <c r="G2628" s="20" t="str">
        <f t="shared" si="1"/>
        <v>Hardware, Tools, Measuring Tools &amp; Sensors, Straight Edges</v>
      </c>
    </row>
    <row r="2629">
      <c r="A2629" s="29">
        <v>1207.0</v>
      </c>
      <c r="B2629" s="29" t="s">
        <v>2423</v>
      </c>
      <c r="C2629" s="29" t="s">
        <v>2769</v>
      </c>
      <c r="D2629" s="29" t="s">
        <v>2836</v>
      </c>
      <c r="E2629" s="29" t="s">
        <v>2868</v>
      </c>
      <c r="F2629" s="62"/>
      <c r="G2629" s="20" t="str">
        <f t="shared" si="1"/>
        <v>Hardware, Tools, Measuring Tools &amp; Sensors, Stud Sensors</v>
      </c>
    </row>
    <row r="2630">
      <c r="A2630" s="29">
        <v>2481.0</v>
      </c>
      <c r="B2630" s="29" t="s">
        <v>2423</v>
      </c>
      <c r="C2630" s="29" t="s">
        <v>2769</v>
      </c>
      <c r="D2630" s="29" t="s">
        <v>2836</v>
      </c>
      <c r="E2630" s="29" t="s">
        <v>2869</v>
      </c>
      <c r="F2630" s="62"/>
      <c r="G2630" s="20" t="str">
        <f t="shared" si="1"/>
        <v>Hardware, Tools, Measuring Tools &amp; Sensors, Tape Measures</v>
      </c>
    </row>
    <row r="2631">
      <c r="A2631" s="29">
        <v>4340.0</v>
      </c>
      <c r="B2631" s="29" t="s">
        <v>2423</v>
      </c>
      <c r="C2631" s="29" t="s">
        <v>2769</v>
      </c>
      <c r="D2631" s="29" t="s">
        <v>2836</v>
      </c>
      <c r="E2631" s="29" t="s">
        <v>2870</v>
      </c>
      <c r="F2631" s="62"/>
      <c r="G2631" s="20" t="str">
        <f t="shared" si="1"/>
        <v>Hardware, Tools, Measuring Tools &amp; Sensors, Theodolites</v>
      </c>
    </row>
    <row r="2632">
      <c r="A2632" s="29">
        <v>6799.0</v>
      </c>
      <c r="B2632" s="29" t="s">
        <v>2423</v>
      </c>
      <c r="C2632" s="29" t="s">
        <v>2769</v>
      </c>
      <c r="D2632" s="29" t="s">
        <v>2836</v>
      </c>
      <c r="E2632" s="29" t="s">
        <v>2871</v>
      </c>
      <c r="F2632" s="62"/>
      <c r="G2632" s="20" t="str">
        <f t="shared" si="1"/>
        <v>Hardware, Tools, Measuring Tools &amp; Sensors, Thermal Imaging Cameras</v>
      </c>
    </row>
    <row r="2633">
      <c r="A2633" s="29">
        <v>2093.0</v>
      </c>
      <c r="B2633" s="29" t="s">
        <v>2423</v>
      </c>
      <c r="C2633" s="29" t="s">
        <v>2769</v>
      </c>
      <c r="D2633" s="29" t="s">
        <v>2836</v>
      </c>
      <c r="E2633" s="29" t="s">
        <v>2872</v>
      </c>
      <c r="F2633" s="62"/>
      <c r="G2633" s="20" t="str">
        <f t="shared" si="1"/>
        <v>Hardware, Tools, Measuring Tools &amp; Sensors, Thermocouples &amp; Thermopiles</v>
      </c>
    </row>
    <row r="2634">
      <c r="A2634" s="29">
        <v>7394.0</v>
      </c>
      <c r="B2634" s="29" t="s">
        <v>2423</v>
      </c>
      <c r="C2634" s="29" t="s">
        <v>2769</v>
      </c>
      <c r="D2634" s="29" t="s">
        <v>2836</v>
      </c>
      <c r="E2634" s="29" t="s">
        <v>2873</v>
      </c>
      <c r="F2634" s="62"/>
      <c r="G2634" s="20" t="str">
        <f t="shared" si="1"/>
        <v>Hardware, Tools, Measuring Tools &amp; Sensors, Transducers</v>
      </c>
    </row>
    <row r="2635">
      <c r="A2635" s="29">
        <v>4758.0</v>
      </c>
      <c r="B2635" s="29" t="s">
        <v>2423</v>
      </c>
      <c r="C2635" s="29" t="s">
        <v>2769</v>
      </c>
      <c r="D2635" s="29" t="s">
        <v>2836</v>
      </c>
      <c r="E2635" s="29" t="s">
        <v>2874</v>
      </c>
      <c r="F2635" s="62"/>
      <c r="G2635" s="20" t="str">
        <f t="shared" si="1"/>
        <v>Hardware, Tools, Measuring Tools &amp; Sensors, UV Light Meters</v>
      </c>
    </row>
    <row r="2636">
      <c r="A2636" s="29">
        <v>4759.0</v>
      </c>
      <c r="B2636" s="29" t="s">
        <v>2423</v>
      </c>
      <c r="C2636" s="29" t="s">
        <v>2769</v>
      </c>
      <c r="D2636" s="29" t="s">
        <v>2836</v>
      </c>
      <c r="E2636" s="29" t="s">
        <v>2875</v>
      </c>
      <c r="F2636" s="62"/>
      <c r="G2636" s="20" t="str">
        <f t="shared" si="1"/>
        <v>Hardware, Tools, Measuring Tools &amp; Sensors, Vibration Meters</v>
      </c>
    </row>
    <row r="2637">
      <c r="A2637" s="29">
        <v>1374.0</v>
      </c>
      <c r="B2637" s="29" t="s">
        <v>2423</v>
      </c>
      <c r="C2637" s="29" t="s">
        <v>2769</v>
      </c>
      <c r="D2637" s="29" t="s">
        <v>2836</v>
      </c>
      <c r="E2637" s="29" t="s">
        <v>2876</v>
      </c>
      <c r="F2637" s="62"/>
      <c r="G2637" s="20" t="str">
        <f t="shared" si="1"/>
        <v>Hardware, Tools, Measuring Tools &amp; Sensors, Weather Forecasters &amp; Stations</v>
      </c>
    </row>
    <row r="2638">
      <c r="A2638" s="29">
        <v>4074.0</v>
      </c>
      <c r="B2638" s="29" t="s">
        <v>2423</v>
      </c>
      <c r="C2638" s="29" t="s">
        <v>2769</v>
      </c>
      <c r="D2638" s="29" t="s">
        <v>2836</v>
      </c>
      <c r="E2638" s="29" t="s">
        <v>2877</v>
      </c>
      <c r="F2638" s="62"/>
      <c r="G2638" s="20" t="str">
        <f t="shared" si="1"/>
        <v>Hardware, Tools, Measuring Tools &amp; Sensors, pH Meters</v>
      </c>
    </row>
    <row r="2639">
      <c r="A2639" s="29">
        <v>5077.0</v>
      </c>
      <c r="B2639" s="29" t="s">
        <v>2423</v>
      </c>
      <c r="C2639" s="29" t="s">
        <v>2769</v>
      </c>
      <c r="D2639" s="29" t="s">
        <v>2878</v>
      </c>
      <c r="E2639" s="62"/>
      <c r="F2639" s="62"/>
      <c r="G2639" s="20" t="str">
        <f t="shared" si="1"/>
        <v>Hardware, Tools, Milling Machines, </v>
      </c>
    </row>
    <row r="2640">
      <c r="A2640" s="29">
        <v>5587.0</v>
      </c>
      <c r="B2640" s="29" t="s">
        <v>2423</v>
      </c>
      <c r="C2640" s="29" t="s">
        <v>2769</v>
      </c>
      <c r="D2640" s="29" t="s">
        <v>2879</v>
      </c>
      <c r="F2640" s="62"/>
      <c r="G2640" s="20" t="str">
        <f t="shared" si="1"/>
        <v>Hardware, Tools, Multifunction Power Tools, </v>
      </c>
    </row>
    <row r="2641">
      <c r="A2641" s="29">
        <v>1194.0</v>
      </c>
      <c r="B2641" s="29" t="s">
        <v>2423</v>
      </c>
      <c r="C2641" s="29" t="s">
        <v>2769</v>
      </c>
      <c r="D2641" s="29" t="s">
        <v>2880</v>
      </c>
      <c r="E2641" s="62"/>
      <c r="F2641" s="62"/>
      <c r="G2641" s="20" t="str">
        <f t="shared" si="1"/>
        <v>Hardware, Tools, Nail Pullers, </v>
      </c>
    </row>
    <row r="2642">
      <c r="A2642" s="29">
        <v>1206.0</v>
      </c>
      <c r="B2642" s="29" t="s">
        <v>2423</v>
      </c>
      <c r="C2642" s="29" t="s">
        <v>2769</v>
      </c>
      <c r="D2642" s="29" t="s">
        <v>2881</v>
      </c>
      <c r="E2642" s="62"/>
      <c r="F2642" s="62"/>
      <c r="G2642" s="20" t="str">
        <f t="shared" si="1"/>
        <v>Hardware, Tools, Nailers &amp; Staplers, </v>
      </c>
    </row>
    <row r="2643">
      <c r="A2643" s="29">
        <v>5828.0</v>
      </c>
      <c r="B2643" s="29" t="s">
        <v>2423</v>
      </c>
      <c r="C2643" s="29" t="s">
        <v>2769</v>
      </c>
      <c r="D2643" s="29" t="s">
        <v>2882</v>
      </c>
      <c r="E2643" s="62"/>
      <c r="F2643" s="62"/>
      <c r="G2643" s="20" t="str">
        <f t="shared" si="1"/>
        <v>Hardware, Tools, Oil Filter Drains, </v>
      </c>
    </row>
    <row r="2644">
      <c r="A2644" s="29">
        <v>2077.0</v>
      </c>
      <c r="B2644" s="29" t="s">
        <v>2423</v>
      </c>
      <c r="C2644" s="29" t="s">
        <v>2769</v>
      </c>
      <c r="D2644" s="29" t="s">
        <v>2883</v>
      </c>
      <c r="E2644" s="62"/>
      <c r="F2644" s="62"/>
      <c r="G2644" s="20" t="str">
        <f t="shared" si="1"/>
        <v>Hardware, Tools, Paint Tools, </v>
      </c>
    </row>
    <row r="2645">
      <c r="A2645" s="29">
        <v>2486.0</v>
      </c>
      <c r="B2645" s="29" t="s">
        <v>2423</v>
      </c>
      <c r="C2645" s="29" t="s">
        <v>2769</v>
      </c>
      <c r="D2645" s="29" t="s">
        <v>2883</v>
      </c>
      <c r="E2645" s="29" t="s">
        <v>2884</v>
      </c>
      <c r="F2645" s="62"/>
      <c r="G2645" s="20" t="str">
        <f t="shared" si="1"/>
        <v>Hardware, Tools, Paint Tools, Airbrushes</v>
      </c>
    </row>
    <row r="2646">
      <c r="A2646" s="29">
        <v>1300.0</v>
      </c>
      <c r="B2646" s="29" t="s">
        <v>2423</v>
      </c>
      <c r="C2646" s="29" t="s">
        <v>2769</v>
      </c>
      <c r="D2646" s="29" t="s">
        <v>2883</v>
      </c>
      <c r="E2646" s="29" t="s">
        <v>2885</v>
      </c>
      <c r="F2646" s="62"/>
      <c r="G2646" s="20" t="str">
        <f t="shared" si="1"/>
        <v>Hardware, Tools, Paint Tools, Paint Brushes</v>
      </c>
    </row>
    <row r="2647">
      <c r="A2647" s="29">
        <v>6556.0</v>
      </c>
      <c r="B2647" s="29" t="s">
        <v>2423</v>
      </c>
      <c r="C2647" s="29" t="s">
        <v>2769</v>
      </c>
      <c r="D2647" s="29" t="s">
        <v>2883</v>
      </c>
      <c r="E2647" s="29" t="s">
        <v>2886</v>
      </c>
      <c r="F2647" s="62"/>
      <c r="G2647" s="20" t="str">
        <f t="shared" si="1"/>
        <v>Hardware, Tools, Paint Tools, Paint Edgers</v>
      </c>
    </row>
    <row r="2648">
      <c r="A2648" s="29">
        <v>1774.0</v>
      </c>
      <c r="B2648" s="29" t="s">
        <v>2423</v>
      </c>
      <c r="C2648" s="29" t="s">
        <v>2769</v>
      </c>
      <c r="D2648" s="29" t="s">
        <v>2883</v>
      </c>
      <c r="E2648" s="29" t="s">
        <v>2887</v>
      </c>
      <c r="F2648" s="62"/>
      <c r="G2648" s="20" t="str">
        <f t="shared" si="1"/>
        <v>Hardware, Tools, Paint Tools, Paint Rollers</v>
      </c>
    </row>
    <row r="2649">
      <c r="A2649" s="29">
        <v>499888.0</v>
      </c>
      <c r="B2649" s="29" t="s">
        <v>2423</v>
      </c>
      <c r="C2649" s="29" t="s">
        <v>2769</v>
      </c>
      <c r="D2649" s="29" t="s">
        <v>2883</v>
      </c>
      <c r="E2649" s="29" t="s">
        <v>2888</v>
      </c>
      <c r="F2649" s="62"/>
      <c r="G2649" s="20" t="str">
        <f t="shared" si="1"/>
        <v>Hardware, Tools, Paint Tools, Paint Shakers</v>
      </c>
    </row>
    <row r="2650">
      <c r="A2650" s="29">
        <v>1699.0</v>
      </c>
      <c r="B2650" s="29" t="s">
        <v>2423</v>
      </c>
      <c r="C2650" s="29" t="s">
        <v>2769</v>
      </c>
      <c r="D2650" s="29" t="s">
        <v>2883</v>
      </c>
      <c r="E2650" s="29" t="s">
        <v>2889</v>
      </c>
      <c r="F2650" s="62"/>
      <c r="G2650" s="20" t="str">
        <f t="shared" si="1"/>
        <v>Hardware, Tools, Paint Tools, Paint Sponges</v>
      </c>
    </row>
    <row r="2651">
      <c r="A2651" s="29">
        <v>2465.0</v>
      </c>
      <c r="B2651" s="29" t="s">
        <v>2423</v>
      </c>
      <c r="C2651" s="29" t="s">
        <v>2769</v>
      </c>
      <c r="D2651" s="29" t="s">
        <v>2883</v>
      </c>
      <c r="E2651" s="29" t="s">
        <v>2890</v>
      </c>
      <c r="F2651" s="62"/>
      <c r="G2651" s="20" t="str">
        <f t="shared" si="1"/>
        <v>Hardware, Tools, Paint Tools, Paint Sprayers</v>
      </c>
    </row>
    <row r="2652">
      <c r="A2652" s="29">
        <v>505325.0</v>
      </c>
      <c r="B2652" s="29" t="s">
        <v>2423</v>
      </c>
      <c r="C2652" s="29" t="s">
        <v>2769</v>
      </c>
      <c r="D2652" s="29" t="s">
        <v>2883</v>
      </c>
      <c r="E2652" s="29" t="s">
        <v>2891</v>
      </c>
      <c r="F2652" s="62"/>
      <c r="G2652" s="20" t="str">
        <f t="shared" si="1"/>
        <v>Hardware, Tools, Paint Tools, Paint Strainers</v>
      </c>
    </row>
    <row r="2653">
      <c r="A2653" s="29">
        <v>6557.0</v>
      </c>
      <c r="B2653" s="29" t="s">
        <v>2423</v>
      </c>
      <c r="C2653" s="29" t="s">
        <v>2769</v>
      </c>
      <c r="D2653" s="29" t="s">
        <v>2883</v>
      </c>
      <c r="E2653" s="29" t="s">
        <v>2892</v>
      </c>
      <c r="F2653" s="62"/>
      <c r="G2653" s="20" t="str">
        <f t="shared" si="1"/>
        <v>Hardware, Tools, Paint Tools, Paint Trays</v>
      </c>
    </row>
    <row r="2654">
      <c r="A2654" s="29">
        <v>1196.0</v>
      </c>
      <c r="B2654" s="29" t="s">
        <v>2423</v>
      </c>
      <c r="C2654" s="29" t="s">
        <v>2769</v>
      </c>
      <c r="D2654" s="29" t="s">
        <v>2893</v>
      </c>
      <c r="E2654" s="62"/>
      <c r="F2654" s="62"/>
      <c r="G2654" s="20" t="str">
        <f t="shared" si="1"/>
        <v>Hardware, Tools, Pickup Tools, </v>
      </c>
    </row>
    <row r="2655">
      <c r="A2655" s="29">
        <v>1667.0</v>
      </c>
      <c r="B2655" s="29" t="s">
        <v>2423</v>
      </c>
      <c r="C2655" s="29" t="s">
        <v>2769</v>
      </c>
      <c r="D2655" s="29" t="s">
        <v>2894</v>
      </c>
      <c r="E2655" s="62"/>
      <c r="F2655" s="62"/>
      <c r="G2655" s="20" t="str">
        <f t="shared" si="1"/>
        <v>Hardware, Tools, Pipe &amp; Bar Benders, </v>
      </c>
    </row>
    <row r="2656">
      <c r="A2656" s="29">
        <v>2053.0</v>
      </c>
      <c r="B2656" s="29" t="s">
        <v>2423</v>
      </c>
      <c r="C2656" s="29" t="s">
        <v>2769</v>
      </c>
      <c r="D2656" s="29" t="s">
        <v>2895</v>
      </c>
      <c r="E2656" s="62"/>
      <c r="F2656" s="62"/>
      <c r="G2656" s="20" t="str">
        <f t="shared" si="1"/>
        <v>Hardware, Tools, Pipe &amp; Tube Cleaners, </v>
      </c>
    </row>
    <row r="2657">
      <c r="A2657" s="29">
        <v>1862.0</v>
      </c>
      <c r="B2657" s="29" t="s">
        <v>2423</v>
      </c>
      <c r="C2657" s="29" t="s">
        <v>2769</v>
      </c>
      <c r="D2657" s="29" t="s">
        <v>2896</v>
      </c>
      <c r="E2657" s="62"/>
      <c r="F2657" s="62"/>
      <c r="G2657" s="20" t="str">
        <f t="shared" si="1"/>
        <v>Hardware, Tools, Pipe Brushes, </v>
      </c>
    </row>
    <row r="2658">
      <c r="A2658" s="29">
        <v>6868.0</v>
      </c>
      <c r="B2658" s="29" t="s">
        <v>2423</v>
      </c>
      <c r="C2658" s="29" t="s">
        <v>2769</v>
      </c>
      <c r="D2658" s="29" t="s">
        <v>2897</v>
      </c>
      <c r="E2658" s="62"/>
      <c r="F2658" s="62"/>
      <c r="G2658" s="20" t="str">
        <f t="shared" si="1"/>
        <v>Hardware, Tools, Planers, </v>
      </c>
    </row>
    <row r="2659">
      <c r="A2659" s="29">
        <v>1187.0</v>
      </c>
      <c r="B2659" s="29" t="s">
        <v>2423</v>
      </c>
      <c r="C2659" s="29" t="s">
        <v>2769</v>
      </c>
      <c r="D2659" s="29" t="s">
        <v>2898</v>
      </c>
      <c r="E2659" s="62"/>
      <c r="F2659" s="62"/>
      <c r="G2659" s="20" t="str">
        <f t="shared" si="1"/>
        <v>Hardware, Tools, Planes, </v>
      </c>
    </row>
    <row r="2660">
      <c r="A2660" s="29">
        <v>1958.0</v>
      </c>
      <c r="B2660" s="29" t="s">
        <v>2423</v>
      </c>
      <c r="C2660" s="29" t="s">
        <v>2769</v>
      </c>
      <c r="D2660" s="29" t="s">
        <v>2899</v>
      </c>
      <c r="E2660" s="62"/>
      <c r="F2660" s="62"/>
      <c r="G2660" s="20" t="str">
        <f t="shared" si="1"/>
        <v>Hardware, Tools, Pliers, </v>
      </c>
    </row>
    <row r="2661">
      <c r="A2661" s="29">
        <v>1563.0</v>
      </c>
      <c r="B2661" s="29" t="s">
        <v>2423</v>
      </c>
      <c r="C2661" s="29" t="s">
        <v>2769</v>
      </c>
      <c r="D2661" s="29" t="s">
        <v>2900</v>
      </c>
      <c r="E2661" s="62"/>
      <c r="F2661" s="62"/>
      <c r="G2661" s="20" t="str">
        <f t="shared" si="1"/>
        <v>Hardware, Tools, Plungers, </v>
      </c>
    </row>
    <row r="2662">
      <c r="A2662" s="29">
        <v>1225.0</v>
      </c>
      <c r="B2662" s="29" t="s">
        <v>2423</v>
      </c>
      <c r="C2662" s="29" t="s">
        <v>2769</v>
      </c>
      <c r="D2662" s="29" t="s">
        <v>2901</v>
      </c>
      <c r="E2662" s="62"/>
      <c r="F2662" s="62"/>
      <c r="G2662" s="20" t="str">
        <f t="shared" si="1"/>
        <v>Hardware, Tools, Polishers &amp; Buffers, </v>
      </c>
    </row>
    <row r="2663">
      <c r="A2663" s="29">
        <v>3501.0</v>
      </c>
      <c r="B2663" s="29" t="s">
        <v>2423</v>
      </c>
      <c r="C2663" s="29" t="s">
        <v>2769</v>
      </c>
      <c r="D2663" s="29" t="s">
        <v>2902</v>
      </c>
      <c r="E2663" s="62"/>
      <c r="F2663" s="62"/>
      <c r="G2663" s="20" t="str">
        <f t="shared" si="1"/>
        <v>Hardware, Tools, Post Hole Diggers, </v>
      </c>
    </row>
    <row r="2664">
      <c r="A2664" s="29">
        <v>1179.0</v>
      </c>
      <c r="B2664" s="29" t="s">
        <v>2423</v>
      </c>
      <c r="C2664" s="29" t="s">
        <v>2769</v>
      </c>
      <c r="D2664" s="29" t="s">
        <v>2903</v>
      </c>
      <c r="E2664" s="62"/>
      <c r="F2664" s="62"/>
      <c r="G2664" s="20" t="str">
        <f t="shared" si="1"/>
        <v>Hardware, Tools, Pry Bars, </v>
      </c>
    </row>
    <row r="2665">
      <c r="A2665" s="29">
        <v>505315.0</v>
      </c>
      <c r="B2665" s="29" t="s">
        <v>2423</v>
      </c>
      <c r="C2665" s="29" t="s">
        <v>2769</v>
      </c>
      <c r="D2665" s="29" t="s">
        <v>2904</v>
      </c>
      <c r="E2665" s="62"/>
      <c r="F2665" s="62"/>
      <c r="G2665" s="20" t="str">
        <f t="shared" si="1"/>
        <v>Hardware, Tools, Punches &amp; Awls, </v>
      </c>
    </row>
    <row r="2666">
      <c r="A2666" s="29">
        <v>1202.0</v>
      </c>
      <c r="B2666" s="29" t="s">
        <v>2423</v>
      </c>
      <c r="C2666" s="29" t="s">
        <v>2769</v>
      </c>
      <c r="D2666" s="29" t="s">
        <v>2905</v>
      </c>
      <c r="E2666" s="62"/>
      <c r="F2666" s="62"/>
      <c r="G2666" s="20" t="str">
        <f t="shared" si="1"/>
        <v>Hardware, Tools, Putty Knives &amp; Scrapers, </v>
      </c>
    </row>
    <row r="2667">
      <c r="A2667" s="29">
        <v>1819.0</v>
      </c>
      <c r="B2667" s="29" t="s">
        <v>2423</v>
      </c>
      <c r="C2667" s="29" t="s">
        <v>2769</v>
      </c>
      <c r="D2667" s="29" t="s">
        <v>2906</v>
      </c>
      <c r="E2667" s="62"/>
      <c r="F2667" s="62"/>
      <c r="G2667" s="20" t="str">
        <f t="shared" si="1"/>
        <v>Hardware, Tools, Reamers, </v>
      </c>
    </row>
    <row r="2668">
      <c r="A2668" s="29">
        <v>7064.0</v>
      </c>
      <c r="B2668" s="29" t="s">
        <v>2423</v>
      </c>
      <c r="C2668" s="29" t="s">
        <v>2769</v>
      </c>
      <c r="D2668" s="29" t="s">
        <v>2907</v>
      </c>
      <c r="E2668" s="62"/>
      <c r="F2668" s="62"/>
      <c r="G2668" s="20" t="str">
        <f t="shared" si="1"/>
        <v>Hardware, Tools, Riveting Tools, </v>
      </c>
    </row>
    <row r="2669">
      <c r="A2669" s="29">
        <v>7065.0</v>
      </c>
      <c r="B2669" s="29" t="s">
        <v>2423</v>
      </c>
      <c r="C2669" s="29" t="s">
        <v>2769</v>
      </c>
      <c r="D2669" s="29" t="s">
        <v>2907</v>
      </c>
      <c r="E2669" s="29" t="s">
        <v>2908</v>
      </c>
      <c r="F2669" s="62"/>
      <c r="G2669" s="20" t="str">
        <f t="shared" si="1"/>
        <v>Hardware, Tools, Riveting Tools, Rivet Guns</v>
      </c>
    </row>
    <row r="2670">
      <c r="A2670" s="29">
        <v>7066.0</v>
      </c>
      <c r="B2670" s="29" t="s">
        <v>2423</v>
      </c>
      <c r="C2670" s="29" t="s">
        <v>2769</v>
      </c>
      <c r="D2670" s="29" t="s">
        <v>2907</v>
      </c>
      <c r="E2670" s="29" t="s">
        <v>2909</v>
      </c>
      <c r="F2670" s="62"/>
      <c r="G2670" s="20" t="str">
        <f t="shared" si="1"/>
        <v>Hardware, Tools, Riveting Tools, Rivet Pliers</v>
      </c>
    </row>
    <row r="2671">
      <c r="A2671" s="29">
        <v>1841.0</v>
      </c>
      <c r="B2671" s="29" t="s">
        <v>2423</v>
      </c>
      <c r="C2671" s="29" t="s">
        <v>2769</v>
      </c>
      <c r="D2671" s="29" t="s">
        <v>2910</v>
      </c>
      <c r="E2671" s="62"/>
      <c r="F2671" s="62"/>
      <c r="G2671" s="20" t="str">
        <f t="shared" si="1"/>
        <v>Hardware, Tools, Routing Tools, </v>
      </c>
    </row>
    <row r="2672">
      <c r="A2672" s="29">
        <v>1188.0</v>
      </c>
      <c r="B2672" s="29" t="s">
        <v>2423</v>
      </c>
      <c r="C2672" s="29" t="s">
        <v>2769</v>
      </c>
      <c r="D2672" s="29" t="s">
        <v>2911</v>
      </c>
      <c r="E2672" s="62"/>
      <c r="F2672" s="62"/>
      <c r="G2672" s="20" t="str">
        <f t="shared" si="1"/>
        <v>Hardware, Tools, Sanders, </v>
      </c>
    </row>
    <row r="2673">
      <c r="A2673" s="29">
        <v>4419.0</v>
      </c>
      <c r="B2673" s="29" t="s">
        <v>2423</v>
      </c>
      <c r="C2673" s="29" t="s">
        <v>2769</v>
      </c>
      <c r="D2673" s="29" t="s">
        <v>2912</v>
      </c>
      <c r="E2673" s="62"/>
      <c r="F2673" s="62"/>
      <c r="G2673" s="20" t="str">
        <f t="shared" si="1"/>
        <v>Hardware, Tools, Sanding Blocks, </v>
      </c>
    </row>
    <row r="2674">
      <c r="A2674" s="29">
        <v>1201.0</v>
      </c>
      <c r="B2674" s="29" t="s">
        <v>2423</v>
      </c>
      <c r="C2674" s="29" t="s">
        <v>2769</v>
      </c>
      <c r="D2674" s="29" t="s">
        <v>2913</v>
      </c>
      <c r="E2674" s="62"/>
      <c r="F2674" s="62"/>
      <c r="G2674" s="20" t="str">
        <f t="shared" si="1"/>
        <v>Hardware, Tools, Saw Horses, </v>
      </c>
    </row>
    <row r="2675">
      <c r="A2675" s="29">
        <v>1235.0</v>
      </c>
      <c r="B2675" s="29" t="s">
        <v>2423</v>
      </c>
      <c r="C2675" s="29" t="s">
        <v>2769</v>
      </c>
      <c r="D2675" s="29" t="s">
        <v>2914</v>
      </c>
      <c r="E2675" s="62"/>
      <c r="F2675" s="62"/>
      <c r="G2675" s="20" t="str">
        <f t="shared" si="1"/>
        <v>Hardware, Tools, Saws, </v>
      </c>
    </row>
    <row r="2676">
      <c r="A2676" s="29">
        <v>3582.0</v>
      </c>
      <c r="B2676" s="29" t="s">
        <v>2423</v>
      </c>
      <c r="C2676" s="29" t="s">
        <v>2769</v>
      </c>
      <c r="D2676" s="29" t="s">
        <v>2914</v>
      </c>
      <c r="E2676" s="29" t="s">
        <v>2915</v>
      </c>
      <c r="F2676" s="62"/>
      <c r="G2676" s="20" t="str">
        <f t="shared" si="1"/>
        <v>Hardware, Tools, Saws, Band Saws</v>
      </c>
    </row>
    <row r="2677">
      <c r="A2677" s="29">
        <v>3516.0</v>
      </c>
      <c r="B2677" s="29" t="s">
        <v>2423</v>
      </c>
      <c r="C2677" s="29" t="s">
        <v>2769</v>
      </c>
      <c r="D2677" s="29" t="s">
        <v>2914</v>
      </c>
      <c r="E2677" s="29" t="s">
        <v>2916</v>
      </c>
      <c r="F2677" s="62"/>
      <c r="G2677" s="20" t="str">
        <f t="shared" si="1"/>
        <v>Hardware, Tools, Saws, Cut-Off Saws</v>
      </c>
    </row>
    <row r="2678">
      <c r="A2678" s="29">
        <v>3594.0</v>
      </c>
      <c r="B2678" s="29" t="s">
        <v>2423</v>
      </c>
      <c r="C2678" s="29" t="s">
        <v>2769</v>
      </c>
      <c r="D2678" s="29" t="s">
        <v>2914</v>
      </c>
      <c r="E2678" s="29" t="s">
        <v>2917</v>
      </c>
      <c r="F2678" s="62"/>
      <c r="G2678" s="20" t="str">
        <f t="shared" si="1"/>
        <v>Hardware, Tools, Saws, Hand Saws</v>
      </c>
    </row>
    <row r="2679">
      <c r="A2679" s="29">
        <v>3224.0</v>
      </c>
      <c r="B2679" s="29" t="s">
        <v>2423</v>
      </c>
      <c r="C2679" s="29" t="s">
        <v>2769</v>
      </c>
      <c r="D2679" s="29" t="s">
        <v>2914</v>
      </c>
      <c r="E2679" s="29" t="s">
        <v>2918</v>
      </c>
      <c r="F2679" s="62"/>
      <c r="G2679" s="20" t="str">
        <f t="shared" si="1"/>
        <v>Hardware, Tools, Saws, Handheld Circular Saws</v>
      </c>
    </row>
    <row r="2680">
      <c r="A2680" s="29">
        <v>3725.0</v>
      </c>
      <c r="B2680" s="29" t="s">
        <v>2423</v>
      </c>
      <c r="C2680" s="29" t="s">
        <v>2769</v>
      </c>
      <c r="D2680" s="29" t="s">
        <v>2914</v>
      </c>
      <c r="E2680" s="29" t="s">
        <v>2919</v>
      </c>
      <c r="F2680" s="62"/>
      <c r="G2680" s="20" t="str">
        <f t="shared" si="1"/>
        <v>Hardware, Tools, Saws, Jigsaws</v>
      </c>
    </row>
    <row r="2681">
      <c r="A2681" s="29">
        <v>7077.0</v>
      </c>
      <c r="B2681" s="29" t="s">
        <v>2423</v>
      </c>
      <c r="C2681" s="29" t="s">
        <v>2769</v>
      </c>
      <c r="D2681" s="29" t="s">
        <v>2914</v>
      </c>
      <c r="E2681" s="29" t="s">
        <v>2920</v>
      </c>
      <c r="F2681" s="62"/>
      <c r="G2681" s="20" t="str">
        <f t="shared" si="1"/>
        <v>Hardware, Tools, Saws, Masonry &amp; Tile Saws</v>
      </c>
    </row>
    <row r="2682">
      <c r="A2682" s="29">
        <v>3517.0</v>
      </c>
      <c r="B2682" s="29" t="s">
        <v>2423</v>
      </c>
      <c r="C2682" s="29" t="s">
        <v>2769</v>
      </c>
      <c r="D2682" s="29" t="s">
        <v>2914</v>
      </c>
      <c r="E2682" s="29" t="s">
        <v>2921</v>
      </c>
      <c r="F2682" s="62"/>
      <c r="G2682" s="20" t="str">
        <f t="shared" si="1"/>
        <v>Hardware, Tools, Saws, Miter Saws</v>
      </c>
    </row>
    <row r="2683">
      <c r="A2683" s="29">
        <v>499985.0</v>
      </c>
      <c r="B2683" s="29" t="s">
        <v>2423</v>
      </c>
      <c r="C2683" s="29" t="s">
        <v>2769</v>
      </c>
      <c r="D2683" s="29" t="s">
        <v>2914</v>
      </c>
      <c r="E2683" s="29" t="s">
        <v>2922</v>
      </c>
      <c r="F2683" s="62"/>
      <c r="G2683" s="20" t="str">
        <f t="shared" si="1"/>
        <v>Hardware, Tools, Saws, Panel Saws</v>
      </c>
    </row>
    <row r="2684">
      <c r="A2684" s="29">
        <v>3494.0</v>
      </c>
      <c r="B2684" s="29" t="s">
        <v>2423</v>
      </c>
      <c r="C2684" s="29" t="s">
        <v>2769</v>
      </c>
      <c r="D2684" s="29" t="s">
        <v>2914</v>
      </c>
      <c r="E2684" s="29" t="s">
        <v>2923</v>
      </c>
      <c r="F2684" s="62"/>
      <c r="G2684" s="20" t="str">
        <f t="shared" si="1"/>
        <v>Hardware, Tools, Saws, Reciprocating Saws</v>
      </c>
    </row>
    <row r="2685">
      <c r="A2685" s="29">
        <v>4633.0</v>
      </c>
      <c r="B2685" s="29" t="s">
        <v>2423</v>
      </c>
      <c r="C2685" s="29" t="s">
        <v>2769</v>
      </c>
      <c r="D2685" s="29" t="s">
        <v>2914</v>
      </c>
      <c r="E2685" s="29" t="s">
        <v>2924</v>
      </c>
      <c r="F2685" s="62"/>
      <c r="G2685" s="20" t="str">
        <f t="shared" si="1"/>
        <v>Hardware, Tools, Saws, Scroll Saws</v>
      </c>
    </row>
    <row r="2686">
      <c r="A2686" s="29">
        <v>3706.0</v>
      </c>
      <c r="B2686" s="29" t="s">
        <v>2423</v>
      </c>
      <c r="C2686" s="29" t="s">
        <v>2769</v>
      </c>
      <c r="D2686" s="29" t="s">
        <v>2914</v>
      </c>
      <c r="E2686" s="29" t="s">
        <v>2925</v>
      </c>
      <c r="F2686" s="62"/>
      <c r="G2686" s="20" t="str">
        <f t="shared" si="1"/>
        <v>Hardware, Tools, Saws, Table Saws</v>
      </c>
    </row>
    <row r="2687">
      <c r="A2687" s="29">
        <v>1203.0</v>
      </c>
      <c r="B2687" s="29" t="s">
        <v>2423</v>
      </c>
      <c r="C2687" s="29" t="s">
        <v>2769</v>
      </c>
      <c r="D2687" s="29" t="s">
        <v>2926</v>
      </c>
      <c r="E2687" s="62"/>
      <c r="F2687" s="62"/>
      <c r="G2687" s="20" t="str">
        <f t="shared" si="1"/>
        <v>Hardware, Tools, Screwdrivers, </v>
      </c>
    </row>
    <row r="2688">
      <c r="A2688" s="29">
        <v>1923.0</v>
      </c>
      <c r="B2688" s="29" t="s">
        <v>2423</v>
      </c>
      <c r="C2688" s="29" t="s">
        <v>2769</v>
      </c>
      <c r="D2688" s="29" t="s">
        <v>2927</v>
      </c>
      <c r="E2688" s="62"/>
      <c r="F2688" s="62"/>
      <c r="G2688" s="20" t="str">
        <f t="shared" si="1"/>
        <v>Hardware, Tools, Shapers, </v>
      </c>
    </row>
    <row r="2689">
      <c r="A2689" s="29">
        <v>1644.0</v>
      </c>
      <c r="B2689" s="29" t="s">
        <v>2423</v>
      </c>
      <c r="C2689" s="29" t="s">
        <v>2769</v>
      </c>
      <c r="D2689" s="29" t="s">
        <v>2928</v>
      </c>
      <c r="E2689" s="62"/>
      <c r="F2689" s="62"/>
      <c r="G2689" s="20" t="str">
        <f t="shared" si="1"/>
        <v>Hardware, Tools, Sharpeners, </v>
      </c>
    </row>
    <row r="2690">
      <c r="A2690" s="29">
        <v>1195.0</v>
      </c>
      <c r="B2690" s="29" t="s">
        <v>2423</v>
      </c>
      <c r="C2690" s="29" t="s">
        <v>2769</v>
      </c>
      <c r="D2690" s="29" t="s">
        <v>2929</v>
      </c>
      <c r="E2690" s="62"/>
      <c r="F2690" s="62"/>
      <c r="G2690" s="20" t="str">
        <f t="shared" si="1"/>
        <v>Hardware, Tools, Socket Drivers, </v>
      </c>
    </row>
    <row r="2691">
      <c r="A2691" s="29">
        <v>1236.0</v>
      </c>
      <c r="B2691" s="29" t="s">
        <v>2423</v>
      </c>
      <c r="C2691" s="29" t="s">
        <v>2769</v>
      </c>
      <c r="D2691" s="29" t="s">
        <v>2930</v>
      </c>
      <c r="E2691" s="62"/>
      <c r="F2691" s="62"/>
      <c r="G2691" s="20" t="str">
        <f t="shared" si="1"/>
        <v>Hardware, Tools, Soldering Irons, </v>
      </c>
    </row>
    <row r="2692">
      <c r="A2692" s="29">
        <v>1787.0</v>
      </c>
      <c r="B2692" s="29" t="s">
        <v>2423</v>
      </c>
      <c r="C2692" s="29" t="s">
        <v>2769</v>
      </c>
      <c r="D2692" s="29" t="s">
        <v>2931</v>
      </c>
      <c r="E2692" s="62"/>
      <c r="F2692" s="62"/>
      <c r="G2692" s="20" t="str">
        <f t="shared" si="1"/>
        <v>Hardware, Tools, Tap Reseaters, </v>
      </c>
    </row>
    <row r="2693">
      <c r="A2693" s="29">
        <v>1184.0</v>
      </c>
      <c r="B2693" s="29" t="s">
        <v>2423</v>
      </c>
      <c r="C2693" s="29" t="s">
        <v>2769</v>
      </c>
      <c r="D2693" s="29" t="s">
        <v>2932</v>
      </c>
      <c r="E2693" s="62"/>
      <c r="F2693" s="62"/>
      <c r="G2693" s="20" t="str">
        <f t="shared" si="1"/>
        <v>Hardware, Tools, Taps &amp; Dies, </v>
      </c>
    </row>
    <row r="2694">
      <c r="A2694" s="29">
        <v>1584.0</v>
      </c>
      <c r="B2694" s="29" t="s">
        <v>2423</v>
      </c>
      <c r="C2694" s="29" t="s">
        <v>2769</v>
      </c>
      <c r="D2694" s="29" t="s">
        <v>2933</v>
      </c>
      <c r="E2694" s="62"/>
      <c r="F2694" s="62"/>
      <c r="G2694" s="20" t="str">
        <f t="shared" si="1"/>
        <v>Hardware, Tools, Threading Machines, </v>
      </c>
    </row>
    <row r="2695">
      <c r="A2695" s="29">
        <v>2835.0</v>
      </c>
      <c r="B2695" s="29" t="s">
        <v>2423</v>
      </c>
      <c r="C2695" s="29" t="s">
        <v>2769</v>
      </c>
      <c r="D2695" s="29" t="s">
        <v>2934</v>
      </c>
      <c r="E2695" s="62"/>
      <c r="F2695" s="62"/>
      <c r="G2695" s="20" t="str">
        <f t="shared" si="1"/>
        <v>Hardware, Tools, Tool Clamps &amp; Vises, </v>
      </c>
    </row>
    <row r="2696">
      <c r="A2696" s="29">
        <v>3745.0</v>
      </c>
      <c r="B2696" s="29" t="s">
        <v>2423</v>
      </c>
      <c r="C2696" s="29" t="s">
        <v>2769</v>
      </c>
      <c r="D2696" s="29" t="s">
        <v>2935</v>
      </c>
      <c r="E2696" s="62"/>
      <c r="F2696" s="62"/>
      <c r="G2696" s="20" t="str">
        <f t="shared" si="1"/>
        <v>Hardware, Tools, Tool Files, </v>
      </c>
    </row>
    <row r="2697">
      <c r="A2697" s="29">
        <v>1439.0</v>
      </c>
      <c r="B2697" s="29" t="s">
        <v>2423</v>
      </c>
      <c r="C2697" s="29" t="s">
        <v>2769</v>
      </c>
      <c r="D2697" s="29" t="s">
        <v>2936</v>
      </c>
      <c r="E2697" s="62"/>
      <c r="F2697" s="62"/>
      <c r="G2697" s="20" t="str">
        <f t="shared" si="1"/>
        <v>Hardware, Tools, Tool Keys, </v>
      </c>
    </row>
    <row r="2698">
      <c r="A2698" s="29">
        <v>2198.0</v>
      </c>
      <c r="B2698" s="29" t="s">
        <v>2423</v>
      </c>
      <c r="C2698" s="29" t="s">
        <v>2769</v>
      </c>
      <c r="D2698" s="29" t="s">
        <v>2937</v>
      </c>
      <c r="E2698" s="62"/>
      <c r="F2698" s="62"/>
      <c r="G2698" s="20" t="str">
        <f t="shared" si="1"/>
        <v>Hardware, Tools, Tool Knives, </v>
      </c>
    </row>
    <row r="2699">
      <c r="A2699" s="29">
        <v>4919.0</v>
      </c>
      <c r="B2699" s="29" t="s">
        <v>2423</v>
      </c>
      <c r="C2699" s="29" t="s">
        <v>2769</v>
      </c>
      <c r="D2699" s="29" t="s">
        <v>2938</v>
      </c>
      <c r="E2699" s="62"/>
      <c r="F2699" s="62"/>
      <c r="G2699" s="20" t="str">
        <f t="shared" si="1"/>
        <v>Hardware, Tools, Tool Sets, </v>
      </c>
    </row>
    <row r="2700">
      <c r="A2700" s="29">
        <v>6965.0</v>
      </c>
      <c r="B2700" s="29" t="s">
        <v>2423</v>
      </c>
      <c r="C2700" s="29" t="s">
        <v>2769</v>
      </c>
      <c r="D2700" s="29" t="s">
        <v>2938</v>
      </c>
      <c r="E2700" s="29" t="s">
        <v>2939</v>
      </c>
      <c r="F2700" s="62"/>
      <c r="G2700" s="20" t="str">
        <f t="shared" si="1"/>
        <v>Hardware, Tools, Tool Sets, Hand Tool Sets</v>
      </c>
    </row>
    <row r="2701">
      <c r="A2701" s="29">
        <v>4716.0</v>
      </c>
      <c r="B2701" s="29" t="s">
        <v>2423</v>
      </c>
      <c r="C2701" s="29" t="s">
        <v>2769</v>
      </c>
      <c r="D2701" s="29" t="s">
        <v>2938</v>
      </c>
      <c r="E2701" s="29" t="s">
        <v>2940</v>
      </c>
      <c r="F2701" s="62"/>
      <c r="G2701" s="20" t="str">
        <f t="shared" si="1"/>
        <v>Hardware, Tools, Tool Sets, Power Tool Combo Sets</v>
      </c>
    </row>
    <row r="2702">
      <c r="A2702" s="29">
        <v>1238.0</v>
      </c>
      <c r="B2702" s="29" t="s">
        <v>2423</v>
      </c>
      <c r="C2702" s="29" t="s">
        <v>2769</v>
      </c>
      <c r="D2702" s="29" t="s">
        <v>2941</v>
      </c>
      <c r="F2702" s="62"/>
      <c r="G2702" s="20" t="str">
        <f t="shared" si="1"/>
        <v>Hardware, Tools, Welding Guns &amp; Plasma Cutters, </v>
      </c>
    </row>
    <row r="2703">
      <c r="A2703" s="29">
        <v>1469.0</v>
      </c>
      <c r="B2703" s="29" t="s">
        <v>2423</v>
      </c>
      <c r="C2703" s="29" t="s">
        <v>2769</v>
      </c>
      <c r="D2703" s="29" t="s">
        <v>2942</v>
      </c>
      <c r="E2703" s="62"/>
      <c r="F2703" s="62"/>
      <c r="G2703" s="20" t="str">
        <f t="shared" si="1"/>
        <v>Hardware, Tools, Wire &amp; Cable Hand Tools, </v>
      </c>
    </row>
    <row r="2704">
      <c r="A2704" s="29">
        <v>5592.0</v>
      </c>
      <c r="B2704" s="29" t="s">
        <v>2423</v>
      </c>
      <c r="C2704" s="29" t="s">
        <v>2769</v>
      </c>
      <c r="D2704" s="29" t="s">
        <v>2943</v>
      </c>
      <c r="E2704" s="62"/>
      <c r="F2704" s="62"/>
      <c r="G2704" s="20" t="str">
        <f t="shared" si="1"/>
        <v>Hardware, Tools, Work Lights, </v>
      </c>
    </row>
    <row r="2705">
      <c r="A2705" s="29">
        <v>1632.0</v>
      </c>
      <c r="B2705" s="29" t="s">
        <v>2423</v>
      </c>
      <c r="C2705" s="29" t="s">
        <v>2769</v>
      </c>
      <c r="D2705" s="29" t="s">
        <v>2944</v>
      </c>
      <c r="E2705" s="62"/>
      <c r="F2705" s="62"/>
      <c r="G2705" s="20" t="str">
        <f t="shared" si="1"/>
        <v>Hardware, Tools, Wrenches, </v>
      </c>
    </row>
    <row r="2706">
      <c r="A2706" s="29">
        <v>469.0</v>
      </c>
      <c r="B2706" s="29" t="s">
        <v>2945</v>
      </c>
      <c r="C2706" s="62"/>
      <c r="D2706" s="62"/>
      <c r="E2706" s="62"/>
      <c r="F2706" s="62"/>
      <c r="G2706" s="20" t="str">
        <f t="shared" si="1"/>
        <v>Health &amp; Beauty, , , </v>
      </c>
    </row>
    <row r="2707">
      <c r="A2707" s="29">
        <v>491.0</v>
      </c>
      <c r="B2707" s="29" t="s">
        <v>2945</v>
      </c>
      <c r="C2707" s="29" t="s">
        <v>2946</v>
      </c>
      <c r="D2707" s="62"/>
      <c r="E2707" s="62"/>
      <c r="F2707" s="62"/>
      <c r="G2707" s="20" t="str">
        <f t="shared" si="1"/>
        <v>Health &amp; Beauty, Health Care, , </v>
      </c>
    </row>
    <row r="2708">
      <c r="A2708" s="29">
        <v>5849.0</v>
      </c>
      <c r="B2708" s="29" t="s">
        <v>2945</v>
      </c>
      <c r="C2708" s="29" t="s">
        <v>2946</v>
      </c>
      <c r="D2708" s="29" t="s">
        <v>2947</v>
      </c>
      <c r="E2708" s="62"/>
      <c r="F2708" s="62"/>
      <c r="G2708" s="20" t="str">
        <f t="shared" si="1"/>
        <v>Health &amp; Beauty, Health Care, Acupuncture, </v>
      </c>
    </row>
    <row r="2709">
      <c r="A2709" s="29">
        <v>5850.0</v>
      </c>
      <c r="B2709" s="29" t="s">
        <v>2945</v>
      </c>
      <c r="C2709" s="29" t="s">
        <v>2946</v>
      </c>
      <c r="D2709" s="29" t="s">
        <v>2947</v>
      </c>
      <c r="E2709" s="29" t="s">
        <v>2948</v>
      </c>
      <c r="F2709" s="62"/>
      <c r="G2709" s="20" t="str">
        <f t="shared" si="1"/>
        <v>Health &amp; Beauty, Health Care, Acupuncture, Acupuncture Models</v>
      </c>
    </row>
    <row r="2710">
      <c r="A2710" s="29">
        <v>5851.0</v>
      </c>
      <c r="B2710" s="29" t="s">
        <v>2945</v>
      </c>
      <c r="C2710" s="29" t="s">
        <v>2946</v>
      </c>
      <c r="D2710" s="29" t="s">
        <v>2947</v>
      </c>
      <c r="E2710" s="29" t="s">
        <v>2949</v>
      </c>
      <c r="F2710" s="62"/>
      <c r="G2710" s="20" t="str">
        <f t="shared" si="1"/>
        <v>Health &amp; Beauty, Health Care, Acupuncture, Acupuncture Needles</v>
      </c>
    </row>
    <row r="2711">
      <c r="A2711" s="29">
        <v>7220.0</v>
      </c>
      <c r="B2711" s="29" t="s">
        <v>2945</v>
      </c>
      <c r="C2711" s="29" t="s">
        <v>2946</v>
      </c>
      <c r="D2711" s="29" t="s">
        <v>2950</v>
      </c>
      <c r="E2711" s="62"/>
      <c r="F2711" s="62"/>
      <c r="G2711" s="20" t="str">
        <f t="shared" si="1"/>
        <v>Health &amp; Beauty, Health Care, Bed Pans, </v>
      </c>
    </row>
    <row r="2712">
      <c r="A2712" s="29">
        <v>5071.0</v>
      </c>
      <c r="B2712" s="29" t="s">
        <v>2945</v>
      </c>
      <c r="C2712" s="29" t="s">
        <v>2946</v>
      </c>
      <c r="D2712" s="29" t="s">
        <v>2951</v>
      </c>
      <c r="F2712" s="62"/>
      <c r="G2712" s="20" t="str">
        <f t="shared" si="1"/>
        <v>Health &amp; Beauty, Health Care, Biometric Monitor Accessories, </v>
      </c>
    </row>
    <row r="2713">
      <c r="A2713" s="29">
        <v>505819.0</v>
      </c>
      <c r="B2713" s="29" t="s">
        <v>2945</v>
      </c>
      <c r="C2713" s="29" t="s">
        <v>2946</v>
      </c>
      <c r="D2713" s="29" t="s">
        <v>2951</v>
      </c>
      <c r="E2713" s="29" t="s">
        <v>2952</v>
      </c>
      <c r="F2713" s="62"/>
      <c r="G2713" s="20" t="str">
        <f t="shared" si="1"/>
        <v>Health &amp; Beauty, Health Care, Biometric Monitor Accessories, Activity Monitor Accessories</v>
      </c>
    </row>
    <row r="2714">
      <c r="A2714" s="29">
        <v>3688.0</v>
      </c>
      <c r="B2714" s="29" t="s">
        <v>2945</v>
      </c>
      <c r="C2714" s="29" t="s">
        <v>2946</v>
      </c>
      <c r="D2714" s="29" t="s">
        <v>2951</v>
      </c>
      <c r="E2714" s="29" t="s">
        <v>2953</v>
      </c>
      <c r="G2714" s="20" t="str">
        <f t="shared" si="1"/>
        <v>Health &amp; Beauty, Health Care, Biometric Monitor Accessories, Blood Glucose Meter Accessories</v>
      </c>
    </row>
    <row r="2715">
      <c r="A2715" s="29">
        <v>6323.0</v>
      </c>
      <c r="B2715" s="29" t="s">
        <v>2945</v>
      </c>
      <c r="C2715" s="29" t="s">
        <v>2946</v>
      </c>
      <c r="D2715" s="29" t="s">
        <v>2951</v>
      </c>
      <c r="E2715" s="29" t="s">
        <v>2953</v>
      </c>
      <c r="F2715" s="29" t="s">
        <v>2954</v>
      </c>
      <c r="G2715" s="20" t="str">
        <f t="shared" si="1"/>
        <v>Health &amp; Beauty, Health Care, Biometric Monitor Accessories, Blood Glucose Meter AccessoriesBlood Glucose Control Solution</v>
      </c>
    </row>
    <row r="2716">
      <c r="A2716" s="29">
        <v>3905.0</v>
      </c>
      <c r="B2716" s="29" t="s">
        <v>2945</v>
      </c>
      <c r="C2716" s="29" t="s">
        <v>2946</v>
      </c>
      <c r="D2716" s="29" t="s">
        <v>2951</v>
      </c>
      <c r="E2716" s="29" t="s">
        <v>2953</v>
      </c>
      <c r="F2716" s="29" t="s">
        <v>2955</v>
      </c>
      <c r="G2716" s="20" t="str">
        <f t="shared" si="1"/>
        <v>Health &amp; Beauty, Health Care, Biometric Monitor Accessories, Blood Glucose Meter AccessoriesBlood Glucose Test Strips</v>
      </c>
    </row>
    <row r="2717">
      <c r="A2717" s="29">
        <v>3111.0</v>
      </c>
      <c r="B2717" s="29" t="s">
        <v>2945</v>
      </c>
      <c r="C2717" s="29" t="s">
        <v>2946</v>
      </c>
      <c r="D2717" s="29" t="s">
        <v>2951</v>
      </c>
      <c r="E2717" s="29" t="s">
        <v>2953</v>
      </c>
      <c r="F2717" s="29" t="s">
        <v>2956</v>
      </c>
      <c r="G2717" s="20" t="str">
        <f t="shared" si="1"/>
        <v>Health &amp; Beauty, Health Care, Biometric Monitor Accessories, Blood Glucose Meter AccessoriesLancing Devices</v>
      </c>
    </row>
    <row r="2718">
      <c r="A2718" s="29">
        <v>6284.0</v>
      </c>
      <c r="B2718" s="29" t="s">
        <v>2945</v>
      </c>
      <c r="C2718" s="29" t="s">
        <v>2946</v>
      </c>
      <c r="D2718" s="29" t="s">
        <v>2951</v>
      </c>
      <c r="E2718" s="29" t="s">
        <v>2957</v>
      </c>
      <c r="G2718" s="20" t="str">
        <f t="shared" si="1"/>
        <v>Health &amp; Beauty, Health Care, Biometric Monitor Accessories, Blood Pressure Monitor Accessories</v>
      </c>
    </row>
    <row r="2719">
      <c r="A2719" s="29">
        <v>6285.0</v>
      </c>
      <c r="B2719" s="29" t="s">
        <v>2945</v>
      </c>
      <c r="C2719" s="29" t="s">
        <v>2946</v>
      </c>
      <c r="D2719" s="29" t="s">
        <v>2951</v>
      </c>
      <c r="E2719" s="29" t="s">
        <v>2957</v>
      </c>
      <c r="F2719" s="29" t="s">
        <v>2958</v>
      </c>
      <c r="G2719" s="20" t="str">
        <f t="shared" si="1"/>
        <v>Health &amp; Beauty, Health Care, Biometric Monitor Accessories, Blood Pressure Monitor AccessoriesBlood Pressure Monitor Cuffs</v>
      </c>
    </row>
    <row r="2720">
      <c r="A2720" s="29">
        <v>5072.0</v>
      </c>
      <c r="B2720" s="29" t="s">
        <v>2945</v>
      </c>
      <c r="C2720" s="29" t="s">
        <v>2946</v>
      </c>
      <c r="D2720" s="29" t="s">
        <v>2951</v>
      </c>
      <c r="E2720" s="29" t="s">
        <v>2959</v>
      </c>
      <c r="F2720" s="62"/>
      <c r="G2720" s="20" t="str">
        <f t="shared" si="1"/>
        <v>Health &amp; Beauty, Health Care, Biometric Monitor Accessories, Body Weight Scale Accessories</v>
      </c>
    </row>
    <row r="2721">
      <c r="A2721" s="29">
        <v>494.0</v>
      </c>
      <c r="B2721" s="29" t="s">
        <v>2945</v>
      </c>
      <c r="C2721" s="29" t="s">
        <v>2946</v>
      </c>
      <c r="D2721" s="29" t="s">
        <v>2960</v>
      </c>
      <c r="E2721" s="62"/>
      <c r="F2721" s="62"/>
      <c r="G2721" s="20" t="str">
        <f t="shared" si="1"/>
        <v>Health &amp; Beauty, Health Care, Biometric Monitors, </v>
      </c>
    </row>
    <row r="2722">
      <c r="A2722" s="29">
        <v>500009.0</v>
      </c>
      <c r="B2722" s="29" t="s">
        <v>2945</v>
      </c>
      <c r="C2722" s="29" t="s">
        <v>2946</v>
      </c>
      <c r="D2722" s="29" t="s">
        <v>2960</v>
      </c>
      <c r="E2722" s="29" t="s">
        <v>2961</v>
      </c>
      <c r="F2722" s="62"/>
      <c r="G2722" s="20" t="str">
        <f t="shared" si="1"/>
        <v>Health &amp; Beauty, Health Care, Biometric Monitors, Activity Monitors</v>
      </c>
    </row>
    <row r="2723">
      <c r="A2723" s="29">
        <v>2246.0</v>
      </c>
      <c r="B2723" s="29" t="s">
        <v>2945</v>
      </c>
      <c r="C2723" s="29" t="s">
        <v>2946</v>
      </c>
      <c r="D2723" s="29" t="s">
        <v>2960</v>
      </c>
      <c r="E2723" s="29" t="s">
        <v>2962</v>
      </c>
      <c r="F2723" s="62"/>
      <c r="G2723" s="20" t="str">
        <f t="shared" si="1"/>
        <v>Health &amp; Beauty, Health Care, Biometric Monitors, Blood Glucose Meters</v>
      </c>
    </row>
    <row r="2724">
      <c r="A2724" s="29">
        <v>495.0</v>
      </c>
      <c r="B2724" s="29" t="s">
        <v>2945</v>
      </c>
      <c r="C2724" s="29" t="s">
        <v>2946</v>
      </c>
      <c r="D2724" s="29" t="s">
        <v>2960</v>
      </c>
      <c r="E2724" s="29" t="s">
        <v>2963</v>
      </c>
      <c r="F2724" s="62"/>
      <c r="G2724" s="20" t="str">
        <f t="shared" si="1"/>
        <v>Health &amp; Beauty, Health Care, Biometric Monitors, Blood Pressure Monitors</v>
      </c>
    </row>
    <row r="2725">
      <c r="A2725" s="29">
        <v>496.0</v>
      </c>
      <c r="B2725" s="29" t="s">
        <v>2945</v>
      </c>
      <c r="C2725" s="29" t="s">
        <v>2946</v>
      </c>
      <c r="D2725" s="29" t="s">
        <v>2960</v>
      </c>
      <c r="E2725" s="29" t="s">
        <v>2964</v>
      </c>
      <c r="F2725" s="62"/>
      <c r="G2725" s="20" t="str">
        <f t="shared" si="1"/>
        <v>Health &amp; Beauty, Health Care, Biometric Monitors, Body Fat Analyzers</v>
      </c>
    </row>
    <row r="2726">
      <c r="A2726" s="29">
        <v>500.0</v>
      </c>
      <c r="B2726" s="29" t="s">
        <v>2945</v>
      </c>
      <c r="C2726" s="29" t="s">
        <v>2946</v>
      </c>
      <c r="D2726" s="29" t="s">
        <v>2960</v>
      </c>
      <c r="E2726" s="29" t="s">
        <v>2965</v>
      </c>
      <c r="F2726" s="62"/>
      <c r="G2726" s="20" t="str">
        <f t="shared" si="1"/>
        <v>Health &amp; Beauty, Health Care, Biometric Monitors, Body Weight Scales</v>
      </c>
    </row>
    <row r="2727">
      <c r="A2727" s="29">
        <v>2633.0</v>
      </c>
      <c r="B2727" s="29" t="s">
        <v>2945</v>
      </c>
      <c r="C2727" s="29" t="s">
        <v>2946</v>
      </c>
      <c r="D2727" s="29" t="s">
        <v>2960</v>
      </c>
      <c r="E2727" s="29" t="s">
        <v>2966</v>
      </c>
      <c r="F2727" s="62"/>
      <c r="G2727" s="20" t="str">
        <f t="shared" si="1"/>
        <v>Health &amp; Beauty, Health Care, Biometric Monitors, Breathalyzers</v>
      </c>
    </row>
    <row r="2728">
      <c r="A2728" s="29">
        <v>497.0</v>
      </c>
      <c r="B2728" s="29" t="s">
        <v>2945</v>
      </c>
      <c r="C2728" s="29" t="s">
        <v>2946</v>
      </c>
      <c r="D2728" s="29" t="s">
        <v>2960</v>
      </c>
      <c r="E2728" s="29" t="s">
        <v>2967</v>
      </c>
      <c r="F2728" s="62"/>
      <c r="G2728" s="20" t="str">
        <f t="shared" si="1"/>
        <v>Health &amp; Beauty, Health Care, Biometric Monitors, Cholesterol Analyzers</v>
      </c>
    </row>
    <row r="2729">
      <c r="A2729" s="29">
        <v>505822.0</v>
      </c>
      <c r="B2729" s="29" t="s">
        <v>2945</v>
      </c>
      <c r="C2729" s="29" t="s">
        <v>2946</v>
      </c>
      <c r="D2729" s="29" t="s">
        <v>2960</v>
      </c>
      <c r="E2729" s="29" t="s">
        <v>2968</v>
      </c>
      <c r="G2729" s="20" t="str">
        <f t="shared" si="1"/>
        <v>Health &amp; Beauty, Health Care, Biometric Monitors, Fertility Monitors and Ovulation Tests</v>
      </c>
    </row>
    <row r="2730">
      <c r="A2730" s="29">
        <v>543679.0</v>
      </c>
      <c r="B2730" s="29" t="s">
        <v>2945</v>
      </c>
      <c r="C2730" s="29" t="s">
        <v>2946</v>
      </c>
      <c r="D2730" s="29" t="s">
        <v>2960</v>
      </c>
      <c r="E2730" s="29" t="s">
        <v>2968</v>
      </c>
      <c r="F2730" s="29" t="s">
        <v>2969</v>
      </c>
      <c r="G2730" s="20" t="str">
        <f t="shared" si="1"/>
        <v>Health &amp; Beauty, Health Care, Biometric Monitors, Fertility Monitors and Ovulation TestsFertility Tests &amp; Monitors</v>
      </c>
    </row>
    <row r="2731">
      <c r="A2731" s="29">
        <v>543680.0</v>
      </c>
      <c r="B2731" s="29" t="s">
        <v>2945</v>
      </c>
      <c r="C2731" s="29" t="s">
        <v>2946</v>
      </c>
      <c r="D2731" s="29" t="s">
        <v>2960</v>
      </c>
      <c r="E2731" s="29" t="s">
        <v>2968</v>
      </c>
      <c r="F2731" s="29" t="s">
        <v>2970</v>
      </c>
      <c r="G2731" s="20" t="str">
        <f t="shared" si="1"/>
        <v>Health &amp; Beauty, Health Care, Biometric Monitors, Fertility Monitors and Ovulation TestsOvulation Tests</v>
      </c>
    </row>
    <row r="2732">
      <c r="A2732" s="29">
        <v>501.0</v>
      </c>
      <c r="B2732" s="29" t="s">
        <v>2945</v>
      </c>
      <c r="C2732" s="29" t="s">
        <v>2946</v>
      </c>
      <c r="D2732" s="29" t="s">
        <v>2960</v>
      </c>
      <c r="E2732" s="29" t="s">
        <v>2971</v>
      </c>
      <c r="F2732" s="62"/>
      <c r="G2732" s="20" t="str">
        <f t="shared" si="1"/>
        <v>Health &amp; Beauty, Health Care, Biometric Monitors, Medical Thermometers</v>
      </c>
    </row>
    <row r="2733">
      <c r="A2733" s="29">
        <v>4767.0</v>
      </c>
      <c r="B2733" s="29" t="s">
        <v>2945</v>
      </c>
      <c r="C2733" s="29" t="s">
        <v>2946</v>
      </c>
      <c r="D2733" s="29" t="s">
        <v>2960</v>
      </c>
      <c r="E2733" s="29" t="s">
        <v>2972</v>
      </c>
      <c r="F2733" s="62"/>
      <c r="G2733" s="20" t="str">
        <f t="shared" si="1"/>
        <v>Health &amp; Beauty, Health Care, Biometric Monitors, Prenatal Heart Rate Monitors</v>
      </c>
    </row>
    <row r="2734">
      <c r="A2734" s="29">
        <v>5551.0</v>
      </c>
      <c r="B2734" s="29" t="s">
        <v>2945</v>
      </c>
      <c r="C2734" s="29" t="s">
        <v>2946</v>
      </c>
      <c r="D2734" s="29" t="s">
        <v>2960</v>
      </c>
      <c r="E2734" s="29" t="s">
        <v>2973</v>
      </c>
      <c r="F2734" s="62"/>
      <c r="G2734" s="20" t="str">
        <f t="shared" si="1"/>
        <v>Health &amp; Beauty, Health Care, Biometric Monitors, Pulse Oximeters</v>
      </c>
    </row>
    <row r="2735">
      <c r="A2735" s="29">
        <v>775.0</v>
      </c>
      <c r="B2735" s="29" t="s">
        <v>2945</v>
      </c>
      <c r="C2735" s="29" t="s">
        <v>2946</v>
      </c>
      <c r="D2735" s="29" t="s">
        <v>2974</v>
      </c>
      <c r="E2735" s="62"/>
      <c r="F2735" s="62"/>
      <c r="G2735" s="20" t="str">
        <f t="shared" si="1"/>
        <v>Health &amp; Beauty, Health Care, Condoms, </v>
      </c>
    </row>
    <row r="2736">
      <c r="A2736" s="29">
        <v>505820.0</v>
      </c>
      <c r="B2736" s="29" t="s">
        <v>2945</v>
      </c>
      <c r="C2736" s="29" t="s">
        <v>2946</v>
      </c>
      <c r="D2736" s="29" t="s">
        <v>2975</v>
      </c>
      <c r="F2736" s="62"/>
      <c r="G2736" s="20" t="str">
        <f t="shared" si="1"/>
        <v>Health &amp; Beauty, Health Care, Conductivity Gels &amp; Lotions, </v>
      </c>
    </row>
    <row r="2737">
      <c r="A2737" s="29">
        <v>7002.0</v>
      </c>
      <c r="B2737" s="29" t="s">
        <v>2945</v>
      </c>
      <c r="C2737" s="29" t="s">
        <v>2946</v>
      </c>
      <c r="D2737" s="29" t="s">
        <v>2976</v>
      </c>
      <c r="E2737" s="62"/>
      <c r="F2737" s="62"/>
      <c r="G2737" s="20" t="str">
        <f t="shared" si="1"/>
        <v>Health &amp; Beauty, Health Care, Contraceptive Cases, </v>
      </c>
    </row>
    <row r="2738">
      <c r="A2738" s="29">
        <v>508.0</v>
      </c>
      <c r="B2738" s="29" t="s">
        <v>2945</v>
      </c>
      <c r="C2738" s="29" t="s">
        <v>2946</v>
      </c>
      <c r="D2738" s="29" t="s">
        <v>2977</v>
      </c>
      <c r="E2738" s="62"/>
      <c r="F2738" s="62"/>
      <c r="G2738" s="20" t="str">
        <f t="shared" si="1"/>
        <v>Health &amp; Beauty, Health Care, First Aid, </v>
      </c>
    </row>
    <row r="2739">
      <c r="A2739" s="29">
        <v>2954.0</v>
      </c>
      <c r="B2739" s="29" t="s">
        <v>2945</v>
      </c>
      <c r="C2739" s="29" t="s">
        <v>2946</v>
      </c>
      <c r="D2739" s="29" t="s">
        <v>2977</v>
      </c>
      <c r="E2739" s="29" t="s">
        <v>2978</v>
      </c>
      <c r="F2739" s="62"/>
      <c r="G2739" s="20" t="str">
        <f t="shared" si="1"/>
        <v>Health &amp; Beauty, Health Care, First Aid, Antiseptics &amp; Cleaning Supplies</v>
      </c>
    </row>
    <row r="2740">
      <c r="A2740" s="29">
        <v>6206.0</v>
      </c>
      <c r="B2740" s="29" t="s">
        <v>2945</v>
      </c>
      <c r="C2740" s="29" t="s">
        <v>2946</v>
      </c>
      <c r="D2740" s="29" t="s">
        <v>2977</v>
      </c>
      <c r="E2740" s="29" t="s">
        <v>2979</v>
      </c>
      <c r="F2740" s="62"/>
      <c r="G2740" s="20" t="str">
        <f t="shared" si="1"/>
        <v>Health &amp; Beauty, Health Care, First Aid, Cast &amp; Bandage Protectors</v>
      </c>
    </row>
    <row r="2741">
      <c r="A2741" s="29">
        <v>4527.0</v>
      </c>
      <c r="B2741" s="29" t="s">
        <v>2945</v>
      </c>
      <c r="C2741" s="29" t="s">
        <v>2946</v>
      </c>
      <c r="D2741" s="29" t="s">
        <v>2977</v>
      </c>
      <c r="E2741" s="29" t="s">
        <v>2980</v>
      </c>
      <c r="F2741" s="62"/>
      <c r="G2741" s="20" t="str">
        <f t="shared" si="1"/>
        <v>Health &amp; Beauty, Health Care, First Aid, Eye Wash Supplies</v>
      </c>
    </row>
    <row r="2742">
      <c r="A2742" s="29">
        <v>510.0</v>
      </c>
      <c r="B2742" s="29" t="s">
        <v>2945</v>
      </c>
      <c r="C2742" s="29" t="s">
        <v>2946</v>
      </c>
      <c r="D2742" s="29" t="s">
        <v>2977</v>
      </c>
      <c r="E2742" s="29" t="s">
        <v>2981</v>
      </c>
      <c r="F2742" s="62"/>
      <c r="G2742" s="20" t="str">
        <f t="shared" si="1"/>
        <v>Health &amp; Beauty, Health Care, First Aid, First Aid Kits</v>
      </c>
    </row>
    <row r="2743">
      <c r="A2743" s="29">
        <v>516.0</v>
      </c>
      <c r="B2743" s="29" t="s">
        <v>2945</v>
      </c>
      <c r="C2743" s="29" t="s">
        <v>2946</v>
      </c>
      <c r="D2743" s="29" t="s">
        <v>2977</v>
      </c>
      <c r="E2743" s="29" t="s">
        <v>2982</v>
      </c>
      <c r="F2743" s="62"/>
      <c r="G2743" s="20" t="str">
        <f t="shared" si="1"/>
        <v>Health &amp; Beauty, Health Care, First Aid, Hot &amp; Cold Therapies</v>
      </c>
    </row>
    <row r="2744">
      <c r="A2744" s="29">
        <v>5848.0</v>
      </c>
      <c r="B2744" s="29" t="s">
        <v>2945</v>
      </c>
      <c r="C2744" s="29" t="s">
        <v>2946</v>
      </c>
      <c r="D2744" s="29" t="s">
        <v>2977</v>
      </c>
      <c r="E2744" s="29" t="s">
        <v>2982</v>
      </c>
      <c r="F2744" s="29" t="s">
        <v>2983</v>
      </c>
      <c r="G2744" s="20" t="str">
        <f t="shared" si="1"/>
        <v>Health &amp; Beauty, Health Care, First Aid, Hot &amp; Cold TherapiesHeat Rubs</v>
      </c>
    </row>
    <row r="2745">
      <c r="A2745" s="29">
        <v>6205.0</v>
      </c>
      <c r="B2745" s="29" t="s">
        <v>2945</v>
      </c>
      <c r="C2745" s="29" t="s">
        <v>2946</v>
      </c>
      <c r="D2745" s="29" t="s">
        <v>2977</v>
      </c>
      <c r="E2745" s="29" t="s">
        <v>2982</v>
      </c>
      <c r="F2745" s="29" t="s">
        <v>2984</v>
      </c>
      <c r="G2745" s="20" t="str">
        <f t="shared" si="1"/>
        <v>Health &amp; Beauty, Health Care, First Aid, Hot &amp; Cold TherapiesHeating Pads</v>
      </c>
    </row>
    <row r="2746">
      <c r="A2746" s="29">
        <v>4753.0</v>
      </c>
      <c r="B2746" s="29" t="s">
        <v>2945</v>
      </c>
      <c r="C2746" s="29" t="s">
        <v>2946</v>
      </c>
      <c r="D2746" s="29" t="s">
        <v>2977</v>
      </c>
      <c r="E2746" s="29" t="s">
        <v>2982</v>
      </c>
      <c r="F2746" s="29" t="s">
        <v>2985</v>
      </c>
      <c r="G2746" s="20" t="str">
        <f t="shared" si="1"/>
        <v>Health &amp; Beauty, Health Care, First Aid, Hot &amp; Cold TherapiesIce Packs</v>
      </c>
    </row>
    <row r="2747">
      <c r="A2747" s="29">
        <v>509.0</v>
      </c>
      <c r="B2747" s="29" t="s">
        <v>2945</v>
      </c>
      <c r="C2747" s="29" t="s">
        <v>2946</v>
      </c>
      <c r="D2747" s="29" t="s">
        <v>2977</v>
      </c>
      <c r="E2747" s="29" t="s">
        <v>2986</v>
      </c>
      <c r="F2747" s="62"/>
      <c r="G2747" s="20" t="str">
        <f t="shared" si="1"/>
        <v>Health &amp; Beauty, Health Care, First Aid, Medical Tape &amp; Bandages</v>
      </c>
    </row>
    <row r="2748">
      <c r="A2748" s="29">
        <v>2890.0</v>
      </c>
      <c r="B2748" s="29" t="s">
        <v>2945</v>
      </c>
      <c r="C2748" s="29" t="s">
        <v>2946</v>
      </c>
      <c r="D2748" s="29" t="s">
        <v>2987</v>
      </c>
      <c r="E2748" s="62"/>
      <c r="F2748" s="62"/>
      <c r="G2748" s="20" t="str">
        <f t="shared" si="1"/>
        <v>Health &amp; Beauty, Health Care, Fitness &amp; Nutrition, </v>
      </c>
    </row>
    <row r="2749">
      <c r="A2749" s="29">
        <v>2984.0</v>
      </c>
      <c r="B2749" s="29" t="s">
        <v>2945</v>
      </c>
      <c r="C2749" s="29" t="s">
        <v>2946</v>
      </c>
      <c r="D2749" s="29" t="s">
        <v>2987</v>
      </c>
      <c r="E2749" s="29" t="s">
        <v>2988</v>
      </c>
      <c r="F2749" s="62"/>
      <c r="G2749" s="20" t="str">
        <f t="shared" si="1"/>
        <v>Health &amp; Beauty, Health Care, Fitness &amp; Nutrition, Nutrition Bars</v>
      </c>
    </row>
    <row r="2750">
      <c r="A2750" s="29">
        <v>5702.0</v>
      </c>
      <c r="B2750" s="29" t="s">
        <v>2945</v>
      </c>
      <c r="C2750" s="29" t="s">
        <v>2946</v>
      </c>
      <c r="D2750" s="29" t="s">
        <v>2987</v>
      </c>
      <c r="E2750" s="29" t="s">
        <v>2989</v>
      </c>
      <c r="F2750" s="62"/>
      <c r="G2750" s="20" t="str">
        <f t="shared" si="1"/>
        <v>Health &amp; Beauty, Health Care, Fitness &amp; Nutrition, Nutrition Drinks &amp; Shakes</v>
      </c>
    </row>
    <row r="2751">
      <c r="A2751" s="29">
        <v>6242.0</v>
      </c>
      <c r="B2751" s="29" t="s">
        <v>2945</v>
      </c>
      <c r="C2751" s="29" t="s">
        <v>2946</v>
      </c>
      <c r="D2751" s="29" t="s">
        <v>2987</v>
      </c>
      <c r="E2751" s="29" t="s">
        <v>2990</v>
      </c>
      <c r="F2751" s="62"/>
      <c r="G2751" s="20" t="str">
        <f t="shared" si="1"/>
        <v>Health &amp; Beauty, Health Care, Fitness &amp; Nutrition, Nutrition Gels &amp; Chews</v>
      </c>
    </row>
    <row r="2752">
      <c r="A2752" s="29">
        <v>6871.0</v>
      </c>
      <c r="B2752" s="29" t="s">
        <v>2945</v>
      </c>
      <c r="C2752" s="29" t="s">
        <v>2946</v>
      </c>
      <c r="D2752" s="29" t="s">
        <v>2987</v>
      </c>
      <c r="E2752" s="29" t="s">
        <v>2991</v>
      </c>
      <c r="F2752" s="62"/>
      <c r="G2752" s="20" t="str">
        <f t="shared" si="1"/>
        <v>Health &amp; Beauty, Health Care, Fitness &amp; Nutrition, Nutritional Food Purées</v>
      </c>
    </row>
    <row r="2753">
      <c r="A2753" s="29">
        <v>7413.0</v>
      </c>
      <c r="B2753" s="29" t="s">
        <v>2945</v>
      </c>
      <c r="C2753" s="29" t="s">
        <v>2946</v>
      </c>
      <c r="D2753" s="29" t="s">
        <v>2987</v>
      </c>
      <c r="E2753" s="29" t="s">
        <v>2992</v>
      </c>
      <c r="F2753" s="62"/>
      <c r="G2753" s="20" t="str">
        <f t="shared" si="1"/>
        <v>Health &amp; Beauty, Health Care, Fitness &amp; Nutrition, Tube Feeding Supplements</v>
      </c>
    </row>
    <row r="2754">
      <c r="A2754" s="29">
        <v>525.0</v>
      </c>
      <c r="B2754" s="29" t="s">
        <v>2945</v>
      </c>
      <c r="C2754" s="29" t="s">
        <v>2946</v>
      </c>
      <c r="D2754" s="29" t="s">
        <v>2987</v>
      </c>
      <c r="E2754" s="29" t="s">
        <v>2993</v>
      </c>
      <c r="F2754" s="62"/>
      <c r="G2754" s="20" t="str">
        <f t="shared" si="1"/>
        <v>Health &amp; Beauty, Health Care, Fitness &amp; Nutrition, Vitamins &amp; Supplements</v>
      </c>
    </row>
    <row r="2755">
      <c r="A2755" s="29">
        <v>5690.0</v>
      </c>
      <c r="B2755" s="29" t="s">
        <v>2945</v>
      </c>
      <c r="C2755" s="29" t="s">
        <v>2946</v>
      </c>
      <c r="D2755" s="29" t="s">
        <v>2994</v>
      </c>
      <c r="E2755" s="62"/>
      <c r="F2755" s="62"/>
      <c r="G2755" s="20" t="str">
        <f t="shared" si="1"/>
        <v>Health &amp; Beauty, Health Care, Hearing Aids, </v>
      </c>
    </row>
    <row r="2756">
      <c r="A2756" s="29">
        <v>517.0</v>
      </c>
      <c r="B2756" s="29" t="s">
        <v>2945</v>
      </c>
      <c r="C2756" s="29" t="s">
        <v>2946</v>
      </c>
      <c r="D2756" s="29" t="s">
        <v>2995</v>
      </c>
      <c r="E2756" s="62"/>
      <c r="F2756" s="62"/>
      <c r="G2756" s="20" t="str">
        <f t="shared" si="1"/>
        <v>Health &amp; Beauty, Health Care, Incontinence Aids, </v>
      </c>
    </row>
    <row r="2757">
      <c r="A2757" s="29">
        <v>500087.0</v>
      </c>
      <c r="B2757" s="29" t="s">
        <v>2945</v>
      </c>
      <c r="C2757" s="29" t="s">
        <v>2946</v>
      </c>
      <c r="D2757" s="29" t="s">
        <v>2996</v>
      </c>
      <c r="E2757" s="62"/>
      <c r="F2757" s="62"/>
      <c r="G2757" s="20" t="str">
        <f t="shared" si="1"/>
        <v>Health &amp; Beauty, Health Care, Light Therapy Lamps, </v>
      </c>
    </row>
    <row r="2758">
      <c r="A2758" s="29">
        <v>5966.0</v>
      </c>
      <c r="B2758" s="29" t="s">
        <v>2945</v>
      </c>
      <c r="C2758" s="29" t="s">
        <v>2946</v>
      </c>
      <c r="D2758" s="29" t="s">
        <v>2997</v>
      </c>
      <c r="E2758" s="62"/>
      <c r="F2758" s="62"/>
      <c r="G2758" s="20" t="str">
        <f t="shared" si="1"/>
        <v>Health &amp; Beauty, Health Care, Medical Alarm Systems, </v>
      </c>
    </row>
    <row r="2759">
      <c r="A2759" s="29">
        <v>5965.0</v>
      </c>
      <c r="B2759" s="29" t="s">
        <v>2945</v>
      </c>
      <c r="C2759" s="29" t="s">
        <v>2946</v>
      </c>
      <c r="D2759" s="29" t="s">
        <v>2998</v>
      </c>
      <c r="F2759" s="62"/>
      <c r="G2759" s="20" t="str">
        <f t="shared" si="1"/>
        <v>Health &amp; Beauty, Health Care, Medical Identification Tags &amp; Jewelry, </v>
      </c>
    </row>
    <row r="2760">
      <c r="A2760" s="29">
        <v>505293.0</v>
      </c>
      <c r="B2760" s="29" t="s">
        <v>2945</v>
      </c>
      <c r="C2760" s="29" t="s">
        <v>2946</v>
      </c>
      <c r="D2760" s="29" t="s">
        <v>2999</v>
      </c>
      <c r="E2760" s="62"/>
      <c r="F2760" s="62"/>
      <c r="G2760" s="20" t="str">
        <f t="shared" si="1"/>
        <v>Health &amp; Beauty, Health Care, Medical Tests, </v>
      </c>
    </row>
    <row r="2761">
      <c r="A2761" s="29">
        <v>499934.0</v>
      </c>
      <c r="B2761" s="29" t="s">
        <v>2945</v>
      </c>
      <c r="C2761" s="29" t="s">
        <v>2946</v>
      </c>
      <c r="D2761" s="29" t="s">
        <v>2999</v>
      </c>
      <c r="E2761" s="29" t="s">
        <v>3000</v>
      </c>
      <c r="F2761" s="62"/>
      <c r="G2761" s="20" t="str">
        <f t="shared" si="1"/>
        <v>Health &amp; Beauty, Health Care, Medical Tests, Allergy Test Kits</v>
      </c>
    </row>
    <row r="2762">
      <c r="A2762" s="29">
        <v>7337.0</v>
      </c>
      <c r="B2762" s="29" t="s">
        <v>2945</v>
      </c>
      <c r="C2762" s="29" t="s">
        <v>2946</v>
      </c>
      <c r="D2762" s="29" t="s">
        <v>2999</v>
      </c>
      <c r="E2762" s="29" t="s">
        <v>3001</v>
      </c>
      <c r="F2762" s="62"/>
      <c r="G2762" s="20" t="str">
        <f t="shared" si="1"/>
        <v>Health &amp; Beauty, Health Care, Medical Tests, Blood Typing Test Kits</v>
      </c>
    </row>
    <row r="2763">
      <c r="A2763" s="29">
        <v>2552.0</v>
      </c>
      <c r="B2763" s="29" t="s">
        <v>2945</v>
      </c>
      <c r="C2763" s="29" t="s">
        <v>2946</v>
      </c>
      <c r="D2763" s="29" t="s">
        <v>2999</v>
      </c>
      <c r="E2763" s="29" t="s">
        <v>3002</v>
      </c>
      <c r="F2763" s="62"/>
      <c r="G2763" s="20" t="str">
        <f t="shared" si="1"/>
        <v>Health &amp; Beauty, Health Care, Medical Tests, Drug Tests</v>
      </c>
    </row>
    <row r="2764">
      <c r="A2764" s="29">
        <v>7336.0</v>
      </c>
      <c r="B2764" s="29" t="s">
        <v>2945</v>
      </c>
      <c r="C2764" s="29" t="s">
        <v>2946</v>
      </c>
      <c r="D2764" s="29" t="s">
        <v>2999</v>
      </c>
      <c r="E2764" s="29" t="s">
        <v>3003</v>
      </c>
      <c r="F2764" s="62"/>
      <c r="G2764" s="20" t="str">
        <f t="shared" si="1"/>
        <v>Health &amp; Beauty, Health Care, Medical Tests, HIV Tests</v>
      </c>
    </row>
    <row r="2765">
      <c r="A2765" s="29">
        <v>1680.0</v>
      </c>
      <c r="B2765" s="29" t="s">
        <v>2945</v>
      </c>
      <c r="C2765" s="29" t="s">
        <v>2946</v>
      </c>
      <c r="D2765" s="29" t="s">
        <v>2999</v>
      </c>
      <c r="E2765" s="29" t="s">
        <v>3004</v>
      </c>
      <c r="F2765" s="62"/>
      <c r="G2765" s="20" t="str">
        <f t="shared" si="1"/>
        <v>Health &amp; Beauty, Health Care, Medical Tests, Pregnancy Tests</v>
      </c>
    </row>
    <row r="2766">
      <c r="A2766" s="29">
        <v>505294.0</v>
      </c>
      <c r="B2766" s="29" t="s">
        <v>2945</v>
      </c>
      <c r="C2766" s="29" t="s">
        <v>2946</v>
      </c>
      <c r="D2766" s="29" t="s">
        <v>2999</v>
      </c>
      <c r="E2766" s="29" t="s">
        <v>3005</v>
      </c>
      <c r="F2766" s="62"/>
      <c r="G2766" s="20" t="str">
        <f t="shared" si="1"/>
        <v>Health &amp; Beauty, Health Care, Medical Tests, Urinary Tract Infection Tests</v>
      </c>
    </row>
    <row r="2767">
      <c r="A2767" s="29">
        <v>518.0</v>
      </c>
      <c r="B2767" s="29" t="s">
        <v>2945</v>
      </c>
      <c r="C2767" s="29" t="s">
        <v>2946</v>
      </c>
      <c r="D2767" s="29" t="s">
        <v>3006</v>
      </c>
      <c r="E2767" s="62"/>
      <c r="F2767" s="62"/>
      <c r="G2767" s="20" t="str">
        <f t="shared" si="1"/>
        <v>Health &amp; Beauty, Health Care, Medicine &amp; Drugs, </v>
      </c>
    </row>
    <row r="2768">
      <c r="A2768" s="29">
        <v>519.0</v>
      </c>
      <c r="B2768" s="29" t="s">
        <v>2945</v>
      </c>
      <c r="C2768" s="29" t="s">
        <v>2946</v>
      </c>
      <c r="D2768" s="29" t="s">
        <v>3007</v>
      </c>
      <c r="E2768" s="62"/>
      <c r="F2768" s="62"/>
      <c r="G2768" s="20" t="str">
        <f t="shared" si="1"/>
        <v>Health &amp; Beauty, Health Care, Mobility &amp; Accessibility, </v>
      </c>
    </row>
    <row r="2769">
      <c r="A2769" s="29">
        <v>520.0</v>
      </c>
      <c r="B2769" s="29" t="s">
        <v>2945</v>
      </c>
      <c r="C2769" s="29" t="s">
        <v>2946</v>
      </c>
      <c r="D2769" s="29" t="s">
        <v>3007</v>
      </c>
      <c r="E2769" s="29" t="s">
        <v>3008</v>
      </c>
      <c r="F2769" s="62"/>
      <c r="G2769" s="20" t="str">
        <f t="shared" si="1"/>
        <v>Health &amp; Beauty, Health Care, Mobility &amp; Accessibility, Accessibility Equipment</v>
      </c>
    </row>
    <row r="2770">
      <c r="A2770" s="29">
        <v>3512.0</v>
      </c>
      <c r="B2770" s="29" t="s">
        <v>2945</v>
      </c>
      <c r="C2770" s="29" t="s">
        <v>2946</v>
      </c>
      <c r="D2770" s="29" t="s">
        <v>3007</v>
      </c>
      <c r="E2770" s="29" t="s">
        <v>3008</v>
      </c>
      <c r="F2770" s="29" t="s">
        <v>3009</v>
      </c>
      <c r="G2770" s="20" t="str">
        <f t="shared" si="1"/>
        <v>Health &amp; Beauty, Health Care, Mobility &amp; Accessibility, Accessibility EquipmentMobility Scooters</v>
      </c>
    </row>
    <row r="2771">
      <c r="A2771" s="29">
        <v>7138.0</v>
      </c>
      <c r="B2771" s="29" t="s">
        <v>2945</v>
      </c>
      <c r="C2771" s="29" t="s">
        <v>2946</v>
      </c>
      <c r="D2771" s="29" t="s">
        <v>3007</v>
      </c>
      <c r="E2771" s="29" t="s">
        <v>3008</v>
      </c>
      <c r="F2771" s="29" t="s">
        <v>3010</v>
      </c>
      <c r="G2771" s="20" t="str">
        <f t="shared" si="1"/>
        <v>Health &amp; Beauty, Health Care, Mobility &amp; Accessibility, Accessibility EquipmentStair Lifts</v>
      </c>
    </row>
    <row r="2772">
      <c r="A2772" s="29">
        <v>502969.0</v>
      </c>
      <c r="B2772" s="29" t="s">
        <v>2945</v>
      </c>
      <c r="C2772" s="29" t="s">
        <v>2946</v>
      </c>
      <c r="D2772" s="29" t="s">
        <v>3007</v>
      </c>
      <c r="E2772" s="29" t="s">
        <v>3008</v>
      </c>
      <c r="F2772" s="29" t="s">
        <v>3011</v>
      </c>
      <c r="G2772" s="20" t="str">
        <f t="shared" si="1"/>
        <v>Health &amp; Beauty, Health Care, Mobility &amp; Accessibility, Accessibility EquipmentTransfer Boards &amp; Sheets</v>
      </c>
    </row>
    <row r="2773">
      <c r="A2773" s="29">
        <v>3364.0</v>
      </c>
      <c r="B2773" s="29" t="s">
        <v>2945</v>
      </c>
      <c r="C2773" s="29" t="s">
        <v>2946</v>
      </c>
      <c r="D2773" s="29" t="s">
        <v>3007</v>
      </c>
      <c r="E2773" s="29" t="s">
        <v>3008</v>
      </c>
      <c r="F2773" s="29" t="s">
        <v>3012</v>
      </c>
      <c r="G2773" s="20" t="str">
        <f t="shared" si="1"/>
        <v>Health &amp; Beauty, Health Care, Mobility &amp; Accessibility, Accessibility EquipmentWheelchairs</v>
      </c>
    </row>
    <row r="2774">
      <c r="A2774" s="29">
        <v>521.0</v>
      </c>
      <c r="B2774" s="29" t="s">
        <v>2945</v>
      </c>
      <c r="C2774" s="29" t="s">
        <v>2946</v>
      </c>
      <c r="D2774" s="29" t="s">
        <v>3007</v>
      </c>
      <c r="E2774" s="29" t="s">
        <v>3013</v>
      </c>
      <c r="G2774" s="20" t="str">
        <f t="shared" si="1"/>
        <v>Health &amp; Beauty, Health Care, Mobility &amp; Accessibility, Accessibility Equipment Accessories</v>
      </c>
    </row>
    <row r="2775">
      <c r="A2775" s="29">
        <v>5488.0</v>
      </c>
      <c r="B2775" s="29" t="s">
        <v>2945</v>
      </c>
      <c r="C2775" s="29" t="s">
        <v>2946</v>
      </c>
      <c r="D2775" s="29" t="s">
        <v>3007</v>
      </c>
      <c r="E2775" s="29" t="s">
        <v>3014</v>
      </c>
      <c r="F2775" s="62"/>
      <c r="G2775" s="20" t="str">
        <f t="shared" si="1"/>
        <v>Health &amp; Beauty, Health Care, Mobility &amp; Accessibility, Accessibility Furniture &amp; Fixtures</v>
      </c>
    </row>
    <row r="2776">
      <c r="A2776" s="29">
        <v>7243.0</v>
      </c>
      <c r="B2776" s="29" t="s">
        <v>2945</v>
      </c>
      <c r="C2776" s="29" t="s">
        <v>2946</v>
      </c>
      <c r="D2776" s="29" t="s">
        <v>3007</v>
      </c>
      <c r="E2776" s="29" t="s">
        <v>3014</v>
      </c>
      <c r="F2776" s="29" t="s">
        <v>3015</v>
      </c>
      <c r="G2776" s="20" t="str">
        <f t="shared" si="1"/>
        <v>Health &amp; Beauty, Health Care, Mobility &amp; Accessibility, Accessibility Furniture &amp; FixturesShower Benches &amp; Seats</v>
      </c>
    </row>
    <row r="2777">
      <c r="A2777" s="29">
        <v>6929.0</v>
      </c>
      <c r="B2777" s="29" t="s">
        <v>2945</v>
      </c>
      <c r="C2777" s="29" t="s">
        <v>2946</v>
      </c>
      <c r="D2777" s="29" t="s">
        <v>3007</v>
      </c>
      <c r="E2777" s="29" t="s">
        <v>3016</v>
      </c>
      <c r="F2777" s="62"/>
      <c r="G2777" s="20" t="str">
        <f t="shared" si="1"/>
        <v>Health &amp; Beauty, Health Care, Mobility &amp; Accessibility, Walking Aid Accessories</v>
      </c>
    </row>
    <row r="2778">
      <c r="A2778" s="29">
        <v>5164.0</v>
      </c>
      <c r="B2778" s="29" t="s">
        <v>2945</v>
      </c>
      <c r="C2778" s="29" t="s">
        <v>2946</v>
      </c>
      <c r="D2778" s="29" t="s">
        <v>3007</v>
      </c>
      <c r="E2778" s="29" t="s">
        <v>3017</v>
      </c>
      <c r="F2778" s="62"/>
      <c r="G2778" s="20" t="str">
        <f t="shared" si="1"/>
        <v>Health &amp; Beauty, Health Care, Mobility &amp; Accessibility, Walking Aids</v>
      </c>
    </row>
    <row r="2779">
      <c r="A2779" s="29">
        <v>5165.0</v>
      </c>
      <c r="B2779" s="29" t="s">
        <v>2945</v>
      </c>
      <c r="C2779" s="29" t="s">
        <v>2946</v>
      </c>
      <c r="D2779" s="29" t="s">
        <v>3007</v>
      </c>
      <c r="E2779" s="29" t="s">
        <v>3017</v>
      </c>
      <c r="F2779" s="29" t="s">
        <v>3018</v>
      </c>
      <c r="G2779" s="20" t="str">
        <f t="shared" si="1"/>
        <v>Health &amp; Beauty, Health Care, Mobility &amp; Accessibility, Walking AidsCanes &amp; Walking Sticks</v>
      </c>
    </row>
    <row r="2780">
      <c r="A2780" s="29">
        <v>4248.0</v>
      </c>
      <c r="B2780" s="29" t="s">
        <v>2945</v>
      </c>
      <c r="C2780" s="29" t="s">
        <v>2946</v>
      </c>
      <c r="D2780" s="29" t="s">
        <v>3007</v>
      </c>
      <c r="E2780" s="29" t="s">
        <v>3017</v>
      </c>
      <c r="F2780" s="29" t="s">
        <v>3019</v>
      </c>
      <c r="G2780" s="20" t="str">
        <f t="shared" si="1"/>
        <v>Health &amp; Beauty, Health Care, Mobility &amp; Accessibility, Walking AidsCrutches</v>
      </c>
    </row>
    <row r="2781">
      <c r="A2781" s="29">
        <v>5166.0</v>
      </c>
      <c r="B2781" s="29" t="s">
        <v>2945</v>
      </c>
      <c r="C2781" s="29" t="s">
        <v>2946</v>
      </c>
      <c r="D2781" s="29" t="s">
        <v>3007</v>
      </c>
      <c r="E2781" s="29" t="s">
        <v>3017</v>
      </c>
      <c r="F2781" s="29" t="s">
        <v>3020</v>
      </c>
      <c r="G2781" s="20" t="str">
        <f t="shared" si="1"/>
        <v>Health &amp; Beauty, Health Care, Mobility &amp; Accessibility, Walking AidsWalkers</v>
      </c>
    </row>
    <row r="2782">
      <c r="A2782" s="29">
        <v>5870.0</v>
      </c>
      <c r="B2782" s="29" t="s">
        <v>2945</v>
      </c>
      <c r="C2782" s="29" t="s">
        <v>2946</v>
      </c>
      <c r="D2782" s="29" t="s">
        <v>3021</v>
      </c>
      <c r="F2782" s="62"/>
      <c r="G2782" s="20" t="str">
        <f t="shared" si="1"/>
        <v>Health &amp; Beauty, Health Care, Occupational &amp; Physical Therapy Equipment, </v>
      </c>
    </row>
    <row r="2783">
      <c r="A2783" s="29">
        <v>8541.0</v>
      </c>
      <c r="B2783" s="29" t="s">
        <v>2945</v>
      </c>
      <c r="C2783" s="29" t="s">
        <v>2946</v>
      </c>
      <c r="D2783" s="29" t="s">
        <v>3021</v>
      </c>
      <c r="E2783" s="29" t="s">
        <v>3022</v>
      </c>
      <c r="F2783" s="62"/>
      <c r="G2783" s="20" t="str">
        <f t="shared" si="1"/>
        <v>Health &amp; Beauty, Health Care, Occupational &amp; Physical Therapy Equipment, Electrical Muscle Stimulators</v>
      </c>
    </row>
    <row r="2784">
      <c r="A2784" s="29">
        <v>505352.0</v>
      </c>
      <c r="B2784" s="29" t="s">
        <v>2945</v>
      </c>
      <c r="C2784" s="29" t="s">
        <v>2946</v>
      </c>
      <c r="D2784" s="29" t="s">
        <v>3021</v>
      </c>
      <c r="E2784" s="29" t="s">
        <v>3023</v>
      </c>
      <c r="F2784" s="62"/>
      <c r="G2784" s="20" t="str">
        <f t="shared" si="1"/>
        <v>Health &amp; Beauty, Health Care, Occupational &amp; Physical Therapy Equipment, Therapeutic Swings</v>
      </c>
    </row>
    <row r="2785">
      <c r="A2785" s="29">
        <v>3777.0</v>
      </c>
      <c r="B2785" s="29" t="s">
        <v>2945</v>
      </c>
      <c r="C2785" s="29" t="s">
        <v>2946</v>
      </c>
      <c r="D2785" s="29" t="s">
        <v>3024</v>
      </c>
      <c r="E2785" s="62"/>
      <c r="F2785" s="62"/>
      <c r="G2785" s="20" t="str">
        <f t="shared" si="1"/>
        <v>Health &amp; Beauty, Health Care, Pillboxes, </v>
      </c>
    </row>
    <row r="2786">
      <c r="A2786" s="29">
        <v>4551.0</v>
      </c>
      <c r="B2786" s="29" t="s">
        <v>2945</v>
      </c>
      <c r="C2786" s="29" t="s">
        <v>2946</v>
      </c>
      <c r="D2786" s="29" t="s">
        <v>3025</v>
      </c>
      <c r="E2786" s="62"/>
      <c r="F2786" s="62"/>
      <c r="G2786" s="20" t="str">
        <f t="shared" si="1"/>
        <v>Health &amp; Beauty, Health Care, Respiratory Care, </v>
      </c>
    </row>
    <row r="2787">
      <c r="A2787" s="29">
        <v>4552.0</v>
      </c>
      <c r="B2787" s="29" t="s">
        <v>2945</v>
      </c>
      <c r="C2787" s="29" t="s">
        <v>2946</v>
      </c>
      <c r="D2787" s="29" t="s">
        <v>3025</v>
      </c>
      <c r="E2787" s="29" t="s">
        <v>3026</v>
      </c>
      <c r="F2787" s="62"/>
      <c r="G2787" s="20" t="str">
        <f t="shared" si="1"/>
        <v>Health &amp; Beauty, Health Care, Respiratory Care, Nebulizers</v>
      </c>
    </row>
    <row r="2788">
      <c r="A2788" s="29">
        <v>499692.0</v>
      </c>
      <c r="B2788" s="29" t="s">
        <v>2945</v>
      </c>
      <c r="C2788" s="29" t="s">
        <v>2946</v>
      </c>
      <c r="D2788" s="29" t="s">
        <v>3025</v>
      </c>
      <c r="E2788" s="29" t="s">
        <v>3027</v>
      </c>
      <c r="F2788" s="62"/>
      <c r="G2788" s="20" t="str">
        <f t="shared" si="1"/>
        <v>Health &amp; Beauty, Health Care, Respiratory Care, Oxygen Tanks</v>
      </c>
    </row>
    <row r="2789">
      <c r="A2789" s="29">
        <v>7317.0</v>
      </c>
      <c r="B2789" s="29" t="s">
        <v>2945</v>
      </c>
      <c r="C2789" s="29" t="s">
        <v>2946</v>
      </c>
      <c r="D2789" s="29" t="s">
        <v>3025</v>
      </c>
      <c r="E2789" s="29" t="s">
        <v>3028</v>
      </c>
      <c r="F2789" s="62"/>
      <c r="G2789" s="20" t="str">
        <f t="shared" si="1"/>
        <v>Health &amp; Beauty, Health Care, Respiratory Care, PAP Machines</v>
      </c>
    </row>
    <row r="2790">
      <c r="A2790" s="29">
        <v>7316.0</v>
      </c>
      <c r="B2790" s="29" t="s">
        <v>2945</v>
      </c>
      <c r="C2790" s="29" t="s">
        <v>2946</v>
      </c>
      <c r="D2790" s="29" t="s">
        <v>3025</v>
      </c>
      <c r="E2790" s="29" t="s">
        <v>3029</v>
      </c>
      <c r="F2790" s="62"/>
      <c r="G2790" s="20" t="str">
        <f t="shared" si="1"/>
        <v>Health &amp; Beauty, Health Care, Respiratory Care, PAP Masks</v>
      </c>
    </row>
    <row r="2791">
      <c r="A2791" s="29">
        <v>505669.0</v>
      </c>
      <c r="B2791" s="29" t="s">
        <v>2945</v>
      </c>
      <c r="C2791" s="29" t="s">
        <v>2946</v>
      </c>
      <c r="D2791" s="29" t="s">
        <v>3025</v>
      </c>
      <c r="E2791" s="29" t="s">
        <v>3030</v>
      </c>
      <c r="F2791" s="62"/>
      <c r="G2791" s="20" t="str">
        <f t="shared" si="1"/>
        <v>Health &amp; Beauty, Health Care, Respiratory Care, Steam Inhalers</v>
      </c>
    </row>
    <row r="2792">
      <c r="A2792" s="29">
        <v>8082.0</v>
      </c>
      <c r="B2792" s="29" t="s">
        <v>2945</v>
      </c>
      <c r="C2792" s="29" t="s">
        <v>2946</v>
      </c>
      <c r="D2792" s="29" t="s">
        <v>3031</v>
      </c>
      <c r="E2792" s="62"/>
      <c r="F2792" s="62"/>
      <c r="G2792" s="20" t="str">
        <f t="shared" si="1"/>
        <v>Health &amp; Beauty, Health Care, Specimen Cups, </v>
      </c>
    </row>
    <row r="2793">
      <c r="A2793" s="29">
        <v>7186.0</v>
      </c>
      <c r="B2793" s="29" t="s">
        <v>2945</v>
      </c>
      <c r="C2793" s="29" t="s">
        <v>2946</v>
      </c>
      <c r="D2793" s="29" t="s">
        <v>3032</v>
      </c>
      <c r="E2793" s="62"/>
      <c r="F2793" s="62"/>
      <c r="G2793" s="20" t="str">
        <f t="shared" si="1"/>
        <v>Health &amp; Beauty, Health Care, Spermicides, </v>
      </c>
    </row>
    <row r="2794">
      <c r="A2794" s="29">
        <v>8105.0</v>
      </c>
      <c r="B2794" s="29" t="s">
        <v>2945</v>
      </c>
      <c r="C2794" s="29" t="s">
        <v>2946</v>
      </c>
      <c r="D2794" s="29" t="s">
        <v>3033</v>
      </c>
      <c r="E2794" s="62"/>
      <c r="F2794" s="62"/>
      <c r="G2794" s="20" t="str">
        <f t="shared" si="1"/>
        <v>Health &amp; Beauty, Health Care, Stump Shrinkers, </v>
      </c>
    </row>
    <row r="2795">
      <c r="A2795" s="29">
        <v>523.0</v>
      </c>
      <c r="B2795" s="29" t="s">
        <v>2945</v>
      </c>
      <c r="C2795" s="29" t="s">
        <v>2946</v>
      </c>
      <c r="D2795" s="29" t="s">
        <v>3034</v>
      </c>
      <c r="E2795" s="62"/>
      <c r="F2795" s="62"/>
      <c r="G2795" s="20" t="str">
        <f t="shared" si="1"/>
        <v>Health &amp; Beauty, Health Care, Supports &amp; Braces, </v>
      </c>
    </row>
    <row r="2796">
      <c r="A2796" s="29">
        <v>5923.0</v>
      </c>
      <c r="B2796" s="29" t="s">
        <v>2945</v>
      </c>
      <c r="C2796" s="29" t="s">
        <v>2946</v>
      </c>
      <c r="D2796" s="29" t="s">
        <v>3035</v>
      </c>
      <c r="E2796" s="62"/>
      <c r="F2796" s="62"/>
      <c r="G2796" s="20" t="str">
        <f t="shared" si="1"/>
        <v>Health &amp; Beauty, Health Care, Surgical Lubricants, </v>
      </c>
    </row>
    <row r="2797">
      <c r="A2797" s="29">
        <v>5573.0</v>
      </c>
      <c r="B2797" s="29" t="s">
        <v>2945</v>
      </c>
      <c r="C2797" s="29" t="s">
        <v>3036</v>
      </c>
      <c r="D2797" s="62"/>
      <c r="E2797" s="62"/>
      <c r="F2797" s="62"/>
      <c r="G2797" s="20" t="str">
        <f t="shared" si="1"/>
        <v>Health &amp; Beauty, Jewelry Cleaning &amp; Care, , </v>
      </c>
    </row>
    <row r="2798">
      <c r="A2798" s="29">
        <v>499919.0</v>
      </c>
      <c r="B2798" s="29" t="s">
        <v>2945</v>
      </c>
      <c r="C2798" s="29" t="s">
        <v>3036</v>
      </c>
      <c r="D2798" s="29" t="s">
        <v>3037</v>
      </c>
      <c r="F2798" s="62"/>
      <c r="G2798" s="20" t="str">
        <f t="shared" si="1"/>
        <v>Health &amp; Beauty, Jewelry Cleaning &amp; Care, Jewelry Cleaning Solutions &amp; Polishes, </v>
      </c>
    </row>
    <row r="2799">
      <c r="A2799" s="29">
        <v>500082.0</v>
      </c>
      <c r="B2799" s="29" t="s">
        <v>2945</v>
      </c>
      <c r="C2799" s="29" t="s">
        <v>3036</v>
      </c>
      <c r="D2799" s="29" t="s">
        <v>3038</v>
      </c>
      <c r="E2799" s="62"/>
      <c r="F2799" s="62"/>
      <c r="G2799" s="20" t="str">
        <f t="shared" si="1"/>
        <v>Health &amp; Beauty, Jewelry Cleaning &amp; Care, Jewelry Cleaning Tools, </v>
      </c>
    </row>
    <row r="2800">
      <c r="A2800" s="29">
        <v>5974.0</v>
      </c>
      <c r="B2800" s="29" t="s">
        <v>2945</v>
      </c>
      <c r="C2800" s="29" t="s">
        <v>3036</v>
      </c>
      <c r="D2800" s="29" t="s">
        <v>3039</v>
      </c>
      <c r="E2800" s="62"/>
      <c r="F2800" s="62"/>
      <c r="G2800" s="20" t="str">
        <f t="shared" si="1"/>
        <v>Health &amp; Beauty, Jewelry Cleaning &amp; Care, Jewelry Holders, </v>
      </c>
    </row>
    <row r="2801">
      <c r="A2801" s="29">
        <v>500083.0</v>
      </c>
      <c r="B2801" s="29" t="s">
        <v>2945</v>
      </c>
      <c r="C2801" s="29" t="s">
        <v>3036</v>
      </c>
      <c r="D2801" s="29" t="s">
        <v>3040</v>
      </c>
      <c r="E2801" s="62"/>
      <c r="F2801" s="62"/>
      <c r="G2801" s="20" t="str">
        <f t="shared" si="1"/>
        <v>Health &amp; Beauty, Jewelry Cleaning &amp; Care, Jewelry Steam Cleaners, </v>
      </c>
    </row>
    <row r="2802">
      <c r="A2802" s="29">
        <v>5124.0</v>
      </c>
      <c r="B2802" s="29" t="s">
        <v>2945</v>
      </c>
      <c r="C2802" s="29" t="s">
        <v>3036</v>
      </c>
      <c r="D2802" s="29" t="s">
        <v>3041</v>
      </c>
      <c r="E2802" s="62"/>
      <c r="F2802" s="62"/>
      <c r="G2802" s="20" t="str">
        <f t="shared" si="1"/>
        <v>Health &amp; Beauty, Jewelry Cleaning &amp; Care, Watch Repair Kits, </v>
      </c>
    </row>
    <row r="2803">
      <c r="A2803" s="29">
        <v>2915.0</v>
      </c>
      <c r="B2803" s="29" t="s">
        <v>2945</v>
      </c>
      <c r="C2803" s="29" t="s">
        <v>3042</v>
      </c>
      <c r="D2803" s="62"/>
      <c r="E2803" s="62"/>
      <c r="F2803" s="62"/>
      <c r="G2803" s="20" t="str">
        <f t="shared" si="1"/>
        <v>Health &amp; Beauty, Personal Care, , </v>
      </c>
    </row>
    <row r="2804">
      <c r="A2804" s="29">
        <v>493.0</v>
      </c>
      <c r="B2804" s="29" t="s">
        <v>2945</v>
      </c>
      <c r="C2804" s="29" t="s">
        <v>3042</v>
      </c>
      <c r="D2804" s="29" t="s">
        <v>3043</v>
      </c>
      <c r="E2804" s="62"/>
      <c r="F2804" s="62"/>
      <c r="G2804" s="20" t="str">
        <f t="shared" si="1"/>
        <v>Health &amp; Beauty, Personal Care, Back Care, </v>
      </c>
    </row>
    <row r="2805">
      <c r="A2805" s="29">
        <v>7404.0</v>
      </c>
      <c r="B2805" s="29" t="s">
        <v>2945</v>
      </c>
      <c r="C2805" s="29" t="s">
        <v>3042</v>
      </c>
      <c r="D2805" s="29" t="s">
        <v>3043</v>
      </c>
      <c r="E2805" s="29" t="s">
        <v>3044</v>
      </c>
      <c r="F2805" s="62"/>
      <c r="G2805" s="20" t="str">
        <f t="shared" si="1"/>
        <v>Health &amp; Beauty, Personal Care, Back Care, Back &amp; Lumbar Support Cushions</v>
      </c>
    </row>
    <row r="2806">
      <c r="A2806" s="29">
        <v>473.0</v>
      </c>
      <c r="B2806" s="29" t="s">
        <v>2945</v>
      </c>
      <c r="C2806" s="29" t="s">
        <v>3042</v>
      </c>
      <c r="D2806" s="29" t="s">
        <v>3045</v>
      </c>
      <c r="E2806" s="62"/>
      <c r="F2806" s="62"/>
      <c r="G2806" s="20" t="str">
        <f t="shared" si="1"/>
        <v>Health &amp; Beauty, Personal Care, Cosmetics, </v>
      </c>
    </row>
    <row r="2807">
      <c r="A2807" s="29">
        <v>474.0</v>
      </c>
      <c r="B2807" s="29" t="s">
        <v>2945</v>
      </c>
      <c r="C2807" s="29" t="s">
        <v>3042</v>
      </c>
      <c r="D2807" s="29" t="s">
        <v>3045</v>
      </c>
      <c r="E2807" s="29" t="s">
        <v>3046</v>
      </c>
      <c r="F2807" s="62"/>
      <c r="G2807" s="20" t="str">
        <f t="shared" si="1"/>
        <v>Health &amp; Beauty, Personal Care, Cosmetics, Bath &amp; Body</v>
      </c>
    </row>
    <row r="2808">
      <c r="A2808" s="29">
        <v>499913.0</v>
      </c>
      <c r="B2808" s="29" t="s">
        <v>2945</v>
      </c>
      <c r="C2808" s="29" t="s">
        <v>3042</v>
      </c>
      <c r="D2808" s="29" t="s">
        <v>3045</v>
      </c>
      <c r="E2808" s="29" t="s">
        <v>3046</v>
      </c>
      <c r="F2808" s="29" t="s">
        <v>3047</v>
      </c>
      <c r="G2808" s="20" t="str">
        <f t="shared" si="1"/>
        <v>Health &amp; Beauty, Personal Care, Cosmetics, Bath &amp; BodyAdult Hygienic Wipes</v>
      </c>
    </row>
    <row r="2809">
      <c r="A2809" s="29">
        <v>2503.0</v>
      </c>
      <c r="B2809" s="29" t="s">
        <v>2945</v>
      </c>
      <c r="C2809" s="29" t="s">
        <v>3042</v>
      </c>
      <c r="D2809" s="29" t="s">
        <v>3045</v>
      </c>
      <c r="E2809" s="29" t="s">
        <v>3046</v>
      </c>
      <c r="F2809" s="29" t="s">
        <v>3048</v>
      </c>
      <c r="G2809" s="20" t="str">
        <f t="shared" si="1"/>
        <v>Health &amp; Beauty, Personal Care, Cosmetics, Bath &amp; BodyBar Soap</v>
      </c>
    </row>
    <row r="2810">
      <c r="A2810" s="29">
        <v>2522.0</v>
      </c>
      <c r="B2810" s="29" t="s">
        <v>2945</v>
      </c>
      <c r="C2810" s="29" t="s">
        <v>3042</v>
      </c>
      <c r="D2810" s="29" t="s">
        <v>3045</v>
      </c>
      <c r="E2810" s="29" t="s">
        <v>3046</v>
      </c>
      <c r="F2810" s="29" t="s">
        <v>3049</v>
      </c>
      <c r="G2810" s="20" t="str">
        <f t="shared" si="1"/>
        <v>Health &amp; Beauty, Personal Care, Cosmetics, Bath &amp; BodyBath Additives</v>
      </c>
    </row>
    <row r="2811">
      <c r="A2811" s="29">
        <v>2876.0</v>
      </c>
      <c r="B2811" s="29" t="s">
        <v>2945</v>
      </c>
      <c r="C2811" s="29" t="s">
        <v>3042</v>
      </c>
      <c r="D2811" s="29" t="s">
        <v>3045</v>
      </c>
      <c r="E2811" s="29" t="s">
        <v>3046</v>
      </c>
      <c r="F2811" s="29" t="s">
        <v>3050</v>
      </c>
      <c r="G2811" s="20" t="str">
        <f t="shared" si="1"/>
        <v>Health &amp; Beauty, Personal Care, Cosmetics, Bath &amp; BodyBath Brushes</v>
      </c>
    </row>
    <row r="2812">
      <c r="A2812" s="29">
        <v>2875.0</v>
      </c>
      <c r="B2812" s="29" t="s">
        <v>2945</v>
      </c>
      <c r="C2812" s="29" t="s">
        <v>3042</v>
      </c>
      <c r="D2812" s="29" t="s">
        <v>3045</v>
      </c>
      <c r="E2812" s="29" t="s">
        <v>3046</v>
      </c>
      <c r="F2812" s="29" t="s">
        <v>3051</v>
      </c>
      <c r="G2812" s="20" t="str">
        <f t="shared" si="1"/>
        <v>Health &amp; Beauty, Personal Care, Cosmetics, Bath &amp; BodyBath Sponges &amp; Loofahs</v>
      </c>
    </row>
    <row r="2813">
      <c r="A2813" s="29">
        <v>2747.0</v>
      </c>
      <c r="B2813" s="29" t="s">
        <v>2945</v>
      </c>
      <c r="C2813" s="29" t="s">
        <v>3042</v>
      </c>
      <c r="D2813" s="29" t="s">
        <v>3045</v>
      </c>
      <c r="E2813" s="29" t="s">
        <v>3046</v>
      </c>
      <c r="F2813" s="29" t="s">
        <v>3052</v>
      </c>
      <c r="G2813" s="20" t="str">
        <f t="shared" si="1"/>
        <v>Health &amp; Beauty, Personal Care, Cosmetics, Bath &amp; BodyBody Wash</v>
      </c>
    </row>
    <row r="2814">
      <c r="A2814" s="29">
        <v>3691.0</v>
      </c>
      <c r="B2814" s="29" t="s">
        <v>2945</v>
      </c>
      <c r="C2814" s="29" t="s">
        <v>3042</v>
      </c>
      <c r="D2814" s="29" t="s">
        <v>3045</v>
      </c>
      <c r="E2814" s="29" t="s">
        <v>3046</v>
      </c>
      <c r="F2814" s="29" t="s">
        <v>3053</v>
      </c>
      <c r="G2814" s="20" t="str">
        <f t="shared" si="1"/>
        <v>Health &amp; Beauty, Personal Care, Cosmetics, Bath &amp; BodyHand Sanitizers &amp; Wipes</v>
      </c>
    </row>
    <row r="2815">
      <c r="A2815" s="29">
        <v>3208.0</v>
      </c>
      <c r="B2815" s="29" t="s">
        <v>2945</v>
      </c>
      <c r="C2815" s="29" t="s">
        <v>3042</v>
      </c>
      <c r="D2815" s="29" t="s">
        <v>3045</v>
      </c>
      <c r="E2815" s="29" t="s">
        <v>3046</v>
      </c>
      <c r="F2815" s="29" t="s">
        <v>3054</v>
      </c>
      <c r="G2815" s="20" t="str">
        <f t="shared" si="1"/>
        <v>Health &amp; Beauty, Personal Care, Cosmetics, Bath &amp; BodyLiquid Hand Soap</v>
      </c>
    </row>
    <row r="2816">
      <c r="A2816" s="29">
        <v>7417.0</v>
      </c>
      <c r="B2816" s="29" t="s">
        <v>2945</v>
      </c>
      <c r="C2816" s="29" t="s">
        <v>3042</v>
      </c>
      <c r="D2816" s="29" t="s">
        <v>3045</v>
      </c>
      <c r="E2816" s="29" t="s">
        <v>3046</v>
      </c>
      <c r="F2816" s="29" t="s">
        <v>3055</v>
      </c>
      <c r="G2816" s="20" t="str">
        <f t="shared" si="1"/>
        <v>Health &amp; Beauty, Personal Care, Cosmetics, Bath &amp; BodyPowdered Hand Soap</v>
      </c>
    </row>
    <row r="2817">
      <c r="A2817" s="29">
        <v>4049.0</v>
      </c>
      <c r="B2817" s="29" t="s">
        <v>2945</v>
      </c>
      <c r="C2817" s="29" t="s">
        <v>3042</v>
      </c>
      <c r="D2817" s="29" t="s">
        <v>3045</v>
      </c>
      <c r="E2817" s="29" t="s">
        <v>3046</v>
      </c>
      <c r="F2817" s="29" t="s">
        <v>3056</v>
      </c>
      <c r="G2817" s="20" t="str">
        <f t="shared" si="1"/>
        <v>Health &amp; Beauty, Personal Care, Cosmetics, Bath &amp; BodyShower Caps</v>
      </c>
    </row>
    <row r="2818">
      <c r="A2818" s="29">
        <v>475.0</v>
      </c>
      <c r="B2818" s="29" t="s">
        <v>2945</v>
      </c>
      <c r="C2818" s="29" t="s">
        <v>3042</v>
      </c>
      <c r="D2818" s="29" t="s">
        <v>3045</v>
      </c>
      <c r="E2818" s="29" t="s">
        <v>3057</v>
      </c>
      <c r="F2818" s="62"/>
      <c r="G2818" s="20" t="str">
        <f t="shared" si="1"/>
        <v>Health &amp; Beauty, Personal Care, Cosmetics, Bath &amp; Body Gift Sets</v>
      </c>
    </row>
    <row r="2819">
      <c r="A2819" s="29">
        <v>6069.0</v>
      </c>
      <c r="B2819" s="29" t="s">
        <v>2945</v>
      </c>
      <c r="C2819" s="29" t="s">
        <v>3042</v>
      </c>
      <c r="D2819" s="29" t="s">
        <v>3045</v>
      </c>
      <c r="E2819" s="29" t="s">
        <v>3058</v>
      </c>
      <c r="F2819" s="62"/>
      <c r="G2819" s="20" t="str">
        <f t="shared" si="1"/>
        <v>Health &amp; Beauty, Personal Care, Cosmetics, Cosmetic Sets</v>
      </c>
    </row>
    <row r="2820">
      <c r="A2820" s="29">
        <v>6331.0</v>
      </c>
      <c r="B2820" s="29" t="s">
        <v>2945</v>
      </c>
      <c r="C2820" s="29" t="s">
        <v>3042</v>
      </c>
      <c r="D2820" s="29" t="s">
        <v>3045</v>
      </c>
      <c r="E2820" s="29" t="s">
        <v>3059</v>
      </c>
      <c r="F2820" s="62"/>
      <c r="G2820" s="20" t="str">
        <f t="shared" si="1"/>
        <v>Health &amp; Beauty, Personal Care, Cosmetics, Cosmetic Tool Cleansers</v>
      </c>
    </row>
    <row r="2821">
      <c r="A2821" s="29">
        <v>2619.0</v>
      </c>
      <c r="B2821" s="29" t="s">
        <v>2945</v>
      </c>
      <c r="C2821" s="29" t="s">
        <v>3042</v>
      </c>
      <c r="D2821" s="29" t="s">
        <v>3045</v>
      </c>
      <c r="E2821" s="29" t="s">
        <v>3060</v>
      </c>
      <c r="F2821" s="62"/>
      <c r="G2821" s="20" t="str">
        <f t="shared" si="1"/>
        <v>Health &amp; Beauty, Personal Care, Cosmetics, Cosmetic Tools</v>
      </c>
    </row>
    <row r="2822">
      <c r="A2822" s="29">
        <v>2548.0</v>
      </c>
      <c r="B2822" s="29" t="s">
        <v>2945</v>
      </c>
      <c r="C2822" s="29" t="s">
        <v>3042</v>
      </c>
      <c r="D2822" s="29" t="s">
        <v>3045</v>
      </c>
      <c r="E2822" s="29" t="s">
        <v>3060</v>
      </c>
      <c r="F2822" s="29" t="s">
        <v>3061</v>
      </c>
      <c r="G2822" s="20" t="str">
        <f t="shared" si="1"/>
        <v>Health &amp; Beauty, Personal Care, Cosmetics, Cosmetic ToolsMakeup Tools</v>
      </c>
    </row>
    <row r="2823">
      <c r="A2823" s="29">
        <v>7356.0</v>
      </c>
      <c r="B2823" s="29" t="s">
        <v>2945</v>
      </c>
      <c r="C2823" s="29" t="s">
        <v>3042</v>
      </c>
      <c r="D2823" s="29" t="s">
        <v>3045</v>
      </c>
      <c r="E2823" s="29" t="s">
        <v>3060</v>
      </c>
      <c r="F2823" s="29" t="s">
        <v>3061</v>
      </c>
      <c r="G2823" s="20" t="str">
        <f t="shared" si="1"/>
        <v>Health &amp; Beauty, Personal Care, Cosmetics, Cosmetic ToolsMakeup Tools</v>
      </c>
    </row>
    <row r="2824">
      <c r="A2824" s="29">
        <v>6555.0</v>
      </c>
      <c r="B2824" s="29" t="s">
        <v>2945</v>
      </c>
      <c r="C2824" s="29" t="s">
        <v>3042</v>
      </c>
      <c r="D2824" s="29" t="s">
        <v>3045</v>
      </c>
      <c r="E2824" s="29" t="s">
        <v>3060</v>
      </c>
      <c r="F2824" s="29" t="s">
        <v>3061</v>
      </c>
      <c r="G2824" s="20" t="str">
        <f t="shared" si="1"/>
        <v>Health &amp; Beauty, Personal Care, Cosmetics, Cosmetic ToolsMakeup Tools</v>
      </c>
    </row>
    <row r="2825">
      <c r="A2825" s="29">
        <v>6282.0</v>
      </c>
      <c r="B2825" s="29" t="s">
        <v>2945</v>
      </c>
      <c r="C2825" s="29" t="s">
        <v>3042</v>
      </c>
      <c r="D2825" s="29" t="s">
        <v>3045</v>
      </c>
      <c r="E2825" s="29" t="s">
        <v>3060</v>
      </c>
      <c r="F2825" s="29" t="s">
        <v>3061</v>
      </c>
      <c r="G2825" s="20" t="str">
        <f t="shared" si="1"/>
        <v>Health &amp; Beauty, Personal Care, Cosmetics, Cosmetic ToolsMakeup Tools</v>
      </c>
    </row>
    <row r="2826">
      <c r="A2826" s="29">
        <v>2780.0</v>
      </c>
      <c r="B2826" s="29" t="s">
        <v>2945</v>
      </c>
      <c r="C2826" s="29" t="s">
        <v>3042</v>
      </c>
      <c r="D2826" s="29" t="s">
        <v>3045</v>
      </c>
      <c r="E2826" s="29" t="s">
        <v>3060</v>
      </c>
      <c r="F2826" s="29" t="s">
        <v>3061</v>
      </c>
      <c r="G2826" s="20" t="str">
        <f t="shared" si="1"/>
        <v>Health &amp; Beauty, Personal Care, Cosmetics, Cosmetic ToolsMakeup Tools</v>
      </c>
    </row>
    <row r="2827">
      <c r="A2827" s="29">
        <v>476.0</v>
      </c>
      <c r="B2827" s="29" t="s">
        <v>2945</v>
      </c>
      <c r="C2827" s="29" t="s">
        <v>3042</v>
      </c>
      <c r="D2827" s="29" t="s">
        <v>3045</v>
      </c>
      <c r="E2827" s="29" t="s">
        <v>3060</v>
      </c>
      <c r="F2827" s="29" t="s">
        <v>3061</v>
      </c>
      <c r="G2827" s="20" t="str">
        <f t="shared" si="1"/>
        <v>Health &amp; Beauty, Personal Care, Cosmetics, Cosmetic ToolsMakeup Tools</v>
      </c>
    </row>
    <row r="2828">
      <c r="A2828" s="29">
        <v>4121.0</v>
      </c>
      <c r="B2828" s="29" t="s">
        <v>2945</v>
      </c>
      <c r="C2828" s="29" t="s">
        <v>3042</v>
      </c>
      <c r="D2828" s="29" t="s">
        <v>3045</v>
      </c>
      <c r="E2828" s="29" t="s">
        <v>3060</v>
      </c>
      <c r="F2828" s="29" t="s">
        <v>3061</v>
      </c>
      <c r="G2828" s="20" t="str">
        <f t="shared" si="1"/>
        <v>Health &amp; Beauty, Personal Care, Cosmetics, Cosmetic ToolsMakeup Tools</v>
      </c>
    </row>
    <row r="2829">
      <c r="A2829" s="29">
        <v>502996.0</v>
      </c>
      <c r="B2829" s="29" t="s">
        <v>2945</v>
      </c>
      <c r="C2829" s="29" t="s">
        <v>3042</v>
      </c>
      <c r="D2829" s="29" t="s">
        <v>3045</v>
      </c>
      <c r="E2829" s="29" t="s">
        <v>3060</v>
      </c>
      <c r="F2829" s="29" t="s">
        <v>3061</v>
      </c>
      <c r="G2829" s="20" t="str">
        <f t="shared" si="1"/>
        <v>Health &amp; Beauty, Personal Care, Cosmetics, Cosmetic ToolsMakeup Tools</v>
      </c>
    </row>
    <row r="2830">
      <c r="A2830" s="29">
        <v>7256.0</v>
      </c>
      <c r="B2830" s="29" t="s">
        <v>2945</v>
      </c>
      <c r="C2830" s="29" t="s">
        <v>3042</v>
      </c>
      <c r="D2830" s="29" t="s">
        <v>3045</v>
      </c>
      <c r="E2830" s="29" t="s">
        <v>3060</v>
      </c>
      <c r="F2830" s="29" t="s">
        <v>3061</v>
      </c>
      <c r="G2830" s="20" t="str">
        <f t="shared" si="1"/>
        <v>Health &amp; Beauty, Personal Care, Cosmetics, Cosmetic ToolsMakeup Tools</v>
      </c>
    </row>
    <row r="2831">
      <c r="A2831" s="29">
        <v>7493.0</v>
      </c>
      <c r="B2831" s="29" t="s">
        <v>2945</v>
      </c>
      <c r="C2831" s="29" t="s">
        <v>3042</v>
      </c>
      <c r="D2831" s="29" t="s">
        <v>3045</v>
      </c>
      <c r="E2831" s="29" t="s">
        <v>3060</v>
      </c>
      <c r="F2831" s="29" t="s">
        <v>3061</v>
      </c>
      <c r="G2831" s="20" t="str">
        <f t="shared" si="1"/>
        <v>Health &amp; Beauty, Personal Care, Cosmetics, Cosmetic ToolsMakeup Tools</v>
      </c>
    </row>
    <row r="2832">
      <c r="A2832" s="29">
        <v>502997.0</v>
      </c>
      <c r="B2832" s="29" t="s">
        <v>2945</v>
      </c>
      <c r="C2832" s="29" t="s">
        <v>3042</v>
      </c>
      <c r="D2832" s="29" t="s">
        <v>3045</v>
      </c>
      <c r="E2832" s="29" t="s">
        <v>3060</v>
      </c>
      <c r="F2832" s="29" t="s">
        <v>3061</v>
      </c>
      <c r="G2832" s="20" t="str">
        <f t="shared" si="1"/>
        <v>Health &amp; Beauty, Personal Care, Cosmetics, Cosmetic ToolsMakeup Tools</v>
      </c>
    </row>
    <row r="2833">
      <c r="A2833" s="29">
        <v>3025.0</v>
      </c>
      <c r="B2833" s="29" t="s">
        <v>2945</v>
      </c>
      <c r="C2833" s="29" t="s">
        <v>3042</v>
      </c>
      <c r="D2833" s="29" t="s">
        <v>3045</v>
      </c>
      <c r="E2833" s="29" t="s">
        <v>3060</v>
      </c>
      <c r="F2833" s="29" t="s">
        <v>3061</v>
      </c>
      <c r="G2833" s="20" t="str">
        <f t="shared" si="1"/>
        <v>Health &amp; Beauty, Personal Care, Cosmetics, Cosmetic ToolsMakeup Tools</v>
      </c>
    </row>
    <row r="2834">
      <c r="A2834" s="29">
        <v>4106.0</v>
      </c>
      <c r="B2834" s="29" t="s">
        <v>2945</v>
      </c>
      <c r="C2834" s="29" t="s">
        <v>3042</v>
      </c>
      <c r="D2834" s="29" t="s">
        <v>3045</v>
      </c>
      <c r="E2834" s="29" t="s">
        <v>3060</v>
      </c>
      <c r="F2834" s="29" t="s">
        <v>3061</v>
      </c>
      <c r="G2834" s="20" t="str">
        <f t="shared" si="1"/>
        <v>Health &amp; Beauty, Personal Care, Cosmetics, Cosmetic ToolsMakeup Tools</v>
      </c>
    </row>
    <row r="2835">
      <c r="A2835" s="29">
        <v>499822.0</v>
      </c>
      <c r="B2835" s="29" t="s">
        <v>2945</v>
      </c>
      <c r="C2835" s="29" t="s">
        <v>3042</v>
      </c>
      <c r="D2835" s="29" t="s">
        <v>3045</v>
      </c>
      <c r="E2835" s="29" t="s">
        <v>3060</v>
      </c>
      <c r="F2835" s="29" t="s">
        <v>3061</v>
      </c>
      <c r="G2835" s="20" t="str">
        <f t="shared" si="1"/>
        <v>Health &amp; Beauty, Personal Care, Cosmetics, Cosmetic ToolsMakeup Tools</v>
      </c>
    </row>
    <row r="2836">
      <c r="A2836" s="29">
        <v>2975.0</v>
      </c>
      <c r="B2836" s="29" t="s">
        <v>2945</v>
      </c>
      <c r="C2836" s="29" t="s">
        <v>3042</v>
      </c>
      <c r="D2836" s="29" t="s">
        <v>3045</v>
      </c>
      <c r="E2836" s="29" t="s">
        <v>3060</v>
      </c>
      <c r="F2836" s="29" t="s">
        <v>3062</v>
      </c>
      <c r="G2836" s="20" t="str">
        <f t="shared" si="1"/>
        <v>Health &amp; Beauty, Personal Care, Cosmetics, Cosmetic ToolsNail Tools</v>
      </c>
    </row>
    <row r="2837">
      <c r="A2837" s="29">
        <v>2739.0</v>
      </c>
      <c r="B2837" s="29" t="s">
        <v>2945</v>
      </c>
      <c r="C2837" s="29" t="s">
        <v>3042</v>
      </c>
      <c r="D2837" s="29" t="s">
        <v>3045</v>
      </c>
      <c r="E2837" s="29" t="s">
        <v>3060</v>
      </c>
      <c r="F2837" s="29" t="s">
        <v>3062</v>
      </c>
      <c r="G2837" s="20" t="str">
        <f t="shared" si="1"/>
        <v>Health &amp; Beauty, Personal Care, Cosmetics, Cosmetic ToolsNail Tools</v>
      </c>
    </row>
    <row r="2838">
      <c r="A2838" s="29">
        <v>3037.0</v>
      </c>
      <c r="B2838" s="29" t="s">
        <v>2945</v>
      </c>
      <c r="C2838" s="29" t="s">
        <v>3042</v>
      </c>
      <c r="D2838" s="29" t="s">
        <v>3045</v>
      </c>
      <c r="E2838" s="29" t="s">
        <v>3060</v>
      </c>
      <c r="F2838" s="29" t="s">
        <v>3062</v>
      </c>
      <c r="G2838" s="20" t="str">
        <f t="shared" si="1"/>
        <v>Health &amp; Beauty, Personal Care, Cosmetics, Cosmetic ToolsNail Tools</v>
      </c>
    </row>
    <row r="2839">
      <c r="A2839" s="29">
        <v>7494.0</v>
      </c>
      <c r="B2839" s="29" t="s">
        <v>2945</v>
      </c>
      <c r="C2839" s="29" t="s">
        <v>3042</v>
      </c>
      <c r="D2839" s="29" t="s">
        <v>3045</v>
      </c>
      <c r="E2839" s="29" t="s">
        <v>3060</v>
      </c>
      <c r="F2839" s="29" t="s">
        <v>3062</v>
      </c>
      <c r="G2839" s="20" t="str">
        <f t="shared" si="1"/>
        <v>Health &amp; Beauty, Personal Care, Cosmetics, Cosmetic ToolsNail Tools</v>
      </c>
    </row>
    <row r="2840">
      <c r="A2840" s="29">
        <v>6300.0</v>
      </c>
      <c r="B2840" s="29" t="s">
        <v>2945</v>
      </c>
      <c r="C2840" s="29" t="s">
        <v>3042</v>
      </c>
      <c r="D2840" s="29" t="s">
        <v>3045</v>
      </c>
      <c r="E2840" s="29" t="s">
        <v>3060</v>
      </c>
      <c r="F2840" s="29" t="s">
        <v>3062</v>
      </c>
      <c r="G2840" s="20" t="str">
        <f t="shared" si="1"/>
        <v>Health &amp; Beauty, Personal Care, Cosmetics, Cosmetic ToolsNail Tools</v>
      </c>
    </row>
    <row r="2841">
      <c r="A2841" s="29">
        <v>6341.0</v>
      </c>
      <c r="B2841" s="29" t="s">
        <v>2945</v>
      </c>
      <c r="C2841" s="29" t="s">
        <v>3042</v>
      </c>
      <c r="D2841" s="29" t="s">
        <v>3045</v>
      </c>
      <c r="E2841" s="29" t="s">
        <v>3060</v>
      </c>
      <c r="F2841" s="29" t="s">
        <v>3062</v>
      </c>
      <c r="G2841" s="20" t="str">
        <f t="shared" si="1"/>
        <v>Health &amp; Beauty, Personal Care, Cosmetics, Cosmetic ToolsNail Tools</v>
      </c>
    </row>
    <row r="2842">
      <c r="A2842" s="29">
        <v>2828.0</v>
      </c>
      <c r="B2842" s="29" t="s">
        <v>2945</v>
      </c>
      <c r="C2842" s="29" t="s">
        <v>3042</v>
      </c>
      <c r="D2842" s="29" t="s">
        <v>3045</v>
      </c>
      <c r="E2842" s="29" t="s">
        <v>3060</v>
      </c>
      <c r="F2842" s="29" t="s">
        <v>3062</v>
      </c>
      <c r="G2842" s="20" t="str">
        <f t="shared" si="1"/>
        <v>Health &amp; Beauty, Personal Care, Cosmetics, Cosmetic ToolsNail Tools</v>
      </c>
    </row>
    <row r="2843">
      <c r="A2843" s="29">
        <v>499698.0</v>
      </c>
      <c r="B2843" s="29" t="s">
        <v>2945</v>
      </c>
      <c r="C2843" s="29" t="s">
        <v>3042</v>
      </c>
      <c r="D2843" s="29" t="s">
        <v>3045</v>
      </c>
      <c r="E2843" s="29" t="s">
        <v>3060</v>
      </c>
      <c r="F2843" s="29" t="s">
        <v>3062</v>
      </c>
      <c r="G2843" s="20" t="str">
        <f t="shared" si="1"/>
        <v>Health &amp; Beauty, Personal Care, Cosmetics, Cosmetic ToolsNail Tools</v>
      </c>
    </row>
    <row r="2844">
      <c r="A2844" s="29">
        <v>7490.0</v>
      </c>
      <c r="B2844" s="29" t="s">
        <v>2945</v>
      </c>
      <c r="C2844" s="29" t="s">
        <v>3042</v>
      </c>
      <c r="D2844" s="29" t="s">
        <v>3045</v>
      </c>
      <c r="E2844" s="29" t="s">
        <v>3060</v>
      </c>
      <c r="F2844" s="29" t="s">
        <v>3062</v>
      </c>
      <c r="G2844" s="20" t="str">
        <f t="shared" si="1"/>
        <v>Health &amp; Beauty, Personal Care, Cosmetics, Cosmetic ToolsNail Tools</v>
      </c>
    </row>
    <row r="2845">
      <c r="A2845" s="29">
        <v>5880.0</v>
      </c>
      <c r="B2845" s="29" t="s">
        <v>2945</v>
      </c>
      <c r="C2845" s="29" t="s">
        <v>3042</v>
      </c>
      <c r="D2845" s="29" t="s">
        <v>3045</v>
      </c>
      <c r="E2845" s="29" t="s">
        <v>3060</v>
      </c>
      <c r="F2845" s="29" t="s">
        <v>3062</v>
      </c>
      <c r="G2845" s="20" t="str">
        <f t="shared" si="1"/>
        <v>Health &amp; Beauty, Personal Care, Cosmetics, Cosmetic ToolsNail Tools</v>
      </c>
    </row>
    <row r="2846">
      <c r="A2846" s="29">
        <v>2734.0</v>
      </c>
      <c r="B2846" s="29" t="s">
        <v>2945</v>
      </c>
      <c r="C2846" s="29" t="s">
        <v>3042</v>
      </c>
      <c r="D2846" s="29" t="s">
        <v>3045</v>
      </c>
      <c r="E2846" s="29" t="s">
        <v>3060</v>
      </c>
      <c r="F2846" s="29" t="s">
        <v>3062</v>
      </c>
      <c r="G2846" s="20" t="str">
        <f t="shared" si="1"/>
        <v>Health &amp; Beauty, Personal Care, Cosmetics, Cosmetic ToolsNail Tools</v>
      </c>
    </row>
    <row r="2847">
      <c r="A2847" s="29">
        <v>2958.0</v>
      </c>
      <c r="B2847" s="29" t="s">
        <v>2945</v>
      </c>
      <c r="C2847" s="29" t="s">
        <v>3042</v>
      </c>
      <c r="D2847" s="29" t="s">
        <v>3045</v>
      </c>
      <c r="E2847" s="29" t="s">
        <v>3060</v>
      </c>
      <c r="F2847" s="29" t="s">
        <v>3063</v>
      </c>
      <c r="G2847" s="20" t="str">
        <f t="shared" si="1"/>
        <v>Health &amp; Beauty, Personal Care, Cosmetics, Cosmetic ToolsSkin Care Tools</v>
      </c>
    </row>
    <row r="2848">
      <c r="A2848" s="29">
        <v>6760.0</v>
      </c>
      <c r="B2848" s="29" t="s">
        <v>2945</v>
      </c>
      <c r="C2848" s="29" t="s">
        <v>3042</v>
      </c>
      <c r="D2848" s="29" t="s">
        <v>3045</v>
      </c>
      <c r="E2848" s="29" t="s">
        <v>3060</v>
      </c>
      <c r="F2848" s="29" t="s">
        <v>3063</v>
      </c>
      <c r="G2848" s="20" t="str">
        <f t="shared" si="1"/>
        <v>Health &amp; Beauty, Personal Care, Cosmetics, Cosmetic ToolsSkin Care Tools</v>
      </c>
    </row>
    <row r="2849">
      <c r="A2849" s="29">
        <v>7190.0</v>
      </c>
      <c r="B2849" s="29" t="s">
        <v>2945</v>
      </c>
      <c r="C2849" s="29" t="s">
        <v>3042</v>
      </c>
      <c r="D2849" s="29" t="s">
        <v>3045</v>
      </c>
      <c r="E2849" s="29" t="s">
        <v>3060</v>
      </c>
      <c r="F2849" s="29" t="s">
        <v>3063</v>
      </c>
      <c r="G2849" s="20" t="str">
        <f t="shared" si="1"/>
        <v>Health &amp; Beauty, Personal Care, Cosmetics, Cosmetic ToolsSkin Care Tools</v>
      </c>
    </row>
    <row r="2850">
      <c r="A2850" s="29">
        <v>499926.0</v>
      </c>
      <c r="B2850" s="29" t="s">
        <v>2945</v>
      </c>
      <c r="C2850" s="29" t="s">
        <v>3042</v>
      </c>
      <c r="D2850" s="29" t="s">
        <v>3045</v>
      </c>
      <c r="E2850" s="29" t="s">
        <v>3060</v>
      </c>
      <c r="F2850" s="29" t="s">
        <v>3063</v>
      </c>
      <c r="G2850" s="20" t="str">
        <f t="shared" si="1"/>
        <v>Health &amp; Beauty, Personal Care, Cosmetics, Cosmetic ToolsSkin Care Tools</v>
      </c>
    </row>
    <row r="2851">
      <c r="A2851" s="29">
        <v>2511.0</v>
      </c>
      <c r="B2851" s="29" t="s">
        <v>2945</v>
      </c>
      <c r="C2851" s="29" t="s">
        <v>3042</v>
      </c>
      <c r="D2851" s="29" t="s">
        <v>3045</v>
      </c>
      <c r="E2851" s="29" t="s">
        <v>3060</v>
      </c>
      <c r="F2851" s="29" t="s">
        <v>3063</v>
      </c>
      <c r="G2851" s="20" t="str">
        <f t="shared" si="1"/>
        <v>Health &amp; Beauty, Personal Care, Cosmetics, Cosmetic ToolsSkin Care Tools</v>
      </c>
    </row>
    <row r="2852">
      <c r="A2852" s="29">
        <v>6261.0</v>
      </c>
      <c r="B2852" s="29" t="s">
        <v>2945</v>
      </c>
      <c r="C2852" s="29" t="s">
        <v>3042</v>
      </c>
      <c r="D2852" s="29" t="s">
        <v>3045</v>
      </c>
      <c r="E2852" s="29" t="s">
        <v>3060</v>
      </c>
      <c r="F2852" s="29" t="s">
        <v>3063</v>
      </c>
      <c r="G2852" s="20" t="str">
        <f t="shared" si="1"/>
        <v>Health &amp; Beauty, Personal Care, Cosmetics, Cosmetic ToolsSkin Care Tools</v>
      </c>
    </row>
    <row r="2853">
      <c r="A2853" s="29">
        <v>7018.0</v>
      </c>
      <c r="B2853" s="29" t="s">
        <v>2945</v>
      </c>
      <c r="C2853" s="29" t="s">
        <v>3042</v>
      </c>
      <c r="D2853" s="29" t="s">
        <v>3045</v>
      </c>
      <c r="E2853" s="29" t="s">
        <v>3060</v>
      </c>
      <c r="F2853" s="29" t="s">
        <v>3063</v>
      </c>
      <c r="G2853" s="20" t="str">
        <f t="shared" si="1"/>
        <v>Health &amp; Beauty, Personal Care, Cosmetics, Cosmetic ToolsSkin Care Tools</v>
      </c>
    </row>
    <row r="2854">
      <c r="A2854" s="29">
        <v>8132.0</v>
      </c>
      <c r="B2854" s="29" t="s">
        <v>2945</v>
      </c>
      <c r="C2854" s="29" t="s">
        <v>3042</v>
      </c>
      <c r="D2854" s="29" t="s">
        <v>3045</v>
      </c>
      <c r="E2854" s="29" t="s">
        <v>3060</v>
      </c>
      <c r="F2854" s="29" t="s">
        <v>3063</v>
      </c>
      <c r="G2854" s="20" t="str">
        <f t="shared" si="1"/>
        <v>Health &amp; Beauty, Personal Care, Cosmetics, Cosmetic ToolsSkin Care Tools</v>
      </c>
    </row>
    <row r="2855">
      <c r="A2855" s="29">
        <v>6260.0</v>
      </c>
      <c r="B2855" s="29" t="s">
        <v>2945</v>
      </c>
      <c r="C2855" s="29" t="s">
        <v>3042</v>
      </c>
      <c r="D2855" s="29" t="s">
        <v>3045</v>
      </c>
      <c r="E2855" s="29" t="s">
        <v>3060</v>
      </c>
      <c r="F2855" s="29" t="s">
        <v>3063</v>
      </c>
      <c r="G2855" s="20" t="str">
        <f t="shared" si="1"/>
        <v>Health &amp; Beauty, Personal Care, Cosmetics, Cosmetic ToolsSkin Care Tools</v>
      </c>
    </row>
    <row r="2856">
      <c r="A2856" s="29">
        <v>477.0</v>
      </c>
      <c r="B2856" s="29" t="s">
        <v>2945</v>
      </c>
      <c r="C2856" s="29" t="s">
        <v>3042</v>
      </c>
      <c r="D2856" s="29" t="s">
        <v>3045</v>
      </c>
      <c r="E2856" s="29" t="s">
        <v>3064</v>
      </c>
      <c r="F2856" s="62"/>
      <c r="G2856" s="20" t="str">
        <f t="shared" si="1"/>
        <v>Health &amp; Beauty, Personal Care, Cosmetics, Makeup</v>
      </c>
    </row>
    <row r="2857">
      <c r="A2857" s="29">
        <v>5978.0</v>
      </c>
      <c r="B2857" s="29" t="s">
        <v>2945</v>
      </c>
      <c r="C2857" s="29" t="s">
        <v>3042</v>
      </c>
      <c r="D2857" s="29" t="s">
        <v>3045</v>
      </c>
      <c r="E2857" s="29" t="s">
        <v>3064</v>
      </c>
      <c r="F2857" s="29" t="s">
        <v>3065</v>
      </c>
      <c r="G2857" s="20" t="str">
        <f t="shared" si="1"/>
        <v>Health &amp; Beauty, Personal Care, Cosmetics, MakeupBody Makeup</v>
      </c>
    </row>
    <row r="2858">
      <c r="A2858" s="29">
        <v>5981.0</v>
      </c>
      <c r="B2858" s="29" t="s">
        <v>2945</v>
      </c>
      <c r="C2858" s="29" t="s">
        <v>3042</v>
      </c>
      <c r="D2858" s="29" t="s">
        <v>3045</v>
      </c>
      <c r="E2858" s="29" t="s">
        <v>3064</v>
      </c>
      <c r="F2858" s="29" t="s">
        <v>3065</v>
      </c>
      <c r="G2858" s="20" t="str">
        <f t="shared" si="1"/>
        <v>Health &amp; Beauty, Personal Care, Cosmetics, MakeupBody Makeup</v>
      </c>
    </row>
    <row r="2859">
      <c r="A2859" s="29">
        <v>5979.0</v>
      </c>
      <c r="B2859" s="29" t="s">
        <v>2945</v>
      </c>
      <c r="C2859" s="29" t="s">
        <v>3042</v>
      </c>
      <c r="D2859" s="29" t="s">
        <v>3045</v>
      </c>
      <c r="E2859" s="29" t="s">
        <v>3064</v>
      </c>
      <c r="F2859" s="29" t="s">
        <v>3065</v>
      </c>
      <c r="G2859" s="20" t="str">
        <f t="shared" si="1"/>
        <v>Health &amp; Beauty, Personal Care, Cosmetics, MakeupBody Makeup</v>
      </c>
    </row>
    <row r="2860">
      <c r="A2860" s="29">
        <v>4779.0</v>
      </c>
      <c r="B2860" s="29" t="s">
        <v>2945</v>
      </c>
      <c r="C2860" s="29" t="s">
        <v>3042</v>
      </c>
      <c r="D2860" s="29" t="s">
        <v>3045</v>
      </c>
      <c r="E2860" s="29" t="s">
        <v>3064</v>
      </c>
      <c r="F2860" s="29" t="s">
        <v>3066</v>
      </c>
      <c r="G2860" s="20" t="str">
        <f t="shared" si="1"/>
        <v>Health &amp; Beauty, Personal Care, Cosmetics, MakeupCostume &amp; Stage Makeup</v>
      </c>
    </row>
    <row r="2861">
      <c r="A2861" s="29">
        <v>2779.0</v>
      </c>
      <c r="B2861" s="29" t="s">
        <v>2945</v>
      </c>
      <c r="C2861" s="29" t="s">
        <v>3042</v>
      </c>
      <c r="D2861" s="29" t="s">
        <v>3045</v>
      </c>
      <c r="E2861" s="29" t="s">
        <v>3064</v>
      </c>
      <c r="F2861" s="29" t="s">
        <v>3067</v>
      </c>
      <c r="G2861" s="20" t="str">
        <f t="shared" si="1"/>
        <v>Health &amp; Beauty, Personal Care, Cosmetics, MakeupEye Makeup</v>
      </c>
    </row>
    <row r="2862">
      <c r="A2862" s="29">
        <v>8220.0</v>
      </c>
      <c r="B2862" s="29" t="s">
        <v>2945</v>
      </c>
      <c r="C2862" s="29" t="s">
        <v>3042</v>
      </c>
      <c r="D2862" s="29" t="s">
        <v>3045</v>
      </c>
      <c r="E2862" s="29" t="s">
        <v>3064</v>
      </c>
      <c r="F2862" s="29" t="s">
        <v>3067</v>
      </c>
      <c r="G2862" s="20" t="str">
        <f t="shared" si="1"/>
        <v>Health &amp; Beauty, Personal Care, Cosmetics, MakeupEye Makeup</v>
      </c>
    </row>
    <row r="2863">
      <c r="A2863" s="29">
        <v>2904.0</v>
      </c>
      <c r="B2863" s="29" t="s">
        <v>2945</v>
      </c>
      <c r="C2863" s="29" t="s">
        <v>3042</v>
      </c>
      <c r="D2863" s="29" t="s">
        <v>3045</v>
      </c>
      <c r="E2863" s="29" t="s">
        <v>3064</v>
      </c>
      <c r="F2863" s="29" t="s">
        <v>3067</v>
      </c>
      <c r="G2863" s="20" t="str">
        <f t="shared" si="1"/>
        <v>Health &amp; Beauty, Personal Care, Cosmetics, MakeupEye Makeup</v>
      </c>
    </row>
    <row r="2864">
      <c r="A2864" s="29">
        <v>2686.0</v>
      </c>
      <c r="B2864" s="29" t="s">
        <v>2945</v>
      </c>
      <c r="C2864" s="29" t="s">
        <v>3042</v>
      </c>
      <c r="D2864" s="29" t="s">
        <v>3045</v>
      </c>
      <c r="E2864" s="29" t="s">
        <v>3064</v>
      </c>
      <c r="F2864" s="29" t="s">
        <v>3067</v>
      </c>
      <c r="G2864" s="20" t="str">
        <f t="shared" si="1"/>
        <v>Health &amp; Beauty, Personal Care, Cosmetics, MakeupEye Makeup</v>
      </c>
    </row>
    <row r="2865">
      <c r="A2865" s="29">
        <v>2807.0</v>
      </c>
      <c r="B2865" s="29" t="s">
        <v>2945</v>
      </c>
      <c r="C2865" s="29" t="s">
        <v>3042</v>
      </c>
      <c r="D2865" s="29" t="s">
        <v>3045</v>
      </c>
      <c r="E2865" s="29" t="s">
        <v>3064</v>
      </c>
      <c r="F2865" s="29" t="s">
        <v>3067</v>
      </c>
      <c r="G2865" s="20" t="str">
        <f t="shared" si="1"/>
        <v>Health &amp; Beauty, Personal Care, Cosmetics, MakeupEye Makeup</v>
      </c>
    </row>
    <row r="2866">
      <c r="A2866" s="29">
        <v>2761.0</v>
      </c>
      <c r="B2866" s="29" t="s">
        <v>2945</v>
      </c>
      <c r="C2866" s="29" t="s">
        <v>3042</v>
      </c>
      <c r="D2866" s="29" t="s">
        <v>3045</v>
      </c>
      <c r="E2866" s="29" t="s">
        <v>3064</v>
      </c>
      <c r="F2866" s="29" t="s">
        <v>3067</v>
      </c>
      <c r="G2866" s="20" t="str">
        <f t="shared" si="1"/>
        <v>Health &amp; Beauty, Personal Care, Cosmetics, MakeupEye Makeup</v>
      </c>
    </row>
    <row r="2867">
      <c r="A2867" s="29">
        <v>6340.0</v>
      </c>
      <c r="B2867" s="29" t="s">
        <v>2945</v>
      </c>
      <c r="C2867" s="29" t="s">
        <v>3042</v>
      </c>
      <c r="D2867" s="29" t="s">
        <v>3045</v>
      </c>
      <c r="E2867" s="29" t="s">
        <v>3064</v>
      </c>
      <c r="F2867" s="29" t="s">
        <v>3067</v>
      </c>
      <c r="G2867" s="20" t="str">
        <f t="shared" si="1"/>
        <v>Health &amp; Beauty, Personal Care, Cosmetics, MakeupEye Makeup</v>
      </c>
    </row>
    <row r="2868">
      <c r="A2868" s="29">
        <v>2834.0</v>
      </c>
      <c r="B2868" s="29" t="s">
        <v>2945</v>
      </c>
      <c r="C2868" s="29" t="s">
        <v>3042</v>
      </c>
      <c r="D2868" s="29" t="s">
        <v>3045</v>
      </c>
      <c r="E2868" s="29" t="s">
        <v>3064</v>
      </c>
      <c r="F2868" s="29" t="s">
        <v>3067</v>
      </c>
      <c r="G2868" s="20" t="str">
        <f t="shared" si="1"/>
        <v>Health &amp; Beauty, Personal Care, Cosmetics, MakeupEye Makeup</v>
      </c>
    </row>
    <row r="2869">
      <c r="A2869" s="29">
        <v>8219.0</v>
      </c>
      <c r="B2869" s="29" t="s">
        <v>2945</v>
      </c>
      <c r="C2869" s="29" t="s">
        <v>3042</v>
      </c>
      <c r="D2869" s="29" t="s">
        <v>3045</v>
      </c>
      <c r="E2869" s="29" t="s">
        <v>3064</v>
      </c>
      <c r="F2869" s="29" t="s">
        <v>3067</v>
      </c>
      <c r="G2869" s="20" t="str">
        <f t="shared" si="1"/>
        <v>Health &amp; Beauty, Personal Care, Cosmetics, MakeupEye Makeup</v>
      </c>
    </row>
    <row r="2870">
      <c r="A2870" s="29">
        <v>2571.0</v>
      </c>
      <c r="B2870" s="29" t="s">
        <v>2945</v>
      </c>
      <c r="C2870" s="29" t="s">
        <v>3042</v>
      </c>
      <c r="D2870" s="29" t="s">
        <v>3045</v>
      </c>
      <c r="E2870" s="29" t="s">
        <v>3064</v>
      </c>
      <c r="F2870" s="29" t="s">
        <v>3068</v>
      </c>
      <c r="G2870" s="20" t="str">
        <f t="shared" si="1"/>
        <v>Health &amp; Beauty, Personal Care, Cosmetics, MakeupFace Makeup</v>
      </c>
    </row>
    <row r="2871">
      <c r="A2871" s="29">
        <v>6305.0</v>
      </c>
      <c r="B2871" s="29" t="s">
        <v>2945</v>
      </c>
      <c r="C2871" s="29" t="s">
        <v>3042</v>
      </c>
      <c r="D2871" s="29" t="s">
        <v>3045</v>
      </c>
      <c r="E2871" s="29" t="s">
        <v>3064</v>
      </c>
      <c r="F2871" s="29" t="s">
        <v>3068</v>
      </c>
      <c r="G2871" s="20" t="str">
        <f t="shared" si="1"/>
        <v>Health &amp; Beauty, Personal Care, Cosmetics, MakeupFace Makeup</v>
      </c>
    </row>
    <row r="2872">
      <c r="A2872" s="29">
        <v>2980.0</v>
      </c>
      <c r="B2872" s="29" t="s">
        <v>2945</v>
      </c>
      <c r="C2872" s="29" t="s">
        <v>3042</v>
      </c>
      <c r="D2872" s="29" t="s">
        <v>3045</v>
      </c>
      <c r="E2872" s="29" t="s">
        <v>3064</v>
      </c>
      <c r="F2872" s="29" t="s">
        <v>3068</v>
      </c>
      <c r="G2872" s="20" t="str">
        <f t="shared" si="1"/>
        <v>Health &amp; Beauty, Personal Care, Cosmetics, MakeupFace Makeup</v>
      </c>
    </row>
    <row r="2873">
      <c r="A2873" s="29">
        <v>8218.0</v>
      </c>
      <c r="B2873" s="29" t="s">
        <v>2945</v>
      </c>
      <c r="C2873" s="29" t="s">
        <v>3042</v>
      </c>
      <c r="D2873" s="29" t="s">
        <v>3045</v>
      </c>
      <c r="E2873" s="29" t="s">
        <v>3064</v>
      </c>
      <c r="F2873" s="29" t="s">
        <v>3068</v>
      </c>
      <c r="G2873" s="20" t="str">
        <f t="shared" si="1"/>
        <v>Health &amp; Beauty, Personal Care, Cosmetics, MakeupFace Makeup</v>
      </c>
    </row>
    <row r="2874">
      <c r="A2874" s="29">
        <v>2765.0</v>
      </c>
      <c r="B2874" s="29" t="s">
        <v>2945</v>
      </c>
      <c r="C2874" s="29" t="s">
        <v>3042</v>
      </c>
      <c r="D2874" s="29" t="s">
        <v>3045</v>
      </c>
      <c r="E2874" s="29" t="s">
        <v>3064</v>
      </c>
      <c r="F2874" s="29" t="s">
        <v>3068</v>
      </c>
      <c r="G2874" s="20" t="str">
        <f t="shared" si="1"/>
        <v>Health &amp; Beauty, Personal Care, Cosmetics, MakeupFace Makeup</v>
      </c>
    </row>
    <row r="2875">
      <c r="A2875" s="29">
        <v>6304.0</v>
      </c>
      <c r="B2875" s="29" t="s">
        <v>2945</v>
      </c>
      <c r="C2875" s="29" t="s">
        <v>3042</v>
      </c>
      <c r="D2875" s="29" t="s">
        <v>3045</v>
      </c>
      <c r="E2875" s="29" t="s">
        <v>3064</v>
      </c>
      <c r="F2875" s="29" t="s">
        <v>3068</v>
      </c>
      <c r="G2875" s="20" t="str">
        <f t="shared" si="1"/>
        <v>Health &amp; Beauty, Personal Care, Cosmetics, MakeupFace Makeup</v>
      </c>
    </row>
    <row r="2876">
      <c r="A2876" s="29">
        <v>2645.0</v>
      </c>
      <c r="B2876" s="29" t="s">
        <v>2945</v>
      </c>
      <c r="C2876" s="29" t="s">
        <v>3042</v>
      </c>
      <c r="D2876" s="29" t="s">
        <v>3045</v>
      </c>
      <c r="E2876" s="29" t="s">
        <v>3064</v>
      </c>
      <c r="F2876" s="29" t="s">
        <v>3069</v>
      </c>
      <c r="G2876" s="20" t="str">
        <f t="shared" si="1"/>
        <v>Health &amp; Beauty, Personal Care, Cosmetics, MakeupLip Makeup</v>
      </c>
    </row>
    <row r="2877">
      <c r="A2877" s="29">
        <v>6306.0</v>
      </c>
      <c r="B2877" s="29" t="s">
        <v>2945</v>
      </c>
      <c r="C2877" s="29" t="s">
        <v>3042</v>
      </c>
      <c r="D2877" s="29" t="s">
        <v>3045</v>
      </c>
      <c r="E2877" s="29" t="s">
        <v>3064</v>
      </c>
      <c r="F2877" s="29" t="s">
        <v>3069</v>
      </c>
      <c r="G2877" s="20" t="str">
        <f t="shared" si="1"/>
        <v>Health &amp; Beauty, Personal Care, Cosmetics, MakeupLip Makeup</v>
      </c>
    </row>
    <row r="2878">
      <c r="A2878" s="29">
        <v>2858.0</v>
      </c>
      <c r="B2878" s="29" t="s">
        <v>2945</v>
      </c>
      <c r="C2878" s="29" t="s">
        <v>3042</v>
      </c>
      <c r="D2878" s="29" t="s">
        <v>3045</v>
      </c>
      <c r="E2878" s="29" t="s">
        <v>3064</v>
      </c>
      <c r="F2878" s="29" t="s">
        <v>3069</v>
      </c>
      <c r="G2878" s="20" t="str">
        <f t="shared" si="1"/>
        <v>Health &amp; Beauty, Personal Care, Cosmetics, MakeupLip Makeup</v>
      </c>
    </row>
    <row r="2879">
      <c r="A2879" s="29">
        <v>2589.0</v>
      </c>
      <c r="B2879" s="29" t="s">
        <v>2945</v>
      </c>
      <c r="C2879" s="29" t="s">
        <v>3042</v>
      </c>
      <c r="D2879" s="29" t="s">
        <v>3045</v>
      </c>
      <c r="E2879" s="29" t="s">
        <v>3064</v>
      </c>
      <c r="F2879" s="29" t="s">
        <v>3069</v>
      </c>
      <c r="G2879" s="20" t="str">
        <f t="shared" si="1"/>
        <v>Health &amp; Beauty, Personal Care, Cosmetics, MakeupLip Makeup</v>
      </c>
    </row>
    <row r="2880">
      <c r="A2880" s="29">
        <v>8217.0</v>
      </c>
      <c r="B2880" s="29" t="s">
        <v>2945</v>
      </c>
      <c r="C2880" s="29" t="s">
        <v>3042</v>
      </c>
      <c r="D2880" s="29" t="s">
        <v>3045</v>
      </c>
      <c r="E2880" s="29" t="s">
        <v>3064</v>
      </c>
      <c r="F2880" s="29" t="s">
        <v>3069</v>
      </c>
      <c r="G2880" s="20" t="str">
        <f t="shared" si="1"/>
        <v>Health &amp; Beauty, Personal Care, Cosmetics, MakeupLip Makeup</v>
      </c>
    </row>
    <row r="2881">
      <c r="A2881" s="29">
        <v>3021.0</v>
      </c>
      <c r="B2881" s="29" t="s">
        <v>2945</v>
      </c>
      <c r="C2881" s="29" t="s">
        <v>3042</v>
      </c>
      <c r="D2881" s="29" t="s">
        <v>3045</v>
      </c>
      <c r="E2881" s="29" t="s">
        <v>3064</v>
      </c>
      <c r="F2881" s="29" t="s">
        <v>3069</v>
      </c>
      <c r="G2881" s="20" t="str">
        <f t="shared" si="1"/>
        <v>Health &amp; Beauty, Personal Care, Cosmetics, MakeupLip Makeup</v>
      </c>
    </row>
    <row r="2882">
      <c r="A2882" s="29">
        <v>6072.0</v>
      </c>
      <c r="B2882" s="29" t="s">
        <v>2945</v>
      </c>
      <c r="C2882" s="29" t="s">
        <v>3042</v>
      </c>
      <c r="D2882" s="29" t="s">
        <v>3045</v>
      </c>
      <c r="E2882" s="29" t="s">
        <v>3064</v>
      </c>
      <c r="F2882" s="29" t="s">
        <v>3070</v>
      </c>
      <c r="G2882" s="20" t="str">
        <f t="shared" si="1"/>
        <v>Health &amp; Beauty, Personal Care, Cosmetics, MakeupMakeup Finishing Sprays</v>
      </c>
    </row>
    <row r="2883">
      <c r="A2883" s="29">
        <v>3509.0</v>
      </c>
      <c r="B2883" s="29" t="s">
        <v>2945</v>
      </c>
      <c r="C2883" s="29" t="s">
        <v>3042</v>
      </c>
      <c r="D2883" s="29" t="s">
        <v>3045</v>
      </c>
      <c r="E2883" s="29" t="s">
        <v>3064</v>
      </c>
      <c r="F2883" s="29" t="s">
        <v>3071</v>
      </c>
      <c r="G2883" s="20" t="str">
        <f t="shared" si="1"/>
        <v>Health &amp; Beauty, Personal Care, Cosmetics, MakeupTemporary Tattoos</v>
      </c>
    </row>
    <row r="2884">
      <c r="A2884" s="29">
        <v>478.0</v>
      </c>
      <c r="B2884" s="29" t="s">
        <v>2945</v>
      </c>
      <c r="C2884" s="29" t="s">
        <v>3042</v>
      </c>
      <c r="D2884" s="29" t="s">
        <v>3045</v>
      </c>
      <c r="E2884" s="29" t="s">
        <v>3072</v>
      </c>
      <c r="F2884" s="62"/>
      <c r="G2884" s="20" t="str">
        <f t="shared" si="1"/>
        <v>Health &amp; Beauty, Personal Care, Cosmetics, Nail Care</v>
      </c>
    </row>
    <row r="2885">
      <c r="A2885" s="29">
        <v>3009.0</v>
      </c>
      <c r="B2885" s="29" t="s">
        <v>2945</v>
      </c>
      <c r="C2885" s="29" t="s">
        <v>3042</v>
      </c>
      <c r="D2885" s="29" t="s">
        <v>3045</v>
      </c>
      <c r="E2885" s="29" t="s">
        <v>3072</v>
      </c>
      <c r="F2885" s="29" t="s">
        <v>3073</v>
      </c>
      <c r="G2885" s="20" t="str">
        <f t="shared" si="1"/>
        <v>Health &amp; Beauty, Personal Care, Cosmetics, Nail CareCuticle Cream &amp; Oil</v>
      </c>
    </row>
    <row r="2886">
      <c r="A2886" s="29">
        <v>4218.0</v>
      </c>
      <c r="B2886" s="29" t="s">
        <v>2945</v>
      </c>
      <c r="C2886" s="29" t="s">
        <v>3042</v>
      </c>
      <c r="D2886" s="29" t="s">
        <v>3045</v>
      </c>
      <c r="E2886" s="29" t="s">
        <v>3072</v>
      </c>
      <c r="F2886" s="29" t="s">
        <v>3074</v>
      </c>
      <c r="G2886" s="20" t="str">
        <f t="shared" si="1"/>
        <v>Health &amp; Beauty, Personal Care, Cosmetics, Nail CareFalse Nails</v>
      </c>
    </row>
    <row r="2887">
      <c r="A2887" s="29">
        <v>6893.0</v>
      </c>
      <c r="B2887" s="29" t="s">
        <v>2945</v>
      </c>
      <c r="C2887" s="29" t="s">
        <v>3042</v>
      </c>
      <c r="D2887" s="29" t="s">
        <v>3045</v>
      </c>
      <c r="E2887" s="29" t="s">
        <v>3072</v>
      </c>
      <c r="F2887" s="29" t="s">
        <v>3075</v>
      </c>
      <c r="G2887" s="20" t="str">
        <f t="shared" si="1"/>
        <v>Health &amp; Beauty, Personal Care, Cosmetics, Nail CareManicure Glue</v>
      </c>
    </row>
    <row r="2888">
      <c r="A2888" s="29">
        <v>5975.0</v>
      </c>
      <c r="B2888" s="29" t="s">
        <v>2945</v>
      </c>
      <c r="C2888" s="29" t="s">
        <v>3042</v>
      </c>
      <c r="D2888" s="29" t="s">
        <v>3045</v>
      </c>
      <c r="E2888" s="29" t="s">
        <v>3072</v>
      </c>
      <c r="F2888" s="29" t="s">
        <v>3076</v>
      </c>
      <c r="G2888" s="20" t="str">
        <f t="shared" si="1"/>
        <v>Health &amp; Beauty, Personal Care, Cosmetics, Nail CareNail Art Kits &amp; Accessories</v>
      </c>
    </row>
    <row r="2889">
      <c r="A2889" s="29">
        <v>233419.0</v>
      </c>
      <c r="B2889" s="29" t="s">
        <v>2945</v>
      </c>
      <c r="C2889" s="29" t="s">
        <v>3042</v>
      </c>
      <c r="D2889" s="29" t="s">
        <v>3045</v>
      </c>
      <c r="E2889" s="29" t="s">
        <v>3072</v>
      </c>
      <c r="F2889" s="29" t="s">
        <v>3077</v>
      </c>
      <c r="G2889" s="20" t="str">
        <f t="shared" si="1"/>
        <v>Health &amp; Beauty, Personal Care, Cosmetics, Nail CareNail Polish Drying Drops &amp; Sprays</v>
      </c>
    </row>
    <row r="2890">
      <c r="A2890" s="29">
        <v>2946.0</v>
      </c>
      <c r="B2890" s="29" t="s">
        <v>2945</v>
      </c>
      <c r="C2890" s="29" t="s">
        <v>3042</v>
      </c>
      <c r="D2890" s="29" t="s">
        <v>3045</v>
      </c>
      <c r="E2890" s="29" t="s">
        <v>3072</v>
      </c>
      <c r="F2890" s="29" t="s">
        <v>3078</v>
      </c>
      <c r="G2890" s="20" t="str">
        <f t="shared" si="1"/>
        <v>Health &amp; Beauty, Personal Care, Cosmetics, Nail CareNail Polish Removers</v>
      </c>
    </row>
    <row r="2891">
      <c r="A2891" s="29">
        <v>7445.0</v>
      </c>
      <c r="B2891" s="29" t="s">
        <v>2945</v>
      </c>
      <c r="C2891" s="29" t="s">
        <v>3042</v>
      </c>
      <c r="D2891" s="29" t="s">
        <v>3045</v>
      </c>
      <c r="E2891" s="29" t="s">
        <v>3072</v>
      </c>
      <c r="F2891" s="29" t="s">
        <v>3079</v>
      </c>
      <c r="G2891" s="20" t="str">
        <f t="shared" si="1"/>
        <v>Health &amp; Beauty, Personal Care, Cosmetics, Nail CareNail Polish Thinners</v>
      </c>
    </row>
    <row r="2892">
      <c r="A2892" s="29">
        <v>2683.0</v>
      </c>
      <c r="B2892" s="29" t="s">
        <v>2945</v>
      </c>
      <c r="C2892" s="29" t="s">
        <v>3042</v>
      </c>
      <c r="D2892" s="29" t="s">
        <v>3045</v>
      </c>
      <c r="E2892" s="29" t="s">
        <v>3072</v>
      </c>
      <c r="F2892" s="29" t="s">
        <v>3080</v>
      </c>
      <c r="G2892" s="20" t="str">
        <f t="shared" si="1"/>
        <v>Health &amp; Beauty, Personal Care, Cosmetics, Nail CareNail Polishes</v>
      </c>
    </row>
    <row r="2893">
      <c r="A2893" s="29">
        <v>479.0</v>
      </c>
      <c r="B2893" s="29" t="s">
        <v>2945</v>
      </c>
      <c r="C2893" s="29" t="s">
        <v>3042</v>
      </c>
      <c r="D2893" s="29" t="s">
        <v>3045</v>
      </c>
      <c r="E2893" s="29" t="s">
        <v>3081</v>
      </c>
      <c r="F2893" s="62"/>
      <c r="G2893" s="20" t="str">
        <f t="shared" si="1"/>
        <v>Health &amp; Beauty, Personal Care, Cosmetics, Perfume &amp; Cologne</v>
      </c>
    </row>
    <row r="2894">
      <c r="A2894" s="29">
        <v>567.0</v>
      </c>
      <c r="B2894" s="29" t="s">
        <v>2945</v>
      </c>
      <c r="C2894" s="29" t="s">
        <v>3042</v>
      </c>
      <c r="D2894" s="29" t="s">
        <v>3045</v>
      </c>
      <c r="E2894" s="29" t="s">
        <v>3082</v>
      </c>
      <c r="F2894" s="62"/>
      <c r="G2894" s="20" t="str">
        <f t="shared" si="1"/>
        <v>Health &amp; Beauty, Personal Care, Cosmetics, Skin Care</v>
      </c>
    </row>
    <row r="2895">
      <c r="A2895" s="29">
        <v>481.0</v>
      </c>
      <c r="B2895" s="29" t="s">
        <v>2945</v>
      </c>
      <c r="C2895" s="29" t="s">
        <v>3042</v>
      </c>
      <c r="D2895" s="29" t="s">
        <v>3045</v>
      </c>
      <c r="E2895" s="29" t="s">
        <v>3082</v>
      </c>
      <c r="F2895" s="29" t="s">
        <v>3083</v>
      </c>
      <c r="G2895" s="20" t="str">
        <f t="shared" si="1"/>
        <v>Health &amp; Beauty, Personal Care, Cosmetics, Skin CareAcne Treatments &amp; Kits</v>
      </c>
    </row>
    <row r="2896">
      <c r="A2896" s="29">
        <v>7429.0</v>
      </c>
      <c r="B2896" s="29" t="s">
        <v>2945</v>
      </c>
      <c r="C2896" s="29" t="s">
        <v>3042</v>
      </c>
      <c r="D2896" s="29" t="s">
        <v>3045</v>
      </c>
      <c r="E2896" s="29" t="s">
        <v>3082</v>
      </c>
      <c r="F2896" s="29" t="s">
        <v>3084</v>
      </c>
      <c r="G2896" s="20" t="str">
        <f t="shared" si="1"/>
        <v>Health &amp; Beauty, Personal Care, Cosmetics, Skin CareAnti-Aging Skin Care Kits</v>
      </c>
    </row>
    <row r="2897">
      <c r="A2897" s="29">
        <v>6104.0</v>
      </c>
      <c r="B2897" s="29" t="s">
        <v>2945</v>
      </c>
      <c r="C2897" s="29" t="s">
        <v>3042</v>
      </c>
      <c r="D2897" s="29" t="s">
        <v>3045</v>
      </c>
      <c r="E2897" s="29" t="s">
        <v>3082</v>
      </c>
      <c r="F2897" s="29" t="s">
        <v>3085</v>
      </c>
      <c r="G2897" s="20" t="str">
        <f t="shared" si="1"/>
        <v>Health &amp; Beauty, Personal Care, Cosmetics, Skin CareBody Oil</v>
      </c>
    </row>
    <row r="2898">
      <c r="A2898" s="29">
        <v>5980.0</v>
      </c>
      <c r="B2898" s="29" t="s">
        <v>2945</v>
      </c>
      <c r="C2898" s="29" t="s">
        <v>3042</v>
      </c>
      <c r="D2898" s="29" t="s">
        <v>3045</v>
      </c>
      <c r="E2898" s="29" t="s">
        <v>3082</v>
      </c>
      <c r="F2898" s="29" t="s">
        <v>3086</v>
      </c>
      <c r="G2898" s="20" t="str">
        <f t="shared" si="1"/>
        <v>Health &amp; Beauty, Personal Care, Cosmetics, Skin CareBody Powder</v>
      </c>
    </row>
    <row r="2899">
      <c r="A2899" s="29">
        <v>8029.0</v>
      </c>
      <c r="B2899" s="29" t="s">
        <v>2945</v>
      </c>
      <c r="C2899" s="29" t="s">
        <v>3042</v>
      </c>
      <c r="D2899" s="29" t="s">
        <v>3045</v>
      </c>
      <c r="E2899" s="29" t="s">
        <v>3082</v>
      </c>
      <c r="F2899" s="29" t="s">
        <v>3087</v>
      </c>
      <c r="G2899" s="20" t="str">
        <f t="shared" si="1"/>
        <v>Health &amp; Beauty, Personal Care, Cosmetics, Skin CareCompressed Skin Care Mask Sheets</v>
      </c>
    </row>
    <row r="2900">
      <c r="A2900" s="29">
        <v>2526.0</v>
      </c>
      <c r="B2900" s="29" t="s">
        <v>2945</v>
      </c>
      <c r="C2900" s="29" t="s">
        <v>3042</v>
      </c>
      <c r="D2900" s="29" t="s">
        <v>3045</v>
      </c>
      <c r="E2900" s="29" t="s">
        <v>3082</v>
      </c>
      <c r="F2900" s="29" t="s">
        <v>3088</v>
      </c>
      <c r="G2900" s="20" t="str">
        <f t="shared" si="1"/>
        <v>Health &amp; Beauty, Personal Care, Cosmetics, Skin CareFacial Cleansers</v>
      </c>
    </row>
    <row r="2901">
      <c r="A2901" s="29">
        <v>7467.0</v>
      </c>
      <c r="B2901" s="29" t="s">
        <v>2945</v>
      </c>
      <c r="C2901" s="29" t="s">
        <v>3042</v>
      </c>
      <c r="D2901" s="29" t="s">
        <v>3045</v>
      </c>
      <c r="E2901" s="29" t="s">
        <v>3082</v>
      </c>
      <c r="F2901" s="29" t="s">
        <v>3089</v>
      </c>
      <c r="G2901" s="20" t="str">
        <f t="shared" si="1"/>
        <v>Health &amp; Beauty, Personal Care, Cosmetics, Skin CareFacial Cleansing Kits</v>
      </c>
    </row>
    <row r="2902">
      <c r="A2902" s="29">
        <v>6791.0</v>
      </c>
      <c r="B2902" s="29" t="s">
        <v>2945</v>
      </c>
      <c r="C2902" s="29" t="s">
        <v>3042</v>
      </c>
      <c r="D2902" s="29" t="s">
        <v>3045</v>
      </c>
      <c r="E2902" s="29" t="s">
        <v>3082</v>
      </c>
      <c r="F2902" s="29" t="s">
        <v>3090</v>
      </c>
      <c r="G2902" s="20" t="str">
        <f t="shared" si="1"/>
        <v>Health &amp; Beauty, Personal Care, Cosmetics, Skin CareFacial Pore Strips</v>
      </c>
    </row>
    <row r="2903">
      <c r="A2903" s="29">
        <v>482.0</v>
      </c>
      <c r="B2903" s="29" t="s">
        <v>2945</v>
      </c>
      <c r="C2903" s="29" t="s">
        <v>3042</v>
      </c>
      <c r="D2903" s="29" t="s">
        <v>3045</v>
      </c>
      <c r="E2903" s="29" t="s">
        <v>3082</v>
      </c>
      <c r="F2903" s="29" t="s">
        <v>3091</v>
      </c>
      <c r="G2903" s="20" t="str">
        <f t="shared" si="1"/>
        <v>Health &amp; Beauty, Personal Care, Cosmetics, Skin CareLip Balms &amp; Treatments</v>
      </c>
    </row>
    <row r="2904">
      <c r="A2904" s="29">
        <v>543573.0</v>
      </c>
      <c r="B2904" s="29" t="s">
        <v>2945</v>
      </c>
      <c r="C2904" s="29" t="s">
        <v>3042</v>
      </c>
      <c r="D2904" s="29" t="s">
        <v>3045</v>
      </c>
      <c r="E2904" s="29" t="s">
        <v>3082</v>
      </c>
      <c r="F2904" s="29" t="s">
        <v>3091</v>
      </c>
      <c r="G2904" s="20" t="str">
        <f t="shared" si="1"/>
        <v>Health &amp; Beauty, Personal Care, Cosmetics, Skin CareLip Balms &amp; Treatments</v>
      </c>
    </row>
    <row r="2905">
      <c r="A2905" s="29">
        <v>543574.0</v>
      </c>
      <c r="B2905" s="29" t="s">
        <v>2945</v>
      </c>
      <c r="C2905" s="29" t="s">
        <v>3042</v>
      </c>
      <c r="D2905" s="29" t="s">
        <v>3045</v>
      </c>
      <c r="E2905" s="29" t="s">
        <v>3082</v>
      </c>
      <c r="F2905" s="29" t="s">
        <v>3091</v>
      </c>
      <c r="G2905" s="20" t="str">
        <f t="shared" si="1"/>
        <v>Health &amp; Beauty, Personal Care, Cosmetics, Skin CareLip Balms &amp; Treatments</v>
      </c>
    </row>
    <row r="2906">
      <c r="A2906" s="29">
        <v>2592.0</v>
      </c>
      <c r="B2906" s="29" t="s">
        <v>2945</v>
      </c>
      <c r="C2906" s="29" t="s">
        <v>3042</v>
      </c>
      <c r="D2906" s="29" t="s">
        <v>3045</v>
      </c>
      <c r="E2906" s="29" t="s">
        <v>3082</v>
      </c>
      <c r="F2906" s="29" t="s">
        <v>3092</v>
      </c>
      <c r="G2906" s="20" t="str">
        <f t="shared" si="1"/>
        <v>Health &amp; Beauty, Personal Care, Cosmetics, Skin CareLotion &amp; Moisturizer</v>
      </c>
    </row>
    <row r="2907">
      <c r="A2907" s="29">
        <v>6034.0</v>
      </c>
      <c r="B2907" s="29" t="s">
        <v>2945</v>
      </c>
      <c r="C2907" s="29" t="s">
        <v>3042</v>
      </c>
      <c r="D2907" s="29" t="s">
        <v>3045</v>
      </c>
      <c r="E2907" s="29" t="s">
        <v>3082</v>
      </c>
      <c r="F2907" s="29" t="s">
        <v>3093</v>
      </c>
      <c r="G2907" s="20" t="str">
        <f t="shared" si="1"/>
        <v>Health &amp; Beauty, Personal Care, Cosmetics, Skin CareMakeup Removers</v>
      </c>
    </row>
    <row r="2908">
      <c r="A2908" s="29">
        <v>6753.0</v>
      </c>
      <c r="B2908" s="29" t="s">
        <v>2945</v>
      </c>
      <c r="C2908" s="29" t="s">
        <v>3042</v>
      </c>
      <c r="D2908" s="29" t="s">
        <v>3045</v>
      </c>
      <c r="E2908" s="29" t="s">
        <v>3082</v>
      </c>
      <c r="F2908" s="29" t="s">
        <v>3094</v>
      </c>
      <c r="G2908" s="20" t="str">
        <f t="shared" si="1"/>
        <v>Health &amp; Beauty, Personal Care, Cosmetics, Skin CarePetroleum Jelly</v>
      </c>
    </row>
    <row r="2909">
      <c r="A2909" s="29">
        <v>6262.0</v>
      </c>
      <c r="B2909" s="29" t="s">
        <v>2945</v>
      </c>
      <c r="C2909" s="29" t="s">
        <v>3042</v>
      </c>
      <c r="D2909" s="29" t="s">
        <v>3045</v>
      </c>
      <c r="E2909" s="29" t="s">
        <v>3082</v>
      </c>
      <c r="F2909" s="29" t="s">
        <v>3095</v>
      </c>
      <c r="G2909" s="20" t="str">
        <f t="shared" si="1"/>
        <v>Health &amp; Beauty, Personal Care, Cosmetics, Skin CareSkin Care Masks &amp; Peels</v>
      </c>
    </row>
    <row r="2910">
      <c r="A2910" s="29">
        <v>5820.0</v>
      </c>
      <c r="B2910" s="29" t="s">
        <v>2945</v>
      </c>
      <c r="C2910" s="29" t="s">
        <v>3042</v>
      </c>
      <c r="D2910" s="29" t="s">
        <v>3045</v>
      </c>
      <c r="E2910" s="29" t="s">
        <v>3082</v>
      </c>
      <c r="F2910" s="29" t="s">
        <v>3096</v>
      </c>
      <c r="G2910" s="20" t="str">
        <f t="shared" si="1"/>
        <v>Health &amp; Beauty, Personal Care, Cosmetics, Skin CareSkin Insect Repellent</v>
      </c>
    </row>
    <row r="2911">
      <c r="A2911" s="29">
        <v>2844.0</v>
      </c>
      <c r="B2911" s="29" t="s">
        <v>2945</v>
      </c>
      <c r="C2911" s="29" t="s">
        <v>3042</v>
      </c>
      <c r="D2911" s="29" t="s">
        <v>3045</v>
      </c>
      <c r="E2911" s="29" t="s">
        <v>3082</v>
      </c>
      <c r="F2911" s="29" t="s">
        <v>3097</v>
      </c>
      <c r="G2911" s="20" t="str">
        <f t="shared" si="1"/>
        <v>Health &amp; Beauty, Personal Care, Cosmetics, Skin CareSunscreen</v>
      </c>
    </row>
    <row r="2912">
      <c r="A2912" s="29">
        <v>2740.0</v>
      </c>
      <c r="B2912" s="29" t="s">
        <v>2945</v>
      </c>
      <c r="C2912" s="29" t="s">
        <v>3042</v>
      </c>
      <c r="D2912" s="29" t="s">
        <v>3045</v>
      </c>
      <c r="E2912" s="29" t="s">
        <v>3082</v>
      </c>
      <c r="F2912" s="29" t="s">
        <v>3098</v>
      </c>
      <c r="G2912" s="20" t="str">
        <f t="shared" si="1"/>
        <v>Health &amp; Beauty, Personal Care, Cosmetics, Skin CareTanning Products</v>
      </c>
    </row>
    <row r="2913">
      <c r="A2913" s="29">
        <v>5338.0</v>
      </c>
      <c r="B2913" s="29" t="s">
        <v>2945</v>
      </c>
      <c r="C2913" s="29" t="s">
        <v>3042</v>
      </c>
      <c r="D2913" s="29" t="s">
        <v>3045</v>
      </c>
      <c r="E2913" s="29" t="s">
        <v>3082</v>
      </c>
      <c r="F2913" s="29" t="s">
        <v>3098</v>
      </c>
      <c r="G2913" s="20" t="str">
        <f t="shared" si="1"/>
        <v>Health &amp; Beauty, Personal Care, Cosmetics, Skin CareTanning Products</v>
      </c>
    </row>
    <row r="2914">
      <c r="A2914" s="29">
        <v>5339.0</v>
      </c>
      <c r="B2914" s="29" t="s">
        <v>2945</v>
      </c>
      <c r="C2914" s="29" t="s">
        <v>3042</v>
      </c>
      <c r="D2914" s="29" t="s">
        <v>3045</v>
      </c>
      <c r="E2914" s="29" t="s">
        <v>3082</v>
      </c>
      <c r="F2914" s="29" t="s">
        <v>3098</v>
      </c>
      <c r="G2914" s="20" t="str">
        <f t="shared" si="1"/>
        <v>Health &amp; Beauty, Personal Care, Cosmetics, Skin CareTanning Products</v>
      </c>
    </row>
    <row r="2915">
      <c r="A2915" s="29">
        <v>5976.0</v>
      </c>
      <c r="B2915" s="29" t="s">
        <v>2945</v>
      </c>
      <c r="C2915" s="29" t="s">
        <v>3042</v>
      </c>
      <c r="D2915" s="29" t="s">
        <v>3045</v>
      </c>
      <c r="E2915" s="29" t="s">
        <v>3082</v>
      </c>
      <c r="F2915" s="29" t="s">
        <v>3099</v>
      </c>
      <c r="G2915" s="20" t="str">
        <f t="shared" si="1"/>
        <v>Health &amp; Beauty, Personal Care, Cosmetics, Skin CareToners &amp; Astringents</v>
      </c>
    </row>
    <row r="2916">
      <c r="A2916" s="29">
        <v>543659.0</v>
      </c>
      <c r="B2916" s="29" t="s">
        <v>2945</v>
      </c>
      <c r="C2916" s="29" t="s">
        <v>3042</v>
      </c>
      <c r="D2916" s="29" t="s">
        <v>3045</v>
      </c>
      <c r="E2916" s="29" t="s">
        <v>3082</v>
      </c>
      <c r="F2916" s="29" t="s">
        <v>3099</v>
      </c>
      <c r="G2916" s="20" t="str">
        <f t="shared" si="1"/>
        <v>Health &amp; Beauty, Personal Care, Cosmetics, Skin CareToners &amp; Astringents</v>
      </c>
    </row>
    <row r="2917">
      <c r="A2917" s="29">
        <v>543658.0</v>
      </c>
      <c r="B2917" s="29" t="s">
        <v>2945</v>
      </c>
      <c r="C2917" s="29" t="s">
        <v>3042</v>
      </c>
      <c r="D2917" s="29" t="s">
        <v>3045</v>
      </c>
      <c r="E2917" s="29" t="s">
        <v>3082</v>
      </c>
      <c r="F2917" s="29" t="s">
        <v>3099</v>
      </c>
      <c r="G2917" s="20" t="str">
        <f t="shared" si="1"/>
        <v>Health &amp; Beauty, Personal Care, Cosmetics, Skin CareToners &amp; Astringents</v>
      </c>
    </row>
    <row r="2918">
      <c r="A2918" s="29">
        <v>6863.0</v>
      </c>
      <c r="B2918" s="29" t="s">
        <v>2945</v>
      </c>
      <c r="C2918" s="29" t="s">
        <v>3042</v>
      </c>
      <c r="D2918" s="29" t="s">
        <v>3045</v>
      </c>
      <c r="E2918" s="29" t="s">
        <v>3082</v>
      </c>
      <c r="F2918" s="29" t="s">
        <v>3100</v>
      </c>
      <c r="G2918" s="20" t="str">
        <f t="shared" si="1"/>
        <v>Health &amp; Beauty, Personal Care, Cosmetics, Skin CareWart Removers</v>
      </c>
    </row>
    <row r="2919">
      <c r="A2919" s="29">
        <v>4929.0</v>
      </c>
      <c r="B2919" s="29" t="s">
        <v>2945</v>
      </c>
      <c r="C2919" s="29" t="s">
        <v>3042</v>
      </c>
      <c r="D2919" s="29" t="s">
        <v>3101</v>
      </c>
      <c r="E2919" s="62"/>
      <c r="F2919" s="62"/>
      <c r="G2919" s="20" t="str">
        <f t="shared" si="1"/>
        <v>Health &amp; Beauty, Personal Care, Cotton Balls, </v>
      </c>
    </row>
    <row r="2920">
      <c r="A2920" s="29">
        <v>2934.0</v>
      </c>
      <c r="B2920" s="29" t="s">
        <v>2945</v>
      </c>
      <c r="C2920" s="29" t="s">
        <v>3042</v>
      </c>
      <c r="D2920" s="29" t="s">
        <v>3102</v>
      </c>
      <c r="E2920" s="62"/>
      <c r="F2920" s="62"/>
      <c r="G2920" s="20" t="str">
        <f t="shared" si="1"/>
        <v>Health &amp; Beauty, Personal Care, Cotton Swabs, </v>
      </c>
    </row>
    <row r="2921">
      <c r="A2921" s="29">
        <v>484.0</v>
      </c>
      <c r="B2921" s="29" t="s">
        <v>2945</v>
      </c>
      <c r="C2921" s="29" t="s">
        <v>3042</v>
      </c>
      <c r="D2921" s="29" t="s">
        <v>3103</v>
      </c>
      <c r="F2921" s="62"/>
      <c r="G2921" s="20" t="str">
        <f t="shared" si="1"/>
        <v>Health &amp; Beauty, Personal Care, Deodorant &amp; Anti-Perspirant, </v>
      </c>
    </row>
    <row r="2922">
      <c r="A2922" s="29">
        <v>543599.0</v>
      </c>
      <c r="B2922" s="29" t="s">
        <v>2945</v>
      </c>
      <c r="C2922" s="29" t="s">
        <v>3042</v>
      </c>
      <c r="D2922" s="29" t="s">
        <v>3103</v>
      </c>
      <c r="E2922" s="29" t="s">
        <v>3104</v>
      </c>
      <c r="F2922" s="62"/>
      <c r="G2922" s="20" t="str">
        <f t="shared" si="1"/>
        <v>Health &amp; Beauty, Personal Care, Deodorant &amp; Anti-Perspirant, Anti-Perspirant</v>
      </c>
    </row>
    <row r="2923">
      <c r="A2923" s="29">
        <v>543598.0</v>
      </c>
      <c r="B2923" s="29" t="s">
        <v>2945</v>
      </c>
      <c r="C2923" s="29" t="s">
        <v>3042</v>
      </c>
      <c r="D2923" s="29" t="s">
        <v>3103</v>
      </c>
      <c r="E2923" s="29" t="s">
        <v>3105</v>
      </c>
      <c r="F2923" s="62"/>
      <c r="G2923" s="20" t="str">
        <f t="shared" si="1"/>
        <v>Health &amp; Beauty, Personal Care, Deodorant &amp; Anti-Perspirant, Deodorant</v>
      </c>
    </row>
    <row r="2924">
      <c r="A2924" s="29">
        <v>506.0</v>
      </c>
      <c r="B2924" s="29" t="s">
        <v>2945</v>
      </c>
      <c r="C2924" s="29" t="s">
        <v>3042</v>
      </c>
      <c r="D2924" s="29" t="s">
        <v>3106</v>
      </c>
      <c r="E2924" s="62"/>
      <c r="F2924" s="62"/>
      <c r="G2924" s="20" t="str">
        <f t="shared" si="1"/>
        <v>Health &amp; Beauty, Personal Care, Ear Care, </v>
      </c>
    </row>
    <row r="2925">
      <c r="A2925" s="29">
        <v>5706.0</v>
      </c>
      <c r="B2925" s="29" t="s">
        <v>2945</v>
      </c>
      <c r="C2925" s="29" t="s">
        <v>3042</v>
      </c>
      <c r="D2925" s="29" t="s">
        <v>3106</v>
      </c>
      <c r="E2925" s="29" t="s">
        <v>3107</v>
      </c>
      <c r="F2925" s="62"/>
      <c r="G2925" s="20" t="str">
        <f t="shared" si="1"/>
        <v>Health &amp; Beauty, Personal Care, Ear Care, Ear Candles</v>
      </c>
    </row>
    <row r="2926">
      <c r="A2926" s="29">
        <v>6559.0</v>
      </c>
      <c r="B2926" s="29" t="s">
        <v>2945</v>
      </c>
      <c r="C2926" s="29" t="s">
        <v>3042</v>
      </c>
      <c r="D2926" s="29" t="s">
        <v>3106</v>
      </c>
      <c r="E2926" s="29" t="s">
        <v>3108</v>
      </c>
      <c r="F2926" s="62"/>
      <c r="G2926" s="20" t="str">
        <f t="shared" si="1"/>
        <v>Health &amp; Beauty, Personal Care, Ear Care, Ear Drops</v>
      </c>
    </row>
    <row r="2927">
      <c r="A2927" s="29">
        <v>6560.0</v>
      </c>
      <c r="B2927" s="29" t="s">
        <v>2945</v>
      </c>
      <c r="C2927" s="29" t="s">
        <v>3042</v>
      </c>
      <c r="D2927" s="29" t="s">
        <v>3106</v>
      </c>
      <c r="E2927" s="29" t="s">
        <v>3109</v>
      </c>
      <c r="F2927" s="62"/>
      <c r="G2927" s="20" t="str">
        <f t="shared" si="1"/>
        <v>Health &amp; Beauty, Personal Care, Ear Care, Ear Dryers</v>
      </c>
    </row>
    <row r="2928">
      <c r="A2928" s="29">
        <v>500024.0</v>
      </c>
      <c r="B2928" s="29" t="s">
        <v>2945</v>
      </c>
      <c r="C2928" s="29" t="s">
        <v>3042</v>
      </c>
      <c r="D2928" s="29" t="s">
        <v>3106</v>
      </c>
      <c r="E2928" s="29" t="s">
        <v>3110</v>
      </c>
      <c r="F2928" s="62"/>
      <c r="G2928" s="20" t="str">
        <f t="shared" si="1"/>
        <v>Health &amp; Beauty, Personal Care, Ear Care, Ear Picks &amp; Spoons</v>
      </c>
    </row>
    <row r="2929">
      <c r="A2929" s="29">
        <v>6561.0</v>
      </c>
      <c r="B2929" s="29" t="s">
        <v>2945</v>
      </c>
      <c r="C2929" s="29" t="s">
        <v>3042</v>
      </c>
      <c r="D2929" s="29" t="s">
        <v>3106</v>
      </c>
      <c r="E2929" s="29" t="s">
        <v>3111</v>
      </c>
      <c r="F2929" s="62"/>
      <c r="G2929" s="20" t="str">
        <f t="shared" si="1"/>
        <v>Health &amp; Beauty, Personal Care, Ear Care, Ear Syringes</v>
      </c>
    </row>
    <row r="2930">
      <c r="A2930" s="29">
        <v>6562.0</v>
      </c>
      <c r="B2930" s="29" t="s">
        <v>2945</v>
      </c>
      <c r="C2930" s="29" t="s">
        <v>3042</v>
      </c>
      <c r="D2930" s="29" t="s">
        <v>3106</v>
      </c>
      <c r="E2930" s="29" t="s">
        <v>3112</v>
      </c>
      <c r="F2930" s="62"/>
      <c r="G2930" s="20" t="str">
        <f t="shared" si="1"/>
        <v>Health &amp; Beauty, Personal Care, Ear Care, Ear Wax Removal Kits</v>
      </c>
    </row>
    <row r="2931">
      <c r="A2931" s="29">
        <v>7542.0</v>
      </c>
      <c r="B2931" s="29" t="s">
        <v>2945</v>
      </c>
      <c r="C2931" s="29" t="s">
        <v>3042</v>
      </c>
      <c r="D2931" s="29" t="s">
        <v>3106</v>
      </c>
      <c r="E2931" s="29" t="s">
        <v>3113</v>
      </c>
      <c r="F2931" s="62"/>
      <c r="G2931" s="20" t="str">
        <f t="shared" si="1"/>
        <v>Health &amp; Beauty, Personal Care, Ear Care, Earplug Dispensers</v>
      </c>
    </row>
    <row r="2932">
      <c r="A2932" s="29">
        <v>2596.0</v>
      </c>
      <c r="B2932" s="29" t="s">
        <v>2945</v>
      </c>
      <c r="C2932" s="29" t="s">
        <v>3042</v>
      </c>
      <c r="D2932" s="29" t="s">
        <v>3106</v>
      </c>
      <c r="E2932" s="29" t="s">
        <v>3114</v>
      </c>
      <c r="F2932" s="62"/>
      <c r="G2932" s="20" t="str">
        <f t="shared" si="1"/>
        <v>Health &amp; Beauty, Personal Care, Ear Care, Earplugs</v>
      </c>
    </row>
    <row r="2933">
      <c r="A2933" s="29">
        <v>7134.0</v>
      </c>
      <c r="B2933" s="29" t="s">
        <v>2945</v>
      </c>
      <c r="C2933" s="29" t="s">
        <v>3042</v>
      </c>
      <c r="D2933" s="29" t="s">
        <v>3115</v>
      </c>
      <c r="E2933" s="62"/>
      <c r="F2933" s="62"/>
      <c r="G2933" s="20" t="str">
        <f t="shared" si="1"/>
        <v>Health &amp; Beauty, Personal Care, Enema Kits &amp; Supplies, </v>
      </c>
    </row>
    <row r="2934">
      <c r="A2934" s="29">
        <v>485.0</v>
      </c>
      <c r="B2934" s="29" t="s">
        <v>2945</v>
      </c>
      <c r="C2934" s="29" t="s">
        <v>3042</v>
      </c>
      <c r="D2934" s="29" t="s">
        <v>3116</v>
      </c>
      <c r="F2934" s="62"/>
      <c r="G2934" s="20" t="str">
        <f t="shared" si="1"/>
        <v>Health &amp; Beauty, Personal Care, Feminine Sanitary Supplies, </v>
      </c>
    </row>
    <row r="2935">
      <c r="A2935" s="29">
        <v>6862.0</v>
      </c>
      <c r="B2935" s="29" t="s">
        <v>2945</v>
      </c>
      <c r="C2935" s="29" t="s">
        <v>3042</v>
      </c>
      <c r="D2935" s="29" t="s">
        <v>3116</v>
      </c>
      <c r="E2935" s="29" t="s">
        <v>3117</v>
      </c>
      <c r="F2935" s="62"/>
      <c r="G2935" s="20" t="str">
        <f t="shared" si="1"/>
        <v>Health &amp; Beauty, Personal Care, Feminine Sanitary Supplies, Feminine Deodorant</v>
      </c>
    </row>
    <row r="2936">
      <c r="A2936" s="29">
        <v>5821.0</v>
      </c>
      <c r="B2936" s="29" t="s">
        <v>2945</v>
      </c>
      <c r="C2936" s="29" t="s">
        <v>3042</v>
      </c>
      <c r="D2936" s="29" t="s">
        <v>3116</v>
      </c>
      <c r="E2936" s="29" t="s">
        <v>3118</v>
      </c>
      <c r="F2936" s="62"/>
      <c r="G2936" s="20" t="str">
        <f t="shared" si="1"/>
        <v>Health &amp; Beauty, Personal Care, Feminine Sanitary Supplies, Feminine Douches &amp; Creams</v>
      </c>
    </row>
    <row r="2937">
      <c r="A2937" s="29">
        <v>2387.0</v>
      </c>
      <c r="B2937" s="29" t="s">
        <v>2945</v>
      </c>
      <c r="C2937" s="29" t="s">
        <v>3042</v>
      </c>
      <c r="D2937" s="29" t="s">
        <v>3116</v>
      </c>
      <c r="E2937" s="29" t="s">
        <v>3119</v>
      </c>
      <c r="F2937" s="62"/>
      <c r="G2937" s="20" t="str">
        <f t="shared" si="1"/>
        <v>Health &amp; Beauty, Personal Care, Feminine Sanitary Supplies, Feminine Pads &amp; Protectors</v>
      </c>
    </row>
    <row r="2938">
      <c r="A2938" s="29">
        <v>8122.0</v>
      </c>
      <c r="B2938" s="29" t="s">
        <v>2945</v>
      </c>
      <c r="C2938" s="29" t="s">
        <v>3042</v>
      </c>
      <c r="D2938" s="29" t="s">
        <v>3116</v>
      </c>
      <c r="E2938" s="29" t="s">
        <v>3120</v>
      </c>
      <c r="F2938" s="62"/>
      <c r="G2938" s="20" t="str">
        <f t="shared" si="1"/>
        <v>Health &amp; Beauty, Personal Care, Feminine Sanitary Supplies, Menstrual Cups</v>
      </c>
    </row>
    <row r="2939">
      <c r="A2939" s="29">
        <v>2564.0</v>
      </c>
      <c r="B2939" s="29" t="s">
        <v>2945</v>
      </c>
      <c r="C2939" s="29" t="s">
        <v>3042</v>
      </c>
      <c r="D2939" s="29" t="s">
        <v>3116</v>
      </c>
      <c r="E2939" s="29" t="s">
        <v>3121</v>
      </c>
      <c r="F2939" s="62"/>
      <c r="G2939" s="20" t="str">
        <f t="shared" si="1"/>
        <v>Health &amp; Beauty, Personal Care, Feminine Sanitary Supplies, Tampons</v>
      </c>
    </row>
    <row r="2940">
      <c r="A2940" s="29">
        <v>515.0</v>
      </c>
      <c r="B2940" s="29" t="s">
        <v>2945</v>
      </c>
      <c r="C2940" s="29" t="s">
        <v>3042</v>
      </c>
      <c r="D2940" s="29" t="s">
        <v>3122</v>
      </c>
      <c r="E2940" s="62"/>
      <c r="F2940" s="62"/>
      <c r="G2940" s="20" t="str">
        <f t="shared" si="1"/>
        <v>Health &amp; Beauty, Personal Care, Foot Care, </v>
      </c>
    </row>
    <row r="2941">
      <c r="A2941" s="29">
        <v>2992.0</v>
      </c>
      <c r="B2941" s="29" t="s">
        <v>2945</v>
      </c>
      <c r="C2941" s="29" t="s">
        <v>3042</v>
      </c>
      <c r="D2941" s="29" t="s">
        <v>3122</v>
      </c>
      <c r="E2941" s="29" t="s">
        <v>3123</v>
      </c>
      <c r="F2941" s="62"/>
      <c r="G2941" s="20" t="str">
        <f t="shared" si="1"/>
        <v>Health &amp; Beauty, Personal Care, Foot Care, Bunion Care Supplies</v>
      </c>
    </row>
    <row r="2942">
      <c r="A2942" s="29">
        <v>3022.0</v>
      </c>
      <c r="B2942" s="29" t="s">
        <v>2945</v>
      </c>
      <c r="C2942" s="29" t="s">
        <v>3042</v>
      </c>
      <c r="D2942" s="29" t="s">
        <v>3122</v>
      </c>
      <c r="E2942" s="29" t="s">
        <v>3124</v>
      </c>
      <c r="F2942" s="62"/>
      <c r="G2942" s="20" t="str">
        <f t="shared" si="1"/>
        <v>Health &amp; Beauty, Personal Care, Foot Care, Corn &amp; Callus Care Supplies</v>
      </c>
    </row>
    <row r="2943">
      <c r="A2943" s="29">
        <v>3049.0</v>
      </c>
      <c r="B2943" s="29" t="s">
        <v>2945</v>
      </c>
      <c r="C2943" s="29" t="s">
        <v>3042</v>
      </c>
      <c r="D2943" s="29" t="s">
        <v>3122</v>
      </c>
      <c r="E2943" s="29" t="s">
        <v>3125</v>
      </c>
      <c r="F2943" s="62"/>
      <c r="G2943" s="20" t="str">
        <f t="shared" si="1"/>
        <v>Health &amp; Beauty, Personal Care, Foot Care, Foot Odor Removers</v>
      </c>
    </row>
    <row r="2944">
      <c r="A2944" s="29">
        <v>2801.0</v>
      </c>
      <c r="B2944" s="29" t="s">
        <v>2945</v>
      </c>
      <c r="C2944" s="29" t="s">
        <v>3042</v>
      </c>
      <c r="D2944" s="29" t="s">
        <v>3122</v>
      </c>
      <c r="E2944" s="29" t="s">
        <v>3126</v>
      </c>
      <c r="F2944" s="62"/>
      <c r="G2944" s="20" t="str">
        <f t="shared" si="1"/>
        <v>Health &amp; Beauty, Personal Care, Foot Care, Insoles &amp; Inserts</v>
      </c>
    </row>
    <row r="2945">
      <c r="A2945" s="29">
        <v>7495.0</v>
      </c>
      <c r="B2945" s="29" t="s">
        <v>2945</v>
      </c>
      <c r="C2945" s="29" t="s">
        <v>3042</v>
      </c>
      <c r="D2945" s="29" t="s">
        <v>3122</v>
      </c>
      <c r="E2945" s="29" t="s">
        <v>3127</v>
      </c>
      <c r="F2945" s="62"/>
      <c r="G2945" s="20" t="str">
        <f t="shared" si="1"/>
        <v>Health &amp; Beauty, Personal Care, Foot Care, Toe Spacers</v>
      </c>
    </row>
    <row r="2946">
      <c r="A2946" s="29">
        <v>486.0</v>
      </c>
      <c r="B2946" s="29" t="s">
        <v>2945</v>
      </c>
      <c r="C2946" s="29" t="s">
        <v>3042</v>
      </c>
      <c r="D2946" s="29" t="s">
        <v>3128</v>
      </c>
      <c r="E2946" s="62"/>
      <c r="F2946" s="62"/>
      <c r="G2946" s="20" t="str">
        <f t="shared" si="1"/>
        <v>Health &amp; Beauty, Personal Care, Hair Care, </v>
      </c>
    </row>
    <row r="2947">
      <c r="A2947" s="29">
        <v>8452.0</v>
      </c>
      <c r="B2947" s="29" t="s">
        <v>2945</v>
      </c>
      <c r="C2947" s="29" t="s">
        <v>3042</v>
      </c>
      <c r="D2947" s="29" t="s">
        <v>3128</v>
      </c>
      <c r="E2947" s="29" t="s">
        <v>3129</v>
      </c>
      <c r="F2947" s="62"/>
      <c r="G2947" s="20" t="str">
        <f t="shared" si="1"/>
        <v>Health &amp; Beauty, Personal Care, Hair Care, Hair Care Kits</v>
      </c>
    </row>
    <row r="2948">
      <c r="A2948" s="29">
        <v>2814.0</v>
      </c>
      <c r="B2948" s="29" t="s">
        <v>2945</v>
      </c>
      <c r="C2948" s="29" t="s">
        <v>3042</v>
      </c>
      <c r="D2948" s="29" t="s">
        <v>3128</v>
      </c>
      <c r="E2948" s="29" t="s">
        <v>3130</v>
      </c>
      <c r="F2948" s="62"/>
      <c r="G2948" s="20" t="str">
        <f t="shared" si="1"/>
        <v>Health &amp; Beauty, Personal Care, Hair Care, Hair Color</v>
      </c>
    </row>
    <row r="2949">
      <c r="A2949" s="29">
        <v>6053.0</v>
      </c>
      <c r="B2949" s="29" t="s">
        <v>2945</v>
      </c>
      <c r="C2949" s="29" t="s">
        <v>3042</v>
      </c>
      <c r="D2949" s="29" t="s">
        <v>3128</v>
      </c>
      <c r="E2949" s="29" t="s">
        <v>3131</v>
      </c>
      <c r="F2949" s="62"/>
      <c r="G2949" s="20" t="str">
        <f t="shared" si="1"/>
        <v>Health &amp; Beauty, Personal Care, Hair Care, Hair Color Removers</v>
      </c>
    </row>
    <row r="2950">
      <c r="A2950" s="29">
        <v>5977.0</v>
      </c>
      <c r="B2950" s="29" t="s">
        <v>2945</v>
      </c>
      <c r="C2950" s="29" t="s">
        <v>3042</v>
      </c>
      <c r="D2950" s="29" t="s">
        <v>3128</v>
      </c>
      <c r="E2950" s="29" t="s">
        <v>3132</v>
      </c>
      <c r="F2950" s="62"/>
      <c r="G2950" s="20" t="str">
        <f t="shared" si="1"/>
        <v>Health &amp; Beauty, Personal Care, Hair Care, Hair Coloring Accessories</v>
      </c>
    </row>
    <row r="2951">
      <c r="A2951" s="29">
        <v>6099.0</v>
      </c>
      <c r="B2951" s="29" t="s">
        <v>2945</v>
      </c>
      <c r="C2951" s="29" t="s">
        <v>3042</v>
      </c>
      <c r="D2951" s="29" t="s">
        <v>3128</v>
      </c>
      <c r="E2951" s="29" t="s">
        <v>3133</v>
      </c>
      <c r="F2951" s="62"/>
      <c r="G2951" s="20" t="str">
        <f t="shared" si="1"/>
        <v>Health &amp; Beauty, Personal Care, Hair Care, Hair Loss Concealers</v>
      </c>
    </row>
    <row r="2952">
      <c r="A2952" s="29">
        <v>4766.0</v>
      </c>
      <c r="B2952" s="29" t="s">
        <v>2945</v>
      </c>
      <c r="C2952" s="29" t="s">
        <v>3042</v>
      </c>
      <c r="D2952" s="29" t="s">
        <v>3128</v>
      </c>
      <c r="E2952" s="29" t="s">
        <v>3134</v>
      </c>
      <c r="F2952" s="62"/>
      <c r="G2952" s="20" t="str">
        <f t="shared" si="1"/>
        <v>Health &amp; Beauty, Personal Care, Hair Care, Hair Loss Treatments</v>
      </c>
    </row>
    <row r="2953">
      <c r="A2953" s="29">
        <v>6052.0</v>
      </c>
      <c r="B2953" s="29" t="s">
        <v>2945</v>
      </c>
      <c r="C2953" s="29" t="s">
        <v>3042</v>
      </c>
      <c r="D2953" s="29" t="s">
        <v>3128</v>
      </c>
      <c r="E2953" s="29" t="s">
        <v>3135</v>
      </c>
      <c r="F2953" s="62"/>
      <c r="G2953" s="20" t="str">
        <f t="shared" si="1"/>
        <v>Health &amp; Beauty, Personal Care, Hair Care, Hair Permanents &amp; Straighteners</v>
      </c>
    </row>
    <row r="2954">
      <c r="A2954" s="29">
        <v>3013.0</v>
      </c>
      <c r="B2954" s="29" t="s">
        <v>2945</v>
      </c>
      <c r="C2954" s="29" t="s">
        <v>3042</v>
      </c>
      <c r="D2954" s="29" t="s">
        <v>3128</v>
      </c>
      <c r="E2954" s="29" t="s">
        <v>3136</v>
      </c>
      <c r="F2954" s="62"/>
      <c r="G2954" s="20" t="str">
        <f t="shared" si="1"/>
        <v>Health &amp; Beauty, Personal Care, Hair Care, Hair Shears</v>
      </c>
    </row>
    <row r="2955">
      <c r="A2955" s="29">
        <v>6429.0</v>
      </c>
      <c r="B2955" s="29" t="s">
        <v>2945</v>
      </c>
      <c r="C2955" s="29" t="s">
        <v>3042</v>
      </c>
      <c r="D2955" s="29" t="s">
        <v>3128</v>
      </c>
      <c r="E2955" s="29" t="s">
        <v>3137</v>
      </c>
      <c r="F2955" s="62"/>
      <c r="G2955" s="20" t="str">
        <f t="shared" si="1"/>
        <v>Health &amp; Beauty, Personal Care, Hair Care, Hair Steamers &amp; Heat Caps</v>
      </c>
    </row>
    <row r="2956">
      <c r="A2956" s="29">
        <v>1901.0</v>
      </c>
      <c r="B2956" s="29" t="s">
        <v>2945</v>
      </c>
      <c r="C2956" s="29" t="s">
        <v>3042</v>
      </c>
      <c r="D2956" s="29" t="s">
        <v>3128</v>
      </c>
      <c r="E2956" s="29" t="s">
        <v>3138</v>
      </c>
      <c r="F2956" s="62"/>
      <c r="G2956" s="20" t="str">
        <f t="shared" si="1"/>
        <v>Health &amp; Beauty, Personal Care, Hair Care, Hair Styling Products</v>
      </c>
    </row>
    <row r="2957">
      <c r="A2957" s="29">
        <v>6018.0</v>
      </c>
      <c r="B2957" s="29" t="s">
        <v>2945</v>
      </c>
      <c r="C2957" s="29" t="s">
        <v>3042</v>
      </c>
      <c r="D2957" s="29" t="s">
        <v>3128</v>
      </c>
      <c r="E2957" s="29" t="s">
        <v>3139</v>
      </c>
      <c r="F2957" s="62"/>
      <c r="G2957" s="20" t="str">
        <f t="shared" si="1"/>
        <v>Health &amp; Beauty, Personal Care, Hair Care, Hair Styling Tool Accessories</v>
      </c>
    </row>
    <row r="2958">
      <c r="A2958" s="29">
        <v>5317.0</v>
      </c>
      <c r="B2958" s="29" t="s">
        <v>2945</v>
      </c>
      <c r="C2958" s="29" t="s">
        <v>3042</v>
      </c>
      <c r="D2958" s="29" t="s">
        <v>3128</v>
      </c>
      <c r="E2958" s="29" t="s">
        <v>3139</v>
      </c>
      <c r="F2958" s="29" t="s">
        <v>3140</v>
      </c>
      <c r="G2958" s="20" t="str">
        <f t="shared" si="1"/>
        <v>Health &amp; Beauty, Personal Care, Hair Care, Hair Styling Tool AccessoriesHair Curler Clips &amp; Pins</v>
      </c>
    </row>
    <row r="2959">
      <c r="A2959" s="29">
        <v>4475.0</v>
      </c>
      <c r="B2959" s="29" t="s">
        <v>2945</v>
      </c>
      <c r="C2959" s="29" t="s">
        <v>3042</v>
      </c>
      <c r="D2959" s="29" t="s">
        <v>3128</v>
      </c>
      <c r="E2959" s="29" t="s">
        <v>3139</v>
      </c>
      <c r="F2959" s="29" t="s">
        <v>3141</v>
      </c>
      <c r="G2959" s="20" t="str">
        <f t="shared" si="1"/>
        <v>Health &amp; Beauty, Personal Care, Hair Care, Hair Styling Tool AccessoriesHair Dryer Accessories</v>
      </c>
    </row>
    <row r="2960">
      <c r="A2960" s="29">
        <v>4569.0</v>
      </c>
      <c r="B2960" s="29" t="s">
        <v>2945</v>
      </c>
      <c r="C2960" s="29" t="s">
        <v>3042</v>
      </c>
      <c r="D2960" s="29" t="s">
        <v>3128</v>
      </c>
      <c r="E2960" s="29" t="s">
        <v>3139</v>
      </c>
      <c r="F2960" s="29" t="s">
        <v>3142</v>
      </c>
      <c r="G2960" s="20" t="str">
        <f t="shared" si="1"/>
        <v>Health &amp; Beauty, Personal Care, Hair Care, Hair Styling Tool AccessoriesHair Iron Accessories</v>
      </c>
    </row>
    <row r="2961">
      <c r="A2961" s="29">
        <v>6019.0</v>
      </c>
      <c r="B2961" s="29" t="s">
        <v>2945</v>
      </c>
      <c r="C2961" s="29" t="s">
        <v>3042</v>
      </c>
      <c r="D2961" s="29" t="s">
        <v>3128</v>
      </c>
      <c r="E2961" s="29" t="s">
        <v>3143</v>
      </c>
      <c r="F2961" s="62"/>
      <c r="G2961" s="20" t="str">
        <f t="shared" si="1"/>
        <v>Health &amp; Beauty, Personal Care, Hair Care, Hair Styling Tools</v>
      </c>
    </row>
    <row r="2962">
      <c r="A2962" s="29">
        <v>487.0</v>
      </c>
      <c r="B2962" s="29" t="s">
        <v>2945</v>
      </c>
      <c r="C2962" s="29" t="s">
        <v>3042</v>
      </c>
      <c r="D2962" s="29" t="s">
        <v>3128</v>
      </c>
      <c r="E2962" s="29" t="s">
        <v>3143</v>
      </c>
      <c r="F2962" s="29" t="s">
        <v>3144</v>
      </c>
      <c r="G2962" s="20" t="str">
        <f t="shared" si="1"/>
        <v>Health &amp; Beauty, Personal Care, Hair Care, Hair Styling ToolsCombs &amp; Brushes</v>
      </c>
    </row>
    <row r="2963">
      <c r="A2963" s="29">
        <v>489.0</v>
      </c>
      <c r="B2963" s="29" t="s">
        <v>2945</v>
      </c>
      <c r="C2963" s="29" t="s">
        <v>3042</v>
      </c>
      <c r="D2963" s="29" t="s">
        <v>3128</v>
      </c>
      <c r="E2963" s="29" t="s">
        <v>3143</v>
      </c>
      <c r="F2963" s="29" t="s">
        <v>3145</v>
      </c>
      <c r="G2963" s="20" t="str">
        <f t="shared" si="1"/>
        <v>Health &amp; Beauty, Personal Care, Hair Care, Hair Styling ToolsCurling Irons</v>
      </c>
    </row>
    <row r="2964">
      <c r="A2964" s="29">
        <v>488.0</v>
      </c>
      <c r="B2964" s="29" t="s">
        <v>2945</v>
      </c>
      <c r="C2964" s="29" t="s">
        <v>3042</v>
      </c>
      <c r="D2964" s="29" t="s">
        <v>3128</v>
      </c>
      <c r="E2964" s="29" t="s">
        <v>3143</v>
      </c>
      <c r="F2964" s="29" t="s">
        <v>3146</v>
      </c>
      <c r="G2964" s="20" t="str">
        <f t="shared" si="1"/>
        <v>Health &amp; Beauty, Personal Care, Hair Care, Hair Styling ToolsHair Curlers</v>
      </c>
    </row>
    <row r="2965">
      <c r="A2965" s="29">
        <v>490.0</v>
      </c>
      <c r="B2965" s="29" t="s">
        <v>2945</v>
      </c>
      <c r="C2965" s="29" t="s">
        <v>3042</v>
      </c>
      <c r="D2965" s="29" t="s">
        <v>3128</v>
      </c>
      <c r="E2965" s="29" t="s">
        <v>3143</v>
      </c>
      <c r="F2965" s="29" t="s">
        <v>3147</v>
      </c>
      <c r="G2965" s="20" t="str">
        <f t="shared" si="1"/>
        <v>Health &amp; Beauty, Personal Care, Hair Care, Hair Styling ToolsHair Dryers</v>
      </c>
    </row>
    <row r="2966">
      <c r="A2966" s="29">
        <v>3407.0</v>
      </c>
      <c r="B2966" s="29" t="s">
        <v>2945</v>
      </c>
      <c r="C2966" s="29" t="s">
        <v>3042</v>
      </c>
      <c r="D2966" s="29" t="s">
        <v>3128</v>
      </c>
      <c r="E2966" s="29" t="s">
        <v>3143</v>
      </c>
      <c r="F2966" s="29" t="s">
        <v>3148</v>
      </c>
      <c r="G2966" s="20" t="str">
        <f t="shared" si="1"/>
        <v>Health &amp; Beauty, Personal Care, Hair Care, Hair Styling ToolsHair Straighteners</v>
      </c>
    </row>
    <row r="2967">
      <c r="A2967" s="29">
        <v>499992.0</v>
      </c>
      <c r="B2967" s="29" t="s">
        <v>2945</v>
      </c>
      <c r="C2967" s="29" t="s">
        <v>3042</v>
      </c>
      <c r="D2967" s="29" t="s">
        <v>3128</v>
      </c>
      <c r="E2967" s="29" t="s">
        <v>3143</v>
      </c>
      <c r="F2967" s="29" t="s">
        <v>3149</v>
      </c>
      <c r="G2967" s="20" t="str">
        <f t="shared" si="1"/>
        <v>Health &amp; Beauty, Personal Care, Hair Care, Hair Styling ToolsHair Styling Tool Sets</v>
      </c>
    </row>
    <row r="2968">
      <c r="A2968" s="29">
        <v>2441.0</v>
      </c>
      <c r="B2968" s="29" t="s">
        <v>2945</v>
      </c>
      <c r="C2968" s="29" t="s">
        <v>3042</v>
      </c>
      <c r="D2968" s="29" t="s">
        <v>3128</v>
      </c>
      <c r="E2968" s="29" t="s">
        <v>3150</v>
      </c>
      <c r="F2968" s="62"/>
      <c r="G2968" s="20" t="str">
        <f t="shared" si="1"/>
        <v>Health &amp; Beauty, Personal Care, Hair Care, Shampoo &amp; Conditioner</v>
      </c>
    </row>
    <row r="2969">
      <c r="A2969" s="29">
        <v>543616.0</v>
      </c>
      <c r="B2969" s="29" t="s">
        <v>2945</v>
      </c>
      <c r="C2969" s="29" t="s">
        <v>3042</v>
      </c>
      <c r="D2969" s="29" t="s">
        <v>3128</v>
      </c>
      <c r="E2969" s="29" t="s">
        <v>3150</v>
      </c>
      <c r="F2969" s="29" t="s">
        <v>3151</v>
      </c>
      <c r="G2969" s="20" t="str">
        <f t="shared" si="1"/>
        <v>Health &amp; Beauty, Personal Care, Hair Care, Shampoo &amp; ConditionerConditioners</v>
      </c>
    </row>
    <row r="2970">
      <c r="A2970" s="29">
        <v>543615.0</v>
      </c>
      <c r="B2970" s="29" t="s">
        <v>2945</v>
      </c>
      <c r="C2970" s="29" t="s">
        <v>3042</v>
      </c>
      <c r="D2970" s="29" t="s">
        <v>3128</v>
      </c>
      <c r="E2970" s="29" t="s">
        <v>3150</v>
      </c>
      <c r="F2970" s="29" t="s">
        <v>3152</v>
      </c>
      <c r="G2970" s="20" t="str">
        <f t="shared" si="1"/>
        <v>Health &amp; Beauty, Personal Care, Hair Care, Shampoo &amp; ConditionerShampoo</v>
      </c>
    </row>
    <row r="2971">
      <c r="A2971" s="29">
        <v>543617.0</v>
      </c>
      <c r="B2971" s="29" t="s">
        <v>2945</v>
      </c>
      <c r="C2971" s="29" t="s">
        <v>3042</v>
      </c>
      <c r="D2971" s="29" t="s">
        <v>3128</v>
      </c>
      <c r="E2971" s="29" t="s">
        <v>3150</v>
      </c>
      <c r="F2971" s="29" t="s">
        <v>3153</v>
      </c>
      <c r="G2971" s="20" t="str">
        <f t="shared" si="1"/>
        <v>Health &amp; Beauty, Personal Care, Hair Care, Shampoo &amp; ConditionerShampoo &amp; Conditioner Sets</v>
      </c>
    </row>
    <row r="2972">
      <c r="A2972" s="29">
        <v>5663.0</v>
      </c>
      <c r="B2972" s="29" t="s">
        <v>2945</v>
      </c>
      <c r="C2972" s="29" t="s">
        <v>3042</v>
      </c>
      <c r="D2972" s="29" t="s">
        <v>3154</v>
      </c>
      <c r="E2972" s="62"/>
      <c r="F2972" s="62"/>
      <c r="G2972" s="20" t="str">
        <f t="shared" si="1"/>
        <v>Health &amp; Beauty, Personal Care, Massage &amp; Relaxation, </v>
      </c>
    </row>
    <row r="2973">
      <c r="A2973" s="29">
        <v>500060.0</v>
      </c>
      <c r="B2973" s="29" t="s">
        <v>2945</v>
      </c>
      <c r="C2973" s="29" t="s">
        <v>3042</v>
      </c>
      <c r="D2973" s="29" t="s">
        <v>3154</v>
      </c>
      <c r="E2973" s="29" t="s">
        <v>3155</v>
      </c>
      <c r="F2973" s="62"/>
      <c r="G2973" s="20" t="str">
        <f t="shared" si="1"/>
        <v>Health &amp; Beauty, Personal Care, Massage &amp; Relaxation, Back Scratchers</v>
      </c>
    </row>
    <row r="2974">
      <c r="A2974" s="29">
        <v>233420.0</v>
      </c>
      <c r="B2974" s="29" t="s">
        <v>2945</v>
      </c>
      <c r="C2974" s="29" t="s">
        <v>3042</v>
      </c>
      <c r="D2974" s="29" t="s">
        <v>3154</v>
      </c>
      <c r="E2974" s="29" t="s">
        <v>3156</v>
      </c>
      <c r="F2974" s="62"/>
      <c r="G2974" s="20" t="str">
        <f t="shared" si="1"/>
        <v>Health &amp; Beauty, Personal Care, Massage &amp; Relaxation, Eye Pillows</v>
      </c>
    </row>
    <row r="2975">
      <c r="A2975" s="29">
        <v>1442.0</v>
      </c>
      <c r="B2975" s="29" t="s">
        <v>2945</v>
      </c>
      <c r="C2975" s="29" t="s">
        <v>3042</v>
      </c>
      <c r="D2975" s="29" t="s">
        <v>3154</v>
      </c>
      <c r="E2975" s="29" t="s">
        <v>3157</v>
      </c>
      <c r="F2975" s="62"/>
      <c r="G2975" s="20" t="str">
        <f t="shared" si="1"/>
        <v>Health &amp; Beauty, Personal Care, Massage &amp; Relaxation, Massage Chairs</v>
      </c>
    </row>
    <row r="2976">
      <c r="A2976" s="29">
        <v>5664.0</v>
      </c>
      <c r="B2976" s="29" t="s">
        <v>2945</v>
      </c>
      <c r="C2976" s="29" t="s">
        <v>3042</v>
      </c>
      <c r="D2976" s="29" t="s">
        <v>3154</v>
      </c>
      <c r="E2976" s="29" t="s">
        <v>3158</v>
      </c>
      <c r="F2976" s="62"/>
      <c r="G2976" s="20" t="str">
        <f t="shared" si="1"/>
        <v>Health &amp; Beauty, Personal Care, Massage &amp; Relaxation, Massage Oil</v>
      </c>
    </row>
    <row r="2977">
      <c r="A2977" s="29">
        <v>8530.0</v>
      </c>
      <c r="B2977" s="29" t="s">
        <v>2945</v>
      </c>
      <c r="C2977" s="29" t="s">
        <v>3042</v>
      </c>
      <c r="D2977" s="29" t="s">
        <v>3154</v>
      </c>
      <c r="E2977" s="29" t="s">
        <v>3159</v>
      </c>
      <c r="F2977" s="62"/>
      <c r="G2977" s="20" t="str">
        <f t="shared" si="1"/>
        <v>Health &amp; Beauty, Personal Care, Massage &amp; Relaxation, Massage Stone Warmers</v>
      </c>
    </row>
    <row r="2978">
      <c r="A2978" s="29">
        <v>8135.0</v>
      </c>
      <c r="B2978" s="29" t="s">
        <v>2945</v>
      </c>
      <c r="C2978" s="29" t="s">
        <v>3042</v>
      </c>
      <c r="D2978" s="29" t="s">
        <v>3154</v>
      </c>
      <c r="E2978" s="29" t="s">
        <v>3160</v>
      </c>
      <c r="F2978" s="62"/>
      <c r="G2978" s="20" t="str">
        <f t="shared" si="1"/>
        <v>Health &amp; Beauty, Personal Care, Massage &amp; Relaxation, Massage Stones</v>
      </c>
    </row>
    <row r="2979">
      <c r="A2979" s="29">
        <v>2074.0</v>
      </c>
      <c r="B2979" s="29" t="s">
        <v>2945</v>
      </c>
      <c r="C2979" s="29" t="s">
        <v>3042</v>
      </c>
      <c r="D2979" s="29" t="s">
        <v>3154</v>
      </c>
      <c r="E2979" s="29" t="s">
        <v>3161</v>
      </c>
      <c r="F2979" s="62"/>
      <c r="G2979" s="20" t="str">
        <f t="shared" si="1"/>
        <v>Health &amp; Beauty, Personal Care, Massage &amp; Relaxation, Massage Tables</v>
      </c>
    </row>
    <row r="2980">
      <c r="A2980" s="29">
        <v>471.0</v>
      </c>
      <c r="B2980" s="29" t="s">
        <v>2945</v>
      </c>
      <c r="C2980" s="29" t="s">
        <v>3042</v>
      </c>
      <c r="D2980" s="29" t="s">
        <v>3154</v>
      </c>
      <c r="E2980" s="29" t="s">
        <v>3162</v>
      </c>
      <c r="F2980" s="62"/>
      <c r="G2980" s="20" t="str">
        <f t="shared" si="1"/>
        <v>Health &amp; Beauty, Personal Care, Massage &amp; Relaxation, Massagers</v>
      </c>
    </row>
    <row r="2981">
      <c r="A2981" s="29">
        <v>543596.0</v>
      </c>
      <c r="B2981" s="29" t="s">
        <v>2945</v>
      </c>
      <c r="C2981" s="29" t="s">
        <v>3042</v>
      </c>
      <c r="D2981" s="29" t="s">
        <v>3154</v>
      </c>
      <c r="E2981" s="29" t="s">
        <v>3162</v>
      </c>
      <c r="F2981" s="29" t="s">
        <v>3163</v>
      </c>
      <c r="G2981" s="20" t="str">
        <f t="shared" si="1"/>
        <v>Health &amp; Beauty, Personal Care, Massage &amp; Relaxation, MassagersElectric Massagers</v>
      </c>
    </row>
    <row r="2982">
      <c r="A2982" s="29">
        <v>543597.0</v>
      </c>
      <c r="B2982" s="29" t="s">
        <v>2945</v>
      </c>
      <c r="C2982" s="29" t="s">
        <v>3042</v>
      </c>
      <c r="D2982" s="29" t="s">
        <v>3154</v>
      </c>
      <c r="E2982" s="29" t="s">
        <v>3162</v>
      </c>
      <c r="F2982" s="29" t="s">
        <v>3164</v>
      </c>
      <c r="G2982" s="20" t="str">
        <f t="shared" si="1"/>
        <v>Health &amp; Beauty, Personal Care, Massage &amp; Relaxation, MassagersManual Massage Tools</v>
      </c>
    </row>
    <row r="2983">
      <c r="A2983" s="29">
        <v>543595.0</v>
      </c>
      <c r="B2983" s="29" t="s">
        <v>2945</v>
      </c>
      <c r="C2983" s="29" t="s">
        <v>3042</v>
      </c>
      <c r="D2983" s="29" t="s">
        <v>3154</v>
      </c>
      <c r="E2983" s="29" t="s">
        <v>3162</v>
      </c>
      <c r="F2983" s="29" t="s">
        <v>3165</v>
      </c>
      <c r="G2983" s="20" t="str">
        <f t="shared" si="1"/>
        <v>Health &amp; Beauty, Personal Care, Massage &amp; Relaxation, MassagersMassage Cushions</v>
      </c>
    </row>
    <row r="2984">
      <c r="A2984" s="29">
        <v>526.0</v>
      </c>
      <c r="B2984" s="29" t="s">
        <v>2945</v>
      </c>
      <c r="C2984" s="29" t="s">
        <v>3042</v>
      </c>
      <c r="D2984" s="29" t="s">
        <v>3166</v>
      </c>
      <c r="E2984" s="62"/>
      <c r="F2984" s="62"/>
      <c r="G2984" s="20" t="str">
        <f t="shared" si="1"/>
        <v>Health &amp; Beauty, Personal Care, Oral Care, </v>
      </c>
    </row>
    <row r="2985">
      <c r="A2985" s="29">
        <v>6189.0</v>
      </c>
      <c r="B2985" s="29" t="s">
        <v>2945</v>
      </c>
      <c r="C2985" s="29" t="s">
        <v>3042</v>
      </c>
      <c r="D2985" s="29" t="s">
        <v>3166</v>
      </c>
      <c r="E2985" s="29" t="s">
        <v>3167</v>
      </c>
      <c r="F2985" s="62"/>
      <c r="G2985" s="20" t="str">
        <f t="shared" si="1"/>
        <v>Health &amp; Beauty, Personal Care, Oral Care, Breath Spray</v>
      </c>
    </row>
    <row r="2986">
      <c r="A2986" s="29">
        <v>2620.0</v>
      </c>
      <c r="B2986" s="29" t="s">
        <v>2945</v>
      </c>
      <c r="C2986" s="29" t="s">
        <v>3042</v>
      </c>
      <c r="D2986" s="29" t="s">
        <v>3166</v>
      </c>
      <c r="E2986" s="29" t="s">
        <v>3168</v>
      </c>
      <c r="F2986" s="62"/>
      <c r="G2986" s="20" t="str">
        <f t="shared" si="1"/>
        <v>Health &amp; Beauty, Personal Care, Oral Care, Dental Floss</v>
      </c>
    </row>
    <row r="2987">
      <c r="A2987" s="29">
        <v>5823.0</v>
      </c>
      <c r="B2987" s="29" t="s">
        <v>2945</v>
      </c>
      <c r="C2987" s="29" t="s">
        <v>3042</v>
      </c>
      <c r="D2987" s="29" t="s">
        <v>3166</v>
      </c>
      <c r="E2987" s="29" t="s">
        <v>3169</v>
      </c>
      <c r="F2987" s="62"/>
      <c r="G2987" s="20" t="str">
        <f t="shared" si="1"/>
        <v>Health &amp; Beauty, Personal Care, Oral Care, Dental Mouthguards</v>
      </c>
    </row>
    <row r="2988">
      <c r="A2988" s="29">
        <v>6455.0</v>
      </c>
      <c r="B2988" s="29" t="s">
        <v>2945</v>
      </c>
      <c r="C2988" s="29" t="s">
        <v>3042</v>
      </c>
      <c r="D2988" s="29" t="s">
        <v>3166</v>
      </c>
      <c r="E2988" s="29" t="s">
        <v>3170</v>
      </c>
      <c r="G2988" s="20" t="str">
        <f t="shared" si="1"/>
        <v>Health &amp; Beauty, Personal Care, Oral Care, Dental Water Jet Replacement Tips</v>
      </c>
    </row>
    <row r="2989">
      <c r="A2989" s="29">
        <v>5295.0</v>
      </c>
      <c r="B2989" s="29" t="s">
        <v>2945</v>
      </c>
      <c r="C2989" s="29" t="s">
        <v>3042</v>
      </c>
      <c r="D2989" s="29" t="s">
        <v>3166</v>
      </c>
      <c r="E2989" s="29" t="s">
        <v>3171</v>
      </c>
      <c r="F2989" s="62"/>
      <c r="G2989" s="20" t="str">
        <f t="shared" si="1"/>
        <v>Health &amp; Beauty, Personal Care, Oral Care, Dental Water Jets</v>
      </c>
    </row>
    <row r="2990">
      <c r="A2990" s="29">
        <v>5155.0</v>
      </c>
      <c r="B2990" s="29" t="s">
        <v>2945</v>
      </c>
      <c r="C2990" s="29" t="s">
        <v>3042</v>
      </c>
      <c r="D2990" s="29" t="s">
        <v>3166</v>
      </c>
      <c r="E2990" s="29" t="s">
        <v>3172</v>
      </c>
      <c r="F2990" s="62"/>
      <c r="G2990" s="20" t="str">
        <f t="shared" si="1"/>
        <v>Health &amp; Beauty, Personal Care, Oral Care, Denture Adhesives</v>
      </c>
    </row>
    <row r="2991">
      <c r="A2991" s="29">
        <v>5824.0</v>
      </c>
      <c r="B2991" s="29" t="s">
        <v>2945</v>
      </c>
      <c r="C2991" s="29" t="s">
        <v>3042</v>
      </c>
      <c r="D2991" s="29" t="s">
        <v>3166</v>
      </c>
      <c r="E2991" s="29" t="s">
        <v>3173</v>
      </c>
      <c r="F2991" s="62"/>
      <c r="G2991" s="20" t="str">
        <f t="shared" si="1"/>
        <v>Health &amp; Beauty, Personal Care, Oral Care, Denture Cleaners</v>
      </c>
    </row>
    <row r="2992">
      <c r="A2992" s="29">
        <v>8543.0</v>
      </c>
      <c r="B2992" s="29" t="s">
        <v>2945</v>
      </c>
      <c r="C2992" s="29" t="s">
        <v>3042</v>
      </c>
      <c r="D2992" s="29" t="s">
        <v>3166</v>
      </c>
      <c r="E2992" s="29" t="s">
        <v>3174</v>
      </c>
      <c r="F2992" s="62"/>
      <c r="G2992" s="20" t="str">
        <f t="shared" si="1"/>
        <v>Health &amp; Beauty, Personal Care, Oral Care, Denture Repair Kits</v>
      </c>
    </row>
    <row r="2993">
      <c r="A2993" s="29">
        <v>2527.0</v>
      </c>
      <c r="B2993" s="29" t="s">
        <v>2945</v>
      </c>
      <c r="C2993" s="29" t="s">
        <v>3042</v>
      </c>
      <c r="D2993" s="29" t="s">
        <v>3166</v>
      </c>
      <c r="E2993" s="29" t="s">
        <v>3175</v>
      </c>
      <c r="F2993" s="62"/>
      <c r="G2993" s="20" t="str">
        <f t="shared" si="1"/>
        <v>Health &amp; Beauty, Personal Care, Oral Care, Dentures</v>
      </c>
    </row>
    <row r="2994">
      <c r="A2994" s="29">
        <v>2769.0</v>
      </c>
      <c r="B2994" s="29" t="s">
        <v>2945</v>
      </c>
      <c r="C2994" s="29" t="s">
        <v>3042</v>
      </c>
      <c r="D2994" s="29" t="s">
        <v>3166</v>
      </c>
      <c r="E2994" s="29" t="s">
        <v>3176</v>
      </c>
      <c r="F2994" s="62"/>
      <c r="G2994" s="20" t="str">
        <f t="shared" si="1"/>
        <v>Health &amp; Beauty, Personal Care, Oral Care, Gum Stimulators</v>
      </c>
    </row>
    <row r="2995">
      <c r="A2995" s="29">
        <v>3040.0</v>
      </c>
      <c r="B2995" s="29" t="s">
        <v>2945</v>
      </c>
      <c r="C2995" s="29" t="s">
        <v>3042</v>
      </c>
      <c r="D2995" s="29" t="s">
        <v>3166</v>
      </c>
      <c r="E2995" s="29" t="s">
        <v>3177</v>
      </c>
      <c r="F2995" s="62"/>
      <c r="G2995" s="20" t="str">
        <f t="shared" si="1"/>
        <v>Health &amp; Beauty, Personal Care, Oral Care, Mouthwash</v>
      </c>
    </row>
    <row r="2996">
      <c r="A2996" s="29">
        <v>505367.0</v>
      </c>
      <c r="B2996" s="29" t="s">
        <v>2945</v>
      </c>
      <c r="C2996" s="29" t="s">
        <v>3042</v>
      </c>
      <c r="D2996" s="29" t="s">
        <v>3166</v>
      </c>
      <c r="E2996" s="29" t="s">
        <v>3178</v>
      </c>
      <c r="F2996" s="62"/>
      <c r="G2996" s="20" t="str">
        <f t="shared" si="1"/>
        <v>Health &amp; Beauty, Personal Care, Oral Care, Orthodontic Appliance Cases</v>
      </c>
    </row>
    <row r="2997">
      <c r="A2997" s="29">
        <v>6715.0</v>
      </c>
      <c r="B2997" s="29" t="s">
        <v>2945</v>
      </c>
      <c r="C2997" s="29" t="s">
        <v>3042</v>
      </c>
      <c r="D2997" s="29" t="s">
        <v>3166</v>
      </c>
      <c r="E2997" s="29" t="s">
        <v>3179</v>
      </c>
      <c r="F2997" s="62"/>
      <c r="G2997" s="20" t="str">
        <f t="shared" si="1"/>
        <v>Health &amp; Beauty, Personal Care, Oral Care, Power Flossers</v>
      </c>
    </row>
    <row r="2998">
      <c r="A2998" s="29">
        <v>3019.0</v>
      </c>
      <c r="B2998" s="29" t="s">
        <v>2945</v>
      </c>
      <c r="C2998" s="29" t="s">
        <v>3042</v>
      </c>
      <c r="D2998" s="29" t="s">
        <v>3166</v>
      </c>
      <c r="E2998" s="29" t="s">
        <v>3180</v>
      </c>
      <c r="F2998" s="62"/>
      <c r="G2998" s="20" t="str">
        <f t="shared" si="1"/>
        <v>Health &amp; Beauty, Personal Care, Oral Care, Teeth Whiteners</v>
      </c>
    </row>
    <row r="2999">
      <c r="A2999" s="29">
        <v>6441.0</v>
      </c>
      <c r="B2999" s="29" t="s">
        <v>2945</v>
      </c>
      <c r="C2999" s="29" t="s">
        <v>3042</v>
      </c>
      <c r="D2999" s="29" t="s">
        <v>3166</v>
      </c>
      <c r="E2999" s="29" t="s">
        <v>3181</v>
      </c>
      <c r="F2999" s="62"/>
      <c r="G2999" s="20" t="str">
        <f t="shared" si="1"/>
        <v>Health &amp; Beauty, Personal Care, Oral Care, Tongue Scrapers</v>
      </c>
    </row>
    <row r="3000">
      <c r="A3000" s="29">
        <v>4775.0</v>
      </c>
      <c r="B3000" s="29" t="s">
        <v>2945</v>
      </c>
      <c r="C3000" s="29" t="s">
        <v>3042</v>
      </c>
      <c r="D3000" s="29" t="s">
        <v>3166</v>
      </c>
      <c r="E3000" s="29" t="s">
        <v>3182</v>
      </c>
      <c r="F3000" s="62"/>
      <c r="G3000" s="20" t="str">
        <f t="shared" si="1"/>
        <v>Health &amp; Beauty, Personal Care, Oral Care, Toothbrush Accessories</v>
      </c>
    </row>
    <row r="3001">
      <c r="A3001" s="29">
        <v>6920.0</v>
      </c>
      <c r="B3001" s="29" t="s">
        <v>2945</v>
      </c>
      <c r="C3001" s="29" t="s">
        <v>3042</v>
      </c>
      <c r="D3001" s="29" t="s">
        <v>3166</v>
      </c>
      <c r="E3001" s="29" t="s">
        <v>3182</v>
      </c>
      <c r="F3001" s="29" t="s">
        <v>3183</v>
      </c>
      <c r="G3001" s="20" t="str">
        <f t="shared" si="1"/>
        <v>Health &amp; Beauty, Personal Care, Oral Care, Toothbrush AccessoriesToothbrush Covers</v>
      </c>
    </row>
    <row r="3002">
      <c r="A3002" s="29">
        <v>4776.0</v>
      </c>
      <c r="B3002" s="29" t="s">
        <v>2945</v>
      </c>
      <c r="C3002" s="29" t="s">
        <v>3042</v>
      </c>
      <c r="D3002" s="29" t="s">
        <v>3166</v>
      </c>
      <c r="E3002" s="29" t="s">
        <v>3182</v>
      </c>
      <c r="F3002" s="29" t="s">
        <v>3184</v>
      </c>
      <c r="G3002" s="20" t="str">
        <f t="shared" si="1"/>
        <v>Health &amp; Beauty, Personal Care, Oral Care, Toothbrush AccessoriesToothbrush Replacement Heads</v>
      </c>
    </row>
    <row r="3003">
      <c r="A3003" s="29">
        <v>4942.0</v>
      </c>
      <c r="B3003" s="29" t="s">
        <v>2945</v>
      </c>
      <c r="C3003" s="29" t="s">
        <v>3042</v>
      </c>
      <c r="D3003" s="29" t="s">
        <v>3166</v>
      </c>
      <c r="E3003" s="29" t="s">
        <v>3182</v>
      </c>
      <c r="F3003" s="29" t="s">
        <v>3185</v>
      </c>
      <c r="G3003" s="20" t="str">
        <f t="shared" si="1"/>
        <v>Health &amp; Beauty, Personal Care, Oral Care, Toothbrush AccessoriesToothbrush Sanitizers</v>
      </c>
    </row>
    <row r="3004">
      <c r="A3004" s="29">
        <v>527.0</v>
      </c>
      <c r="B3004" s="29" t="s">
        <v>2945</v>
      </c>
      <c r="C3004" s="29" t="s">
        <v>3042</v>
      </c>
      <c r="D3004" s="29" t="s">
        <v>3166</v>
      </c>
      <c r="E3004" s="29" t="s">
        <v>3186</v>
      </c>
      <c r="F3004" s="62"/>
      <c r="G3004" s="20" t="str">
        <f t="shared" si="1"/>
        <v>Health &amp; Beauty, Personal Care, Oral Care, Toothbrushes</v>
      </c>
    </row>
    <row r="3005">
      <c r="A3005" s="29">
        <v>1360.0</v>
      </c>
      <c r="B3005" s="29" t="s">
        <v>2945</v>
      </c>
      <c r="C3005" s="29" t="s">
        <v>3042</v>
      </c>
      <c r="D3005" s="29" t="s">
        <v>3166</v>
      </c>
      <c r="E3005" s="29" t="s">
        <v>3187</v>
      </c>
      <c r="F3005" s="62"/>
      <c r="G3005" s="20" t="str">
        <f t="shared" si="1"/>
        <v>Health &amp; Beauty, Personal Care, Oral Care, Toothpaste</v>
      </c>
    </row>
    <row r="3006">
      <c r="A3006" s="29">
        <v>5154.0</v>
      </c>
      <c r="B3006" s="29" t="s">
        <v>2945</v>
      </c>
      <c r="C3006" s="29" t="s">
        <v>3042</v>
      </c>
      <c r="D3006" s="29" t="s">
        <v>3166</v>
      </c>
      <c r="E3006" s="29" t="s">
        <v>3188</v>
      </c>
      <c r="G3006" s="20" t="str">
        <f t="shared" si="1"/>
        <v>Health &amp; Beauty, Personal Care, Oral Care, Toothpaste Squeezers &amp; Dispensers</v>
      </c>
    </row>
    <row r="3007">
      <c r="A3007" s="29">
        <v>4316.0</v>
      </c>
      <c r="B3007" s="29" t="s">
        <v>2945</v>
      </c>
      <c r="C3007" s="29" t="s">
        <v>3042</v>
      </c>
      <c r="D3007" s="29" t="s">
        <v>3166</v>
      </c>
      <c r="E3007" s="29" t="s">
        <v>3189</v>
      </c>
      <c r="F3007" s="62"/>
      <c r="G3007" s="20" t="str">
        <f t="shared" si="1"/>
        <v>Health &amp; Beauty, Personal Care, Oral Care, Toothpicks</v>
      </c>
    </row>
    <row r="3008">
      <c r="A3008" s="29">
        <v>777.0</v>
      </c>
      <c r="B3008" s="29" t="s">
        <v>2945</v>
      </c>
      <c r="C3008" s="29" t="s">
        <v>3042</v>
      </c>
      <c r="D3008" s="29" t="s">
        <v>3190</v>
      </c>
      <c r="E3008" s="62"/>
      <c r="F3008" s="62"/>
      <c r="G3008" s="20" t="str">
        <f t="shared" si="1"/>
        <v>Health &amp; Beauty, Personal Care, Personal Lubricants, </v>
      </c>
    </row>
    <row r="3009">
      <c r="A3009" s="29">
        <v>528.0</v>
      </c>
      <c r="B3009" s="29" t="s">
        <v>2945</v>
      </c>
      <c r="C3009" s="29" t="s">
        <v>3042</v>
      </c>
      <c r="D3009" s="29" t="s">
        <v>3191</v>
      </c>
      <c r="E3009" s="62"/>
      <c r="F3009" s="62"/>
      <c r="G3009" s="20" t="str">
        <f t="shared" si="1"/>
        <v>Health &amp; Beauty, Personal Care, Shaving &amp; Grooming, </v>
      </c>
    </row>
    <row r="3010">
      <c r="A3010" s="29">
        <v>529.0</v>
      </c>
      <c r="B3010" s="29" t="s">
        <v>2945</v>
      </c>
      <c r="C3010" s="29" t="s">
        <v>3042</v>
      </c>
      <c r="D3010" s="29" t="s">
        <v>3191</v>
      </c>
      <c r="E3010" s="29" t="s">
        <v>3192</v>
      </c>
      <c r="F3010" s="62"/>
      <c r="G3010" s="20" t="str">
        <f t="shared" si="1"/>
        <v>Health &amp; Beauty, Personal Care, Shaving &amp; Grooming, Aftershave</v>
      </c>
    </row>
    <row r="3011">
      <c r="A3011" s="29">
        <v>8214.0</v>
      </c>
      <c r="B3011" s="29" t="s">
        <v>2945</v>
      </c>
      <c r="C3011" s="29" t="s">
        <v>3042</v>
      </c>
      <c r="D3011" s="29" t="s">
        <v>3191</v>
      </c>
      <c r="E3011" s="29" t="s">
        <v>3193</v>
      </c>
      <c r="F3011" s="62"/>
      <c r="G3011" s="20" t="str">
        <f t="shared" si="1"/>
        <v>Health &amp; Beauty, Personal Care, Shaving &amp; Grooming, Body &amp; Facial Hair Bleach</v>
      </c>
    </row>
    <row r="3012">
      <c r="A3012" s="29">
        <v>531.0</v>
      </c>
      <c r="B3012" s="29" t="s">
        <v>2945</v>
      </c>
      <c r="C3012" s="29" t="s">
        <v>3042</v>
      </c>
      <c r="D3012" s="29" t="s">
        <v>3191</v>
      </c>
      <c r="E3012" s="29" t="s">
        <v>3194</v>
      </c>
      <c r="F3012" s="62"/>
      <c r="G3012" s="20" t="str">
        <f t="shared" si="1"/>
        <v>Health &amp; Beauty, Personal Care, Shaving &amp; Grooming, Electric Razor Accessories</v>
      </c>
    </row>
    <row r="3013">
      <c r="A3013" s="29">
        <v>532.0</v>
      </c>
      <c r="B3013" s="29" t="s">
        <v>2945</v>
      </c>
      <c r="C3013" s="29" t="s">
        <v>3042</v>
      </c>
      <c r="D3013" s="29" t="s">
        <v>3191</v>
      </c>
      <c r="E3013" s="29" t="s">
        <v>3195</v>
      </c>
      <c r="F3013" s="62"/>
      <c r="G3013" s="20" t="str">
        <f t="shared" si="1"/>
        <v>Health &amp; Beauty, Personal Care, Shaving &amp; Grooming, Electric Razors</v>
      </c>
    </row>
    <row r="3014">
      <c r="A3014" s="29">
        <v>6842.0</v>
      </c>
      <c r="B3014" s="29" t="s">
        <v>2945</v>
      </c>
      <c r="C3014" s="29" t="s">
        <v>3042</v>
      </c>
      <c r="D3014" s="29" t="s">
        <v>3191</v>
      </c>
      <c r="E3014" s="29" t="s">
        <v>3196</v>
      </c>
      <c r="G3014" s="20" t="str">
        <f t="shared" si="1"/>
        <v>Health &amp; Beauty, Personal Care, Shaving &amp; Grooming, Hair Clipper &amp; Trimmer Accessories</v>
      </c>
    </row>
    <row r="3015">
      <c r="A3015" s="29">
        <v>533.0</v>
      </c>
      <c r="B3015" s="29" t="s">
        <v>2945</v>
      </c>
      <c r="C3015" s="29" t="s">
        <v>3042</v>
      </c>
      <c r="D3015" s="29" t="s">
        <v>3191</v>
      </c>
      <c r="E3015" s="29" t="s">
        <v>3197</v>
      </c>
      <c r="F3015" s="62"/>
      <c r="G3015" s="20" t="str">
        <f t="shared" si="1"/>
        <v>Health &amp; Beauty, Personal Care, Shaving &amp; Grooming, Hair Clippers &amp; Trimmers</v>
      </c>
    </row>
    <row r="3016">
      <c r="A3016" s="29">
        <v>4507.0</v>
      </c>
      <c r="B3016" s="29" t="s">
        <v>2945</v>
      </c>
      <c r="C3016" s="29" t="s">
        <v>3042</v>
      </c>
      <c r="D3016" s="29" t="s">
        <v>3191</v>
      </c>
      <c r="E3016" s="29" t="s">
        <v>3198</v>
      </c>
      <c r="F3016" s="62"/>
      <c r="G3016" s="20" t="str">
        <f t="shared" si="1"/>
        <v>Health &amp; Beauty, Personal Care, Shaving &amp; Grooming, Hair Removal</v>
      </c>
    </row>
    <row r="3017">
      <c r="A3017" s="29">
        <v>4508.0</v>
      </c>
      <c r="B3017" s="29" t="s">
        <v>2945</v>
      </c>
      <c r="C3017" s="29" t="s">
        <v>3042</v>
      </c>
      <c r="D3017" s="29" t="s">
        <v>3191</v>
      </c>
      <c r="E3017" s="29" t="s">
        <v>3198</v>
      </c>
      <c r="F3017" s="29" t="s">
        <v>3199</v>
      </c>
      <c r="G3017" s="20" t="str">
        <f t="shared" si="1"/>
        <v>Health &amp; Beauty, Personal Care, Shaving &amp; Grooming, Hair RemovalDepilatories</v>
      </c>
    </row>
    <row r="3018">
      <c r="A3018" s="29">
        <v>4509.0</v>
      </c>
      <c r="B3018" s="29" t="s">
        <v>2945</v>
      </c>
      <c r="C3018" s="29" t="s">
        <v>3042</v>
      </c>
      <c r="D3018" s="29" t="s">
        <v>3191</v>
      </c>
      <c r="E3018" s="29" t="s">
        <v>3198</v>
      </c>
      <c r="F3018" s="29" t="s">
        <v>3200</v>
      </c>
      <c r="G3018" s="20" t="str">
        <f t="shared" si="1"/>
        <v>Health &amp; Beauty, Personal Care, Shaving &amp; Grooming, Hair RemovalElectrolysis Devices</v>
      </c>
    </row>
    <row r="3019">
      <c r="A3019" s="29">
        <v>4510.0</v>
      </c>
      <c r="B3019" s="29" t="s">
        <v>2945</v>
      </c>
      <c r="C3019" s="29" t="s">
        <v>3042</v>
      </c>
      <c r="D3019" s="29" t="s">
        <v>3191</v>
      </c>
      <c r="E3019" s="29" t="s">
        <v>3198</v>
      </c>
      <c r="F3019" s="29" t="s">
        <v>3201</v>
      </c>
      <c r="G3019" s="20" t="str">
        <f t="shared" si="1"/>
        <v>Health &amp; Beauty, Personal Care, Shaving &amp; Grooming, Hair RemovalEpilators</v>
      </c>
    </row>
    <row r="3020">
      <c r="A3020" s="29">
        <v>8136.0</v>
      </c>
      <c r="B3020" s="29" t="s">
        <v>2945</v>
      </c>
      <c r="C3020" s="29" t="s">
        <v>3042</v>
      </c>
      <c r="D3020" s="29" t="s">
        <v>3191</v>
      </c>
      <c r="E3020" s="29" t="s">
        <v>3198</v>
      </c>
      <c r="F3020" s="29" t="s">
        <v>3202</v>
      </c>
      <c r="G3020" s="20" t="str">
        <f t="shared" si="1"/>
        <v>Health &amp; Beauty, Personal Care, Shaving &amp; Grooming, Hair RemovalHair Removal Wax Warmers</v>
      </c>
    </row>
    <row r="3021">
      <c r="A3021" s="29">
        <v>7199.0</v>
      </c>
      <c r="B3021" s="29" t="s">
        <v>2945</v>
      </c>
      <c r="C3021" s="29" t="s">
        <v>3042</v>
      </c>
      <c r="D3021" s="29" t="s">
        <v>3191</v>
      </c>
      <c r="E3021" s="29" t="s">
        <v>3198</v>
      </c>
      <c r="F3021" s="29" t="s">
        <v>3203</v>
      </c>
      <c r="G3021" s="20" t="str">
        <f t="shared" si="1"/>
        <v>Health &amp; Beauty, Personal Care, Shaving &amp; Grooming, Hair RemovalLaser &amp; IPL Hair Removal Devices</v>
      </c>
    </row>
    <row r="3022">
      <c r="A3022" s="29">
        <v>4511.0</v>
      </c>
      <c r="B3022" s="29" t="s">
        <v>2945</v>
      </c>
      <c r="C3022" s="29" t="s">
        <v>3042</v>
      </c>
      <c r="D3022" s="29" t="s">
        <v>3191</v>
      </c>
      <c r="E3022" s="29" t="s">
        <v>3198</v>
      </c>
      <c r="F3022" s="29" t="s">
        <v>3204</v>
      </c>
      <c r="G3022" s="20" t="str">
        <f t="shared" si="1"/>
        <v>Health &amp; Beauty, Personal Care, Shaving &amp; Grooming, Hair RemovalWaxing Kits &amp; Supplies</v>
      </c>
    </row>
    <row r="3023">
      <c r="A3023" s="29">
        <v>534.0</v>
      </c>
      <c r="B3023" s="29" t="s">
        <v>2945</v>
      </c>
      <c r="C3023" s="29" t="s">
        <v>3042</v>
      </c>
      <c r="D3023" s="29" t="s">
        <v>3191</v>
      </c>
      <c r="E3023" s="29" t="s">
        <v>3205</v>
      </c>
      <c r="F3023" s="62"/>
      <c r="G3023" s="20" t="str">
        <f t="shared" si="1"/>
        <v>Health &amp; Beauty, Personal Care, Shaving &amp; Grooming, Razors &amp; Razor Blades</v>
      </c>
    </row>
    <row r="3024">
      <c r="A3024" s="29">
        <v>8531.0</v>
      </c>
      <c r="B3024" s="29" t="s">
        <v>2945</v>
      </c>
      <c r="C3024" s="29" t="s">
        <v>3042</v>
      </c>
      <c r="D3024" s="29" t="s">
        <v>3191</v>
      </c>
      <c r="E3024" s="29" t="s">
        <v>3206</v>
      </c>
      <c r="F3024" s="62"/>
      <c r="G3024" s="20" t="str">
        <f t="shared" si="1"/>
        <v>Health &amp; Beauty, Personal Care, Shaving &amp; Grooming, Shaving Bowls &amp; Mugs</v>
      </c>
    </row>
    <row r="3025">
      <c r="A3025" s="29">
        <v>2681.0</v>
      </c>
      <c r="B3025" s="29" t="s">
        <v>2945</v>
      </c>
      <c r="C3025" s="29" t="s">
        <v>3042</v>
      </c>
      <c r="D3025" s="29" t="s">
        <v>3191</v>
      </c>
      <c r="E3025" s="29" t="s">
        <v>3207</v>
      </c>
      <c r="F3025" s="62"/>
      <c r="G3025" s="20" t="str">
        <f t="shared" si="1"/>
        <v>Health &amp; Beauty, Personal Care, Shaving &amp; Grooming, Shaving Brushes</v>
      </c>
    </row>
    <row r="3026">
      <c r="A3026" s="29">
        <v>2971.0</v>
      </c>
      <c r="B3026" s="29" t="s">
        <v>2945</v>
      </c>
      <c r="C3026" s="29" t="s">
        <v>3042</v>
      </c>
      <c r="D3026" s="29" t="s">
        <v>3191</v>
      </c>
      <c r="E3026" s="29" t="s">
        <v>3208</v>
      </c>
      <c r="F3026" s="62"/>
      <c r="G3026" s="20" t="str">
        <f t="shared" si="1"/>
        <v>Health &amp; Beauty, Personal Care, Shaving &amp; Grooming, Shaving Cream</v>
      </c>
    </row>
    <row r="3027">
      <c r="A3027" s="29">
        <v>5111.0</v>
      </c>
      <c r="B3027" s="29" t="s">
        <v>2945</v>
      </c>
      <c r="C3027" s="29" t="s">
        <v>3042</v>
      </c>
      <c r="D3027" s="29" t="s">
        <v>3191</v>
      </c>
      <c r="E3027" s="29" t="s">
        <v>3209</v>
      </c>
      <c r="F3027" s="62"/>
      <c r="G3027" s="20" t="str">
        <f t="shared" si="1"/>
        <v>Health &amp; Beauty, Personal Care, Shaving &amp; Grooming, Shaving Kits</v>
      </c>
    </row>
    <row r="3028">
      <c r="A3028" s="29">
        <v>2508.0</v>
      </c>
      <c r="B3028" s="29" t="s">
        <v>2945</v>
      </c>
      <c r="C3028" s="29" t="s">
        <v>3042</v>
      </c>
      <c r="D3028" s="29" t="s">
        <v>3191</v>
      </c>
      <c r="E3028" s="29" t="s">
        <v>3210</v>
      </c>
      <c r="F3028" s="62"/>
      <c r="G3028" s="20" t="str">
        <f t="shared" si="1"/>
        <v>Health &amp; Beauty, Personal Care, Shaving &amp; Grooming, Styptic Pencils</v>
      </c>
    </row>
    <row r="3029">
      <c r="A3029" s="29">
        <v>4076.0</v>
      </c>
      <c r="B3029" s="29" t="s">
        <v>2945</v>
      </c>
      <c r="C3029" s="29" t="s">
        <v>3042</v>
      </c>
      <c r="D3029" s="29" t="s">
        <v>3211</v>
      </c>
      <c r="E3029" s="62"/>
      <c r="F3029" s="62"/>
      <c r="G3029" s="20" t="str">
        <f t="shared" si="1"/>
        <v>Health &amp; Beauty, Personal Care, Sleeping Aids, </v>
      </c>
    </row>
    <row r="3030">
      <c r="A3030" s="29">
        <v>4313.0</v>
      </c>
      <c r="B3030" s="29" t="s">
        <v>2945</v>
      </c>
      <c r="C3030" s="29" t="s">
        <v>3042</v>
      </c>
      <c r="D3030" s="29" t="s">
        <v>3211</v>
      </c>
      <c r="E3030" s="29" t="s">
        <v>3212</v>
      </c>
      <c r="F3030" s="62"/>
      <c r="G3030" s="20" t="str">
        <f t="shared" si="1"/>
        <v>Health &amp; Beauty, Personal Care, Sleeping Aids, Eye Masks</v>
      </c>
    </row>
    <row r="3031">
      <c r="A3031" s="29">
        <v>6017.0</v>
      </c>
      <c r="B3031" s="29" t="s">
        <v>2945</v>
      </c>
      <c r="C3031" s="29" t="s">
        <v>3042</v>
      </c>
      <c r="D3031" s="29" t="s">
        <v>3211</v>
      </c>
      <c r="E3031" s="29" t="s">
        <v>3213</v>
      </c>
      <c r="F3031" s="62"/>
      <c r="G3031" s="20" t="str">
        <f t="shared" si="1"/>
        <v>Health &amp; Beauty, Personal Care, Sleeping Aids, Snoring &amp; Sleep Apnea Aids</v>
      </c>
    </row>
    <row r="3032">
      <c r="A3032" s="29">
        <v>4211.0</v>
      </c>
      <c r="B3032" s="29" t="s">
        <v>2945</v>
      </c>
      <c r="C3032" s="29" t="s">
        <v>3042</v>
      </c>
      <c r="D3032" s="29" t="s">
        <v>3211</v>
      </c>
      <c r="E3032" s="29" t="s">
        <v>3214</v>
      </c>
      <c r="F3032" s="62"/>
      <c r="G3032" s="20" t="str">
        <f t="shared" si="1"/>
        <v>Health &amp; Beauty, Personal Care, Sleeping Aids, Travel Pillows</v>
      </c>
    </row>
    <row r="3033">
      <c r="A3033" s="29">
        <v>4056.0</v>
      </c>
      <c r="B3033" s="29" t="s">
        <v>2945</v>
      </c>
      <c r="C3033" s="29" t="s">
        <v>3042</v>
      </c>
      <c r="D3033" s="29" t="s">
        <v>3211</v>
      </c>
      <c r="E3033" s="29" t="s">
        <v>3215</v>
      </c>
      <c r="F3033" s="62"/>
      <c r="G3033" s="20" t="str">
        <f t="shared" si="1"/>
        <v>Health &amp; Beauty, Personal Care, Sleeping Aids, White Noise Machines</v>
      </c>
    </row>
    <row r="3034">
      <c r="A3034" s="29">
        <v>6921.0</v>
      </c>
      <c r="B3034" s="29" t="s">
        <v>2945</v>
      </c>
      <c r="C3034" s="29" t="s">
        <v>3042</v>
      </c>
      <c r="D3034" s="29" t="s">
        <v>3216</v>
      </c>
      <c r="E3034" s="62"/>
      <c r="F3034" s="62"/>
      <c r="G3034" s="20" t="str">
        <f t="shared" si="1"/>
        <v>Health &amp; Beauty, Personal Care, Spray Tanning Tents, </v>
      </c>
    </row>
    <row r="3035">
      <c r="A3035" s="29">
        <v>472.0</v>
      </c>
      <c r="B3035" s="29" t="s">
        <v>2945</v>
      </c>
      <c r="C3035" s="29" t="s">
        <v>3042</v>
      </c>
      <c r="D3035" s="29" t="s">
        <v>3217</v>
      </c>
      <c r="E3035" s="62"/>
      <c r="F3035" s="62"/>
      <c r="G3035" s="20" t="str">
        <f t="shared" si="1"/>
        <v>Health &amp; Beauty, Personal Care, Tanning Beds, </v>
      </c>
    </row>
    <row r="3036">
      <c r="A3036" s="29">
        <v>2656.0</v>
      </c>
      <c r="B3036" s="29" t="s">
        <v>2945</v>
      </c>
      <c r="C3036" s="29" t="s">
        <v>3042</v>
      </c>
      <c r="D3036" s="29" t="s">
        <v>3218</v>
      </c>
      <c r="E3036" s="62"/>
      <c r="F3036" s="62"/>
      <c r="G3036" s="20" t="str">
        <f t="shared" si="1"/>
        <v>Health &amp; Beauty, Personal Care, Tweezers, </v>
      </c>
    </row>
    <row r="3037">
      <c r="A3037" s="29">
        <v>1380.0</v>
      </c>
      <c r="B3037" s="29" t="s">
        <v>2945</v>
      </c>
      <c r="C3037" s="29" t="s">
        <v>3042</v>
      </c>
      <c r="D3037" s="29" t="s">
        <v>3219</v>
      </c>
      <c r="E3037" s="62"/>
      <c r="F3037" s="62"/>
      <c r="G3037" s="20" t="str">
        <f t="shared" si="1"/>
        <v>Health &amp; Beauty, Personal Care, Vision Care, </v>
      </c>
    </row>
    <row r="3038">
      <c r="A3038" s="29">
        <v>3011.0</v>
      </c>
      <c r="B3038" s="29" t="s">
        <v>2945</v>
      </c>
      <c r="C3038" s="29" t="s">
        <v>3042</v>
      </c>
      <c r="D3038" s="29" t="s">
        <v>3219</v>
      </c>
      <c r="E3038" s="29" t="s">
        <v>3220</v>
      </c>
      <c r="F3038" s="62"/>
      <c r="G3038" s="20" t="str">
        <f t="shared" si="1"/>
        <v>Health &amp; Beauty, Personal Care, Vision Care, Contact Lens Care</v>
      </c>
    </row>
    <row r="3039">
      <c r="A3039" s="29">
        <v>7363.0</v>
      </c>
      <c r="B3039" s="29" t="s">
        <v>2945</v>
      </c>
      <c r="C3039" s="29" t="s">
        <v>3042</v>
      </c>
      <c r="D3039" s="29" t="s">
        <v>3219</v>
      </c>
      <c r="E3039" s="29" t="s">
        <v>3220</v>
      </c>
      <c r="F3039" s="29" t="s">
        <v>3221</v>
      </c>
      <c r="G3039" s="20" t="str">
        <f t="shared" si="1"/>
        <v>Health &amp; Beauty, Personal Care, Vision Care, Contact Lens CareContact Lens Care Kits</v>
      </c>
    </row>
    <row r="3040">
      <c r="A3040" s="29">
        <v>6510.0</v>
      </c>
      <c r="B3040" s="29" t="s">
        <v>2945</v>
      </c>
      <c r="C3040" s="29" t="s">
        <v>3042</v>
      </c>
      <c r="D3040" s="29" t="s">
        <v>3219</v>
      </c>
      <c r="E3040" s="29" t="s">
        <v>3220</v>
      </c>
      <c r="F3040" s="29" t="s">
        <v>3222</v>
      </c>
      <c r="G3040" s="20" t="str">
        <f t="shared" si="1"/>
        <v>Health &amp; Beauty, Personal Care, Vision Care, Contact Lens CareContact Lens Cases</v>
      </c>
    </row>
    <row r="3041">
      <c r="A3041" s="29">
        <v>6509.0</v>
      </c>
      <c r="B3041" s="29" t="s">
        <v>2945</v>
      </c>
      <c r="C3041" s="29" t="s">
        <v>3042</v>
      </c>
      <c r="D3041" s="29" t="s">
        <v>3219</v>
      </c>
      <c r="E3041" s="29" t="s">
        <v>3220</v>
      </c>
      <c r="F3041" s="29" t="s">
        <v>3223</v>
      </c>
      <c r="G3041" s="20" t="str">
        <f t="shared" si="1"/>
        <v>Health &amp; Beauty, Personal Care, Vision Care, Contact Lens CareContact Lens Solution</v>
      </c>
    </row>
    <row r="3042">
      <c r="A3042" s="29">
        <v>2923.0</v>
      </c>
      <c r="B3042" s="29" t="s">
        <v>2945</v>
      </c>
      <c r="C3042" s="29" t="s">
        <v>3042</v>
      </c>
      <c r="D3042" s="29" t="s">
        <v>3219</v>
      </c>
      <c r="E3042" s="29" t="s">
        <v>3224</v>
      </c>
      <c r="F3042" s="62"/>
      <c r="G3042" s="20" t="str">
        <f t="shared" si="1"/>
        <v>Health &amp; Beauty, Personal Care, Vision Care, Contact Lenses</v>
      </c>
    </row>
    <row r="3043">
      <c r="A3043" s="29">
        <v>2922.0</v>
      </c>
      <c r="B3043" s="29" t="s">
        <v>2945</v>
      </c>
      <c r="C3043" s="29" t="s">
        <v>3042</v>
      </c>
      <c r="D3043" s="29" t="s">
        <v>3219</v>
      </c>
      <c r="E3043" s="29" t="s">
        <v>3225</v>
      </c>
      <c r="F3043" s="62"/>
      <c r="G3043" s="20" t="str">
        <f t="shared" si="1"/>
        <v>Health &amp; Beauty, Personal Care, Vision Care, Eye Drops &amp; Lubricants</v>
      </c>
    </row>
    <row r="3044">
      <c r="A3044" s="29">
        <v>2733.0</v>
      </c>
      <c r="B3044" s="29" t="s">
        <v>2945</v>
      </c>
      <c r="C3044" s="29" t="s">
        <v>3042</v>
      </c>
      <c r="D3044" s="29" t="s">
        <v>3219</v>
      </c>
      <c r="E3044" s="29" t="s">
        <v>3226</v>
      </c>
      <c r="F3044" s="62"/>
      <c r="G3044" s="20" t="str">
        <f t="shared" si="1"/>
        <v>Health &amp; Beauty, Personal Care, Vision Care, Eyeglass Lenses</v>
      </c>
    </row>
    <row r="3045">
      <c r="A3045" s="29">
        <v>524.0</v>
      </c>
      <c r="B3045" s="29" t="s">
        <v>2945</v>
      </c>
      <c r="C3045" s="29" t="s">
        <v>3042</v>
      </c>
      <c r="D3045" s="29" t="s">
        <v>3219</v>
      </c>
      <c r="E3045" s="29" t="s">
        <v>3227</v>
      </c>
      <c r="F3045" s="62"/>
      <c r="G3045" s="20" t="str">
        <f t="shared" si="1"/>
        <v>Health &amp; Beauty, Personal Care, Vision Care, Eyeglasses</v>
      </c>
    </row>
    <row r="3046">
      <c r="A3046" s="29">
        <v>2521.0</v>
      </c>
      <c r="B3046" s="29" t="s">
        <v>2945</v>
      </c>
      <c r="C3046" s="29" t="s">
        <v>3042</v>
      </c>
      <c r="D3046" s="29" t="s">
        <v>3219</v>
      </c>
      <c r="E3046" s="29" t="s">
        <v>3228</v>
      </c>
      <c r="F3046" s="62"/>
      <c r="G3046" s="20" t="str">
        <f t="shared" si="1"/>
        <v>Health &amp; Beauty, Personal Care, Vision Care, Eyewear Accessories</v>
      </c>
    </row>
    <row r="3047">
      <c r="A3047" s="29">
        <v>5507.0</v>
      </c>
      <c r="B3047" s="29" t="s">
        <v>2945</v>
      </c>
      <c r="C3047" s="29" t="s">
        <v>3042</v>
      </c>
      <c r="D3047" s="29" t="s">
        <v>3219</v>
      </c>
      <c r="E3047" s="29" t="s">
        <v>3228</v>
      </c>
      <c r="F3047" s="29" t="s">
        <v>3229</v>
      </c>
      <c r="G3047" s="20" t="str">
        <f t="shared" si="1"/>
        <v>Health &amp; Beauty, Personal Care, Vision Care, Eyewear AccessoriesEyewear Cases &amp; Holders</v>
      </c>
    </row>
    <row r="3048">
      <c r="A3048" s="29">
        <v>352853.0</v>
      </c>
      <c r="B3048" s="29" t="s">
        <v>2945</v>
      </c>
      <c r="C3048" s="29" t="s">
        <v>3042</v>
      </c>
      <c r="D3048" s="29" t="s">
        <v>3219</v>
      </c>
      <c r="E3048" s="29" t="s">
        <v>3228</v>
      </c>
      <c r="F3048" s="29" t="s">
        <v>3230</v>
      </c>
      <c r="G3048" s="20" t="str">
        <f t="shared" si="1"/>
        <v>Health &amp; Beauty, Personal Care, Vision Care, Eyewear AccessoriesEyewear Lens Cleaning Solutions</v>
      </c>
    </row>
    <row r="3049">
      <c r="A3049" s="29">
        <v>543538.0</v>
      </c>
      <c r="B3049" s="29" t="s">
        <v>2945</v>
      </c>
      <c r="C3049" s="29" t="s">
        <v>3042</v>
      </c>
      <c r="D3049" s="29" t="s">
        <v>3219</v>
      </c>
      <c r="E3049" s="29" t="s">
        <v>3228</v>
      </c>
      <c r="F3049" s="29" t="s">
        <v>3231</v>
      </c>
      <c r="G3049" s="20" t="str">
        <f t="shared" si="1"/>
        <v>Health &amp; Beauty, Personal Care, Vision Care, Eyewear AccessoriesEyewear Replacement Parts</v>
      </c>
    </row>
    <row r="3050">
      <c r="A3050" s="29">
        <v>8204.0</v>
      </c>
      <c r="B3050" s="29" t="s">
        <v>2945</v>
      </c>
      <c r="C3050" s="29" t="s">
        <v>3042</v>
      </c>
      <c r="D3050" s="29" t="s">
        <v>3219</v>
      </c>
      <c r="E3050" s="29" t="s">
        <v>3228</v>
      </c>
      <c r="F3050" s="29" t="s">
        <v>3232</v>
      </c>
      <c r="G3050" s="20" t="str">
        <f t="shared" si="1"/>
        <v>Health &amp; Beauty, Personal Care, Vision Care, Eyewear AccessoriesEyewear Straps &amp; Chains</v>
      </c>
    </row>
    <row r="3051">
      <c r="A3051" s="29">
        <v>6977.0</v>
      </c>
      <c r="B3051" s="29" t="s">
        <v>2945</v>
      </c>
      <c r="C3051" s="29" t="s">
        <v>3042</v>
      </c>
      <c r="D3051" s="29" t="s">
        <v>3219</v>
      </c>
      <c r="E3051" s="29" t="s">
        <v>3233</v>
      </c>
      <c r="F3051" s="62"/>
      <c r="G3051" s="20" t="str">
        <f t="shared" si="1"/>
        <v>Health &amp; Beauty, Personal Care, Vision Care, Sunglass Lenses</v>
      </c>
    </row>
    <row r="3052">
      <c r="A3052" s="29">
        <v>536.0</v>
      </c>
      <c r="B3052" s="29" t="s">
        <v>3234</v>
      </c>
      <c r="C3052" s="62"/>
      <c r="D3052" s="62"/>
      <c r="E3052" s="62"/>
      <c r="F3052" s="62"/>
      <c r="G3052" s="20" t="str">
        <f t="shared" si="1"/>
        <v>Home &amp; Garden, , , </v>
      </c>
    </row>
    <row r="3053">
      <c r="A3053" s="29">
        <v>574.0</v>
      </c>
      <c r="B3053" s="29" t="s">
        <v>3234</v>
      </c>
      <c r="C3053" s="29" t="s">
        <v>3235</v>
      </c>
      <c r="D3053" s="62"/>
      <c r="E3053" s="62"/>
      <c r="F3053" s="62"/>
      <c r="G3053" s="20" t="str">
        <f t="shared" si="1"/>
        <v>Home &amp; Garden, Bathroom Accessories, , </v>
      </c>
    </row>
    <row r="3054">
      <c r="A3054" s="29">
        <v>575.0</v>
      </c>
      <c r="B3054" s="29" t="s">
        <v>3234</v>
      </c>
      <c r="C3054" s="29" t="s">
        <v>3235</v>
      </c>
      <c r="D3054" s="29" t="s">
        <v>3236</v>
      </c>
      <c r="E3054" s="62"/>
      <c r="F3054" s="62"/>
      <c r="G3054" s="20" t="str">
        <f t="shared" si="1"/>
        <v>Home &amp; Garden, Bathroom Accessories, Bath Caddies, </v>
      </c>
    </row>
    <row r="3055">
      <c r="A3055" s="29">
        <v>577.0</v>
      </c>
      <c r="B3055" s="29" t="s">
        <v>3234</v>
      </c>
      <c r="C3055" s="29" t="s">
        <v>3235</v>
      </c>
      <c r="D3055" s="29" t="s">
        <v>3237</v>
      </c>
      <c r="E3055" s="62"/>
      <c r="F3055" s="62"/>
      <c r="G3055" s="20" t="str">
        <f t="shared" si="1"/>
        <v>Home &amp; Garden, Bathroom Accessories, Bath Mats &amp; Rugs, </v>
      </c>
    </row>
    <row r="3056">
      <c r="A3056" s="29">
        <v>4366.0</v>
      </c>
      <c r="B3056" s="29" t="s">
        <v>3234</v>
      </c>
      <c r="C3056" s="29" t="s">
        <v>3235</v>
      </c>
      <c r="D3056" s="29" t="s">
        <v>3238</v>
      </c>
      <c r="E3056" s="62"/>
      <c r="F3056" s="62"/>
      <c r="G3056" s="20" t="str">
        <f t="shared" si="1"/>
        <v>Home &amp; Garden, Bathroom Accessories, Bath Pillows, </v>
      </c>
    </row>
    <row r="3057">
      <c r="A3057" s="29">
        <v>7093.0</v>
      </c>
      <c r="B3057" s="29" t="s">
        <v>3234</v>
      </c>
      <c r="C3057" s="29" t="s">
        <v>3235</v>
      </c>
      <c r="D3057" s="29" t="s">
        <v>3239</v>
      </c>
      <c r="F3057" s="62"/>
      <c r="G3057" s="20" t="str">
        <f t="shared" si="1"/>
        <v>Home &amp; Garden, Bathroom Accessories, Bathroom Accessory Mounts, </v>
      </c>
    </row>
    <row r="3058">
      <c r="A3058" s="29">
        <v>6858.0</v>
      </c>
      <c r="B3058" s="29" t="s">
        <v>3234</v>
      </c>
      <c r="C3058" s="29" t="s">
        <v>3235</v>
      </c>
      <c r="D3058" s="29" t="s">
        <v>3240</v>
      </c>
      <c r="F3058" s="62"/>
      <c r="G3058" s="20" t="str">
        <f t="shared" si="1"/>
        <v>Home &amp; Garden, Bathroom Accessories, Bathroom Accessory Sets, </v>
      </c>
    </row>
    <row r="3059">
      <c r="A3059" s="29">
        <v>579.0</v>
      </c>
      <c r="B3059" s="29" t="s">
        <v>3234</v>
      </c>
      <c r="C3059" s="29" t="s">
        <v>3235</v>
      </c>
      <c r="D3059" s="29" t="s">
        <v>3241</v>
      </c>
      <c r="E3059" s="62"/>
      <c r="F3059" s="62"/>
      <c r="G3059" s="20" t="str">
        <f t="shared" si="1"/>
        <v>Home &amp; Garden, Bathroom Accessories, Facial Tissue Holders, </v>
      </c>
    </row>
    <row r="3060">
      <c r="A3060" s="29">
        <v>8016.0</v>
      </c>
      <c r="B3060" s="29" t="s">
        <v>3234</v>
      </c>
      <c r="C3060" s="29" t="s">
        <v>3235</v>
      </c>
      <c r="D3060" s="29" t="s">
        <v>3242</v>
      </c>
      <c r="E3060" s="62"/>
      <c r="F3060" s="62"/>
      <c r="G3060" s="20" t="str">
        <f t="shared" si="1"/>
        <v>Home &amp; Garden, Bathroom Accessories, Hand Dryer Accessories, </v>
      </c>
    </row>
    <row r="3061">
      <c r="A3061" s="29">
        <v>5141.0</v>
      </c>
      <c r="B3061" s="29" t="s">
        <v>3234</v>
      </c>
      <c r="C3061" s="29" t="s">
        <v>3235</v>
      </c>
      <c r="D3061" s="29" t="s">
        <v>3243</v>
      </c>
      <c r="E3061" s="62"/>
      <c r="F3061" s="62"/>
      <c r="G3061" s="20" t="str">
        <f t="shared" si="1"/>
        <v>Home &amp; Garden, Bathroom Accessories, Hand Dryers, </v>
      </c>
    </row>
    <row r="3062">
      <c r="A3062" s="29">
        <v>2418.0</v>
      </c>
      <c r="B3062" s="29" t="s">
        <v>3234</v>
      </c>
      <c r="C3062" s="29" t="s">
        <v>3235</v>
      </c>
      <c r="D3062" s="29" t="s">
        <v>3244</v>
      </c>
      <c r="E3062" s="62"/>
      <c r="F3062" s="62"/>
      <c r="G3062" s="20" t="str">
        <f t="shared" si="1"/>
        <v>Home &amp; Garden, Bathroom Accessories, Medicine Cabinets, </v>
      </c>
    </row>
    <row r="3063">
      <c r="A3063" s="29">
        <v>2034.0</v>
      </c>
      <c r="B3063" s="29" t="s">
        <v>3234</v>
      </c>
      <c r="C3063" s="29" t="s">
        <v>3235</v>
      </c>
      <c r="D3063" s="29" t="s">
        <v>3245</v>
      </c>
      <c r="E3063" s="62"/>
      <c r="F3063" s="62"/>
      <c r="G3063" s="20" t="str">
        <f t="shared" si="1"/>
        <v>Home &amp; Garden, Bathroom Accessories, Robe Hooks, </v>
      </c>
    </row>
    <row r="3064">
      <c r="A3064" s="29">
        <v>8114.0</v>
      </c>
      <c r="B3064" s="29" t="s">
        <v>3234</v>
      </c>
      <c r="C3064" s="29" t="s">
        <v>3235</v>
      </c>
      <c r="D3064" s="29" t="s">
        <v>3246</v>
      </c>
      <c r="E3064" s="62"/>
      <c r="F3064" s="62"/>
      <c r="G3064" s="20" t="str">
        <f t="shared" si="1"/>
        <v>Home &amp; Garden, Bathroom Accessories, Safety Grab Bars, </v>
      </c>
    </row>
    <row r="3065">
      <c r="A3065" s="29">
        <v>578.0</v>
      </c>
      <c r="B3065" s="29" t="s">
        <v>3234</v>
      </c>
      <c r="C3065" s="29" t="s">
        <v>3235</v>
      </c>
      <c r="D3065" s="29" t="s">
        <v>3247</v>
      </c>
      <c r="E3065" s="62"/>
      <c r="F3065" s="62"/>
      <c r="G3065" s="20" t="str">
        <f t="shared" si="1"/>
        <v>Home &amp; Garden, Bathroom Accessories, Shower Curtain Rings, </v>
      </c>
    </row>
    <row r="3066">
      <c r="A3066" s="29">
        <v>580.0</v>
      </c>
      <c r="B3066" s="29" t="s">
        <v>3234</v>
      </c>
      <c r="C3066" s="29" t="s">
        <v>3235</v>
      </c>
      <c r="D3066" s="29" t="s">
        <v>3248</v>
      </c>
      <c r="E3066" s="62"/>
      <c r="F3066" s="62"/>
      <c r="G3066" s="20" t="str">
        <f t="shared" si="1"/>
        <v>Home &amp; Garden, Bathroom Accessories, Shower Curtains, </v>
      </c>
    </row>
    <row r="3067">
      <c r="A3067" s="29">
        <v>1962.0</v>
      </c>
      <c r="B3067" s="29" t="s">
        <v>3234</v>
      </c>
      <c r="C3067" s="29" t="s">
        <v>3235</v>
      </c>
      <c r="D3067" s="29" t="s">
        <v>3249</v>
      </c>
      <c r="E3067" s="62"/>
      <c r="F3067" s="62"/>
      <c r="G3067" s="20" t="str">
        <f t="shared" si="1"/>
        <v>Home &amp; Garden, Bathroom Accessories, Shower Rods, </v>
      </c>
    </row>
    <row r="3068">
      <c r="A3068" s="29">
        <v>4971.0</v>
      </c>
      <c r="B3068" s="29" t="s">
        <v>3234</v>
      </c>
      <c r="C3068" s="29" t="s">
        <v>3235</v>
      </c>
      <c r="D3068" s="29" t="s">
        <v>3250</v>
      </c>
      <c r="F3068" s="62"/>
      <c r="G3068" s="20" t="str">
        <f t="shared" si="1"/>
        <v>Home &amp; Garden, Bathroom Accessories, Soap &amp; Lotion Dispensers, </v>
      </c>
    </row>
    <row r="3069">
      <c r="A3069" s="29">
        <v>582.0</v>
      </c>
      <c r="B3069" s="29" t="s">
        <v>3234</v>
      </c>
      <c r="C3069" s="29" t="s">
        <v>3235</v>
      </c>
      <c r="D3069" s="29" t="s">
        <v>3251</v>
      </c>
      <c r="E3069" s="62"/>
      <c r="F3069" s="62"/>
      <c r="G3069" s="20" t="str">
        <f t="shared" si="1"/>
        <v>Home &amp; Garden, Bathroom Accessories, Soap Dishes &amp; Holders, </v>
      </c>
    </row>
    <row r="3070">
      <c r="A3070" s="29">
        <v>7509.0</v>
      </c>
      <c r="B3070" s="29" t="s">
        <v>3234</v>
      </c>
      <c r="C3070" s="29" t="s">
        <v>3235</v>
      </c>
      <c r="D3070" s="29" t="s">
        <v>3252</v>
      </c>
      <c r="F3070" s="62"/>
      <c r="G3070" s="20" t="str">
        <f t="shared" si="1"/>
        <v>Home &amp; Garden, Bathroom Accessories, Toilet Brush Replacement Heads, </v>
      </c>
    </row>
    <row r="3071">
      <c r="A3071" s="29">
        <v>583.0</v>
      </c>
      <c r="B3071" s="29" t="s">
        <v>3234</v>
      </c>
      <c r="C3071" s="29" t="s">
        <v>3235</v>
      </c>
      <c r="D3071" s="29" t="s">
        <v>3253</v>
      </c>
      <c r="E3071" s="62"/>
      <c r="F3071" s="62"/>
      <c r="G3071" s="20" t="str">
        <f t="shared" si="1"/>
        <v>Home &amp; Garden, Bathroom Accessories, Toilet Brushes &amp; Holders, </v>
      </c>
    </row>
    <row r="3072">
      <c r="A3072" s="29">
        <v>584.0</v>
      </c>
      <c r="B3072" s="29" t="s">
        <v>3234</v>
      </c>
      <c r="C3072" s="29" t="s">
        <v>3235</v>
      </c>
      <c r="D3072" s="29" t="s">
        <v>3254</v>
      </c>
      <c r="E3072" s="62"/>
      <c r="F3072" s="62"/>
      <c r="G3072" s="20" t="str">
        <f t="shared" si="1"/>
        <v>Home &amp; Garden, Bathroom Accessories, Toilet Paper Holders, </v>
      </c>
    </row>
    <row r="3073">
      <c r="A3073" s="29">
        <v>585.0</v>
      </c>
      <c r="B3073" s="29" t="s">
        <v>3234</v>
      </c>
      <c r="C3073" s="29" t="s">
        <v>3235</v>
      </c>
      <c r="D3073" s="29" t="s">
        <v>3255</v>
      </c>
      <c r="E3073" s="62"/>
      <c r="F3073" s="62"/>
      <c r="G3073" s="20" t="str">
        <f t="shared" si="1"/>
        <v>Home &amp; Garden, Bathroom Accessories, Toothbrush Holders, </v>
      </c>
    </row>
    <row r="3074">
      <c r="A3074" s="29">
        <v>586.0</v>
      </c>
      <c r="B3074" s="29" t="s">
        <v>3234</v>
      </c>
      <c r="C3074" s="29" t="s">
        <v>3235</v>
      </c>
      <c r="D3074" s="29" t="s">
        <v>3256</v>
      </c>
      <c r="E3074" s="62"/>
      <c r="F3074" s="62"/>
      <c r="G3074" s="20" t="str">
        <f t="shared" si="1"/>
        <v>Home &amp; Garden, Bathroom Accessories, Towel Racks &amp; Holders, </v>
      </c>
    </row>
    <row r="3075">
      <c r="A3075" s="29">
        <v>359.0</v>
      </c>
      <c r="B3075" s="29" t="s">
        <v>3234</v>
      </c>
      <c r="C3075" s="29" t="s">
        <v>3257</v>
      </c>
      <c r="D3075" s="62"/>
      <c r="E3075" s="62"/>
      <c r="F3075" s="62"/>
      <c r="G3075" s="20" t="str">
        <f t="shared" si="1"/>
        <v>Home &amp; Garden, Business &amp; Home Security, , </v>
      </c>
    </row>
    <row r="3076">
      <c r="A3076" s="29">
        <v>5491.0</v>
      </c>
      <c r="B3076" s="29" t="s">
        <v>3234</v>
      </c>
      <c r="C3076" s="29" t="s">
        <v>3257</v>
      </c>
      <c r="D3076" s="29" t="s">
        <v>3258</v>
      </c>
      <c r="F3076" s="62"/>
      <c r="G3076" s="20" t="str">
        <f t="shared" si="1"/>
        <v>Home &amp; Garden, Business &amp; Home Security, Dummy Surveillance Cameras, </v>
      </c>
    </row>
    <row r="3077">
      <c r="A3077" s="29">
        <v>3873.0</v>
      </c>
      <c r="B3077" s="29" t="s">
        <v>3234</v>
      </c>
      <c r="C3077" s="29" t="s">
        <v>3257</v>
      </c>
      <c r="D3077" s="29" t="s">
        <v>3259</v>
      </c>
      <c r="E3077" s="62"/>
      <c r="F3077" s="62"/>
      <c r="G3077" s="20" t="str">
        <f t="shared" si="1"/>
        <v>Home &amp; Garden, Business &amp; Home Security, Home Alarm Systems, </v>
      </c>
    </row>
    <row r="3078">
      <c r="A3078" s="29">
        <v>2161.0</v>
      </c>
      <c r="B3078" s="29" t="s">
        <v>3234</v>
      </c>
      <c r="C3078" s="29" t="s">
        <v>3257</v>
      </c>
      <c r="D3078" s="29" t="s">
        <v>3260</v>
      </c>
      <c r="E3078" s="62"/>
      <c r="F3078" s="62"/>
      <c r="G3078" s="20" t="str">
        <f t="shared" si="1"/>
        <v>Home &amp; Garden, Business &amp; Home Security, Motion Sensors, </v>
      </c>
    </row>
    <row r="3079">
      <c r="A3079" s="29">
        <v>500025.0</v>
      </c>
      <c r="B3079" s="29" t="s">
        <v>3234</v>
      </c>
      <c r="C3079" s="29" t="s">
        <v>3257</v>
      </c>
      <c r="D3079" s="29" t="s">
        <v>3261</v>
      </c>
      <c r="E3079" s="62"/>
      <c r="F3079" s="62"/>
      <c r="G3079" s="20" t="str">
        <f t="shared" si="1"/>
        <v>Home &amp; Garden, Business &amp; Home Security, Safety &amp; Security Mirrors, </v>
      </c>
    </row>
    <row r="3080">
      <c r="A3080" s="29">
        <v>363.0</v>
      </c>
      <c r="B3080" s="29" t="s">
        <v>3234</v>
      </c>
      <c r="C3080" s="29" t="s">
        <v>3257</v>
      </c>
      <c r="D3080" s="29" t="s">
        <v>3262</v>
      </c>
      <c r="E3080" s="62"/>
      <c r="F3080" s="62"/>
      <c r="G3080" s="20" t="str">
        <f t="shared" si="1"/>
        <v>Home &amp; Garden, Business &amp; Home Security, Security Lights, </v>
      </c>
    </row>
    <row r="3081">
      <c r="A3081" s="29">
        <v>364.0</v>
      </c>
      <c r="B3081" s="29" t="s">
        <v>3234</v>
      </c>
      <c r="C3081" s="29" t="s">
        <v>3257</v>
      </c>
      <c r="D3081" s="29" t="s">
        <v>3263</v>
      </c>
      <c r="F3081" s="62"/>
      <c r="G3081" s="20" t="str">
        <f t="shared" si="1"/>
        <v>Home &amp; Garden, Business &amp; Home Security, Security Monitors &amp; Recorders, </v>
      </c>
    </row>
    <row r="3082">
      <c r="A3082" s="29">
        <v>499865.0</v>
      </c>
      <c r="B3082" s="29" t="s">
        <v>3234</v>
      </c>
      <c r="C3082" s="29" t="s">
        <v>3257</v>
      </c>
      <c r="D3082" s="29" t="s">
        <v>3264</v>
      </c>
      <c r="F3082" s="62"/>
      <c r="G3082" s="20" t="str">
        <f t="shared" si="1"/>
        <v>Home &amp; Garden, Business &amp; Home Security, Security Safe Accessories, </v>
      </c>
    </row>
    <row r="3083">
      <c r="A3083" s="29">
        <v>3819.0</v>
      </c>
      <c r="B3083" s="29" t="s">
        <v>3234</v>
      </c>
      <c r="C3083" s="29" t="s">
        <v>3257</v>
      </c>
      <c r="D3083" s="29" t="s">
        <v>3265</v>
      </c>
      <c r="E3083" s="62"/>
      <c r="F3083" s="62"/>
      <c r="G3083" s="20" t="str">
        <f t="shared" si="1"/>
        <v>Home &amp; Garden, Business &amp; Home Security, Security Safes, </v>
      </c>
    </row>
    <row r="3084">
      <c r="A3084" s="29">
        <v>365.0</v>
      </c>
      <c r="B3084" s="29" t="s">
        <v>3234</v>
      </c>
      <c r="C3084" s="29" t="s">
        <v>3257</v>
      </c>
      <c r="D3084" s="29" t="s">
        <v>3266</v>
      </c>
      <c r="E3084" s="62"/>
      <c r="F3084" s="62"/>
      <c r="G3084" s="20" t="str">
        <f t="shared" si="1"/>
        <v>Home &amp; Garden, Business &amp; Home Security, Security System Sensors, </v>
      </c>
    </row>
    <row r="3085">
      <c r="A3085" s="29">
        <v>696.0</v>
      </c>
      <c r="B3085" s="29" t="s">
        <v>3234</v>
      </c>
      <c r="C3085" s="29" t="s">
        <v>3267</v>
      </c>
      <c r="D3085" s="62"/>
      <c r="E3085" s="62"/>
      <c r="F3085" s="62"/>
      <c r="G3085" s="20" t="str">
        <f t="shared" si="1"/>
        <v>Home &amp; Garden, Decor, , </v>
      </c>
    </row>
    <row r="3086">
      <c r="A3086" s="29">
        <v>572.0</v>
      </c>
      <c r="B3086" s="29" t="s">
        <v>3234</v>
      </c>
      <c r="C3086" s="29" t="s">
        <v>3267</v>
      </c>
      <c r="D3086" s="29" t="s">
        <v>3268</v>
      </c>
      <c r="E3086" s="62"/>
      <c r="F3086" s="62"/>
      <c r="G3086" s="20" t="str">
        <f t="shared" si="1"/>
        <v>Home &amp; Garden, Decor, Address Signs, </v>
      </c>
    </row>
    <row r="3087">
      <c r="A3087" s="29">
        <v>6265.0</v>
      </c>
      <c r="B3087" s="29" t="s">
        <v>3234</v>
      </c>
      <c r="C3087" s="29" t="s">
        <v>3267</v>
      </c>
      <c r="D3087" s="29" t="s">
        <v>3269</v>
      </c>
      <c r="E3087" s="62"/>
      <c r="F3087" s="62"/>
      <c r="G3087" s="20" t="str">
        <f t="shared" si="1"/>
        <v>Home &amp; Garden, Decor, Artificial Flora, </v>
      </c>
    </row>
    <row r="3088">
      <c r="A3088" s="29">
        <v>6266.0</v>
      </c>
      <c r="B3088" s="29" t="s">
        <v>3234</v>
      </c>
      <c r="C3088" s="29" t="s">
        <v>3267</v>
      </c>
      <c r="D3088" s="29" t="s">
        <v>3270</v>
      </c>
      <c r="E3088" s="62"/>
      <c r="F3088" s="62"/>
      <c r="G3088" s="20" t="str">
        <f t="shared" si="1"/>
        <v>Home &amp; Garden, Decor, Artificial Food, </v>
      </c>
    </row>
    <row r="3089">
      <c r="A3089" s="29">
        <v>9.0</v>
      </c>
      <c r="B3089" s="29" t="s">
        <v>3234</v>
      </c>
      <c r="C3089" s="29" t="s">
        <v>3267</v>
      </c>
      <c r="D3089" s="29" t="s">
        <v>3271</v>
      </c>
      <c r="E3089" s="62"/>
      <c r="F3089" s="62"/>
      <c r="G3089" s="20" t="str">
        <f t="shared" si="1"/>
        <v>Home &amp; Garden, Decor, Artwork, </v>
      </c>
    </row>
    <row r="3090">
      <c r="A3090" s="29">
        <v>500045.0</v>
      </c>
      <c r="B3090" s="29" t="s">
        <v>3234</v>
      </c>
      <c r="C3090" s="29" t="s">
        <v>3267</v>
      </c>
      <c r="D3090" s="29" t="s">
        <v>3271</v>
      </c>
      <c r="E3090" s="29" t="s">
        <v>3272</v>
      </c>
      <c r="F3090" s="62"/>
      <c r="G3090" s="20" t="str">
        <f t="shared" si="1"/>
        <v>Home &amp; Garden, Decor, Artwork, Decorative Tapestries</v>
      </c>
    </row>
    <row r="3091">
      <c r="A3091" s="29">
        <v>500044.0</v>
      </c>
      <c r="B3091" s="29" t="s">
        <v>3234</v>
      </c>
      <c r="C3091" s="29" t="s">
        <v>3267</v>
      </c>
      <c r="D3091" s="29" t="s">
        <v>3271</v>
      </c>
      <c r="E3091" s="29" t="s">
        <v>3273</v>
      </c>
      <c r="F3091" s="62"/>
      <c r="G3091" s="20" t="str">
        <f t="shared" si="1"/>
        <v>Home &amp; Garden, Decor, Artwork, Posters, Prints, &amp; Visual Artwork</v>
      </c>
    </row>
    <row r="3092">
      <c r="A3092" s="29">
        <v>11.0</v>
      </c>
      <c r="B3092" s="29" t="s">
        <v>3234</v>
      </c>
      <c r="C3092" s="29" t="s">
        <v>3267</v>
      </c>
      <c r="D3092" s="29" t="s">
        <v>3271</v>
      </c>
      <c r="E3092" s="29" t="s">
        <v>3274</v>
      </c>
      <c r="F3092" s="62"/>
      <c r="G3092" s="20" t="str">
        <f t="shared" si="1"/>
        <v>Home &amp; Garden, Decor, Artwork, Sculptures &amp; Statues</v>
      </c>
    </row>
    <row r="3093">
      <c r="A3093" s="29">
        <v>4456.0</v>
      </c>
      <c r="B3093" s="29" t="s">
        <v>3234</v>
      </c>
      <c r="C3093" s="29" t="s">
        <v>3267</v>
      </c>
      <c r="D3093" s="29" t="s">
        <v>3275</v>
      </c>
      <c r="E3093" s="62"/>
      <c r="F3093" s="62"/>
      <c r="G3093" s="20" t="str">
        <f t="shared" si="1"/>
        <v>Home &amp; Garden, Decor, Backrest Pillows, </v>
      </c>
    </row>
    <row r="3094">
      <c r="A3094" s="29">
        <v>573.0</v>
      </c>
      <c r="B3094" s="29" t="s">
        <v>3234</v>
      </c>
      <c r="C3094" s="29" t="s">
        <v>3267</v>
      </c>
      <c r="D3094" s="29" t="s">
        <v>3276</v>
      </c>
      <c r="E3094" s="62"/>
      <c r="F3094" s="62"/>
      <c r="G3094" s="20" t="str">
        <f t="shared" si="1"/>
        <v>Home &amp; Garden, Decor, Baskets, </v>
      </c>
    </row>
    <row r="3095">
      <c r="A3095" s="29">
        <v>5521.0</v>
      </c>
      <c r="B3095" s="29" t="s">
        <v>3234</v>
      </c>
      <c r="C3095" s="29" t="s">
        <v>3267</v>
      </c>
      <c r="D3095" s="29" t="s">
        <v>3277</v>
      </c>
      <c r="F3095" s="62"/>
      <c r="G3095" s="20" t="str">
        <f t="shared" si="1"/>
        <v>Home &amp; Garden, Decor, Bird &amp; Wildlife Feeder Accessories, </v>
      </c>
    </row>
    <row r="3096">
      <c r="A3096" s="29">
        <v>6993.0</v>
      </c>
      <c r="B3096" s="29" t="s">
        <v>3234</v>
      </c>
      <c r="C3096" s="29" t="s">
        <v>3267</v>
      </c>
      <c r="D3096" s="29" t="s">
        <v>3278</v>
      </c>
      <c r="E3096" s="62"/>
      <c r="F3096" s="62"/>
      <c r="G3096" s="20" t="str">
        <f t="shared" si="1"/>
        <v>Home &amp; Garden, Decor, Bird &amp; Wildlife Feeders, </v>
      </c>
    </row>
    <row r="3097">
      <c r="A3097" s="29">
        <v>698.0</v>
      </c>
      <c r="B3097" s="29" t="s">
        <v>3234</v>
      </c>
      <c r="C3097" s="29" t="s">
        <v>3267</v>
      </c>
      <c r="D3097" s="29" t="s">
        <v>3278</v>
      </c>
      <c r="E3097" s="29" t="s">
        <v>3279</v>
      </c>
      <c r="F3097" s="62"/>
      <c r="G3097" s="20" t="str">
        <f t="shared" si="1"/>
        <v>Home &amp; Garden, Decor, Bird &amp; Wildlife Feeders, Bird Feeders</v>
      </c>
    </row>
    <row r="3098">
      <c r="A3098" s="29">
        <v>6995.0</v>
      </c>
      <c r="B3098" s="29" t="s">
        <v>3234</v>
      </c>
      <c r="C3098" s="29" t="s">
        <v>3267</v>
      </c>
      <c r="D3098" s="29" t="s">
        <v>3278</v>
      </c>
      <c r="E3098" s="29" t="s">
        <v>3280</v>
      </c>
      <c r="F3098" s="62"/>
      <c r="G3098" s="20" t="str">
        <f t="shared" si="1"/>
        <v>Home &amp; Garden, Decor, Bird &amp; Wildlife Feeders, Butterfly Feeders</v>
      </c>
    </row>
    <row r="3099">
      <c r="A3099" s="29">
        <v>6994.0</v>
      </c>
      <c r="B3099" s="29" t="s">
        <v>3234</v>
      </c>
      <c r="C3099" s="29" t="s">
        <v>3267</v>
      </c>
      <c r="D3099" s="29" t="s">
        <v>3278</v>
      </c>
      <c r="E3099" s="29" t="s">
        <v>3281</v>
      </c>
      <c r="F3099" s="62"/>
      <c r="G3099" s="20" t="str">
        <f t="shared" si="1"/>
        <v>Home &amp; Garden, Decor, Bird &amp; Wildlife Feeders, Squirrel Feeders</v>
      </c>
    </row>
    <row r="3100">
      <c r="A3100" s="29">
        <v>230911.0</v>
      </c>
      <c r="B3100" s="29" t="s">
        <v>3234</v>
      </c>
      <c r="C3100" s="29" t="s">
        <v>3267</v>
      </c>
      <c r="D3100" s="29" t="s">
        <v>3282</v>
      </c>
      <c r="F3100" s="62"/>
      <c r="G3100" s="20" t="str">
        <f t="shared" si="1"/>
        <v>Home &amp; Garden, Decor, Bird &amp; Wildlife House Accessories, </v>
      </c>
    </row>
    <row r="3101">
      <c r="A3101" s="29">
        <v>500078.0</v>
      </c>
      <c r="B3101" s="29" t="s">
        <v>3234</v>
      </c>
      <c r="C3101" s="29" t="s">
        <v>3267</v>
      </c>
      <c r="D3101" s="29" t="s">
        <v>3283</v>
      </c>
      <c r="E3101" s="62"/>
      <c r="F3101" s="62"/>
      <c r="G3101" s="20" t="str">
        <f t="shared" si="1"/>
        <v>Home &amp; Garden, Decor, Bird &amp; Wildlife Houses, </v>
      </c>
    </row>
    <row r="3102">
      <c r="A3102" s="29">
        <v>500079.0</v>
      </c>
      <c r="B3102" s="29" t="s">
        <v>3234</v>
      </c>
      <c r="C3102" s="29" t="s">
        <v>3267</v>
      </c>
      <c r="D3102" s="29" t="s">
        <v>3283</v>
      </c>
      <c r="E3102" s="29" t="s">
        <v>3284</v>
      </c>
      <c r="F3102" s="62"/>
      <c r="G3102" s="20" t="str">
        <f t="shared" si="1"/>
        <v>Home &amp; Garden, Decor, Bird &amp; Wildlife Houses, Bat Houses</v>
      </c>
    </row>
    <row r="3103">
      <c r="A3103" s="29">
        <v>699.0</v>
      </c>
      <c r="B3103" s="29" t="s">
        <v>3234</v>
      </c>
      <c r="C3103" s="29" t="s">
        <v>3267</v>
      </c>
      <c r="D3103" s="29" t="s">
        <v>3283</v>
      </c>
      <c r="E3103" s="29" t="s">
        <v>3285</v>
      </c>
      <c r="F3103" s="62"/>
      <c r="G3103" s="20" t="str">
        <f t="shared" si="1"/>
        <v>Home &amp; Garden, Decor, Bird &amp; Wildlife Houses, Birdhouses</v>
      </c>
    </row>
    <row r="3104">
      <c r="A3104" s="29">
        <v>500080.0</v>
      </c>
      <c r="B3104" s="29" t="s">
        <v>3234</v>
      </c>
      <c r="C3104" s="29" t="s">
        <v>3267</v>
      </c>
      <c r="D3104" s="29" t="s">
        <v>3283</v>
      </c>
      <c r="E3104" s="29" t="s">
        <v>3286</v>
      </c>
      <c r="F3104" s="62"/>
      <c r="G3104" s="20" t="str">
        <f t="shared" si="1"/>
        <v>Home &amp; Garden, Decor, Bird &amp; Wildlife Houses, Butterfly Houses</v>
      </c>
    </row>
    <row r="3105">
      <c r="A3105" s="29">
        <v>697.0</v>
      </c>
      <c r="B3105" s="29" t="s">
        <v>3234</v>
      </c>
      <c r="C3105" s="29" t="s">
        <v>3267</v>
      </c>
      <c r="D3105" s="29" t="s">
        <v>3287</v>
      </c>
      <c r="E3105" s="62"/>
      <c r="F3105" s="62"/>
      <c r="G3105" s="20" t="str">
        <f t="shared" si="1"/>
        <v>Home &amp; Garden, Decor, Bird Baths, </v>
      </c>
    </row>
    <row r="3106">
      <c r="A3106" s="29">
        <v>587.0</v>
      </c>
      <c r="B3106" s="29" t="s">
        <v>3234</v>
      </c>
      <c r="C3106" s="29" t="s">
        <v>3267</v>
      </c>
      <c r="D3106" s="29" t="s">
        <v>3288</v>
      </c>
      <c r="E3106" s="62"/>
      <c r="F3106" s="62"/>
      <c r="G3106" s="20" t="str">
        <f t="shared" si="1"/>
        <v>Home &amp; Garden, Decor, Bookends, </v>
      </c>
    </row>
    <row r="3107">
      <c r="A3107" s="29">
        <v>7380.0</v>
      </c>
      <c r="B3107" s="29" t="s">
        <v>3234</v>
      </c>
      <c r="C3107" s="29" t="s">
        <v>3267</v>
      </c>
      <c r="D3107" s="29" t="s">
        <v>3289</v>
      </c>
      <c r="E3107" s="62"/>
      <c r="F3107" s="62"/>
      <c r="G3107" s="20" t="str">
        <f t="shared" si="1"/>
        <v>Home &amp; Garden, Decor, Cardboard Cutouts, </v>
      </c>
    </row>
    <row r="3108">
      <c r="A3108" s="29">
        <v>4453.0</v>
      </c>
      <c r="B3108" s="29" t="s">
        <v>3234</v>
      </c>
      <c r="C3108" s="29" t="s">
        <v>3267</v>
      </c>
      <c r="D3108" s="29" t="s">
        <v>3290</v>
      </c>
      <c r="E3108" s="62"/>
      <c r="F3108" s="62"/>
      <c r="G3108" s="20" t="str">
        <f t="shared" si="1"/>
        <v>Home &amp; Garden, Decor, Chair &amp; Sofa Cushions, </v>
      </c>
    </row>
    <row r="3109">
      <c r="A3109" s="29">
        <v>505827.0</v>
      </c>
      <c r="B3109" s="29" t="s">
        <v>3234</v>
      </c>
      <c r="C3109" s="29" t="s">
        <v>3267</v>
      </c>
      <c r="D3109" s="29" t="s">
        <v>3291</v>
      </c>
      <c r="E3109" s="62"/>
      <c r="F3109" s="62"/>
      <c r="G3109" s="20" t="str">
        <f t="shared" si="1"/>
        <v>Home &amp; Garden, Decor, Clock Parts, </v>
      </c>
    </row>
    <row r="3110">
      <c r="A3110" s="29">
        <v>3890.0</v>
      </c>
      <c r="B3110" s="29" t="s">
        <v>3234</v>
      </c>
      <c r="C3110" s="29" t="s">
        <v>3267</v>
      </c>
      <c r="D3110" s="29" t="s">
        <v>3292</v>
      </c>
      <c r="E3110" s="62"/>
      <c r="F3110" s="62"/>
      <c r="G3110" s="20" t="str">
        <f t="shared" si="1"/>
        <v>Home &amp; Garden, Decor, Clocks, </v>
      </c>
    </row>
    <row r="3111">
      <c r="A3111" s="29">
        <v>4546.0</v>
      </c>
      <c r="B3111" s="29" t="s">
        <v>3234</v>
      </c>
      <c r="C3111" s="29" t="s">
        <v>3267</v>
      </c>
      <c r="D3111" s="29" t="s">
        <v>3292</v>
      </c>
      <c r="E3111" s="29" t="s">
        <v>3293</v>
      </c>
      <c r="F3111" s="62"/>
      <c r="G3111" s="20" t="str">
        <f t="shared" si="1"/>
        <v>Home &amp; Garden, Decor, Clocks, Alarm Clocks</v>
      </c>
    </row>
    <row r="3112">
      <c r="A3112" s="29">
        <v>6912.0</v>
      </c>
      <c r="B3112" s="29" t="s">
        <v>3234</v>
      </c>
      <c r="C3112" s="29" t="s">
        <v>3267</v>
      </c>
      <c r="D3112" s="29" t="s">
        <v>3292</v>
      </c>
      <c r="E3112" s="29" t="s">
        <v>3294</v>
      </c>
      <c r="F3112" s="62"/>
      <c r="G3112" s="20" t="str">
        <f t="shared" si="1"/>
        <v>Home &amp; Garden, Decor, Clocks, Desk &amp; Shelf Clocks</v>
      </c>
    </row>
    <row r="3113">
      <c r="A3113" s="29">
        <v>3696.0</v>
      </c>
      <c r="B3113" s="29" t="s">
        <v>3234</v>
      </c>
      <c r="C3113" s="29" t="s">
        <v>3267</v>
      </c>
      <c r="D3113" s="29" t="s">
        <v>3292</v>
      </c>
      <c r="E3113" s="29" t="s">
        <v>3295</v>
      </c>
      <c r="F3113" s="62"/>
      <c r="G3113" s="20" t="str">
        <f t="shared" si="1"/>
        <v>Home &amp; Garden, Decor, Clocks, Floor &amp; Grandfather Clocks</v>
      </c>
    </row>
    <row r="3114">
      <c r="A3114" s="29">
        <v>3840.0</v>
      </c>
      <c r="B3114" s="29" t="s">
        <v>3234</v>
      </c>
      <c r="C3114" s="29" t="s">
        <v>3267</v>
      </c>
      <c r="D3114" s="29" t="s">
        <v>3292</v>
      </c>
      <c r="E3114" s="29" t="s">
        <v>3296</v>
      </c>
      <c r="F3114" s="62"/>
      <c r="G3114" s="20" t="str">
        <f t="shared" si="1"/>
        <v>Home &amp; Garden, Decor, Clocks, Wall Clocks</v>
      </c>
    </row>
    <row r="3115">
      <c r="A3115" s="29">
        <v>5708.0</v>
      </c>
      <c r="B3115" s="29" t="s">
        <v>3234</v>
      </c>
      <c r="C3115" s="29" t="s">
        <v>3267</v>
      </c>
      <c r="D3115" s="29" t="s">
        <v>3297</v>
      </c>
      <c r="E3115" s="62"/>
      <c r="F3115" s="62"/>
      <c r="G3115" s="20" t="str">
        <f t="shared" si="1"/>
        <v>Home &amp; Garden, Decor, Coat &amp; Hat Racks, </v>
      </c>
    </row>
    <row r="3116">
      <c r="A3116" s="29">
        <v>7206.0</v>
      </c>
      <c r="B3116" s="29" t="s">
        <v>3234</v>
      </c>
      <c r="C3116" s="29" t="s">
        <v>3267</v>
      </c>
      <c r="D3116" s="29" t="s">
        <v>3298</v>
      </c>
      <c r="E3116" s="62"/>
      <c r="F3116" s="62"/>
      <c r="G3116" s="20" t="str">
        <f t="shared" si="1"/>
        <v>Home &amp; Garden, Decor, Decorative Bells, </v>
      </c>
    </row>
    <row r="3117">
      <c r="A3117" s="29">
        <v>6317.0</v>
      </c>
      <c r="B3117" s="29" t="s">
        <v>3234</v>
      </c>
      <c r="C3117" s="29" t="s">
        <v>3267</v>
      </c>
      <c r="D3117" s="29" t="s">
        <v>3299</v>
      </c>
      <c r="E3117" s="62"/>
      <c r="F3117" s="62"/>
      <c r="G3117" s="20" t="str">
        <f t="shared" si="1"/>
        <v>Home &amp; Garden, Decor, Decorative Bottles, </v>
      </c>
    </row>
    <row r="3118">
      <c r="A3118" s="29">
        <v>6457.0</v>
      </c>
      <c r="B3118" s="29" t="s">
        <v>3234</v>
      </c>
      <c r="C3118" s="29" t="s">
        <v>3267</v>
      </c>
      <c r="D3118" s="29" t="s">
        <v>3300</v>
      </c>
      <c r="E3118" s="62"/>
      <c r="F3118" s="62"/>
      <c r="G3118" s="20" t="str">
        <f t="shared" si="1"/>
        <v>Home &amp; Garden, Decor, Decorative Bowls, </v>
      </c>
    </row>
    <row r="3119">
      <c r="A3119" s="29">
        <v>7113.0</v>
      </c>
      <c r="B3119" s="29" t="s">
        <v>3234</v>
      </c>
      <c r="C3119" s="29" t="s">
        <v>3267</v>
      </c>
      <c r="D3119" s="29" t="s">
        <v>3301</v>
      </c>
      <c r="E3119" s="62"/>
      <c r="F3119" s="62"/>
      <c r="G3119" s="20" t="str">
        <f t="shared" si="1"/>
        <v>Home &amp; Garden, Decor, Decorative Jars, </v>
      </c>
    </row>
    <row r="3120">
      <c r="A3120" s="29">
        <v>708.0</v>
      </c>
      <c r="B3120" s="29" t="s">
        <v>3234</v>
      </c>
      <c r="C3120" s="29" t="s">
        <v>3267</v>
      </c>
      <c r="D3120" s="29" t="s">
        <v>3302</v>
      </c>
      <c r="E3120" s="62"/>
      <c r="F3120" s="62"/>
      <c r="G3120" s="20" t="str">
        <f t="shared" si="1"/>
        <v>Home &amp; Garden, Decor, Decorative Plaques, </v>
      </c>
    </row>
    <row r="3121">
      <c r="A3121" s="29">
        <v>5875.0</v>
      </c>
      <c r="B3121" s="29" t="s">
        <v>3234</v>
      </c>
      <c r="C3121" s="29" t="s">
        <v>3267</v>
      </c>
      <c r="D3121" s="29" t="s">
        <v>3303</v>
      </c>
      <c r="E3121" s="62"/>
      <c r="F3121" s="62"/>
      <c r="G3121" s="20" t="str">
        <f t="shared" si="1"/>
        <v>Home &amp; Garden, Decor, Decorative Plates, </v>
      </c>
    </row>
    <row r="3122">
      <c r="A3122" s="29">
        <v>6456.0</v>
      </c>
      <c r="B3122" s="29" t="s">
        <v>3234</v>
      </c>
      <c r="C3122" s="29" t="s">
        <v>3267</v>
      </c>
      <c r="D3122" s="29" t="s">
        <v>3304</v>
      </c>
      <c r="E3122" s="62"/>
      <c r="F3122" s="62"/>
      <c r="G3122" s="20" t="str">
        <f t="shared" si="1"/>
        <v>Home &amp; Garden, Decor, Decorative Trays, </v>
      </c>
    </row>
    <row r="3123">
      <c r="A3123" s="29">
        <v>2675.0</v>
      </c>
      <c r="B3123" s="29" t="s">
        <v>3234</v>
      </c>
      <c r="C3123" s="29" t="s">
        <v>3267</v>
      </c>
      <c r="D3123" s="29" t="s">
        <v>3305</v>
      </c>
      <c r="E3123" s="62"/>
      <c r="F3123" s="62"/>
      <c r="G3123" s="20" t="str">
        <f t="shared" si="1"/>
        <v>Home &amp; Garden, Decor, Door Mats, </v>
      </c>
    </row>
    <row r="3124">
      <c r="A3124" s="29">
        <v>7172.0</v>
      </c>
      <c r="B3124" s="29" t="s">
        <v>3234</v>
      </c>
      <c r="C3124" s="29" t="s">
        <v>3267</v>
      </c>
      <c r="D3124" s="29" t="s">
        <v>3306</v>
      </c>
      <c r="E3124" s="62"/>
      <c r="F3124" s="62"/>
      <c r="G3124" s="20" t="str">
        <f t="shared" si="1"/>
        <v>Home &amp; Garden, Decor, Dreamcatchers, </v>
      </c>
    </row>
    <row r="3125">
      <c r="A3125" s="29">
        <v>6936.0</v>
      </c>
      <c r="B3125" s="29" t="s">
        <v>3234</v>
      </c>
      <c r="C3125" s="29" t="s">
        <v>3267</v>
      </c>
      <c r="D3125" s="29" t="s">
        <v>3307</v>
      </c>
      <c r="E3125" s="62"/>
      <c r="F3125" s="62"/>
      <c r="G3125" s="20" t="str">
        <f t="shared" si="1"/>
        <v>Home &amp; Garden, Decor, Dried Flowers, </v>
      </c>
    </row>
    <row r="3126">
      <c r="A3126" s="29">
        <v>6935.0</v>
      </c>
      <c r="B3126" s="29" t="s">
        <v>3234</v>
      </c>
      <c r="C3126" s="29" t="s">
        <v>3267</v>
      </c>
      <c r="D3126" s="29" t="s">
        <v>3308</v>
      </c>
      <c r="E3126" s="62"/>
      <c r="F3126" s="62"/>
      <c r="G3126" s="20" t="str">
        <f t="shared" si="1"/>
        <v>Home &amp; Garden, Decor, Ecospheres, </v>
      </c>
    </row>
    <row r="3127">
      <c r="A3127" s="29">
        <v>5609.0</v>
      </c>
      <c r="B3127" s="29" t="s">
        <v>3234</v>
      </c>
      <c r="C3127" s="29" t="s">
        <v>3267</v>
      </c>
      <c r="D3127" s="29" t="s">
        <v>3309</v>
      </c>
      <c r="E3127" s="62"/>
      <c r="F3127" s="62"/>
      <c r="G3127" s="20" t="str">
        <f t="shared" si="1"/>
        <v>Home &amp; Garden, Decor, Figurines, </v>
      </c>
    </row>
    <row r="3128">
      <c r="A3128" s="29">
        <v>7422.0</v>
      </c>
      <c r="B3128" s="29" t="s">
        <v>3234</v>
      </c>
      <c r="C3128" s="29" t="s">
        <v>3267</v>
      </c>
      <c r="D3128" s="29" t="s">
        <v>3310</v>
      </c>
      <c r="E3128" s="62"/>
      <c r="F3128" s="62"/>
      <c r="G3128" s="20" t="str">
        <f t="shared" si="1"/>
        <v>Home &amp; Garden, Decor, Finials, </v>
      </c>
    </row>
    <row r="3129">
      <c r="A3129" s="29">
        <v>7419.0</v>
      </c>
      <c r="B3129" s="29" t="s">
        <v>3234</v>
      </c>
      <c r="C3129" s="29" t="s">
        <v>3267</v>
      </c>
      <c r="D3129" s="29" t="s">
        <v>3311</v>
      </c>
      <c r="F3129" s="62"/>
      <c r="G3129" s="20" t="str">
        <f t="shared" si="1"/>
        <v>Home &amp; Garden, Decor, Flag &amp; Windsock Accessories, </v>
      </c>
    </row>
    <row r="3130">
      <c r="A3130" s="29">
        <v>7420.0</v>
      </c>
      <c r="B3130" s="29" t="s">
        <v>3234</v>
      </c>
      <c r="C3130" s="29" t="s">
        <v>3267</v>
      </c>
      <c r="D3130" s="29" t="s">
        <v>3311</v>
      </c>
      <c r="E3130" s="29" t="s">
        <v>3312</v>
      </c>
      <c r="F3130" s="62"/>
      <c r="G3130" s="20" t="str">
        <f t="shared" si="1"/>
        <v>Home &amp; Garden, Decor, Flag &amp; Windsock Accessories, Flag &amp; Windsock Pole Lights</v>
      </c>
    </row>
    <row r="3131">
      <c r="A3131" s="29">
        <v>503010.0</v>
      </c>
      <c r="B3131" s="29" t="s">
        <v>3234</v>
      </c>
      <c r="C3131" s="29" t="s">
        <v>3267</v>
      </c>
      <c r="D3131" s="29" t="s">
        <v>3311</v>
      </c>
      <c r="E3131" s="29" t="s">
        <v>3313</v>
      </c>
      <c r="G3131" s="20" t="str">
        <f t="shared" si="1"/>
        <v>Home &amp; Garden, Decor, Flag &amp; Windsock Accessories, Flag &amp; Windsock Pole Mounting Hardware &amp; Kits</v>
      </c>
    </row>
    <row r="3132">
      <c r="A3132" s="29">
        <v>7421.0</v>
      </c>
      <c r="B3132" s="29" t="s">
        <v>3234</v>
      </c>
      <c r="C3132" s="29" t="s">
        <v>3267</v>
      </c>
      <c r="D3132" s="29" t="s">
        <v>3311</v>
      </c>
      <c r="E3132" s="29" t="s">
        <v>3314</v>
      </c>
      <c r="F3132" s="62"/>
      <c r="G3132" s="20" t="str">
        <f t="shared" si="1"/>
        <v>Home &amp; Garden, Decor, Flag &amp; Windsock Accessories, Flag &amp; Windsock Poles</v>
      </c>
    </row>
    <row r="3133">
      <c r="A3133" s="29">
        <v>701.0</v>
      </c>
      <c r="B3133" s="29" t="s">
        <v>3234</v>
      </c>
      <c r="C3133" s="29" t="s">
        <v>3267</v>
      </c>
      <c r="D3133" s="29" t="s">
        <v>3315</v>
      </c>
      <c r="E3133" s="62"/>
      <c r="F3133" s="62"/>
      <c r="G3133" s="20" t="str">
        <f t="shared" si="1"/>
        <v>Home &amp; Garden, Decor, Flags &amp; Windsocks, </v>
      </c>
    </row>
    <row r="3134">
      <c r="A3134" s="29">
        <v>4770.0</v>
      </c>
      <c r="B3134" s="29" t="s">
        <v>3234</v>
      </c>
      <c r="C3134" s="29" t="s">
        <v>3267</v>
      </c>
      <c r="D3134" s="29" t="s">
        <v>3316</v>
      </c>
      <c r="E3134" s="62"/>
      <c r="F3134" s="62"/>
      <c r="G3134" s="20" t="str">
        <f t="shared" si="1"/>
        <v>Home &amp; Garden, Decor, Flameless Candles, </v>
      </c>
    </row>
    <row r="3135">
      <c r="A3135" s="29">
        <v>702.0</v>
      </c>
      <c r="B3135" s="29" t="s">
        <v>3234</v>
      </c>
      <c r="C3135" s="29" t="s">
        <v>3267</v>
      </c>
      <c r="D3135" s="29" t="s">
        <v>3317</v>
      </c>
      <c r="E3135" s="62"/>
      <c r="F3135" s="62"/>
      <c r="G3135" s="20" t="str">
        <f t="shared" si="1"/>
        <v>Home &amp; Garden, Decor, Fountains &amp; Ponds, </v>
      </c>
    </row>
    <row r="3136">
      <c r="A3136" s="29">
        <v>2921.0</v>
      </c>
      <c r="B3136" s="29" t="s">
        <v>3234</v>
      </c>
      <c r="C3136" s="29" t="s">
        <v>3267</v>
      </c>
      <c r="D3136" s="29" t="s">
        <v>3317</v>
      </c>
      <c r="E3136" s="29" t="s">
        <v>3318</v>
      </c>
      <c r="F3136" s="62"/>
      <c r="G3136" s="20" t="str">
        <f t="shared" si="1"/>
        <v>Home &amp; Garden, Decor, Fountains &amp; Ponds, Fountain &amp; Pond Accessories</v>
      </c>
    </row>
    <row r="3137">
      <c r="A3137" s="29">
        <v>6763.0</v>
      </c>
      <c r="B3137" s="29" t="s">
        <v>3234</v>
      </c>
      <c r="C3137" s="29" t="s">
        <v>3267</v>
      </c>
      <c r="D3137" s="29" t="s">
        <v>3317</v>
      </c>
      <c r="E3137" s="29" t="s">
        <v>3319</v>
      </c>
      <c r="F3137" s="62"/>
      <c r="G3137" s="20" t="str">
        <f t="shared" si="1"/>
        <v>Home &amp; Garden, Decor, Fountains &amp; Ponds, Fountains &amp; Waterfalls</v>
      </c>
    </row>
    <row r="3138">
      <c r="A3138" s="29">
        <v>2763.0</v>
      </c>
      <c r="B3138" s="29" t="s">
        <v>3234</v>
      </c>
      <c r="C3138" s="29" t="s">
        <v>3267</v>
      </c>
      <c r="D3138" s="29" t="s">
        <v>3317</v>
      </c>
      <c r="E3138" s="29" t="s">
        <v>3320</v>
      </c>
      <c r="F3138" s="62"/>
      <c r="G3138" s="20" t="str">
        <f t="shared" si="1"/>
        <v>Home &amp; Garden, Decor, Fountains &amp; Ponds, Ponds</v>
      </c>
    </row>
    <row r="3139">
      <c r="A3139" s="29">
        <v>704.0</v>
      </c>
      <c r="B3139" s="29" t="s">
        <v>3234</v>
      </c>
      <c r="C3139" s="29" t="s">
        <v>3267</v>
      </c>
      <c r="D3139" s="29" t="s">
        <v>3321</v>
      </c>
      <c r="F3139" s="62"/>
      <c r="G3139" s="20" t="str">
        <f t="shared" si="1"/>
        <v>Home &amp; Garden, Decor, Garden &amp; Stepping Stones, </v>
      </c>
    </row>
    <row r="3140">
      <c r="A3140" s="29">
        <v>499693.0</v>
      </c>
      <c r="B3140" s="29" t="s">
        <v>3234</v>
      </c>
      <c r="C3140" s="29" t="s">
        <v>3267</v>
      </c>
      <c r="D3140" s="29" t="s">
        <v>3322</v>
      </c>
      <c r="E3140" s="62"/>
      <c r="F3140" s="62"/>
      <c r="G3140" s="20" t="str">
        <f t="shared" si="1"/>
        <v>Home &amp; Garden, Decor, Growth Charts, </v>
      </c>
    </row>
    <row r="3141">
      <c r="A3141" s="29">
        <v>3221.0</v>
      </c>
      <c r="B3141" s="29" t="s">
        <v>3234</v>
      </c>
      <c r="C3141" s="29" t="s">
        <v>3267</v>
      </c>
      <c r="D3141" s="29" t="s">
        <v>3323</v>
      </c>
      <c r="E3141" s="62"/>
      <c r="F3141" s="62"/>
      <c r="G3141" s="20" t="str">
        <f t="shared" si="1"/>
        <v>Home &amp; Garden, Decor, Home Decor Decals, </v>
      </c>
    </row>
    <row r="3142">
      <c r="A3142" s="29">
        <v>500121.0</v>
      </c>
      <c r="B3142" s="29" t="s">
        <v>3234</v>
      </c>
      <c r="C3142" s="29" t="s">
        <v>3267</v>
      </c>
      <c r="D3142" s="29" t="s">
        <v>3324</v>
      </c>
      <c r="F3142" s="62"/>
      <c r="G3142" s="20" t="str">
        <f t="shared" si="1"/>
        <v>Home &amp; Garden, Decor, Home Fragrance Accessories, </v>
      </c>
    </row>
    <row r="3143">
      <c r="A3143" s="29">
        <v>6336.0</v>
      </c>
      <c r="B3143" s="29" t="s">
        <v>3234</v>
      </c>
      <c r="C3143" s="29" t="s">
        <v>3267</v>
      </c>
      <c r="D3143" s="29" t="s">
        <v>3324</v>
      </c>
      <c r="E3143" s="29" t="s">
        <v>3325</v>
      </c>
      <c r="F3143" s="62"/>
      <c r="G3143" s="20" t="str">
        <f t="shared" si="1"/>
        <v>Home &amp; Garden, Decor, Home Fragrance Accessories, Candle &amp; Oil Warmers</v>
      </c>
    </row>
    <row r="3144">
      <c r="A3144" s="29">
        <v>2784.0</v>
      </c>
      <c r="B3144" s="29" t="s">
        <v>3234</v>
      </c>
      <c r="C3144" s="29" t="s">
        <v>3267</v>
      </c>
      <c r="D3144" s="29" t="s">
        <v>3324</v>
      </c>
      <c r="E3144" s="29" t="s">
        <v>3326</v>
      </c>
      <c r="F3144" s="62"/>
      <c r="G3144" s="20" t="str">
        <f t="shared" si="1"/>
        <v>Home &amp; Garden, Decor, Home Fragrance Accessories, Candle Holders</v>
      </c>
    </row>
    <row r="3145">
      <c r="A3145" s="29">
        <v>500122.0</v>
      </c>
      <c r="B3145" s="29" t="s">
        <v>3234</v>
      </c>
      <c r="C3145" s="29" t="s">
        <v>3267</v>
      </c>
      <c r="D3145" s="29" t="s">
        <v>3324</v>
      </c>
      <c r="E3145" s="29" t="s">
        <v>3327</v>
      </c>
      <c r="F3145" s="62"/>
      <c r="G3145" s="20" t="str">
        <f t="shared" si="1"/>
        <v>Home &amp; Garden, Decor, Home Fragrance Accessories, Candle Snuffers</v>
      </c>
    </row>
    <row r="3146">
      <c r="A3146" s="29">
        <v>4741.0</v>
      </c>
      <c r="B3146" s="29" t="s">
        <v>3234</v>
      </c>
      <c r="C3146" s="29" t="s">
        <v>3267</v>
      </c>
      <c r="D3146" s="29" t="s">
        <v>3324</v>
      </c>
      <c r="E3146" s="29" t="s">
        <v>3328</v>
      </c>
      <c r="F3146" s="62"/>
      <c r="G3146" s="20" t="str">
        <f t="shared" si="1"/>
        <v>Home &amp; Garden, Decor, Home Fragrance Accessories, Incense Holders</v>
      </c>
    </row>
    <row r="3147">
      <c r="A3147" s="29">
        <v>592.0</v>
      </c>
      <c r="B3147" s="29" t="s">
        <v>3234</v>
      </c>
      <c r="C3147" s="29" t="s">
        <v>3267</v>
      </c>
      <c r="D3147" s="29" t="s">
        <v>3329</v>
      </c>
      <c r="E3147" s="62"/>
      <c r="F3147" s="62"/>
      <c r="G3147" s="20" t="str">
        <f t="shared" si="1"/>
        <v>Home &amp; Garden, Decor, Home Fragrances, </v>
      </c>
    </row>
    <row r="3148">
      <c r="A3148" s="29">
        <v>3898.0</v>
      </c>
      <c r="B3148" s="29" t="s">
        <v>3234</v>
      </c>
      <c r="C3148" s="29" t="s">
        <v>3267</v>
      </c>
      <c r="D3148" s="29" t="s">
        <v>3329</v>
      </c>
      <c r="E3148" s="29" t="s">
        <v>3330</v>
      </c>
      <c r="F3148" s="62"/>
      <c r="G3148" s="20" t="str">
        <f t="shared" si="1"/>
        <v>Home &amp; Garden, Decor, Home Fragrances, Air Fresheners</v>
      </c>
    </row>
    <row r="3149">
      <c r="A3149" s="29">
        <v>588.0</v>
      </c>
      <c r="B3149" s="29" t="s">
        <v>3234</v>
      </c>
      <c r="C3149" s="29" t="s">
        <v>3267</v>
      </c>
      <c r="D3149" s="29" t="s">
        <v>3329</v>
      </c>
      <c r="E3149" s="29" t="s">
        <v>3331</v>
      </c>
      <c r="F3149" s="62"/>
      <c r="G3149" s="20" t="str">
        <f t="shared" si="1"/>
        <v>Home &amp; Garden, Decor, Home Fragrances, Candles</v>
      </c>
    </row>
    <row r="3150">
      <c r="A3150" s="29">
        <v>5847.0</v>
      </c>
      <c r="B3150" s="29" t="s">
        <v>3234</v>
      </c>
      <c r="C3150" s="29" t="s">
        <v>3267</v>
      </c>
      <c r="D3150" s="29" t="s">
        <v>3329</v>
      </c>
      <c r="E3150" s="29" t="s">
        <v>3332</v>
      </c>
      <c r="F3150" s="62"/>
      <c r="G3150" s="20" t="str">
        <f t="shared" si="1"/>
        <v>Home &amp; Garden, Decor, Home Fragrances, Fragrance Oil</v>
      </c>
    </row>
    <row r="3151">
      <c r="A3151" s="29">
        <v>3686.0</v>
      </c>
      <c r="B3151" s="29" t="s">
        <v>3234</v>
      </c>
      <c r="C3151" s="29" t="s">
        <v>3267</v>
      </c>
      <c r="D3151" s="29" t="s">
        <v>3329</v>
      </c>
      <c r="E3151" s="29" t="s">
        <v>3333</v>
      </c>
      <c r="F3151" s="62"/>
      <c r="G3151" s="20" t="str">
        <f t="shared" si="1"/>
        <v>Home &amp; Garden, Decor, Home Fragrances, Incense</v>
      </c>
    </row>
    <row r="3152">
      <c r="A3152" s="29">
        <v>4740.0</v>
      </c>
      <c r="B3152" s="29" t="s">
        <v>3234</v>
      </c>
      <c r="C3152" s="29" t="s">
        <v>3267</v>
      </c>
      <c r="D3152" s="29" t="s">
        <v>3329</v>
      </c>
      <c r="E3152" s="29" t="s">
        <v>3334</v>
      </c>
      <c r="F3152" s="62"/>
      <c r="G3152" s="20" t="str">
        <f t="shared" si="1"/>
        <v>Home &amp; Garden, Decor, Home Fragrances, Potpourri</v>
      </c>
    </row>
    <row r="3153">
      <c r="A3153" s="29">
        <v>6767.0</v>
      </c>
      <c r="B3153" s="29" t="s">
        <v>3234</v>
      </c>
      <c r="C3153" s="29" t="s">
        <v>3267</v>
      </c>
      <c r="D3153" s="29" t="s">
        <v>3329</v>
      </c>
      <c r="E3153" s="29" t="s">
        <v>3335</v>
      </c>
      <c r="F3153" s="62"/>
      <c r="G3153" s="20" t="str">
        <f t="shared" si="1"/>
        <v>Home &amp; Garden, Decor, Home Fragrances, Wax Tarts</v>
      </c>
    </row>
    <row r="3154">
      <c r="A3154" s="29">
        <v>503000.0</v>
      </c>
      <c r="B3154" s="29" t="s">
        <v>3234</v>
      </c>
      <c r="C3154" s="29" t="s">
        <v>3267</v>
      </c>
      <c r="D3154" s="29" t="s">
        <v>3336</v>
      </c>
      <c r="E3154" s="62"/>
      <c r="F3154" s="62"/>
      <c r="G3154" s="20" t="str">
        <f t="shared" si="1"/>
        <v>Home &amp; Garden, Decor, Hourglasses, </v>
      </c>
    </row>
    <row r="3155">
      <c r="A3155" s="29">
        <v>7382.0</v>
      </c>
      <c r="B3155" s="29" t="s">
        <v>3234</v>
      </c>
      <c r="C3155" s="29" t="s">
        <v>3267</v>
      </c>
      <c r="D3155" s="29" t="s">
        <v>3337</v>
      </c>
      <c r="F3155" s="62"/>
      <c r="G3155" s="20" t="str">
        <f t="shared" si="1"/>
        <v>Home &amp; Garden, Decor, House Numbers &amp; Letters, </v>
      </c>
    </row>
    <row r="3156">
      <c r="A3156" s="29">
        <v>6547.0</v>
      </c>
      <c r="B3156" s="29" t="s">
        <v>3234</v>
      </c>
      <c r="C3156" s="29" t="s">
        <v>3267</v>
      </c>
      <c r="D3156" s="29" t="s">
        <v>3338</v>
      </c>
      <c r="F3156" s="62"/>
      <c r="G3156" s="20" t="str">
        <f t="shared" si="1"/>
        <v>Home &amp; Garden, Decor, Lawn Ornaments &amp; Garden Sculptures, </v>
      </c>
    </row>
    <row r="3157">
      <c r="A3157" s="29">
        <v>7436.0</v>
      </c>
      <c r="B3157" s="29" t="s">
        <v>3234</v>
      </c>
      <c r="C3157" s="29" t="s">
        <v>3267</v>
      </c>
      <c r="D3157" s="29" t="s">
        <v>3339</v>
      </c>
      <c r="E3157" s="62"/>
      <c r="F3157" s="62"/>
      <c r="G3157" s="20" t="str">
        <f t="shared" si="1"/>
        <v>Home &amp; Garden, Decor, Mail Slots, </v>
      </c>
    </row>
    <row r="3158">
      <c r="A3158" s="29">
        <v>6333.0</v>
      </c>
      <c r="B3158" s="29" t="s">
        <v>3234</v>
      </c>
      <c r="C3158" s="29" t="s">
        <v>3267</v>
      </c>
      <c r="D3158" s="29" t="s">
        <v>3340</v>
      </c>
      <c r="E3158" s="62"/>
      <c r="F3158" s="62"/>
      <c r="G3158" s="20" t="str">
        <f t="shared" si="1"/>
        <v>Home &amp; Garden, Decor, Mailbox Accessories, </v>
      </c>
    </row>
    <row r="3159">
      <c r="A3159" s="29">
        <v>7177.0</v>
      </c>
      <c r="B3159" s="29" t="s">
        <v>3234</v>
      </c>
      <c r="C3159" s="29" t="s">
        <v>3267</v>
      </c>
      <c r="D3159" s="29" t="s">
        <v>3340</v>
      </c>
      <c r="E3159" s="29" t="s">
        <v>3341</v>
      </c>
      <c r="F3159" s="62"/>
      <c r="G3159" s="20" t="str">
        <f t="shared" si="1"/>
        <v>Home &amp; Garden, Decor, Mailbox Accessories, Mailbox Covers</v>
      </c>
    </row>
    <row r="3160">
      <c r="A3160" s="29">
        <v>7052.0</v>
      </c>
      <c r="B3160" s="29" t="s">
        <v>3234</v>
      </c>
      <c r="C3160" s="29" t="s">
        <v>3267</v>
      </c>
      <c r="D3160" s="29" t="s">
        <v>3340</v>
      </c>
      <c r="E3160" s="29" t="s">
        <v>3342</v>
      </c>
      <c r="F3160" s="62"/>
      <c r="G3160" s="20" t="str">
        <f t="shared" si="1"/>
        <v>Home &amp; Garden, Decor, Mailbox Accessories, Mailbox Enclosures</v>
      </c>
    </row>
    <row r="3161">
      <c r="A3161" s="29">
        <v>7176.0</v>
      </c>
      <c r="B3161" s="29" t="s">
        <v>3234</v>
      </c>
      <c r="C3161" s="29" t="s">
        <v>3267</v>
      </c>
      <c r="D3161" s="29" t="s">
        <v>3340</v>
      </c>
      <c r="E3161" s="29" t="s">
        <v>3343</v>
      </c>
      <c r="F3161" s="62"/>
      <c r="G3161" s="20" t="str">
        <f t="shared" si="1"/>
        <v>Home &amp; Garden, Decor, Mailbox Accessories, Mailbox Flags</v>
      </c>
    </row>
    <row r="3162">
      <c r="A3162" s="29">
        <v>6334.0</v>
      </c>
      <c r="B3162" s="29" t="s">
        <v>3234</v>
      </c>
      <c r="C3162" s="29" t="s">
        <v>3267</v>
      </c>
      <c r="D3162" s="29" t="s">
        <v>3340</v>
      </c>
      <c r="E3162" s="29" t="s">
        <v>3344</v>
      </c>
      <c r="F3162" s="62"/>
      <c r="G3162" s="20" t="str">
        <f t="shared" si="1"/>
        <v>Home &amp; Garden, Decor, Mailbox Accessories, Mailbox Posts</v>
      </c>
    </row>
    <row r="3163">
      <c r="A3163" s="29">
        <v>7339.0</v>
      </c>
      <c r="B3163" s="29" t="s">
        <v>3234</v>
      </c>
      <c r="C3163" s="29" t="s">
        <v>3267</v>
      </c>
      <c r="D3163" s="29" t="s">
        <v>3340</v>
      </c>
      <c r="E3163" s="29" t="s">
        <v>3345</v>
      </c>
      <c r="F3163" s="62"/>
      <c r="G3163" s="20" t="str">
        <f t="shared" si="1"/>
        <v>Home &amp; Garden, Decor, Mailbox Accessories, Mailbox Replacement Doors</v>
      </c>
    </row>
    <row r="3164">
      <c r="A3164" s="29">
        <v>706.0</v>
      </c>
      <c r="B3164" s="29" t="s">
        <v>3234</v>
      </c>
      <c r="C3164" s="29" t="s">
        <v>3267</v>
      </c>
      <c r="D3164" s="29" t="s">
        <v>3346</v>
      </c>
      <c r="E3164" s="62"/>
      <c r="F3164" s="62"/>
      <c r="G3164" s="20" t="str">
        <f t="shared" si="1"/>
        <v>Home &amp; Garden, Decor, Mailboxes, </v>
      </c>
    </row>
    <row r="3165">
      <c r="A3165" s="29">
        <v>595.0</v>
      </c>
      <c r="B3165" s="29" t="s">
        <v>3234</v>
      </c>
      <c r="C3165" s="29" t="s">
        <v>3267</v>
      </c>
      <c r="D3165" s="29" t="s">
        <v>164</v>
      </c>
      <c r="E3165" s="62"/>
      <c r="F3165" s="62"/>
      <c r="G3165" s="20" t="str">
        <f t="shared" si="1"/>
        <v>Home &amp; Garden, Decor, Mirrors, </v>
      </c>
    </row>
    <row r="3166">
      <c r="A3166" s="29">
        <v>3473.0</v>
      </c>
      <c r="B3166" s="29" t="s">
        <v>3234</v>
      </c>
      <c r="C3166" s="29" t="s">
        <v>3267</v>
      </c>
      <c r="D3166" s="29" t="s">
        <v>3347</v>
      </c>
      <c r="E3166" s="62"/>
      <c r="F3166" s="62"/>
      <c r="G3166" s="20" t="str">
        <f t="shared" si="1"/>
        <v>Home &amp; Garden, Decor, Music Boxes, </v>
      </c>
    </row>
    <row r="3167">
      <c r="A3167" s="29">
        <v>6324.0</v>
      </c>
      <c r="B3167" s="29" t="s">
        <v>3234</v>
      </c>
      <c r="C3167" s="29" t="s">
        <v>3267</v>
      </c>
      <c r="D3167" s="29" t="s">
        <v>3348</v>
      </c>
      <c r="E3167" s="62"/>
      <c r="F3167" s="62"/>
      <c r="G3167" s="20" t="str">
        <f t="shared" si="1"/>
        <v>Home &amp; Garden, Decor, Napkin Rings, </v>
      </c>
    </row>
    <row r="3168">
      <c r="A3168" s="29">
        <v>5885.0</v>
      </c>
      <c r="B3168" s="29" t="s">
        <v>3234</v>
      </c>
      <c r="C3168" s="29" t="s">
        <v>3267</v>
      </c>
      <c r="D3168" s="29" t="s">
        <v>3349</v>
      </c>
      <c r="E3168" s="62"/>
      <c r="F3168" s="62"/>
      <c r="G3168" s="20" t="str">
        <f t="shared" si="1"/>
        <v>Home &amp; Garden, Decor, Novelty Signs, </v>
      </c>
    </row>
    <row r="3169">
      <c r="A3169" s="29">
        <v>6927.0</v>
      </c>
      <c r="B3169" s="29" t="s">
        <v>3234</v>
      </c>
      <c r="C3169" s="29" t="s">
        <v>3267</v>
      </c>
      <c r="D3169" s="29" t="s">
        <v>3350</v>
      </c>
      <c r="E3169" s="62"/>
      <c r="F3169" s="62"/>
      <c r="G3169" s="20" t="str">
        <f t="shared" si="1"/>
        <v>Home &amp; Garden, Decor, Ottoman Cushions, </v>
      </c>
    </row>
    <row r="3170">
      <c r="A3170" s="29">
        <v>597.0</v>
      </c>
      <c r="B3170" s="29" t="s">
        <v>3234</v>
      </c>
      <c r="C3170" s="29" t="s">
        <v>3267</v>
      </c>
      <c r="D3170" s="29" t="s">
        <v>3351</v>
      </c>
      <c r="E3170" s="62"/>
      <c r="F3170" s="62"/>
      <c r="G3170" s="20" t="str">
        <f t="shared" si="1"/>
        <v>Home &amp; Garden, Decor, Picture Frames, </v>
      </c>
    </row>
    <row r="3171">
      <c r="A3171" s="29">
        <v>4295.0</v>
      </c>
      <c r="B3171" s="29" t="s">
        <v>3234</v>
      </c>
      <c r="C3171" s="29" t="s">
        <v>3267</v>
      </c>
      <c r="D3171" s="29" t="s">
        <v>3352</v>
      </c>
      <c r="F3171" s="62"/>
      <c r="G3171" s="20" t="str">
        <f t="shared" si="1"/>
        <v>Home &amp; Garden, Decor, Piggy Banks &amp; Money Jars, </v>
      </c>
    </row>
    <row r="3172">
      <c r="A3172" s="29">
        <v>709.0</v>
      </c>
      <c r="B3172" s="29" t="s">
        <v>3234</v>
      </c>
      <c r="C3172" s="29" t="s">
        <v>3267</v>
      </c>
      <c r="D3172" s="29" t="s">
        <v>3353</v>
      </c>
      <c r="E3172" s="62"/>
      <c r="F3172" s="62"/>
      <c r="G3172" s="20" t="str">
        <f t="shared" si="1"/>
        <v>Home &amp; Garden, Decor, Rain Chains, </v>
      </c>
    </row>
    <row r="3173">
      <c r="A3173" s="29">
        <v>710.0</v>
      </c>
      <c r="B3173" s="29" t="s">
        <v>3234</v>
      </c>
      <c r="C3173" s="29" t="s">
        <v>3267</v>
      </c>
      <c r="D3173" s="29" t="s">
        <v>3354</v>
      </c>
      <c r="E3173" s="62"/>
      <c r="F3173" s="62"/>
      <c r="G3173" s="20" t="str">
        <f t="shared" si="1"/>
        <v>Home &amp; Garden, Decor, Rain Gauges, </v>
      </c>
    </row>
    <row r="3174">
      <c r="A3174" s="29">
        <v>5876.0</v>
      </c>
      <c r="B3174" s="29" t="s">
        <v>3234</v>
      </c>
      <c r="C3174" s="29" t="s">
        <v>3267</v>
      </c>
      <c r="D3174" s="29" t="s">
        <v>3355</v>
      </c>
      <c r="E3174" s="62"/>
      <c r="F3174" s="62"/>
      <c r="G3174" s="20" t="str">
        <f t="shared" si="1"/>
        <v>Home &amp; Garden, Decor, Refrigerator Magnets, </v>
      </c>
    </row>
    <row r="3175">
      <c r="A3175" s="29">
        <v>598.0</v>
      </c>
      <c r="B3175" s="29" t="s">
        <v>3234</v>
      </c>
      <c r="C3175" s="29" t="s">
        <v>3267</v>
      </c>
      <c r="D3175" s="29" t="s">
        <v>454</v>
      </c>
      <c r="E3175" s="62"/>
      <c r="F3175" s="62"/>
      <c r="G3175" s="20" t="str">
        <f t="shared" si="1"/>
        <v>Home &amp; Garden, Decor, Rugs, </v>
      </c>
    </row>
    <row r="3176">
      <c r="A3176" s="29">
        <v>596.0</v>
      </c>
      <c r="B3176" s="29" t="s">
        <v>3234</v>
      </c>
      <c r="C3176" s="29" t="s">
        <v>3267</v>
      </c>
      <c r="D3176" s="29" t="s">
        <v>3356</v>
      </c>
      <c r="F3176" s="62"/>
      <c r="G3176" s="20" t="str">
        <f t="shared" si="1"/>
        <v>Home &amp; Garden, Decor, Seasonal &amp; Holiday Decorations, </v>
      </c>
    </row>
    <row r="3177">
      <c r="A3177" s="29">
        <v>5359.0</v>
      </c>
      <c r="B3177" s="29" t="s">
        <v>3234</v>
      </c>
      <c r="C3177" s="29" t="s">
        <v>3267</v>
      </c>
      <c r="D3177" s="29" t="s">
        <v>3356</v>
      </c>
      <c r="E3177" s="29" t="s">
        <v>3357</v>
      </c>
      <c r="F3177" s="62"/>
      <c r="G3177" s="20" t="str">
        <f t="shared" si="1"/>
        <v>Home &amp; Garden, Decor, Seasonal &amp; Holiday Decorations, Advent Calendars</v>
      </c>
    </row>
    <row r="3178">
      <c r="A3178" s="29">
        <v>5504.0</v>
      </c>
      <c r="B3178" s="29" t="s">
        <v>3234</v>
      </c>
      <c r="C3178" s="29" t="s">
        <v>3267</v>
      </c>
      <c r="D3178" s="29" t="s">
        <v>3356</v>
      </c>
      <c r="E3178" s="29" t="s">
        <v>3358</v>
      </c>
      <c r="F3178" s="62"/>
      <c r="G3178" s="20" t="str">
        <f t="shared" si="1"/>
        <v>Home &amp; Garden, Decor, Seasonal &amp; Holiday Decorations, Christmas Tree Skirts</v>
      </c>
    </row>
    <row r="3179">
      <c r="A3179" s="29">
        <v>6603.0</v>
      </c>
      <c r="B3179" s="29" t="s">
        <v>3234</v>
      </c>
      <c r="C3179" s="29" t="s">
        <v>3267</v>
      </c>
      <c r="D3179" s="29" t="s">
        <v>3356</v>
      </c>
      <c r="E3179" s="29" t="s">
        <v>3359</v>
      </c>
      <c r="F3179" s="62"/>
      <c r="G3179" s="20" t="str">
        <f t="shared" si="1"/>
        <v>Home &amp; Garden, Decor, Seasonal &amp; Holiday Decorations, Christmas Tree Stands</v>
      </c>
    </row>
    <row r="3180">
      <c r="A3180" s="29">
        <v>499805.0</v>
      </c>
      <c r="B3180" s="29" t="s">
        <v>3234</v>
      </c>
      <c r="C3180" s="29" t="s">
        <v>3267</v>
      </c>
      <c r="D3180" s="29" t="s">
        <v>3356</v>
      </c>
      <c r="E3180" s="29" t="s">
        <v>3360</v>
      </c>
      <c r="F3180" s="62"/>
      <c r="G3180" s="20" t="str">
        <f t="shared" si="1"/>
        <v>Home &amp; Garden, Decor, Seasonal &amp; Holiday Decorations, Easter Egg Decorating Kits</v>
      </c>
    </row>
    <row r="3181">
      <c r="A3181" s="29">
        <v>6532.0</v>
      </c>
      <c r="B3181" s="29" t="s">
        <v>3234</v>
      </c>
      <c r="C3181" s="29" t="s">
        <v>3267</v>
      </c>
      <c r="D3181" s="29" t="s">
        <v>3356</v>
      </c>
      <c r="E3181" s="29" t="s">
        <v>3361</v>
      </c>
      <c r="G3181" s="20" t="str">
        <f t="shared" si="1"/>
        <v>Home &amp; Garden, Decor, Seasonal &amp; Holiday Decorations, Holiday Ornament Displays &amp; Stands</v>
      </c>
    </row>
    <row r="3182">
      <c r="A3182" s="29">
        <v>499804.0</v>
      </c>
      <c r="B3182" s="29" t="s">
        <v>3234</v>
      </c>
      <c r="C3182" s="29" t="s">
        <v>3267</v>
      </c>
      <c r="D3182" s="29" t="s">
        <v>3356</v>
      </c>
      <c r="E3182" s="29" t="s">
        <v>3362</v>
      </c>
      <c r="F3182" s="62"/>
      <c r="G3182" s="20" t="str">
        <f t="shared" si="1"/>
        <v>Home &amp; Garden, Decor, Seasonal &amp; Holiday Decorations, Holiday Ornament Hooks</v>
      </c>
    </row>
    <row r="3183">
      <c r="A3183" s="29">
        <v>3144.0</v>
      </c>
      <c r="B3183" s="29" t="s">
        <v>3234</v>
      </c>
      <c r="C3183" s="29" t="s">
        <v>3267</v>
      </c>
      <c r="D3183" s="29" t="s">
        <v>3356</v>
      </c>
      <c r="E3183" s="29" t="s">
        <v>3363</v>
      </c>
      <c r="F3183" s="62"/>
      <c r="G3183" s="20" t="str">
        <f t="shared" si="1"/>
        <v>Home &amp; Garden, Decor, Seasonal &amp; Holiday Decorations, Holiday Ornaments</v>
      </c>
    </row>
    <row r="3184">
      <c r="A3184" s="29">
        <v>5990.0</v>
      </c>
      <c r="B3184" s="29" t="s">
        <v>3234</v>
      </c>
      <c r="C3184" s="29" t="s">
        <v>3267</v>
      </c>
      <c r="D3184" s="29" t="s">
        <v>3356</v>
      </c>
      <c r="E3184" s="29" t="s">
        <v>3364</v>
      </c>
      <c r="F3184" s="62"/>
      <c r="G3184" s="20" t="str">
        <f t="shared" si="1"/>
        <v>Home &amp; Garden, Decor, Seasonal &amp; Holiday Decorations, Holiday Stocking Hangers</v>
      </c>
    </row>
    <row r="3185">
      <c r="A3185" s="29">
        <v>5991.0</v>
      </c>
      <c r="B3185" s="29" t="s">
        <v>3234</v>
      </c>
      <c r="C3185" s="29" t="s">
        <v>3267</v>
      </c>
      <c r="D3185" s="29" t="s">
        <v>3356</v>
      </c>
      <c r="E3185" s="29" t="s">
        <v>3365</v>
      </c>
      <c r="F3185" s="62"/>
      <c r="G3185" s="20" t="str">
        <f t="shared" si="1"/>
        <v>Home &amp; Garden, Decor, Seasonal &amp; Holiday Decorations, Holiday Stockings</v>
      </c>
    </row>
    <row r="3186">
      <c r="A3186" s="29">
        <v>5930.0</v>
      </c>
      <c r="B3186" s="29" t="s">
        <v>3234</v>
      </c>
      <c r="C3186" s="29" t="s">
        <v>3267</v>
      </c>
      <c r="D3186" s="29" t="s">
        <v>3356</v>
      </c>
      <c r="E3186" s="29" t="s">
        <v>3366</v>
      </c>
      <c r="F3186" s="62"/>
      <c r="G3186" s="20" t="str">
        <f t="shared" si="1"/>
        <v>Home &amp; Garden, Decor, Seasonal &amp; Holiday Decorations, Japanese Traditional Dolls</v>
      </c>
    </row>
    <row r="3187">
      <c r="A3187" s="29">
        <v>6531.0</v>
      </c>
      <c r="B3187" s="29" t="s">
        <v>3234</v>
      </c>
      <c r="C3187" s="29" t="s">
        <v>3267</v>
      </c>
      <c r="D3187" s="29" t="s">
        <v>3356</v>
      </c>
      <c r="E3187" s="29" t="s">
        <v>3367</v>
      </c>
      <c r="F3187" s="62"/>
      <c r="G3187" s="20" t="str">
        <f t="shared" si="1"/>
        <v>Home &amp; Garden, Decor, Seasonal &amp; Holiday Decorations, Nativity Sets</v>
      </c>
    </row>
    <row r="3188">
      <c r="A3188" s="29">
        <v>505809.0</v>
      </c>
      <c r="B3188" s="29" t="s">
        <v>3234</v>
      </c>
      <c r="C3188" s="29" t="s">
        <v>3267</v>
      </c>
      <c r="D3188" s="29" t="s">
        <v>3356</v>
      </c>
      <c r="E3188" s="29" t="s">
        <v>3368</v>
      </c>
      <c r="G3188" s="20" t="str">
        <f t="shared" si="1"/>
        <v>Home &amp; Garden, Decor, Seasonal &amp; Holiday Decorations, Seasonal Village Sets &amp; Accessories</v>
      </c>
    </row>
    <row r="3189">
      <c r="A3189" s="29">
        <v>5922.0</v>
      </c>
      <c r="B3189" s="29" t="s">
        <v>3234</v>
      </c>
      <c r="C3189" s="29" t="s">
        <v>3267</v>
      </c>
      <c r="D3189" s="29" t="s">
        <v>3369</v>
      </c>
      <c r="E3189" s="62"/>
      <c r="F3189" s="62"/>
      <c r="G3189" s="20" t="str">
        <f t="shared" si="1"/>
        <v>Home &amp; Garden, Decor, Shadow Boxes, </v>
      </c>
    </row>
    <row r="3190">
      <c r="A3190" s="29">
        <v>599.0</v>
      </c>
      <c r="B3190" s="29" t="s">
        <v>3234</v>
      </c>
      <c r="C3190" s="29" t="s">
        <v>3267</v>
      </c>
      <c r="D3190" s="29" t="s">
        <v>3370</v>
      </c>
      <c r="E3190" s="62"/>
      <c r="F3190" s="62"/>
      <c r="G3190" s="20" t="str">
        <f t="shared" si="1"/>
        <v>Home &amp; Garden, Decor, Slipcovers, </v>
      </c>
    </row>
    <row r="3191">
      <c r="A3191" s="29">
        <v>6535.0</v>
      </c>
      <c r="B3191" s="29" t="s">
        <v>3234</v>
      </c>
      <c r="C3191" s="29" t="s">
        <v>3267</v>
      </c>
      <c r="D3191" s="29" t="s">
        <v>3371</v>
      </c>
      <c r="E3191" s="62"/>
      <c r="F3191" s="62"/>
      <c r="G3191" s="20" t="str">
        <f t="shared" si="1"/>
        <v>Home &amp; Garden, Decor, Snow Globes, </v>
      </c>
    </row>
    <row r="3192">
      <c r="A3192" s="29">
        <v>7173.0</v>
      </c>
      <c r="B3192" s="29" t="s">
        <v>3234</v>
      </c>
      <c r="C3192" s="29" t="s">
        <v>3267</v>
      </c>
      <c r="D3192" s="29" t="s">
        <v>3372</v>
      </c>
      <c r="E3192" s="62"/>
      <c r="F3192" s="62"/>
      <c r="G3192" s="20" t="str">
        <f t="shared" si="1"/>
        <v>Home &amp; Garden, Decor, Suncatchers, </v>
      </c>
    </row>
    <row r="3193">
      <c r="A3193" s="29">
        <v>711.0</v>
      </c>
      <c r="B3193" s="29" t="s">
        <v>3234</v>
      </c>
      <c r="C3193" s="29" t="s">
        <v>3267</v>
      </c>
      <c r="D3193" s="29" t="s">
        <v>3373</v>
      </c>
      <c r="E3193" s="62"/>
      <c r="F3193" s="62"/>
      <c r="G3193" s="20" t="str">
        <f t="shared" si="1"/>
        <v>Home &amp; Garden, Decor, Sundials, </v>
      </c>
    </row>
    <row r="3194">
      <c r="A3194" s="29">
        <v>4454.0</v>
      </c>
      <c r="B3194" s="29" t="s">
        <v>3234</v>
      </c>
      <c r="C3194" s="29" t="s">
        <v>3267</v>
      </c>
      <c r="D3194" s="29" t="s">
        <v>3374</v>
      </c>
      <c r="E3194" s="62"/>
      <c r="F3194" s="62"/>
      <c r="G3194" s="20" t="str">
        <f t="shared" si="1"/>
        <v>Home &amp; Garden, Decor, Throw Pillows, </v>
      </c>
    </row>
    <row r="3195">
      <c r="A3195" s="29">
        <v>4233.0</v>
      </c>
      <c r="B3195" s="29" t="s">
        <v>3234</v>
      </c>
      <c r="C3195" s="29" t="s">
        <v>3267</v>
      </c>
      <c r="D3195" s="29" t="s">
        <v>3375</v>
      </c>
      <c r="E3195" s="62"/>
      <c r="F3195" s="62"/>
      <c r="G3195" s="20" t="str">
        <f t="shared" si="1"/>
        <v>Home &amp; Garden, Decor, Trunks, </v>
      </c>
    </row>
    <row r="3196">
      <c r="A3196" s="29">
        <v>6424.0</v>
      </c>
      <c r="B3196" s="29" t="s">
        <v>3234</v>
      </c>
      <c r="C3196" s="29" t="s">
        <v>3267</v>
      </c>
      <c r="D3196" s="29" t="s">
        <v>3376</v>
      </c>
      <c r="F3196" s="62"/>
      <c r="G3196" s="20" t="str">
        <f t="shared" si="1"/>
        <v>Home &amp; Garden, Decor, Vase Fillers &amp; Table Scatters, </v>
      </c>
    </row>
    <row r="3197">
      <c r="A3197" s="29">
        <v>602.0</v>
      </c>
      <c r="B3197" s="29" t="s">
        <v>3234</v>
      </c>
      <c r="C3197" s="29" t="s">
        <v>3267</v>
      </c>
      <c r="D3197" s="29" t="s">
        <v>3377</v>
      </c>
      <c r="E3197" s="62"/>
      <c r="F3197" s="62"/>
      <c r="G3197" s="20" t="str">
        <f t="shared" si="1"/>
        <v>Home &amp; Garden, Decor, Vases, </v>
      </c>
    </row>
    <row r="3198">
      <c r="A3198" s="29">
        <v>2334.0</v>
      </c>
      <c r="B3198" s="29" t="s">
        <v>3234</v>
      </c>
      <c r="C3198" s="29" t="s">
        <v>3267</v>
      </c>
      <c r="D3198" s="29" t="s">
        <v>3378</v>
      </c>
      <c r="E3198" s="62"/>
      <c r="F3198" s="62"/>
      <c r="G3198" s="20" t="str">
        <f t="shared" si="1"/>
        <v>Home &amp; Garden, Decor, Wallpaper, </v>
      </c>
    </row>
    <row r="3199">
      <c r="A3199" s="29">
        <v>712.0</v>
      </c>
      <c r="B3199" s="29" t="s">
        <v>3234</v>
      </c>
      <c r="C3199" s="29" t="s">
        <v>3267</v>
      </c>
      <c r="D3199" s="29" t="s">
        <v>3379</v>
      </c>
      <c r="F3199" s="62"/>
      <c r="G3199" s="20" t="str">
        <f t="shared" si="1"/>
        <v>Home &amp; Garden, Decor, Weather Vanes &amp; Roof Decor, </v>
      </c>
    </row>
    <row r="3200">
      <c r="A3200" s="29">
        <v>714.0</v>
      </c>
      <c r="B3200" s="29" t="s">
        <v>3234</v>
      </c>
      <c r="C3200" s="29" t="s">
        <v>3267</v>
      </c>
      <c r="D3200" s="29" t="s">
        <v>3380</v>
      </c>
      <c r="E3200" s="62"/>
      <c r="F3200" s="62"/>
      <c r="G3200" s="20" t="str">
        <f t="shared" si="1"/>
        <v>Home &amp; Garden, Decor, Wind Chimes, </v>
      </c>
    </row>
    <row r="3201">
      <c r="A3201" s="29">
        <v>2839.0</v>
      </c>
      <c r="B3201" s="29" t="s">
        <v>3234</v>
      </c>
      <c r="C3201" s="29" t="s">
        <v>3267</v>
      </c>
      <c r="D3201" s="29" t="s">
        <v>3381</v>
      </c>
      <c r="E3201" s="62"/>
      <c r="F3201" s="62"/>
      <c r="G3201" s="20" t="str">
        <f t="shared" si="1"/>
        <v>Home &amp; Garden, Decor, Wind Wheels &amp; Spinners, </v>
      </c>
    </row>
    <row r="3202">
      <c r="A3202" s="29">
        <v>6530.0</v>
      </c>
      <c r="B3202" s="29" t="s">
        <v>3234</v>
      </c>
      <c r="C3202" s="29" t="s">
        <v>3267</v>
      </c>
      <c r="D3202" s="29" t="s">
        <v>3382</v>
      </c>
      <c r="E3202" s="62"/>
      <c r="F3202" s="62"/>
      <c r="G3202" s="20" t="str">
        <f t="shared" si="1"/>
        <v>Home &amp; Garden, Decor, Window Magnets, </v>
      </c>
    </row>
    <row r="3203">
      <c r="A3203" s="29">
        <v>6254.0</v>
      </c>
      <c r="B3203" s="29" t="s">
        <v>3234</v>
      </c>
      <c r="C3203" s="29" t="s">
        <v>3267</v>
      </c>
      <c r="D3203" s="29" t="s">
        <v>3383</v>
      </c>
      <c r="F3203" s="62"/>
      <c r="G3203" s="20" t="str">
        <f t="shared" si="1"/>
        <v>Home &amp; Garden, Decor, Window Treatment Accessories, </v>
      </c>
    </row>
    <row r="3204">
      <c r="A3204" s="29">
        <v>6256.0</v>
      </c>
      <c r="B3204" s="29" t="s">
        <v>3234</v>
      </c>
      <c r="C3204" s="29" t="s">
        <v>3267</v>
      </c>
      <c r="D3204" s="29" t="s">
        <v>3383</v>
      </c>
      <c r="E3204" s="29" t="s">
        <v>3384</v>
      </c>
      <c r="F3204" s="62"/>
      <c r="G3204" s="20" t="str">
        <f t="shared" si="1"/>
        <v>Home &amp; Garden, Decor, Window Treatment Accessories, Curtain &amp; Drape Rings</v>
      </c>
    </row>
    <row r="3205">
      <c r="A3205" s="29">
        <v>6257.0</v>
      </c>
      <c r="B3205" s="29" t="s">
        <v>3234</v>
      </c>
      <c r="C3205" s="29" t="s">
        <v>3267</v>
      </c>
      <c r="D3205" s="29" t="s">
        <v>3383</v>
      </c>
      <c r="E3205" s="29" t="s">
        <v>3385</v>
      </c>
      <c r="F3205" s="62"/>
      <c r="G3205" s="20" t="str">
        <f t="shared" si="1"/>
        <v>Home &amp; Garden, Decor, Window Treatment Accessories, Curtain &amp; Drape Rods</v>
      </c>
    </row>
    <row r="3206">
      <c r="A3206" s="29">
        <v>6255.0</v>
      </c>
      <c r="B3206" s="29" t="s">
        <v>3234</v>
      </c>
      <c r="C3206" s="29" t="s">
        <v>3267</v>
      </c>
      <c r="D3206" s="29" t="s">
        <v>3383</v>
      </c>
      <c r="E3206" s="29" t="s">
        <v>3386</v>
      </c>
      <c r="F3206" s="62"/>
      <c r="G3206" s="20" t="str">
        <f t="shared" si="1"/>
        <v>Home &amp; Garden, Decor, Window Treatment Accessories, Curtain Holdbacks &amp; Tassels</v>
      </c>
    </row>
    <row r="3207">
      <c r="A3207" s="29">
        <v>8042.0</v>
      </c>
      <c r="B3207" s="29" t="s">
        <v>3234</v>
      </c>
      <c r="C3207" s="29" t="s">
        <v>3267</v>
      </c>
      <c r="D3207" s="29" t="s">
        <v>3383</v>
      </c>
      <c r="E3207" s="29" t="s">
        <v>3387</v>
      </c>
      <c r="G3207" s="20" t="str">
        <f t="shared" si="1"/>
        <v>Home &amp; Garden, Decor, Window Treatment Accessories, Window Treatment Replacement Parts</v>
      </c>
    </row>
    <row r="3208">
      <c r="A3208" s="29">
        <v>603.0</v>
      </c>
      <c r="B3208" s="29" t="s">
        <v>3234</v>
      </c>
      <c r="C3208" s="29" t="s">
        <v>3267</v>
      </c>
      <c r="D3208" s="29" t="s">
        <v>3388</v>
      </c>
      <c r="E3208" s="62"/>
      <c r="F3208" s="62"/>
      <c r="G3208" s="20" t="str">
        <f t="shared" si="1"/>
        <v>Home &amp; Garden, Decor, Window Treatments, </v>
      </c>
    </row>
    <row r="3209">
      <c r="A3209" s="29">
        <v>2882.0</v>
      </c>
      <c r="B3209" s="29" t="s">
        <v>3234</v>
      </c>
      <c r="C3209" s="29" t="s">
        <v>3267</v>
      </c>
      <c r="D3209" s="29" t="s">
        <v>3388</v>
      </c>
      <c r="E3209" s="29" t="s">
        <v>3389</v>
      </c>
      <c r="F3209" s="62"/>
      <c r="G3209" s="20" t="str">
        <f t="shared" si="1"/>
        <v>Home &amp; Garden, Decor, Window Treatments, Curtains &amp; Drapes</v>
      </c>
    </row>
    <row r="3210">
      <c r="A3210" s="29">
        <v>6492.0</v>
      </c>
      <c r="B3210" s="29" t="s">
        <v>3234</v>
      </c>
      <c r="C3210" s="29" t="s">
        <v>3267</v>
      </c>
      <c r="D3210" s="29" t="s">
        <v>3388</v>
      </c>
      <c r="E3210" s="29" t="s">
        <v>3390</v>
      </c>
      <c r="F3210" s="62"/>
      <c r="G3210" s="20" t="str">
        <f t="shared" si="1"/>
        <v>Home &amp; Garden, Decor, Window Treatments, Stained Glass Panels</v>
      </c>
    </row>
    <row r="3211">
      <c r="A3211" s="29">
        <v>2885.0</v>
      </c>
      <c r="B3211" s="29" t="s">
        <v>3234</v>
      </c>
      <c r="C3211" s="29" t="s">
        <v>3267</v>
      </c>
      <c r="D3211" s="29" t="s">
        <v>3388</v>
      </c>
      <c r="E3211" s="29" t="s">
        <v>3391</v>
      </c>
      <c r="F3211" s="62"/>
      <c r="G3211" s="20" t="str">
        <f t="shared" si="1"/>
        <v>Home &amp; Garden, Decor, Window Treatments, Window Blinds &amp; Shades</v>
      </c>
    </row>
    <row r="3212">
      <c r="A3212" s="29">
        <v>5989.0</v>
      </c>
      <c r="B3212" s="29" t="s">
        <v>3234</v>
      </c>
      <c r="C3212" s="29" t="s">
        <v>3267</v>
      </c>
      <c r="D3212" s="29" t="s">
        <v>3388</v>
      </c>
      <c r="E3212" s="29" t="s">
        <v>3392</v>
      </c>
      <c r="F3212" s="62"/>
      <c r="G3212" s="20" t="str">
        <f t="shared" si="1"/>
        <v>Home &amp; Garden, Decor, Window Treatments, Window Films</v>
      </c>
    </row>
    <row r="3213">
      <c r="A3213" s="29">
        <v>4375.0</v>
      </c>
      <c r="B3213" s="29" t="s">
        <v>3234</v>
      </c>
      <c r="C3213" s="29" t="s">
        <v>3267</v>
      </c>
      <c r="D3213" s="29" t="s">
        <v>3388</v>
      </c>
      <c r="E3213" s="29" t="s">
        <v>3393</v>
      </c>
      <c r="F3213" s="62"/>
      <c r="G3213" s="20" t="str">
        <f t="shared" si="1"/>
        <v>Home &amp; Garden, Decor, Window Treatments, Window Screens</v>
      </c>
    </row>
    <row r="3214">
      <c r="A3214" s="29">
        <v>2621.0</v>
      </c>
      <c r="B3214" s="29" t="s">
        <v>3234</v>
      </c>
      <c r="C3214" s="29" t="s">
        <v>3267</v>
      </c>
      <c r="D3214" s="29" t="s">
        <v>3388</v>
      </c>
      <c r="E3214" s="29" t="s">
        <v>3394</v>
      </c>
      <c r="F3214" s="62"/>
      <c r="G3214" s="20" t="str">
        <f t="shared" si="1"/>
        <v>Home &amp; Garden, Decor, Window Treatments, Window Valances &amp; Cornices</v>
      </c>
    </row>
    <row r="3215">
      <c r="A3215" s="29">
        <v>3262.0</v>
      </c>
      <c r="B3215" s="29" t="s">
        <v>3234</v>
      </c>
      <c r="C3215" s="29" t="s">
        <v>3267</v>
      </c>
      <c r="D3215" s="29" t="s">
        <v>3395</v>
      </c>
      <c r="E3215" s="62"/>
      <c r="F3215" s="62"/>
      <c r="G3215" s="20" t="str">
        <f t="shared" si="1"/>
        <v>Home &amp; Garden, Decor, World Globes, </v>
      </c>
    </row>
    <row r="3216">
      <c r="A3216" s="29">
        <v>6267.0</v>
      </c>
      <c r="B3216" s="29" t="s">
        <v>3234</v>
      </c>
      <c r="C3216" s="29" t="s">
        <v>3267</v>
      </c>
      <c r="D3216" s="29" t="s">
        <v>3396</v>
      </c>
      <c r="E3216" s="62"/>
      <c r="F3216" s="62"/>
      <c r="G3216" s="20" t="str">
        <f t="shared" si="1"/>
        <v>Home &amp; Garden, Decor, Wreaths &amp; Garlands, </v>
      </c>
    </row>
    <row r="3217">
      <c r="A3217" s="29">
        <v>5835.0</v>
      </c>
      <c r="B3217" s="29" t="s">
        <v>3234</v>
      </c>
      <c r="C3217" s="29" t="s">
        <v>3397</v>
      </c>
      <c r="D3217" s="62"/>
      <c r="E3217" s="62"/>
      <c r="F3217" s="62"/>
      <c r="G3217" s="20" t="str">
        <f t="shared" si="1"/>
        <v>Home &amp; Garden, Emergency Preparedness, , </v>
      </c>
    </row>
    <row r="3218">
      <c r="A3218" s="29">
        <v>4490.0</v>
      </c>
      <c r="B3218" s="29" t="s">
        <v>3234</v>
      </c>
      <c r="C3218" s="29" t="s">
        <v>3397</v>
      </c>
      <c r="D3218" s="29" t="s">
        <v>3398</v>
      </c>
      <c r="E3218" s="62"/>
      <c r="F3218" s="62"/>
      <c r="G3218" s="20" t="str">
        <f t="shared" si="1"/>
        <v>Home &amp; Garden, Emergency Preparedness, Earthquake Alarms, </v>
      </c>
    </row>
    <row r="3219">
      <c r="A3219" s="29">
        <v>6897.0</v>
      </c>
      <c r="B3219" s="29" t="s">
        <v>3234</v>
      </c>
      <c r="C3219" s="29" t="s">
        <v>3397</v>
      </c>
      <c r="D3219" s="29" t="s">
        <v>3399</v>
      </c>
      <c r="E3219" s="62"/>
      <c r="F3219" s="62"/>
      <c r="G3219" s="20" t="str">
        <f t="shared" si="1"/>
        <v>Home &amp; Garden, Emergency Preparedness, Emergency Blankets, </v>
      </c>
    </row>
    <row r="3220">
      <c r="A3220" s="29">
        <v>5836.0</v>
      </c>
      <c r="B3220" s="29" t="s">
        <v>3234</v>
      </c>
      <c r="C3220" s="29" t="s">
        <v>3397</v>
      </c>
      <c r="D3220" s="29" t="s">
        <v>3400</v>
      </c>
      <c r="E3220" s="62"/>
      <c r="F3220" s="62"/>
      <c r="G3220" s="20" t="str">
        <f t="shared" si="1"/>
        <v>Home &amp; Garden, Emergency Preparedness, Emergency Food Kits, </v>
      </c>
    </row>
    <row r="3221">
      <c r="A3221" s="29">
        <v>7058.0</v>
      </c>
      <c r="B3221" s="29" t="s">
        <v>3234</v>
      </c>
      <c r="C3221" s="29" t="s">
        <v>3397</v>
      </c>
      <c r="D3221" s="29" t="s">
        <v>3401</v>
      </c>
      <c r="E3221" s="62"/>
      <c r="F3221" s="62"/>
      <c r="G3221" s="20" t="str">
        <f t="shared" si="1"/>
        <v>Home &amp; Garden, Emergency Preparedness, Emergency Tools &amp; Kits, </v>
      </c>
    </row>
    <row r="3222">
      <c r="A3222" s="29">
        <v>4491.0</v>
      </c>
      <c r="B3222" s="29" t="s">
        <v>3234</v>
      </c>
      <c r="C3222" s="29" t="s">
        <v>3397</v>
      </c>
      <c r="D3222" s="29" t="s">
        <v>3402</v>
      </c>
      <c r="E3222" s="62"/>
      <c r="F3222" s="62"/>
      <c r="G3222" s="20" t="str">
        <f t="shared" si="1"/>
        <v>Home &amp; Garden, Emergency Preparedness, Furniture Anchors, </v>
      </c>
    </row>
    <row r="3223">
      <c r="A3223" s="29">
        <v>2862.0</v>
      </c>
      <c r="B3223" s="29" t="s">
        <v>3234</v>
      </c>
      <c r="C3223" s="29" t="s">
        <v>3403</v>
      </c>
      <c r="D3223" s="62"/>
      <c r="E3223" s="62"/>
      <c r="F3223" s="62"/>
      <c r="G3223" s="20" t="str">
        <f t="shared" si="1"/>
        <v>Home &amp; Garden, Fireplace &amp; Wood Stove Accessories, , </v>
      </c>
    </row>
    <row r="3224">
      <c r="A3224" s="29">
        <v>2044.0</v>
      </c>
      <c r="B3224" s="29" t="s">
        <v>3234</v>
      </c>
      <c r="C3224" s="29" t="s">
        <v>3403</v>
      </c>
      <c r="D3224" s="29" t="s">
        <v>3404</v>
      </c>
      <c r="E3224" s="62"/>
      <c r="F3224" s="62"/>
      <c r="G3224" s="20" t="str">
        <f t="shared" si="1"/>
        <v>Home &amp; Garden, Fireplace &amp; Wood Stove Accessories, Bellows, </v>
      </c>
    </row>
    <row r="3225">
      <c r="A3225" s="29">
        <v>6563.0</v>
      </c>
      <c r="B3225" s="29" t="s">
        <v>3234</v>
      </c>
      <c r="C3225" s="29" t="s">
        <v>3403</v>
      </c>
      <c r="D3225" s="29" t="s">
        <v>3405</v>
      </c>
      <c r="F3225" s="62"/>
      <c r="G3225" s="20" t="str">
        <f t="shared" si="1"/>
        <v>Home &amp; Garden, Fireplace &amp; Wood Stove Accessories, Fireplace &amp; Wood Stove Grates, </v>
      </c>
    </row>
    <row r="3226">
      <c r="A3226" s="29">
        <v>7523.0</v>
      </c>
      <c r="B3226" s="29" t="s">
        <v>3234</v>
      </c>
      <c r="C3226" s="29" t="s">
        <v>3403</v>
      </c>
      <c r="D3226" s="29" t="s">
        <v>3406</v>
      </c>
      <c r="E3226" s="62"/>
      <c r="F3226" s="62"/>
      <c r="G3226" s="20" t="str">
        <f t="shared" si="1"/>
        <v>Home &amp; Garden, Fireplace &amp; Wood Stove Accessories, Fireplace Andirons, </v>
      </c>
    </row>
    <row r="3227">
      <c r="A3227" s="29">
        <v>7109.0</v>
      </c>
      <c r="B3227" s="29" t="s">
        <v>3234</v>
      </c>
      <c r="C3227" s="29" t="s">
        <v>3403</v>
      </c>
      <c r="D3227" s="29" t="s">
        <v>3407</v>
      </c>
      <c r="E3227" s="62"/>
      <c r="F3227" s="62"/>
      <c r="G3227" s="20" t="str">
        <f t="shared" si="1"/>
        <v>Home &amp; Garden, Fireplace &amp; Wood Stove Accessories, Fireplace Reflectors, </v>
      </c>
    </row>
    <row r="3228">
      <c r="A3228" s="29">
        <v>2365.0</v>
      </c>
      <c r="B3228" s="29" t="s">
        <v>3234</v>
      </c>
      <c r="C3228" s="29" t="s">
        <v>3403</v>
      </c>
      <c r="D3228" s="29" t="s">
        <v>3408</v>
      </c>
      <c r="E3228" s="62"/>
      <c r="F3228" s="62"/>
      <c r="G3228" s="20" t="str">
        <f t="shared" si="1"/>
        <v>Home &amp; Garden, Fireplace &amp; Wood Stove Accessories, Fireplace Screens, </v>
      </c>
    </row>
    <row r="3229">
      <c r="A3229" s="29">
        <v>1530.0</v>
      </c>
      <c r="B3229" s="29" t="s">
        <v>3234</v>
      </c>
      <c r="C3229" s="29" t="s">
        <v>3403</v>
      </c>
      <c r="D3229" s="29" t="s">
        <v>3409</v>
      </c>
      <c r="E3229" s="62"/>
      <c r="F3229" s="62"/>
      <c r="G3229" s="20" t="str">
        <f t="shared" si="1"/>
        <v>Home &amp; Garden, Fireplace &amp; Wood Stove Accessories, Fireplace Tools, </v>
      </c>
    </row>
    <row r="3230">
      <c r="A3230" s="29">
        <v>625.0</v>
      </c>
      <c r="B3230" s="29" t="s">
        <v>3234</v>
      </c>
      <c r="C3230" s="29" t="s">
        <v>3403</v>
      </c>
      <c r="D3230" s="29" t="s">
        <v>3410</v>
      </c>
      <c r="E3230" s="62"/>
      <c r="F3230" s="62"/>
      <c r="G3230" s="20" t="str">
        <f t="shared" si="1"/>
        <v>Home &amp; Garden, Fireplace &amp; Wood Stove Accessories, Firewood &amp; Fuel, </v>
      </c>
    </row>
    <row r="3231">
      <c r="A3231" s="29">
        <v>7091.0</v>
      </c>
      <c r="B3231" s="29" t="s">
        <v>3234</v>
      </c>
      <c r="C3231" s="29" t="s">
        <v>3403</v>
      </c>
      <c r="D3231" s="29" t="s">
        <v>3411</v>
      </c>
      <c r="E3231" s="62"/>
      <c r="F3231" s="62"/>
      <c r="G3231" s="20" t="str">
        <f t="shared" si="1"/>
        <v>Home &amp; Garden, Fireplace &amp; Wood Stove Accessories, Hearth Pads, </v>
      </c>
    </row>
    <row r="3232">
      <c r="A3232" s="29">
        <v>7029.0</v>
      </c>
      <c r="B3232" s="29" t="s">
        <v>3234</v>
      </c>
      <c r="C3232" s="29" t="s">
        <v>3403</v>
      </c>
      <c r="D3232" s="29" t="s">
        <v>3412</v>
      </c>
      <c r="F3232" s="62"/>
      <c r="G3232" s="20" t="str">
        <f t="shared" si="1"/>
        <v>Home &amp; Garden, Fireplace &amp; Wood Stove Accessories, Log Rack &amp; Carrier Accessories, </v>
      </c>
    </row>
    <row r="3233">
      <c r="A3233" s="29">
        <v>695.0</v>
      </c>
      <c r="B3233" s="29" t="s">
        <v>3234</v>
      </c>
      <c r="C3233" s="29" t="s">
        <v>3403</v>
      </c>
      <c r="D3233" s="29" t="s">
        <v>3413</v>
      </c>
      <c r="E3233" s="62"/>
      <c r="F3233" s="62"/>
      <c r="G3233" s="20" t="str">
        <f t="shared" si="1"/>
        <v>Home &amp; Garden, Fireplace &amp; Wood Stove Accessories, Log Racks &amp; Carriers, </v>
      </c>
    </row>
    <row r="3234">
      <c r="A3234" s="29">
        <v>4918.0</v>
      </c>
      <c r="B3234" s="29" t="s">
        <v>3234</v>
      </c>
      <c r="C3234" s="29" t="s">
        <v>3403</v>
      </c>
      <c r="D3234" s="29" t="s">
        <v>3414</v>
      </c>
      <c r="F3234" s="62"/>
      <c r="G3234" s="20" t="str">
        <f t="shared" si="1"/>
        <v>Home &amp; Garden, Fireplace &amp; Wood Stove Accessories, Wood Stove Fans &amp; Blowers, </v>
      </c>
    </row>
    <row r="3235">
      <c r="A3235" s="29">
        <v>6792.0</v>
      </c>
      <c r="B3235" s="29" t="s">
        <v>3234</v>
      </c>
      <c r="C3235" s="29" t="s">
        <v>3415</v>
      </c>
      <c r="D3235" s="62"/>
      <c r="E3235" s="62"/>
      <c r="F3235" s="62"/>
      <c r="G3235" s="20" t="str">
        <f t="shared" si="1"/>
        <v>Home &amp; Garden, Fireplaces, , </v>
      </c>
    </row>
    <row r="3236">
      <c r="A3236" s="29">
        <v>1679.0</v>
      </c>
      <c r="B3236" s="29" t="s">
        <v>3234</v>
      </c>
      <c r="C3236" s="29" t="s">
        <v>3416</v>
      </c>
      <c r="D3236" s="62"/>
      <c r="E3236" s="62"/>
      <c r="F3236" s="62"/>
      <c r="G3236" s="20" t="str">
        <f t="shared" si="1"/>
        <v>Home &amp; Garden, Flood, Fire &amp; Gas Safety, , </v>
      </c>
    </row>
    <row r="3237">
      <c r="A3237" s="29">
        <v>7226.0</v>
      </c>
      <c r="B3237" s="29" t="s">
        <v>3234</v>
      </c>
      <c r="C3237" s="29" t="s">
        <v>3416</v>
      </c>
      <c r="D3237" s="29" t="s">
        <v>3417</v>
      </c>
      <c r="F3237" s="62"/>
      <c r="G3237" s="20" t="str">
        <f t="shared" si="1"/>
        <v>Home &amp; Garden, Flood, Fire &amp; Gas Safety, Fire Alarm Control Panels, </v>
      </c>
    </row>
    <row r="3238">
      <c r="A3238" s="29">
        <v>1871.0</v>
      </c>
      <c r="B3238" s="29" t="s">
        <v>3234</v>
      </c>
      <c r="C3238" s="29" t="s">
        <v>3416</v>
      </c>
      <c r="D3238" s="29" t="s">
        <v>3418</v>
      </c>
      <c r="E3238" s="62"/>
      <c r="F3238" s="62"/>
      <c r="G3238" s="20" t="str">
        <f t="shared" si="1"/>
        <v>Home &amp; Garden, Flood, Fire &amp; Gas Safety, Fire Alarms, </v>
      </c>
    </row>
    <row r="3239">
      <c r="A3239" s="29">
        <v>1639.0</v>
      </c>
      <c r="B3239" s="29" t="s">
        <v>3234</v>
      </c>
      <c r="C3239" s="29" t="s">
        <v>3416</v>
      </c>
      <c r="D3239" s="29" t="s">
        <v>3419</v>
      </c>
      <c r="F3239" s="62"/>
      <c r="G3239" s="20" t="str">
        <f t="shared" si="1"/>
        <v>Home &amp; Garden, Flood, Fire &amp; Gas Safety, Fire Extinguisher &amp; Equipment Storage, </v>
      </c>
    </row>
    <row r="3240">
      <c r="A3240" s="29">
        <v>1434.0</v>
      </c>
      <c r="B3240" s="29" t="s">
        <v>3234</v>
      </c>
      <c r="C3240" s="29" t="s">
        <v>3416</v>
      </c>
      <c r="D3240" s="29" t="s">
        <v>3420</v>
      </c>
      <c r="E3240" s="62"/>
      <c r="F3240" s="62"/>
      <c r="G3240" s="20" t="str">
        <f t="shared" si="1"/>
        <v>Home &amp; Garden, Flood, Fire &amp; Gas Safety, Fire Extinguishers, </v>
      </c>
    </row>
    <row r="3241">
      <c r="A3241" s="29">
        <v>1934.0</v>
      </c>
      <c r="B3241" s="29" t="s">
        <v>3234</v>
      </c>
      <c r="C3241" s="29" t="s">
        <v>3416</v>
      </c>
      <c r="D3241" s="29" t="s">
        <v>3421</v>
      </c>
      <c r="E3241" s="62"/>
      <c r="F3241" s="62"/>
      <c r="G3241" s="20" t="str">
        <f t="shared" si="1"/>
        <v>Home &amp; Garden, Flood, Fire &amp; Gas Safety, Fire Sprinklers, </v>
      </c>
    </row>
    <row r="3242">
      <c r="A3242" s="29">
        <v>7227.0</v>
      </c>
      <c r="B3242" s="29" t="s">
        <v>3234</v>
      </c>
      <c r="C3242" s="29" t="s">
        <v>3416</v>
      </c>
      <c r="D3242" s="29" t="s">
        <v>3422</v>
      </c>
      <c r="E3242" s="62"/>
      <c r="F3242" s="62"/>
      <c r="G3242" s="20" t="str">
        <f t="shared" si="1"/>
        <v>Home &amp; Garden, Flood, Fire &amp; Gas Safety, Heat Detectors, </v>
      </c>
    </row>
    <row r="3243">
      <c r="A3243" s="29">
        <v>499673.0</v>
      </c>
      <c r="B3243" s="29" t="s">
        <v>3234</v>
      </c>
      <c r="C3243" s="29" t="s">
        <v>3416</v>
      </c>
      <c r="D3243" s="29" t="s">
        <v>3423</v>
      </c>
      <c r="F3243" s="62"/>
      <c r="G3243" s="20" t="str">
        <f t="shared" si="1"/>
        <v>Home &amp; Garden, Flood, Fire &amp; Gas Safety, Smoke &amp; Carbon Monoxide Detectors, </v>
      </c>
    </row>
    <row r="3244">
      <c r="A3244" s="29">
        <v>2164.0</v>
      </c>
      <c r="B3244" s="29" t="s">
        <v>3234</v>
      </c>
      <c r="C3244" s="29" t="s">
        <v>3416</v>
      </c>
      <c r="D3244" s="29" t="s">
        <v>3423</v>
      </c>
      <c r="E3244" s="29" t="s">
        <v>3424</v>
      </c>
      <c r="F3244" s="62"/>
      <c r="G3244" s="20" t="str">
        <f t="shared" si="1"/>
        <v>Home &amp; Garden, Flood, Fire &amp; Gas Safety, Smoke &amp; Carbon Monoxide Detectors, Carbon Monoxide Detectors</v>
      </c>
    </row>
    <row r="3245">
      <c r="A3245" s="29">
        <v>1471.0</v>
      </c>
      <c r="B3245" s="29" t="s">
        <v>3234</v>
      </c>
      <c r="C3245" s="29" t="s">
        <v>3416</v>
      </c>
      <c r="D3245" s="29" t="s">
        <v>3423</v>
      </c>
      <c r="E3245" s="29" t="s">
        <v>3425</v>
      </c>
      <c r="F3245" s="62"/>
      <c r="G3245" s="20" t="str">
        <f t="shared" si="1"/>
        <v>Home &amp; Garden, Flood, Fire &amp; Gas Safety, Smoke &amp; Carbon Monoxide Detectors, Smoke Detectors</v>
      </c>
    </row>
    <row r="3246">
      <c r="A3246" s="29">
        <v>1306.0</v>
      </c>
      <c r="B3246" s="29" t="s">
        <v>3234</v>
      </c>
      <c r="C3246" s="29" t="s">
        <v>3416</v>
      </c>
      <c r="D3246" s="29" t="s">
        <v>3426</v>
      </c>
      <c r="E3246" s="62"/>
      <c r="F3246" s="62"/>
      <c r="G3246" s="20" t="str">
        <f t="shared" si="1"/>
        <v>Home &amp; Garden, Flood, Fire &amp; Gas Safety, Water &amp; Flood Detectors, </v>
      </c>
    </row>
    <row r="3247">
      <c r="A3247" s="29">
        <v>3348.0</v>
      </c>
      <c r="B3247" s="29" t="s">
        <v>3234</v>
      </c>
      <c r="C3247" s="29" t="s">
        <v>3427</v>
      </c>
      <c r="D3247" s="62"/>
      <c r="E3247" s="62"/>
      <c r="F3247" s="62"/>
      <c r="G3247" s="20" t="str">
        <f t="shared" si="1"/>
        <v>Home &amp; Garden, Household Appliance Accessories, , </v>
      </c>
    </row>
    <row r="3248">
      <c r="A3248" s="29">
        <v>2367.0</v>
      </c>
      <c r="B3248" s="29" t="s">
        <v>3234</v>
      </c>
      <c r="C3248" s="29" t="s">
        <v>3427</v>
      </c>
      <c r="D3248" s="29" t="s">
        <v>3428</v>
      </c>
      <c r="F3248" s="62"/>
      <c r="G3248" s="20" t="str">
        <f t="shared" si="1"/>
        <v>Home &amp; Garden, Household Appliance Accessories, Air Conditioner Accessories, </v>
      </c>
    </row>
    <row r="3249">
      <c r="A3249" s="29">
        <v>5826.0</v>
      </c>
      <c r="B3249" s="29" t="s">
        <v>3234</v>
      </c>
      <c r="C3249" s="29" t="s">
        <v>3427</v>
      </c>
      <c r="D3249" s="29" t="s">
        <v>3428</v>
      </c>
      <c r="E3249" s="29" t="s">
        <v>3429</v>
      </c>
      <c r="F3249" s="62"/>
      <c r="G3249" s="20" t="str">
        <f t="shared" si="1"/>
        <v>Home &amp; Garden, Household Appliance Accessories, Air Conditioner Accessories, Air Conditioner Covers</v>
      </c>
    </row>
    <row r="3250">
      <c r="A3250" s="29">
        <v>3573.0</v>
      </c>
      <c r="B3250" s="29" t="s">
        <v>3234</v>
      </c>
      <c r="C3250" s="29" t="s">
        <v>3427</v>
      </c>
      <c r="D3250" s="29" t="s">
        <v>3428</v>
      </c>
      <c r="E3250" s="29" t="s">
        <v>3430</v>
      </c>
      <c r="F3250" s="62"/>
      <c r="G3250" s="20" t="str">
        <f t="shared" si="1"/>
        <v>Home &amp; Garden, Household Appliance Accessories, Air Conditioner Accessories, Air Conditioner Filters</v>
      </c>
    </row>
    <row r="3251">
      <c r="A3251" s="29">
        <v>3410.0</v>
      </c>
      <c r="B3251" s="29" t="s">
        <v>3234</v>
      </c>
      <c r="C3251" s="29" t="s">
        <v>3427</v>
      </c>
      <c r="D3251" s="29" t="s">
        <v>3431</v>
      </c>
      <c r="E3251" s="62"/>
      <c r="F3251" s="62"/>
      <c r="G3251" s="20" t="str">
        <f t="shared" si="1"/>
        <v>Home &amp; Garden, Household Appliance Accessories, Air Purifier Accessories, </v>
      </c>
    </row>
    <row r="3252">
      <c r="A3252" s="29">
        <v>3667.0</v>
      </c>
      <c r="B3252" s="29" t="s">
        <v>3234</v>
      </c>
      <c r="C3252" s="29" t="s">
        <v>3427</v>
      </c>
      <c r="D3252" s="29" t="s">
        <v>3431</v>
      </c>
      <c r="E3252" s="29" t="s">
        <v>3432</v>
      </c>
      <c r="F3252" s="62"/>
      <c r="G3252" s="20" t="str">
        <f t="shared" si="1"/>
        <v>Home &amp; Garden, Household Appliance Accessories, Air Purifier Accessories, Air Purifier Filters</v>
      </c>
    </row>
    <row r="3253">
      <c r="A3253" s="29">
        <v>4667.0</v>
      </c>
      <c r="B3253" s="29" t="s">
        <v>3234</v>
      </c>
      <c r="C3253" s="29" t="s">
        <v>3427</v>
      </c>
      <c r="D3253" s="29" t="s">
        <v>3433</v>
      </c>
      <c r="E3253" s="62"/>
      <c r="F3253" s="62"/>
      <c r="G3253" s="20" t="str">
        <f t="shared" si="1"/>
        <v>Home &amp; Garden, Household Appliance Accessories, Dehumidifier Accessories, </v>
      </c>
    </row>
    <row r="3254">
      <c r="A3254" s="29">
        <v>5089.0</v>
      </c>
      <c r="B3254" s="29" t="s">
        <v>3234</v>
      </c>
      <c r="C3254" s="29" t="s">
        <v>3427</v>
      </c>
      <c r="D3254" s="29" t="s">
        <v>3434</v>
      </c>
      <c r="E3254" s="62"/>
      <c r="F3254" s="62"/>
      <c r="G3254" s="20" t="str">
        <f t="shared" si="1"/>
        <v>Home &amp; Garden, Household Appliance Accessories, Fan Accessories, </v>
      </c>
    </row>
    <row r="3255">
      <c r="A3255" s="29">
        <v>4548.0</v>
      </c>
      <c r="B3255" s="29" t="s">
        <v>3234</v>
      </c>
      <c r="C3255" s="29" t="s">
        <v>3427</v>
      </c>
      <c r="D3255" s="29" t="s">
        <v>3435</v>
      </c>
      <c r="F3255" s="62"/>
      <c r="G3255" s="20" t="str">
        <f t="shared" si="1"/>
        <v>Home &amp; Garden, Household Appliance Accessories, Floor &amp; Steam Cleaner Accessories, </v>
      </c>
    </row>
    <row r="3256">
      <c r="A3256" s="29">
        <v>6773.0</v>
      </c>
      <c r="B3256" s="29" t="s">
        <v>3234</v>
      </c>
      <c r="C3256" s="29" t="s">
        <v>3427</v>
      </c>
      <c r="D3256" s="29" t="s">
        <v>3436</v>
      </c>
      <c r="F3256" s="62"/>
      <c r="G3256" s="20" t="str">
        <f t="shared" si="1"/>
        <v>Home &amp; Garden, Household Appliance Accessories, Furnace &amp; Boiler Accessories, </v>
      </c>
    </row>
    <row r="3257">
      <c r="A3257" s="29">
        <v>7110.0</v>
      </c>
      <c r="B3257" s="29" t="s">
        <v>3234</v>
      </c>
      <c r="C3257" s="29" t="s">
        <v>3427</v>
      </c>
      <c r="D3257" s="29" t="s">
        <v>3437</v>
      </c>
      <c r="F3257" s="62"/>
      <c r="G3257" s="20" t="str">
        <f t="shared" si="1"/>
        <v>Home &amp; Garden, Household Appliance Accessories, Heating Radiator Accessories, </v>
      </c>
    </row>
    <row r="3258">
      <c r="A3258" s="29">
        <v>7111.0</v>
      </c>
      <c r="B3258" s="29" t="s">
        <v>3234</v>
      </c>
      <c r="C3258" s="29" t="s">
        <v>3427</v>
      </c>
      <c r="D3258" s="29" t="s">
        <v>3437</v>
      </c>
      <c r="E3258" s="29" t="s">
        <v>3438</v>
      </c>
      <c r="F3258" s="62"/>
      <c r="G3258" s="20" t="str">
        <f t="shared" si="1"/>
        <v>Home &amp; Garden, Household Appliance Accessories, Heating Radiator Accessories, Heating Radiator Reflectors</v>
      </c>
    </row>
    <row r="3259">
      <c r="A3259" s="29">
        <v>3862.0</v>
      </c>
      <c r="B3259" s="29" t="s">
        <v>3234</v>
      </c>
      <c r="C3259" s="29" t="s">
        <v>3427</v>
      </c>
      <c r="D3259" s="29" t="s">
        <v>3439</v>
      </c>
      <c r="E3259" s="62"/>
      <c r="F3259" s="62"/>
      <c r="G3259" s="20" t="str">
        <f t="shared" si="1"/>
        <v>Home &amp; Garden, Household Appliance Accessories, Humidifier Accessories, </v>
      </c>
    </row>
    <row r="3260">
      <c r="A3260" s="29">
        <v>3402.0</v>
      </c>
      <c r="B3260" s="29" t="s">
        <v>3234</v>
      </c>
      <c r="C3260" s="29" t="s">
        <v>3427</v>
      </c>
      <c r="D3260" s="29" t="s">
        <v>3439</v>
      </c>
      <c r="E3260" s="29" t="s">
        <v>3440</v>
      </c>
      <c r="F3260" s="62"/>
      <c r="G3260" s="20" t="str">
        <f t="shared" si="1"/>
        <v>Home &amp; Garden, Household Appliance Accessories, Humidifier Accessories, Humidifier Filters</v>
      </c>
    </row>
    <row r="3261">
      <c r="A3261" s="29">
        <v>3456.0</v>
      </c>
      <c r="B3261" s="29" t="s">
        <v>3234</v>
      </c>
      <c r="C3261" s="29" t="s">
        <v>3427</v>
      </c>
      <c r="D3261" s="29" t="s">
        <v>3441</v>
      </c>
      <c r="F3261" s="62"/>
      <c r="G3261" s="20" t="str">
        <f t="shared" si="1"/>
        <v>Home &amp; Garden, Household Appliance Accessories, Laundry Appliance Accessories, </v>
      </c>
    </row>
    <row r="3262">
      <c r="A3262" s="29">
        <v>5158.0</v>
      </c>
      <c r="B3262" s="29" t="s">
        <v>3234</v>
      </c>
      <c r="C3262" s="29" t="s">
        <v>3427</v>
      </c>
      <c r="D3262" s="29" t="s">
        <v>3441</v>
      </c>
      <c r="E3262" s="29" t="s">
        <v>3442</v>
      </c>
      <c r="F3262" s="62"/>
      <c r="G3262" s="20" t="str">
        <f t="shared" si="1"/>
        <v>Home &amp; Garden, Household Appliance Accessories, Laundry Appliance Accessories, Garment Steamer Accessories</v>
      </c>
    </row>
    <row r="3263">
      <c r="A3263" s="29">
        <v>5159.0</v>
      </c>
      <c r="B3263" s="29" t="s">
        <v>3234</v>
      </c>
      <c r="C3263" s="29" t="s">
        <v>3427</v>
      </c>
      <c r="D3263" s="29" t="s">
        <v>3441</v>
      </c>
      <c r="E3263" s="29" t="s">
        <v>3443</v>
      </c>
      <c r="F3263" s="62"/>
      <c r="G3263" s="20" t="str">
        <f t="shared" si="1"/>
        <v>Home &amp; Garden, Household Appliance Accessories, Laundry Appliance Accessories, Iron Accessories</v>
      </c>
    </row>
    <row r="3264">
      <c r="A3264" s="29">
        <v>5160.0</v>
      </c>
      <c r="B3264" s="29" t="s">
        <v>3234</v>
      </c>
      <c r="C3264" s="29" t="s">
        <v>3427</v>
      </c>
      <c r="D3264" s="29" t="s">
        <v>3441</v>
      </c>
      <c r="E3264" s="29" t="s">
        <v>3444</v>
      </c>
      <c r="F3264" s="62"/>
      <c r="G3264" s="20" t="str">
        <f t="shared" si="1"/>
        <v>Home &amp; Garden, Household Appliance Accessories, Laundry Appliance Accessories, Steam Press Accessories</v>
      </c>
    </row>
    <row r="3265">
      <c r="A3265" s="29">
        <v>500085.0</v>
      </c>
      <c r="B3265" s="29" t="s">
        <v>3234</v>
      </c>
      <c r="C3265" s="29" t="s">
        <v>3427</v>
      </c>
      <c r="D3265" s="29" t="s">
        <v>3441</v>
      </c>
      <c r="E3265" s="29" t="s">
        <v>3445</v>
      </c>
      <c r="F3265" s="62"/>
      <c r="G3265" s="20" t="str">
        <f t="shared" si="1"/>
        <v>Home &amp; Garden, Household Appliance Accessories, Laundry Appliance Accessories, Washer &amp; Dryer Accessories</v>
      </c>
    </row>
    <row r="3266">
      <c r="A3266" s="29">
        <v>4650.0</v>
      </c>
      <c r="B3266" s="29" t="s">
        <v>3234</v>
      </c>
      <c r="C3266" s="29" t="s">
        <v>3427</v>
      </c>
      <c r="D3266" s="29" t="s">
        <v>3446</v>
      </c>
      <c r="E3266" s="62"/>
      <c r="F3266" s="62"/>
      <c r="G3266" s="20" t="str">
        <f t="shared" si="1"/>
        <v>Home &amp; Garden, Household Appliance Accessories, Patio Heater Accessories, </v>
      </c>
    </row>
    <row r="3267">
      <c r="A3267" s="29">
        <v>4651.0</v>
      </c>
      <c r="B3267" s="29" t="s">
        <v>3234</v>
      </c>
      <c r="C3267" s="29" t="s">
        <v>3427</v>
      </c>
      <c r="D3267" s="29" t="s">
        <v>3446</v>
      </c>
      <c r="E3267" s="29" t="s">
        <v>3447</v>
      </c>
      <c r="F3267" s="62"/>
      <c r="G3267" s="20" t="str">
        <f t="shared" si="1"/>
        <v>Home &amp; Garden, Household Appliance Accessories, Patio Heater Accessories, Patio Heater Covers</v>
      </c>
    </row>
    <row r="3268">
      <c r="A3268" s="29">
        <v>618.0</v>
      </c>
      <c r="B3268" s="29" t="s">
        <v>3234</v>
      </c>
      <c r="C3268" s="29" t="s">
        <v>3427</v>
      </c>
      <c r="D3268" s="29" t="s">
        <v>3448</v>
      </c>
      <c r="E3268" s="62"/>
      <c r="F3268" s="62"/>
      <c r="G3268" s="20" t="str">
        <f t="shared" si="1"/>
        <v>Home &amp; Garden, Household Appliance Accessories, Vacuum Accessories, </v>
      </c>
    </row>
    <row r="3269">
      <c r="A3269" s="29">
        <v>2751.0</v>
      </c>
      <c r="B3269" s="29" t="s">
        <v>3234</v>
      </c>
      <c r="C3269" s="29" t="s">
        <v>3427</v>
      </c>
      <c r="D3269" s="29" t="s">
        <v>3449</v>
      </c>
      <c r="F3269" s="62"/>
      <c r="G3269" s="20" t="str">
        <f t="shared" si="1"/>
        <v>Home &amp; Garden, Household Appliance Accessories, Water Heater Accessories, </v>
      </c>
    </row>
    <row r="3270">
      <c r="A3270" s="29">
        <v>2310.0</v>
      </c>
      <c r="B3270" s="29" t="s">
        <v>3234</v>
      </c>
      <c r="C3270" s="29" t="s">
        <v>3427</v>
      </c>
      <c r="D3270" s="29" t="s">
        <v>3449</v>
      </c>
      <c r="E3270" s="29" t="s">
        <v>3450</v>
      </c>
      <c r="F3270" s="62"/>
      <c r="G3270" s="20" t="str">
        <f t="shared" si="1"/>
        <v>Home &amp; Garden, Household Appliance Accessories, Water Heater Accessories, Anode Rods</v>
      </c>
    </row>
    <row r="3271">
      <c r="A3271" s="29">
        <v>2175.0</v>
      </c>
      <c r="B3271" s="29" t="s">
        <v>3234</v>
      </c>
      <c r="C3271" s="29" t="s">
        <v>3427</v>
      </c>
      <c r="D3271" s="29" t="s">
        <v>3449</v>
      </c>
      <c r="E3271" s="29" t="s">
        <v>3451</v>
      </c>
      <c r="F3271" s="62"/>
      <c r="G3271" s="20" t="str">
        <f t="shared" si="1"/>
        <v>Home &amp; Garden, Household Appliance Accessories, Water Heater Accessories, Hot Water Tanks</v>
      </c>
    </row>
    <row r="3272">
      <c r="A3272" s="29">
        <v>1744.0</v>
      </c>
      <c r="B3272" s="29" t="s">
        <v>3234</v>
      </c>
      <c r="C3272" s="29" t="s">
        <v>3427</v>
      </c>
      <c r="D3272" s="29" t="s">
        <v>3449</v>
      </c>
      <c r="E3272" s="29" t="s">
        <v>3452</v>
      </c>
      <c r="F3272" s="62"/>
      <c r="G3272" s="20" t="str">
        <f t="shared" si="1"/>
        <v>Home &amp; Garden, Household Appliance Accessories, Water Heater Accessories, Water Heater Elements</v>
      </c>
    </row>
    <row r="3273">
      <c r="A3273" s="29">
        <v>500063.0</v>
      </c>
      <c r="B3273" s="29" t="s">
        <v>3234</v>
      </c>
      <c r="C3273" s="29" t="s">
        <v>3427</v>
      </c>
      <c r="D3273" s="29" t="s">
        <v>3449</v>
      </c>
      <c r="E3273" s="29" t="s">
        <v>3453</v>
      </c>
      <c r="F3273" s="62"/>
      <c r="G3273" s="20" t="str">
        <f t="shared" si="1"/>
        <v>Home &amp; Garden, Household Appliance Accessories, Water Heater Accessories, Water Heater Expansion Tanks</v>
      </c>
    </row>
    <row r="3274">
      <c r="A3274" s="29">
        <v>1835.0</v>
      </c>
      <c r="B3274" s="29" t="s">
        <v>3234</v>
      </c>
      <c r="C3274" s="29" t="s">
        <v>3427</v>
      </c>
      <c r="D3274" s="29" t="s">
        <v>3449</v>
      </c>
      <c r="E3274" s="29" t="s">
        <v>3454</v>
      </c>
      <c r="F3274" s="62"/>
      <c r="G3274" s="20" t="str">
        <f t="shared" si="1"/>
        <v>Home &amp; Garden, Household Appliance Accessories, Water Heater Accessories, Water Heater Pans</v>
      </c>
    </row>
    <row r="3275">
      <c r="A3275" s="29">
        <v>2221.0</v>
      </c>
      <c r="B3275" s="29" t="s">
        <v>3234</v>
      </c>
      <c r="C3275" s="29" t="s">
        <v>3427</v>
      </c>
      <c r="D3275" s="29" t="s">
        <v>3449</v>
      </c>
      <c r="E3275" s="29" t="s">
        <v>3455</v>
      </c>
      <c r="F3275" s="62"/>
      <c r="G3275" s="20" t="str">
        <f t="shared" si="1"/>
        <v>Home &amp; Garden, Household Appliance Accessories, Water Heater Accessories, Water Heater Stacks</v>
      </c>
    </row>
    <row r="3276">
      <c r="A3276" s="29">
        <v>1709.0</v>
      </c>
      <c r="B3276" s="29" t="s">
        <v>3234</v>
      </c>
      <c r="C3276" s="29" t="s">
        <v>3427</v>
      </c>
      <c r="D3276" s="29" t="s">
        <v>3449</v>
      </c>
      <c r="E3276" s="29" t="s">
        <v>3456</v>
      </c>
      <c r="F3276" s="62"/>
      <c r="G3276" s="20" t="str">
        <f t="shared" si="1"/>
        <v>Home &amp; Garden, Household Appliance Accessories, Water Heater Accessories, Water Heater Vents</v>
      </c>
    </row>
    <row r="3277">
      <c r="A3277" s="29">
        <v>604.0</v>
      </c>
      <c r="B3277" s="29" t="s">
        <v>3234</v>
      </c>
      <c r="C3277" s="29" t="s">
        <v>3457</v>
      </c>
      <c r="D3277" s="62"/>
      <c r="E3277" s="62"/>
      <c r="F3277" s="62"/>
      <c r="G3277" s="20" t="str">
        <f t="shared" si="1"/>
        <v>Home &amp; Garden, Household Appliances, , </v>
      </c>
    </row>
    <row r="3278">
      <c r="A3278" s="29">
        <v>1626.0</v>
      </c>
      <c r="B3278" s="29" t="s">
        <v>3234</v>
      </c>
      <c r="C3278" s="29" t="s">
        <v>3457</v>
      </c>
      <c r="D3278" s="29" t="s">
        <v>3458</v>
      </c>
      <c r="F3278" s="62"/>
      <c r="G3278" s="20" t="str">
        <f t="shared" si="1"/>
        <v>Home &amp; Garden, Household Appliances, Climate Control Appliances, </v>
      </c>
    </row>
    <row r="3279">
      <c r="A3279" s="29">
        <v>605.0</v>
      </c>
      <c r="B3279" s="29" t="s">
        <v>3234</v>
      </c>
      <c r="C3279" s="29" t="s">
        <v>3457</v>
      </c>
      <c r="D3279" s="29" t="s">
        <v>3458</v>
      </c>
      <c r="E3279" s="29" t="s">
        <v>3459</v>
      </c>
      <c r="F3279" s="62"/>
      <c r="G3279" s="20" t="str">
        <f t="shared" si="1"/>
        <v>Home &amp; Garden, Household Appliances, Climate Control Appliances, Air Conditioners</v>
      </c>
    </row>
    <row r="3280">
      <c r="A3280" s="29">
        <v>606.0</v>
      </c>
      <c r="B3280" s="29" t="s">
        <v>3234</v>
      </c>
      <c r="C3280" s="29" t="s">
        <v>3457</v>
      </c>
      <c r="D3280" s="29" t="s">
        <v>3458</v>
      </c>
      <c r="E3280" s="29" t="s">
        <v>3460</v>
      </c>
      <c r="F3280" s="62"/>
      <c r="G3280" s="20" t="str">
        <f t="shared" si="1"/>
        <v>Home &amp; Garden, Household Appliances, Climate Control Appliances, Air Purifiers</v>
      </c>
    </row>
    <row r="3281">
      <c r="A3281" s="29">
        <v>607.0</v>
      </c>
      <c r="B3281" s="29" t="s">
        <v>3234</v>
      </c>
      <c r="C3281" s="29" t="s">
        <v>3457</v>
      </c>
      <c r="D3281" s="29" t="s">
        <v>3458</v>
      </c>
      <c r="E3281" s="29" t="s">
        <v>3461</v>
      </c>
      <c r="F3281" s="62"/>
      <c r="G3281" s="20" t="str">
        <f t="shared" si="1"/>
        <v>Home &amp; Garden, Household Appliances, Climate Control Appliances, Dehumidifiers</v>
      </c>
    </row>
    <row r="3282">
      <c r="A3282" s="29">
        <v>7328.0</v>
      </c>
      <c r="B3282" s="29" t="s">
        <v>3234</v>
      </c>
      <c r="C3282" s="29" t="s">
        <v>3457</v>
      </c>
      <c r="D3282" s="29" t="s">
        <v>3458</v>
      </c>
      <c r="E3282" s="29" t="s">
        <v>3462</v>
      </c>
      <c r="F3282" s="62"/>
      <c r="G3282" s="20" t="str">
        <f t="shared" si="1"/>
        <v>Home &amp; Garden, Household Appliances, Climate Control Appliances, Duct Heaters</v>
      </c>
    </row>
    <row r="3283">
      <c r="A3283" s="29">
        <v>6727.0</v>
      </c>
      <c r="B3283" s="29" t="s">
        <v>3234</v>
      </c>
      <c r="C3283" s="29" t="s">
        <v>3457</v>
      </c>
      <c r="D3283" s="29" t="s">
        <v>3458</v>
      </c>
      <c r="E3283" s="29" t="s">
        <v>3463</v>
      </c>
      <c r="F3283" s="62"/>
      <c r="G3283" s="20" t="str">
        <f t="shared" si="1"/>
        <v>Home &amp; Garden, Household Appliances, Climate Control Appliances, Evaporative Coolers</v>
      </c>
    </row>
    <row r="3284">
      <c r="A3284" s="29">
        <v>608.0</v>
      </c>
      <c r="B3284" s="29" t="s">
        <v>3234</v>
      </c>
      <c r="C3284" s="29" t="s">
        <v>3457</v>
      </c>
      <c r="D3284" s="29" t="s">
        <v>3458</v>
      </c>
      <c r="E3284" s="29" t="s">
        <v>3464</v>
      </c>
      <c r="F3284" s="62"/>
      <c r="G3284" s="20" t="str">
        <f t="shared" si="1"/>
        <v>Home &amp; Garden, Household Appliances, Climate Control Appliances, Fans</v>
      </c>
    </row>
    <row r="3285">
      <c r="A3285" s="29">
        <v>1700.0</v>
      </c>
      <c r="B3285" s="29" t="s">
        <v>3234</v>
      </c>
      <c r="C3285" s="29" t="s">
        <v>3457</v>
      </c>
      <c r="D3285" s="29" t="s">
        <v>3458</v>
      </c>
      <c r="E3285" s="29" t="s">
        <v>3464</v>
      </c>
      <c r="F3285" s="29" t="s">
        <v>3465</v>
      </c>
      <c r="G3285" s="20" t="str">
        <f t="shared" si="1"/>
        <v>Home &amp; Garden, Household Appliances, Climate Control Appliances, FansCeiling Fans</v>
      </c>
    </row>
    <row r="3286">
      <c r="A3286" s="29">
        <v>2535.0</v>
      </c>
      <c r="B3286" s="29" t="s">
        <v>3234</v>
      </c>
      <c r="C3286" s="29" t="s">
        <v>3457</v>
      </c>
      <c r="D3286" s="29" t="s">
        <v>3458</v>
      </c>
      <c r="E3286" s="29" t="s">
        <v>3464</v>
      </c>
      <c r="F3286" s="29" t="s">
        <v>3466</v>
      </c>
      <c r="G3286" s="20" t="str">
        <f t="shared" si="1"/>
        <v>Home &amp; Garden, Household Appliances, Climate Control Appliances, FansDesk &amp; Pedestal Fans</v>
      </c>
    </row>
    <row r="3287">
      <c r="A3287" s="29">
        <v>7527.0</v>
      </c>
      <c r="B3287" s="29" t="s">
        <v>3234</v>
      </c>
      <c r="C3287" s="29" t="s">
        <v>3457</v>
      </c>
      <c r="D3287" s="29" t="s">
        <v>3458</v>
      </c>
      <c r="E3287" s="29" t="s">
        <v>3464</v>
      </c>
      <c r="F3287" s="29" t="s">
        <v>3467</v>
      </c>
      <c r="G3287" s="20" t="str">
        <f t="shared" si="1"/>
        <v>Home &amp; Garden, Household Appliances, Climate Control Appliances, FansPowered Hand Fans &amp; Misters</v>
      </c>
    </row>
    <row r="3288">
      <c r="A3288" s="29">
        <v>4485.0</v>
      </c>
      <c r="B3288" s="29" t="s">
        <v>3234</v>
      </c>
      <c r="C3288" s="29" t="s">
        <v>3457</v>
      </c>
      <c r="D3288" s="29" t="s">
        <v>3458</v>
      </c>
      <c r="E3288" s="29" t="s">
        <v>3464</v>
      </c>
      <c r="F3288" s="29" t="s">
        <v>3468</v>
      </c>
      <c r="G3288" s="20" t="str">
        <f t="shared" si="1"/>
        <v>Home &amp; Garden, Household Appliances, Climate Control Appliances, FansVentilation Fans</v>
      </c>
    </row>
    <row r="3289">
      <c r="A3289" s="29">
        <v>8090.0</v>
      </c>
      <c r="B3289" s="29" t="s">
        <v>3234</v>
      </c>
      <c r="C3289" s="29" t="s">
        <v>3457</v>
      </c>
      <c r="D3289" s="29" t="s">
        <v>3458</v>
      </c>
      <c r="E3289" s="29" t="s">
        <v>3464</v>
      </c>
      <c r="F3289" s="29" t="s">
        <v>3469</v>
      </c>
      <c r="G3289" s="20" t="str">
        <f t="shared" si="1"/>
        <v>Home &amp; Garden, Household Appliances, Climate Control Appliances, FansWall Mount Fans</v>
      </c>
    </row>
    <row r="3290">
      <c r="A3290" s="29">
        <v>3082.0</v>
      </c>
      <c r="B3290" s="29" t="s">
        <v>3234</v>
      </c>
      <c r="C3290" s="29" t="s">
        <v>3457</v>
      </c>
      <c r="D3290" s="29" t="s">
        <v>3458</v>
      </c>
      <c r="E3290" s="29" t="s">
        <v>3470</v>
      </c>
      <c r="F3290" s="62"/>
      <c r="G3290" s="20" t="str">
        <f t="shared" si="1"/>
        <v>Home &amp; Garden, Household Appliances, Climate Control Appliances, Furnaces &amp; Boilers</v>
      </c>
    </row>
    <row r="3291">
      <c r="A3291" s="29">
        <v>2060.0</v>
      </c>
      <c r="B3291" s="29" t="s">
        <v>3234</v>
      </c>
      <c r="C3291" s="29" t="s">
        <v>3457</v>
      </c>
      <c r="D3291" s="29" t="s">
        <v>3458</v>
      </c>
      <c r="E3291" s="29" t="s">
        <v>3471</v>
      </c>
      <c r="F3291" s="62"/>
      <c r="G3291" s="20" t="str">
        <f t="shared" si="1"/>
        <v>Home &amp; Garden, Household Appliances, Climate Control Appliances, Heating Radiators</v>
      </c>
    </row>
    <row r="3292">
      <c r="A3292" s="29">
        <v>613.0</v>
      </c>
      <c r="B3292" s="29" t="s">
        <v>3234</v>
      </c>
      <c r="C3292" s="29" t="s">
        <v>3457</v>
      </c>
      <c r="D3292" s="29" t="s">
        <v>3458</v>
      </c>
      <c r="E3292" s="29" t="s">
        <v>3472</v>
      </c>
      <c r="F3292" s="62"/>
      <c r="G3292" s="20" t="str">
        <f t="shared" si="1"/>
        <v>Home &amp; Garden, Household Appliances, Climate Control Appliances, Humidifiers</v>
      </c>
    </row>
    <row r="3293">
      <c r="A3293" s="29">
        <v>6709.0</v>
      </c>
      <c r="B3293" s="29" t="s">
        <v>3234</v>
      </c>
      <c r="C3293" s="29" t="s">
        <v>3457</v>
      </c>
      <c r="D3293" s="29" t="s">
        <v>3458</v>
      </c>
      <c r="E3293" s="29" t="s">
        <v>3473</v>
      </c>
      <c r="F3293" s="62"/>
      <c r="G3293" s="20" t="str">
        <f t="shared" si="1"/>
        <v>Home &amp; Garden, Household Appliances, Climate Control Appliances, Outdoor Misting Systems</v>
      </c>
    </row>
    <row r="3294">
      <c r="A3294" s="29">
        <v>2649.0</v>
      </c>
      <c r="B3294" s="29" t="s">
        <v>3234</v>
      </c>
      <c r="C3294" s="29" t="s">
        <v>3457</v>
      </c>
      <c r="D3294" s="29" t="s">
        <v>3458</v>
      </c>
      <c r="E3294" s="29" t="s">
        <v>3474</v>
      </c>
      <c r="F3294" s="62"/>
      <c r="G3294" s="20" t="str">
        <f t="shared" si="1"/>
        <v>Home &amp; Garden, Household Appliances, Climate Control Appliances, Patio Heaters</v>
      </c>
    </row>
    <row r="3295">
      <c r="A3295" s="29">
        <v>611.0</v>
      </c>
      <c r="B3295" s="29" t="s">
        <v>3234</v>
      </c>
      <c r="C3295" s="29" t="s">
        <v>3457</v>
      </c>
      <c r="D3295" s="29" t="s">
        <v>3458</v>
      </c>
      <c r="E3295" s="29" t="s">
        <v>3475</v>
      </c>
      <c r="F3295" s="62"/>
      <c r="G3295" s="20" t="str">
        <f t="shared" si="1"/>
        <v>Home &amp; Garden, Household Appliances, Climate Control Appliances, Space Heaters</v>
      </c>
    </row>
    <row r="3296">
      <c r="A3296" s="29">
        <v>235920.0</v>
      </c>
      <c r="B3296" s="29" t="s">
        <v>3234</v>
      </c>
      <c r="C3296" s="29" t="s">
        <v>3457</v>
      </c>
      <c r="D3296" s="29" t="s">
        <v>3476</v>
      </c>
      <c r="E3296" s="62"/>
      <c r="F3296" s="62"/>
      <c r="G3296" s="20" t="str">
        <f t="shared" si="1"/>
        <v>Home &amp; Garden, Household Appliances, Floor &amp; Carpet Dryers, </v>
      </c>
    </row>
    <row r="3297">
      <c r="A3297" s="29">
        <v>616.0</v>
      </c>
      <c r="B3297" s="29" t="s">
        <v>3234</v>
      </c>
      <c r="C3297" s="29" t="s">
        <v>3457</v>
      </c>
      <c r="D3297" s="29" t="s">
        <v>3477</v>
      </c>
      <c r="E3297" s="62"/>
      <c r="F3297" s="62"/>
      <c r="G3297" s="20" t="str">
        <f t="shared" si="1"/>
        <v>Home &amp; Garden, Household Appliances, Floor &amp; Steam Cleaners, </v>
      </c>
    </row>
    <row r="3298">
      <c r="A3298" s="29">
        <v>543601.0</v>
      </c>
      <c r="B3298" s="29" t="s">
        <v>3234</v>
      </c>
      <c r="C3298" s="29" t="s">
        <v>3457</v>
      </c>
      <c r="D3298" s="29" t="s">
        <v>3477</v>
      </c>
      <c r="E3298" s="29" t="s">
        <v>3478</v>
      </c>
      <c r="F3298" s="62"/>
      <c r="G3298" s="20" t="str">
        <f t="shared" si="1"/>
        <v>Home &amp; Garden, Household Appliances, Floor &amp; Steam Cleaners, Carpet Shampooers</v>
      </c>
    </row>
    <row r="3299">
      <c r="A3299" s="29">
        <v>543600.0</v>
      </c>
      <c r="B3299" s="29" t="s">
        <v>3234</v>
      </c>
      <c r="C3299" s="29" t="s">
        <v>3457</v>
      </c>
      <c r="D3299" s="29" t="s">
        <v>3477</v>
      </c>
      <c r="E3299" s="29" t="s">
        <v>3479</v>
      </c>
      <c r="F3299" s="62"/>
      <c r="G3299" s="20" t="str">
        <f t="shared" si="1"/>
        <v>Home &amp; Garden, Household Appliances, Floor &amp; Steam Cleaners, Carpet Steamers</v>
      </c>
    </row>
    <row r="3300">
      <c r="A3300" s="29">
        <v>543602.0</v>
      </c>
      <c r="B3300" s="29" t="s">
        <v>3234</v>
      </c>
      <c r="C3300" s="29" t="s">
        <v>3457</v>
      </c>
      <c r="D3300" s="29" t="s">
        <v>3477</v>
      </c>
      <c r="E3300" s="29" t="s">
        <v>3480</v>
      </c>
      <c r="F3300" s="62"/>
      <c r="G3300" s="20" t="str">
        <f t="shared" si="1"/>
        <v>Home &amp; Garden, Household Appliances, Floor &amp; Steam Cleaners, Floor Scrubbers</v>
      </c>
    </row>
    <row r="3301">
      <c r="A3301" s="29">
        <v>543603.0</v>
      </c>
      <c r="B3301" s="29" t="s">
        <v>3234</v>
      </c>
      <c r="C3301" s="29" t="s">
        <v>3457</v>
      </c>
      <c r="D3301" s="29" t="s">
        <v>3477</v>
      </c>
      <c r="E3301" s="29" t="s">
        <v>3481</v>
      </c>
      <c r="F3301" s="62"/>
      <c r="G3301" s="20" t="str">
        <f t="shared" si="1"/>
        <v>Home &amp; Garden, Household Appliances, Floor &amp; Steam Cleaners, Steam Mops</v>
      </c>
    </row>
    <row r="3302">
      <c r="A3302" s="29">
        <v>5294.0</v>
      </c>
      <c r="B3302" s="29" t="s">
        <v>3234</v>
      </c>
      <c r="C3302" s="29" t="s">
        <v>3457</v>
      </c>
      <c r="D3302" s="29" t="s">
        <v>3482</v>
      </c>
      <c r="E3302" s="62"/>
      <c r="F3302" s="62"/>
      <c r="G3302" s="20" t="str">
        <f t="shared" si="1"/>
        <v>Home &amp; Garden, Household Appliances, Floor Polishers &amp; Buffers, </v>
      </c>
    </row>
    <row r="3303">
      <c r="A3303" s="29">
        <v>4483.0</v>
      </c>
      <c r="B3303" s="29" t="s">
        <v>3234</v>
      </c>
      <c r="C3303" s="29" t="s">
        <v>3457</v>
      </c>
      <c r="D3303" s="29" t="s">
        <v>3483</v>
      </c>
      <c r="E3303" s="62"/>
      <c r="F3303" s="62"/>
      <c r="G3303" s="20" t="str">
        <f t="shared" si="1"/>
        <v>Home &amp; Garden, Household Appliances, Futon Dryers, </v>
      </c>
    </row>
    <row r="3304">
      <c r="A3304" s="29">
        <v>6741.0</v>
      </c>
      <c r="B3304" s="29" t="s">
        <v>3234</v>
      </c>
      <c r="C3304" s="29" t="s">
        <v>3457</v>
      </c>
      <c r="D3304" s="29" t="s">
        <v>3484</v>
      </c>
      <c r="F3304" s="62"/>
      <c r="G3304" s="20" t="str">
        <f t="shared" si="1"/>
        <v>Home &amp; Garden, Household Appliances, Garage Door Keypads &amp; Remotes, </v>
      </c>
    </row>
    <row r="3305">
      <c r="A3305" s="29">
        <v>609.0</v>
      </c>
      <c r="B3305" s="29" t="s">
        <v>3234</v>
      </c>
      <c r="C3305" s="29" t="s">
        <v>3457</v>
      </c>
      <c r="D3305" s="29" t="s">
        <v>3485</v>
      </c>
      <c r="E3305" s="62"/>
      <c r="F3305" s="62"/>
      <c r="G3305" s="20" t="str">
        <f t="shared" si="1"/>
        <v>Home &amp; Garden, Household Appliances, Garage Door Openers, </v>
      </c>
    </row>
    <row r="3306">
      <c r="A3306" s="29">
        <v>2706.0</v>
      </c>
      <c r="B3306" s="29" t="s">
        <v>3234</v>
      </c>
      <c r="C3306" s="29" t="s">
        <v>3457</v>
      </c>
      <c r="D3306" s="29" t="s">
        <v>3486</v>
      </c>
      <c r="E3306" s="62"/>
      <c r="F3306" s="62"/>
      <c r="G3306" s="20" t="str">
        <f t="shared" si="1"/>
        <v>Home &amp; Garden, Household Appliances, Laundry Appliances, </v>
      </c>
    </row>
    <row r="3307">
      <c r="A3307" s="29">
        <v>2612.0</v>
      </c>
      <c r="B3307" s="29" t="s">
        <v>3234</v>
      </c>
      <c r="C3307" s="29" t="s">
        <v>3457</v>
      </c>
      <c r="D3307" s="29" t="s">
        <v>3486</v>
      </c>
      <c r="E3307" s="29" t="s">
        <v>3487</v>
      </c>
      <c r="F3307" s="62"/>
      <c r="G3307" s="20" t="str">
        <f t="shared" si="1"/>
        <v>Home &amp; Garden, Household Appliances, Laundry Appliances, Dryers</v>
      </c>
    </row>
    <row r="3308">
      <c r="A3308" s="29">
        <v>5138.0</v>
      </c>
      <c r="B3308" s="29" t="s">
        <v>3234</v>
      </c>
      <c r="C3308" s="29" t="s">
        <v>3457</v>
      </c>
      <c r="D3308" s="29" t="s">
        <v>3486</v>
      </c>
      <c r="E3308" s="29" t="s">
        <v>3488</v>
      </c>
      <c r="F3308" s="62"/>
      <c r="G3308" s="20" t="str">
        <f t="shared" si="1"/>
        <v>Home &amp; Garden, Household Appliances, Laundry Appliances, Garment Steamers</v>
      </c>
    </row>
    <row r="3309">
      <c r="A3309" s="29">
        <v>5139.0</v>
      </c>
      <c r="B3309" s="29" t="s">
        <v>3234</v>
      </c>
      <c r="C3309" s="29" t="s">
        <v>3457</v>
      </c>
      <c r="D3309" s="29" t="s">
        <v>3486</v>
      </c>
      <c r="E3309" s="29" t="s">
        <v>3489</v>
      </c>
      <c r="F3309" s="62"/>
      <c r="G3309" s="20" t="str">
        <f t="shared" si="1"/>
        <v>Home &amp; Garden, Household Appliances, Laundry Appliances, Irons &amp; Ironing Systems</v>
      </c>
    </row>
    <row r="3310">
      <c r="A3310" s="29">
        <v>2849.0</v>
      </c>
      <c r="B3310" s="29" t="s">
        <v>3234</v>
      </c>
      <c r="C3310" s="29" t="s">
        <v>3457</v>
      </c>
      <c r="D3310" s="29" t="s">
        <v>3486</v>
      </c>
      <c r="E3310" s="29" t="s">
        <v>3490</v>
      </c>
      <c r="F3310" s="62"/>
      <c r="G3310" s="20" t="str">
        <f t="shared" si="1"/>
        <v>Home &amp; Garden, Household Appliances, Laundry Appliances, Laundry Combo Units</v>
      </c>
    </row>
    <row r="3311">
      <c r="A3311" s="29">
        <v>5140.0</v>
      </c>
      <c r="B3311" s="29" t="s">
        <v>3234</v>
      </c>
      <c r="C3311" s="29" t="s">
        <v>3457</v>
      </c>
      <c r="D3311" s="29" t="s">
        <v>3486</v>
      </c>
      <c r="E3311" s="29" t="s">
        <v>3491</v>
      </c>
      <c r="F3311" s="62"/>
      <c r="G3311" s="20" t="str">
        <f t="shared" si="1"/>
        <v>Home &amp; Garden, Household Appliances, Laundry Appliances, Steam Presses</v>
      </c>
    </row>
    <row r="3312">
      <c r="A3312" s="29">
        <v>2549.0</v>
      </c>
      <c r="B3312" s="29" t="s">
        <v>3234</v>
      </c>
      <c r="C3312" s="29" t="s">
        <v>3457</v>
      </c>
      <c r="D3312" s="29" t="s">
        <v>3486</v>
      </c>
      <c r="E3312" s="29" t="s">
        <v>3492</v>
      </c>
      <c r="F3312" s="62"/>
      <c r="G3312" s="20" t="str">
        <f t="shared" si="1"/>
        <v>Home &amp; Garden, Household Appliances, Laundry Appliances, Washing Machines</v>
      </c>
    </row>
    <row r="3313">
      <c r="A3313" s="29">
        <v>500081.0</v>
      </c>
      <c r="B3313" s="29" t="s">
        <v>3234</v>
      </c>
      <c r="C3313" s="29" t="s">
        <v>3457</v>
      </c>
      <c r="D3313" s="29" t="s">
        <v>3493</v>
      </c>
      <c r="E3313" s="62"/>
      <c r="F3313" s="62"/>
      <c r="G3313" s="20" t="str">
        <f t="shared" si="1"/>
        <v>Home &amp; Garden, Household Appliances, Ultrasonic Cleaners, </v>
      </c>
    </row>
    <row r="3314">
      <c r="A3314" s="29">
        <v>619.0</v>
      </c>
      <c r="B3314" s="29" t="s">
        <v>3234</v>
      </c>
      <c r="C3314" s="29" t="s">
        <v>3457</v>
      </c>
      <c r="D3314" s="29" t="s">
        <v>3494</v>
      </c>
      <c r="E3314" s="62"/>
      <c r="F3314" s="62"/>
      <c r="G3314" s="20" t="str">
        <f t="shared" si="1"/>
        <v>Home &amp; Garden, Household Appliances, Vacuums, </v>
      </c>
    </row>
    <row r="3315">
      <c r="A3315" s="29">
        <v>7121.0</v>
      </c>
      <c r="B3315" s="29" t="s">
        <v>3234</v>
      </c>
      <c r="C3315" s="29" t="s">
        <v>3457</v>
      </c>
      <c r="D3315" s="29" t="s">
        <v>3495</v>
      </c>
      <c r="E3315" s="62"/>
      <c r="F3315" s="62"/>
      <c r="G3315" s="20" t="str">
        <f t="shared" si="1"/>
        <v>Home &amp; Garden, Household Appliances, Wallpaper Steamers, </v>
      </c>
    </row>
    <row r="3316">
      <c r="A3316" s="29">
        <v>621.0</v>
      </c>
      <c r="B3316" s="29" t="s">
        <v>3234</v>
      </c>
      <c r="C3316" s="29" t="s">
        <v>3457</v>
      </c>
      <c r="D3316" s="29" t="s">
        <v>3496</v>
      </c>
      <c r="E3316" s="62"/>
      <c r="F3316" s="62"/>
      <c r="G3316" s="20" t="str">
        <f t="shared" si="1"/>
        <v>Home &amp; Garden, Household Appliances, Water Heaters, </v>
      </c>
    </row>
    <row r="3317">
      <c r="A3317" s="29">
        <v>630.0</v>
      </c>
      <c r="B3317" s="29" t="s">
        <v>3234</v>
      </c>
      <c r="C3317" s="29" t="s">
        <v>3497</v>
      </c>
      <c r="D3317" s="62"/>
      <c r="E3317" s="62"/>
      <c r="F3317" s="62"/>
      <c r="G3317" s="20" t="str">
        <f t="shared" si="1"/>
        <v>Home &amp; Garden, Household Supplies, , </v>
      </c>
    </row>
    <row r="3318">
      <c r="A3318" s="29">
        <v>7351.0</v>
      </c>
      <c r="B3318" s="29" t="s">
        <v>3234</v>
      </c>
      <c r="C3318" s="29" t="s">
        <v>3497</v>
      </c>
      <c r="D3318" s="29" t="s">
        <v>3498</v>
      </c>
      <c r="E3318" s="62"/>
      <c r="F3318" s="62"/>
      <c r="G3318" s="20" t="str">
        <f t="shared" si="1"/>
        <v>Home &amp; Garden, Household Supplies, Drawer &amp; Shelf Liners, </v>
      </c>
    </row>
    <row r="3319">
      <c r="A3319" s="29">
        <v>499674.0</v>
      </c>
      <c r="B3319" s="29" t="s">
        <v>3234</v>
      </c>
      <c r="C3319" s="29" t="s">
        <v>3497</v>
      </c>
      <c r="D3319" s="29" t="s">
        <v>3499</v>
      </c>
      <c r="F3319" s="62"/>
      <c r="G3319" s="20" t="str">
        <f t="shared" si="1"/>
        <v>Home &amp; Garden, Household Supplies, Floor Protection Films &amp; Runners, </v>
      </c>
    </row>
    <row r="3320">
      <c r="A3320" s="29">
        <v>7214.0</v>
      </c>
      <c r="B3320" s="29" t="s">
        <v>3234</v>
      </c>
      <c r="C3320" s="29" t="s">
        <v>3497</v>
      </c>
      <c r="D3320" s="29" t="s">
        <v>3500</v>
      </c>
      <c r="F3320" s="62"/>
      <c r="G3320" s="20" t="str">
        <f t="shared" si="1"/>
        <v>Home &amp; Garden, Household Supplies, Furniture Floor Protectors, </v>
      </c>
    </row>
    <row r="3321">
      <c r="A3321" s="29">
        <v>8522.0</v>
      </c>
      <c r="B3321" s="29" t="s">
        <v>3234</v>
      </c>
      <c r="C3321" s="29" t="s">
        <v>3497</v>
      </c>
      <c r="D3321" s="29" t="s">
        <v>3501</v>
      </c>
      <c r="E3321" s="62"/>
      <c r="F3321" s="62"/>
      <c r="G3321" s="20" t="str">
        <f t="shared" si="1"/>
        <v>Home &amp; Garden, Household Supplies, Garage Floor Mats, </v>
      </c>
    </row>
    <row r="3322">
      <c r="A3322" s="29">
        <v>2374.0</v>
      </c>
      <c r="B3322" s="29" t="s">
        <v>3234</v>
      </c>
      <c r="C3322" s="29" t="s">
        <v>3497</v>
      </c>
      <c r="D3322" s="29" t="s">
        <v>3502</v>
      </c>
      <c r="E3322" s="62"/>
      <c r="F3322" s="62"/>
      <c r="G3322" s="20" t="str">
        <f t="shared" si="1"/>
        <v>Home &amp; Garden, Household Supplies, Garbage Bags, </v>
      </c>
    </row>
    <row r="3323">
      <c r="A3323" s="29">
        <v>623.0</v>
      </c>
      <c r="B3323" s="29" t="s">
        <v>3234</v>
      </c>
      <c r="C3323" s="29" t="s">
        <v>3497</v>
      </c>
      <c r="D3323" s="29" t="s">
        <v>3503</v>
      </c>
      <c r="F3323" s="62"/>
      <c r="G3323" s="20" t="str">
        <f t="shared" si="1"/>
        <v>Home &amp; Garden, Household Supplies, Household Cleaning Supplies, </v>
      </c>
    </row>
    <row r="3324">
      <c r="A3324" s="29">
        <v>4671.0</v>
      </c>
      <c r="B3324" s="29" t="s">
        <v>3234</v>
      </c>
      <c r="C3324" s="29" t="s">
        <v>3497</v>
      </c>
      <c r="D3324" s="29" t="s">
        <v>3503</v>
      </c>
      <c r="E3324" s="29" t="s">
        <v>3504</v>
      </c>
      <c r="F3324" s="62"/>
      <c r="G3324" s="20" t="str">
        <f t="shared" si="1"/>
        <v>Home &amp; Garden, Household Supplies, Household Cleaning Supplies, Broom &amp; Mop Handles</v>
      </c>
    </row>
    <row r="3325">
      <c r="A3325" s="29">
        <v>499892.0</v>
      </c>
      <c r="B3325" s="29" t="s">
        <v>3234</v>
      </c>
      <c r="C3325" s="29" t="s">
        <v>3497</v>
      </c>
      <c r="D3325" s="29" t="s">
        <v>3503</v>
      </c>
      <c r="E3325" s="29" t="s">
        <v>3505</v>
      </c>
      <c r="F3325" s="62"/>
      <c r="G3325" s="20" t="str">
        <f t="shared" si="1"/>
        <v>Home &amp; Garden, Household Supplies, Household Cleaning Supplies, Broom Heads</v>
      </c>
    </row>
    <row r="3326">
      <c r="A3326" s="29">
        <v>2857.0</v>
      </c>
      <c r="B3326" s="29" t="s">
        <v>3234</v>
      </c>
      <c r="C3326" s="29" t="s">
        <v>3497</v>
      </c>
      <c r="D3326" s="29" t="s">
        <v>3503</v>
      </c>
      <c r="E3326" s="29" t="s">
        <v>3506</v>
      </c>
      <c r="F3326" s="62"/>
      <c r="G3326" s="20" t="str">
        <f t="shared" si="1"/>
        <v>Home &amp; Garden, Household Supplies, Household Cleaning Supplies, Brooms</v>
      </c>
    </row>
    <row r="3327">
      <c r="A3327" s="29">
        <v>6437.0</v>
      </c>
      <c r="B3327" s="29" t="s">
        <v>3234</v>
      </c>
      <c r="C3327" s="29" t="s">
        <v>3497</v>
      </c>
      <c r="D3327" s="29" t="s">
        <v>3503</v>
      </c>
      <c r="E3327" s="29" t="s">
        <v>3507</v>
      </c>
      <c r="F3327" s="62"/>
      <c r="G3327" s="20" t="str">
        <f t="shared" si="1"/>
        <v>Home &amp; Garden, Household Supplies, Household Cleaning Supplies, Buckets</v>
      </c>
    </row>
    <row r="3328">
      <c r="A3328" s="29">
        <v>4677.0</v>
      </c>
      <c r="B3328" s="29" t="s">
        <v>3234</v>
      </c>
      <c r="C3328" s="29" t="s">
        <v>3497</v>
      </c>
      <c r="D3328" s="29" t="s">
        <v>3503</v>
      </c>
      <c r="E3328" s="29" t="s">
        <v>3508</v>
      </c>
      <c r="F3328" s="62"/>
      <c r="G3328" s="20" t="str">
        <f t="shared" si="1"/>
        <v>Home &amp; Garden, Household Supplies, Household Cleaning Supplies, Carpet Sweepers</v>
      </c>
    </row>
    <row r="3329">
      <c r="A3329" s="29">
        <v>5113.0</v>
      </c>
      <c r="B3329" s="29" t="s">
        <v>3234</v>
      </c>
      <c r="C3329" s="29" t="s">
        <v>3497</v>
      </c>
      <c r="D3329" s="29" t="s">
        <v>3503</v>
      </c>
      <c r="E3329" s="29" t="s">
        <v>3509</v>
      </c>
      <c r="F3329" s="62"/>
      <c r="G3329" s="20" t="str">
        <f t="shared" si="1"/>
        <v>Home &amp; Garden, Household Supplies, Household Cleaning Supplies, Cleaning Gloves</v>
      </c>
    </row>
    <row r="3330">
      <c r="A3330" s="29">
        <v>6263.0</v>
      </c>
      <c r="B3330" s="29" t="s">
        <v>3234</v>
      </c>
      <c r="C3330" s="29" t="s">
        <v>3497</v>
      </c>
      <c r="D3330" s="29" t="s">
        <v>3503</v>
      </c>
      <c r="E3330" s="29" t="s">
        <v>3510</v>
      </c>
      <c r="F3330" s="62"/>
      <c r="G3330" s="20" t="str">
        <f t="shared" si="1"/>
        <v>Home &amp; Garden, Household Supplies, Household Cleaning Supplies, Duster Refills</v>
      </c>
    </row>
    <row r="3331">
      <c r="A3331" s="29">
        <v>2250.0</v>
      </c>
      <c r="B3331" s="29" t="s">
        <v>3234</v>
      </c>
      <c r="C3331" s="29" t="s">
        <v>3497</v>
      </c>
      <c r="D3331" s="29" t="s">
        <v>3503</v>
      </c>
      <c r="E3331" s="29" t="s">
        <v>3511</v>
      </c>
      <c r="F3331" s="62"/>
      <c r="G3331" s="20" t="str">
        <f t="shared" si="1"/>
        <v>Home &amp; Garden, Household Supplies, Household Cleaning Supplies, Dusters</v>
      </c>
    </row>
    <row r="3332">
      <c r="A3332" s="29">
        <v>4515.0</v>
      </c>
      <c r="B3332" s="29" t="s">
        <v>3234</v>
      </c>
      <c r="C3332" s="29" t="s">
        <v>3497</v>
      </c>
      <c r="D3332" s="29" t="s">
        <v>3503</v>
      </c>
      <c r="E3332" s="29" t="s">
        <v>3512</v>
      </c>
      <c r="F3332" s="62"/>
      <c r="G3332" s="20" t="str">
        <f t="shared" si="1"/>
        <v>Home &amp; Garden, Household Supplies, Household Cleaning Supplies, Dustpans</v>
      </c>
    </row>
    <row r="3333">
      <c r="A3333" s="29">
        <v>6419.0</v>
      </c>
      <c r="B3333" s="29" t="s">
        <v>3234</v>
      </c>
      <c r="C3333" s="29" t="s">
        <v>3497</v>
      </c>
      <c r="D3333" s="29" t="s">
        <v>3503</v>
      </c>
      <c r="E3333" s="29" t="s">
        <v>3513</v>
      </c>
      <c r="F3333" s="62"/>
      <c r="G3333" s="20" t="str">
        <f t="shared" si="1"/>
        <v>Home &amp; Garden, Household Supplies, Household Cleaning Supplies, Fabric &amp; Upholstery Protectors</v>
      </c>
    </row>
    <row r="3334">
      <c r="A3334" s="29">
        <v>4973.0</v>
      </c>
      <c r="B3334" s="29" t="s">
        <v>3234</v>
      </c>
      <c r="C3334" s="29" t="s">
        <v>3497</v>
      </c>
      <c r="D3334" s="29" t="s">
        <v>3503</v>
      </c>
      <c r="E3334" s="29" t="s">
        <v>3514</v>
      </c>
      <c r="F3334" s="62"/>
      <c r="G3334" s="20" t="str">
        <f t="shared" si="1"/>
        <v>Home &amp; Garden, Household Supplies, Household Cleaning Supplies, Household Cleaning Products</v>
      </c>
    </row>
    <row r="3335">
      <c r="A3335" s="29">
        <v>7330.0</v>
      </c>
      <c r="B3335" s="29" t="s">
        <v>3234</v>
      </c>
      <c r="C3335" s="29" t="s">
        <v>3497</v>
      </c>
      <c r="D3335" s="29" t="s">
        <v>3503</v>
      </c>
      <c r="E3335" s="29" t="s">
        <v>3514</v>
      </c>
      <c r="F3335" s="29" t="s">
        <v>3515</v>
      </c>
      <c r="G3335" s="20" t="str">
        <f t="shared" si="1"/>
        <v>Home &amp; Garden, Household Supplies, Household Cleaning Supplies, Household Cleaning ProductsAll-Purpose Cleaners</v>
      </c>
    </row>
    <row r="3336">
      <c r="A3336" s="29">
        <v>4974.0</v>
      </c>
      <c r="B3336" s="29" t="s">
        <v>3234</v>
      </c>
      <c r="C3336" s="29" t="s">
        <v>3497</v>
      </c>
      <c r="D3336" s="29" t="s">
        <v>3503</v>
      </c>
      <c r="E3336" s="29" t="s">
        <v>3514</v>
      </c>
      <c r="F3336" s="29" t="s">
        <v>3516</v>
      </c>
      <c r="G3336" s="20" t="str">
        <f t="shared" si="1"/>
        <v>Home &amp; Garden, Household Supplies, Household Cleaning Supplies, Household Cleaning ProductsCarpet Cleaners</v>
      </c>
    </row>
    <row r="3337">
      <c r="A3337" s="29">
        <v>500065.0</v>
      </c>
      <c r="B3337" s="29" t="s">
        <v>3234</v>
      </c>
      <c r="C3337" s="29" t="s">
        <v>3497</v>
      </c>
      <c r="D3337" s="29" t="s">
        <v>3503</v>
      </c>
      <c r="E3337" s="29" t="s">
        <v>3514</v>
      </c>
      <c r="F3337" s="29" t="s">
        <v>3517</v>
      </c>
      <c r="G3337" s="20" t="str">
        <f t="shared" si="1"/>
        <v>Home &amp; Garden, Household Supplies, Household Cleaning Supplies, Household Cleaning ProductsDescalers &amp; Decalcifiers</v>
      </c>
    </row>
    <row r="3338">
      <c r="A3338" s="29">
        <v>4975.0</v>
      </c>
      <c r="B3338" s="29" t="s">
        <v>3234</v>
      </c>
      <c r="C3338" s="29" t="s">
        <v>3497</v>
      </c>
      <c r="D3338" s="29" t="s">
        <v>3503</v>
      </c>
      <c r="E3338" s="29" t="s">
        <v>3514</v>
      </c>
      <c r="F3338" s="29" t="s">
        <v>3518</v>
      </c>
      <c r="G3338" s="20" t="str">
        <f t="shared" si="1"/>
        <v>Home &amp; Garden, Household Supplies, Household Cleaning Supplies, Household Cleaning ProductsDish Detergent &amp; Soap</v>
      </c>
    </row>
    <row r="3339">
      <c r="A3339" s="29">
        <v>7510.0</v>
      </c>
      <c r="B3339" s="29" t="s">
        <v>3234</v>
      </c>
      <c r="C3339" s="29" t="s">
        <v>3497</v>
      </c>
      <c r="D3339" s="29" t="s">
        <v>3503</v>
      </c>
      <c r="E3339" s="29" t="s">
        <v>3514</v>
      </c>
      <c r="F3339" s="29" t="s">
        <v>3519</v>
      </c>
      <c r="G3339" s="20" t="str">
        <f t="shared" si="1"/>
        <v>Home &amp; Garden, Household Supplies, Household Cleaning Supplies, Household Cleaning ProductsDishwasher Cleaners</v>
      </c>
    </row>
    <row r="3340">
      <c r="A3340" s="29">
        <v>8043.0</v>
      </c>
      <c r="B3340" s="29" t="s">
        <v>3234</v>
      </c>
      <c r="C3340" s="29" t="s">
        <v>3497</v>
      </c>
      <c r="D3340" s="29" t="s">
        <v>3503</v>
      </c>
      <c r="E3340" s="29" t="s">
        <v>3514</v>
      </c>
      <c r="F3340" s="29" t="s">
        <v>3520</v>
      </c>
      <c r="G3340" s="20" t="str">
        <f t="shared" si="1"/>
        <v>Home &amp; Garden, Household Supplies, Household Cleaning Supplies, Household Cleaning ProductsFabric &amp; Upholstery Cleaners</v>
      </c>
    </row>
    <row r="3341">
      <c r="A3341" s="29">
        <v>4977.0</v>
      </c>
      <c r="B3341" s="29" t="s">
        <v>3234</v>
      </c>
      <c r="C3341" s="29" t="s">
        <v>3497</v>
      </c>
      <c r="D3341" s="29" t="s">
        <v>3503</v>
      </c>
      <c r="E3341" s="29" t="s">
        <v>3514</v>
      </c>
      <c r="F3341" s="29" t="s">
        <v>3521</v>
      </c>
      <c r="G3341" s="20" t="str">
        <f t="shared" si="1"/>
        <v>Home &amp; Garden, Household Supplies, Household Cleaning Supplies, Household Cleaning ProductsFloor Cleaners</v>
      </c>
    </row>
    <row r="3342">
      <c r="A3342" s="29">
        <v>5825.0</v>
      </c>
      <c r="B3342" s="29" t="s">
        <v>3234</v>
      </c>
      <c r="C3342" s="29" t="s">
        <v>3497</v>
      </c>
      <c r="D3342" s="29" t="s">
        <v>3503</v>
      </c>
      <c r="E3342" s="29" t="s">
        <v>3514</v>
      </c>
      <c r="F3342" s="29" t="s">
        <v>3522</v>
      </c>
      <c r="G3342" s="20" t="str">
        <f t="shared" si="1"/>
        <v>Home &amp; Garden, Household Supplies, Household Cleaning Supplies, Household Cleaning ProductsFurniture Cleaners &amp; Polish</v>
      </c>
    </row>
    <row r="3343">
      <c r="A3343" s="29">
        <v>4976.0</v>
      </c>
      <c r="B3343" s="29" t="s">
        <v>3234</v>
      </c>
      <c r="C3343" s="29" t="s">
        <v>3497</v>
      </c>
      <c r="D3343" s="29" t="s">
        <v>3503</v>
      </c>
      <c r="E3343" s="29" t="s">
        <v>3514</v>
      </c>
      <c r="F3343" s="29" t="s">
        <v>3523</v>
      </c>
      <c r="G3343" s="20" t="str">
        <f t="shared" si="1"/>
        <v>Home &amp; Garden, Household Supplies, Household Cleaning Supplies, Household Cleaning ProductsGlass &amp; Surface Cleaners</v>
      </c>
    </row>
    <row r="3344">
      <c r="A3344" s="29">
        <v>543649.0</v>
      </c>
      <c r="B3344" s="29" t="s">
        <v>3234</v>
      </c>
      <c r="C3344" s="29" t="s">
        <v>3497</v>
      </c>
      <c r="D3344" s="29" t="s">
        <v>3503</v>
      </c>
      <c r="E3344" s="29" t="s">
        <v>3514</v>
      </c>
      <c r="F3344" s="29" t="s">
        <v>3523</v>
      </c>
      <c r="G3344" s="20" t="str">
        <f t="shared" si="1"/>
        <v>Home &amp; Garden, Household Supplies, Household Cleaning Supplies, Household Cleaning ProductsGlass &amp; Surface Cleaners</v>
      </c>
    </row>
    <row r="3345">
      <c r="A3345" s="29">
        <v>543650.0</v>
      </c>
      <c r="B3345" s="29" t="s">
        <v>3234</v>
      </c>
      <c r="C3345" s="29" t="s">
        <v>3497</v>
      </c>
      <c r="D3345" s="29" t="s">
        <v>3503</v>
      </c>
      <c r="E3345" s="29" t="s">
        <v>3514</v>
      </c>
      <c r="F3345" s="29" t="s">
        <v>3523</v>
      </c>
      <c r="G3345" s="20" t="str">
        <f t="shared" si="1"/>
        <v>Home &amp; Garden, Household Supplies, Household Cleaning Supplies, Household Cleaning ProductsGlass &amp; Surface Cleaners</v>
      </c>
    </row>
    <row r="3346">
      <c r="A3346" s="29">
        <v>6474.0</v>
      </c>
      <c r="B3346" s="29" t="s">
        <v>3234</v>
      </c>
      <c r="C3346" s="29" t="s">
        <v>3497</v>
      </c>
      <c r="D3346" s="29" t="s">
        <v>3503</v>
      </c>
      <c r="E3346" s="29" t="s">
        <v>3514</v>
      </c>
      <c r="F3346" s="29" t="s">
        <v>3524</v>
      </c>
      <c r="G3346" s="20" t="str">
        <f t="shared" si="1"/>
        <v>Home &amp; Garden, Household Supplies, Household Cleaning Supplies, Household Cleaning ProductsHousehold Disinfectants</v>
      </c>
    </row>
    <row r="3347">
      <c r="A3347" s="29">
        <v>4978.0</v>
      </c>
      <c r="B3347" s="29" t="s">
        <v>3234</v>
      </c>
      <c r="C3347" s="29" t="s">
        <v>3497</v>
      </c>
      <c r="D3347" s="29" t="s">
        <v>3503</v>
      </c>
      <c r="E3347" s="29" t="s">
        <v>3514</v>
      </c>
      <c r="F3347" s="29" t="s">
        <v>3525</v>
      </c>
      <c r="G3347" s="20" t="str">
        <f t="shared" si="1"/>
        <v>Home &amp; Garden, Household Supplies, Household Cleaning Supplies, Household Cleaning ProductsOven &amp; Grill Cleaners</v>
      </c>
    </row>
    <row r="3348">
      <c r="A3348" s="29">
        <v>4979.0</v>
      </c>
      <c r="B3348" s="29" t="s">
        <v>3234</v>
      </c>
      <c r="C3348" s="29" t="s">
        <v>3497</v>
      </c>
      <c r="D3348" s="29" t="s">
        <v>3503</v>
      </c>
      <c r="E3348" s="29" t="s">
        <v>3514</v>
      </c>
      <c r="F3348" s="29" t="s">
        <v>3526</v>
      </c>
      <c r="G3348" s="20" t="str">
        <f t="shared" si="1"/>
        <v>Home &amp; Garden, Household Supplies, Household Cleaning Supplies, Household Cleaning ProductsPet Odor &amp; Stain Removers</v>
      </c>
    </row>
    <row r="3349">
      <c r="A3349" s="29">
        <v>7552.0</v>
      </c>
      <c r="B3349" s="29" t="s">
        <v>3234</v>
      </c>
      <c r="C3349" s="29" t="s">
        <v>3497</v>
      </c>
      <c r="D3349" s="29" t="s">
        <v>3503</v>
      </c>
      <c r="E3349" s="29" t="s">
        <v>3514</v>
      </c>
      <c r="F3349" s="29" t="s">
        <v>3527</v>
      </c>
      <c r="G3349" s="20" t="str">
        <f t="shared" si="1"/>
        <v>Home &amp; Garden, Household Supplies, Household Cleaning Supplies, Household Cleaning ProductsRinse Aids</v>
      </c>
    </row>
    <row r="3350">
      <c r="A3350" s="29">
        <v>7426.0</v>
      </c>
      <c r="B3350" s="29" t="s">
        <v>3234</v>
      </c>
      <c r="C3350" s="29" t="s">
        <v>3497</v>
      </c>
      <c r="D3350" s="29" t="s">
        <v>3503</v>
      </c>
      <c r="E3350" s="29" t="s">
        <v>3514</v>
      </c>
      <c r="F3350" s="29" t="s">
        <v>3528</v>
      </c>
      <c r="G3350" s="20" t="str">
        <f t="shared" si="1"/>
        <v>Home &amp; Garden, Household Supplies, Household Cleaning Supplies, Household Cleaning ProductsStainless Steel Cleaners &amp; Polishes</v>
      </c>
    </row>
    <row r="3351">
      <c r="A3351" s="29">
        <v>4980.0</v>
      </c>
      <c r="B3351" s="29" t="s">
        <v>3234</v>
      </c>
      <c r="C3351" s="29" t="s">
        <v>3497</v>
      </c>
      <c r="D3351" s="29" t="s">
        <v>3503</v>
      </c>
      <c r="E3351" s="29" t="s">
        <v>3514</v>
      </c>
      <c r="F3351" s="29" t="s">
        <v>3529</v>
      </c>
      <c r="G3351" s="20" t="str">
        <f t="shared" si="1"/>
        <v>Home &amp; Garden, Household Supplies, Household Cleaning Supplies, Household Cleaning ProductsToilet Bowl Cleaners</v>
      </c>
    </row>
    <row r="3352">
      <c r="A3352" s="29">
        <v>4981.0</v>
      </c>
      <c r="B3352" s="29" t="s">
        <v>3234</v>
      </c>
      <c r="C3352" s="29" t="s">
        <v>3497</v>
      </c>
      <c r="D3352" s="29" t="s">
        <v>3503</v>
      </c>
      <c r="E3352" s="29" t="s">
        <v>3514</v>
      </c>
      <c r="F3352" s="29" t="s">
        <v>3530</v>
      </c>
      <c r="G3352" s="20" t="str">
        <f t="shared" si="1"/>
        <v>Home &amp; Garden, Household Supplies, Household Cleaning Supplies, Household Cleaning ProductsTub &amp; Tile Cleaners</v>
      </c>
    </row>
    <row r="3353">
      <c r="A3353" s="29">
        <v>7462.0</v>
      </c>
      <c r="B3353" s="29" t="s">
        <v>3234</v>
      </c>
      <c r="C3353" s="29" t="s">
        <v>3497</v>
      </c>
      <c r="D3353" s="29" t="s">
        <v>3503</v>
      </c>
      <c r="E3353" s="29" t="s">
        <v>3514</v>
      </c>
      <c r="F3353" s="29" t="s">
        <v>3531</v>
      </c>
      <c r="G3353" s="20" t="str">
        <f t="shared" si="1"/>
        <v>Home &amp; Garden, Household Supplies, Household Cleaning Supplies, Household Cleaning ProductsWashing Machine Cleaners</v>
      </c>
    </row>
    <row r="3354">
      <c r="A3354" s="29">
        <v>6264.0</v>
      </c>
      <c r="B3354" s="29" t="s">
        <v>3234</v>
      </c>
      <c r="C3354" s="29" t="s">
        <v>3497</v>
      </c>
      <c r="D3354" s="29" t="s">
        <v>3503</v>
      </c>
      <c r="E3354" s="29" t="s">
        <v>3532</v>
      </c>
      <c r="F3354" s="62"/>
      <c r="G3354" s="20" t="str">
        <f t="shared" si="1"/>
        <v>Home &amp; Garden, Household Supplies, Household Cleaning Supplies, Mop Heads &amp; Refills</v>
      </c>
    </row>
    <row r="3355">
      <c r="A3355" s="29">
        <v>2713.0</v>
      </c>
      <c r="B3355" s="29" t="s">
        <v>3234</v>
      </c>
      <c r="C3355" s="29" t="s">
        <v>3497</v>
      </c>
      <c r="D3355" s="29" t="s">
        <v>3503</v>
      </c>
      <c r="E3355" s="29" t="s">
        <v>3533</v>
      </c>
      <c r="F3355" s="62"/>
      <c r="G3355" s="20" t="str">
        <f t="shared" si="1"/>
        <v>Home &amp; Garden, Household Supplies, Household Cleaning Supplies, Mops</v>
      </c>
    </row>
    <row r="3356">
      <c r="A3356" s="29">
        <v>499767.0</v>
      </c>
      <c r="B3356" s="29" t="s">
        <v>3234</v>
      </c>
      <c r="C3356" s="29" t="s">
        <v>3497</v>
      </c>
      <c r="D3356" s="29" t="s">
        <v>3503</v>
      </c>
      <c r="E3356" s="29" t="s">
        <v>3534</v>
      </c>
      <c r="F3356" s="62"/>
      <c r="G3356" s="20" t="str">
        <f t="shared" si="1"/>
        <v>Home &amp; Garden, Household Supplies, Household Cleaning Supplies, Scrub Brush Heads &amp; Refills</v>
      </c>
    </row>
    <row r="3357">
      <c r="A3357" s="29">
        <v>4670.0</v>
      </c>
      <c r="B3357" s="29" t="s">
        <v>3234</v>
      </c>
      <c r="C3357" s="29" t="s">
        <v>3497</v>
      </c>
      <c r="D3357" s="29" t="s">
        <v>3503</v>
      </c>
      <c r="E3357" s="29" t="s">
        <v>3535</v>
      </c>
      <c r="F3357" s="62"/>
      <c r="G3357" s="20" t="str">
        <f t="shared" si="1"/>
        <v>Home &amp; Garden, Household Supplies, Household Cleaning Supplies, Scrub Brushes</v>
      </c>
    </row>
    <row r="3358">
      <c r="A3358" s="29">
        <v>8071.0</v>
      </c>
      <c r="B3358" s="29" t="s">
        <v>3234</v>
      </c>
      <c r="C3358" s="29" t="s">
        <v>3497</v>
      </c>
      <c r="D3358" s="29" t="s">
        <v>3503</v>
      </c>
      <c r="E3358" s="29" t="s">
        <v>3536</v>
      </c>
      <c r="G3358" s="20" t="str">
        <f t="shared" si="1"/>
        <v>Home &amp; Garden, Household Supplies, Household Cleaning Supplies, Shop Towels &amp; General-Purpose Cleaning Cloths</v>
      </c>
    </row>
    <row r="3359">
      <c r="A3359" s="29">
        <v>2796.0</v>
      </c>
      <c r="B3359" s="29" t="s">
        <v>3234</v>
      </c>
      <c r="C3359" s="29" t="s">
        <v>3497</v>
      </c>
      <c r="D3359" s="29" t="s">
        <v>3503</v>
      </c>
      <c r="E3359" s="29" t="s">
        <v>3537</v>
      </c>
      <c r="F3359" s="62"/>
      <c r="G3359" s="20" t="str">
        <f t="shared" si="1"/>
        <v>Home &amp; Garden, Household Supplies, Household Cleaning Supplies, Sponges &amp; Scouring Pads</v>
      </c>
    </row>
    <row r="3360">
      <c r="A3360" s="29">
        <v>2610.0</v>
      </c>
      <c r="B3360" s="29" t="s">
        <v>3234</v>
      </c>
      <c r="C3360" s="29" t="s">
        <v>3497</v>
      </c>
      <c r="D3360" s="29" t="s">
        <v>3503</v>
      </c>
      <c r="E3360" s="29" t="s">
        <v>3538</v>
      </c>
      <c r="F3360" s="62"/>
      <c r="G3360" s="20" t="str">
        <f t="shared" si="1"/>
        <v>Home &amp; Garden, Household Supplies, Household Cleaning Supplies, Squeegees</v>
      </c>
    </row>
    <row r="3361">
      <c r="A3361" s="29">
        <v>2530.0</v>
      </c>
      <c r="B3361" s="29" t="s">
        <v>3234</v>
      </c>
      <c r="C3361" s="29" t="s">
        <v>3497</v>
      </c>
      <c r="D3361" s="29" t="s">
        <v>3539</v>
      </c>
      <c r="F3361" s="62"/>
      <c r="G3361" s="20" t="str">
        <f t="shared" si="1"/>
        <v>Home &amp; Garden, Household Supplies, Household Paper Products, </v>
      </c>
    </row>
    <row r="3362">
      <c r="A3362" s="29">
        <v>624.0</v>
      </c>
      <c r="B3362" s="29" t="s">
        <v>3234</v>
      </c>
      <c r="C3362" s="29" t="s">
        <v>3497</v>
      </c>
      <c r="D3362" s="29" t="s">
        <v>3539</v>
      </c>
      <c r="E3362" s="29" t="s">
        <v>3540</v>
      </c>
      <c r="F3362" s="62"/>
      <c r="G3362" s="20" t="str">
        <f t="shared" si="1"/>
        <v>Home &amp; Garden, Household Supplies, Household Paper Products, Facial Tissues</v>
      </c>
    </row>
    <row r="3363">
      <c r="A3363" s="29">
        <v>3846.0</v>
      </c>
      <c r="B3363" s="29" t="s">
        <v>3234</v>
      </c>
      <c r="C3363" s="29" t="s">
        <v>3497</v>
      </c>
      <c r="D3363" s="29" t="s">
        <v>3539</v>
      </c>
      <c r="E3363" s="29" t="s">
        <v>3541</v>
      </c>
      <c r="F3363" s="62"/>
      <c r="G3363" s="20" t="str">
        <f t="shared" si="1"/>
        <v>Home &amp; Garden, Household Supplies, Household Paper Products, Paper Napkins</v>
      </c>
    </row>
    <row r="3364">
      <c r="A3364" s="29">
        <v>2742.0</v>
      </c>
      <c r="B3364" s="29" t="s">
        <v>3234</v>
      </c>
      <c r="C3364" s="29" t="s">
        <v>3497</v>
      </c>
      <c r="D3364" s="29" t="s">
        <v>3539</v>
      </c>
      <c r="E3364" s="29" t="s">
        <v>3542</v>
      </c>
      <c r="F3364" s="62"/>
      <c r="G3364" s="20" t="str">
        <f t="shared" si="1"/>
        <v>Home &amp; Garden, Household Supplies, Household Paper Products, Paper Towels</v>
      </c>
    </row>
    <row r="3365">
      <c r="A3365" s="29">
        <v>629.0</v>
      </c>
      <c r="B3365" s="29" t="s">
        <v>3234</v>
      </c>
      <c r="C3365" s="29" t="s">
        <v>3497</v>
      </c>
      <c r="D3365" s="29" t="s">
        <v>3539</v>
      </c>
      <c r="E3365" s="29" t="s">
        <v>3543</v>
      </c>
      <c r="F3365" s="62"/>
      <c r="G3365" s="20" t="str">
        <f t="shared" si="1"/>
        <v>Home &amp; Garden, Household Supplies, Household Paper Products, Toilet Paper</v>
      </c>
    </row>
    <row r="3366">
      <c r="A3366" s="29">
        <v>3355.0</v>
      </c>
      <c r="B3366" s="29" t="s">
        <v>3234</v>
      </c>
      <c r="C3366" s="29" t="s">
        <v>3497</v>
      </c>
      <c r="D3366" s="29" t="s">
        <v>3544</v>
      </c>
      <c r="F3366" s="62"/>
      <c r="G3366" s="20" t="str">
        <f t="shared" si="1"/>
        <v>Home &amp; Garden, Household Supplies, Household Thermometers, </v>
      </c>
    </row>
    <row r="3367">
      <c r="A3367" s="29">
        <v>627.0</v>
      </c>
      <c r="B3367" s="29" t="s">
        <v>3234</v>
      </c>
      <c r="C3367" s="29" t="s">
        <v>3497</v>
      </c>
      <c r="D3367" s="29" t="s">
        <v>3545</v>
      </c>
      <c r="E3367" s="62"/>
      <c r="F3367" s="62"/>
      <c r="G3367" s="20" t="str">
        <f t="shared" si="1"/>
        <v>Home &amp; Garden, Household Supplies, Laundry Supplies, </v>
      </c>
    </row>
    <row r="3368">
      <c r="A3368" s="29">
        <v>4982.0</v>
      </c>
      <c r="B3368" s="29" t="s">
        <v>3234</v>
      </c>
      <c r="C3368" s="29" t="s">
        <v>3497</v>
      </c>
      <c r="D3368" s="29" t="s">
        <v>3545</v>
      </c>
      <c r="E3368" s="29" t="s">
        <v>3546</v>
      </c>
      <c r="F3368" s="62"/>
      <c r="G3368" s="20" t="str">
        <f t="shared" si="1"/>
        <v>Home &amp; Garden, Household Supplies, Laundry Supplies, Bleach</v>
      </c>
    </row>
    <row r="3369">
      <c r="A3369" s="29">
        <v>5704.0</v>
      </c>
      <c r="B3369" s="29" t="s">
        <v>3234</v>
      </c>
      <c r="C3369" s="29" t="s">
        <v>3497</v>
      </c>
      <c r="D3369" s="29" t="s">
        <v>3545</v>
      </c>
      <c r="E3369" s="29" t="s">
        <v>3547</v>
      </c>
      <c r="F3369" s="62"/>
      <c r="G3369" s="20" t="str">
        <f t="shared" si="1"/>
        <v>Home &amp; Garden, Household Supplies, Laundry Supplies, Clothespins</v>
      </c>
    </row>
    <row r="3370">
      <c r="A3370" s="29">
        <v>7320.0</v>
      </c>
      <c r="B3370" s="29" t="s">
        <v>3234</v>
      </c>
      <c r="C3370" s="29" t="s">
        <v>3497</v>
      </c>
      <c r="D3370" s="29" t="s">
        <v>3545</v>
      </c>
      <c r="E3370" s="29" t="s">
        <v>3548</v>
      </c>
      <c r="F3370" s="62"/>
      <c r="G3370" s="20" t="str">
        <f t="shared" si="1"/>
        <v>Home &amp; Garden, Household Supplies, Laundry Supplies, Dry Cleaning Kits</v>
      </c>
    </row>
    <row r="3371">
      <c r="A3371" s="29">
        <v>2677.0</v>
      </c>
      <c r="B3371" s="29" t="s">
        <v>3234</v>
      </c>
      <c r="C3371" s="29" t="s">
        <v>3497</v>
      </c>
      <c r="D3371" s="29" t="s">
        <v>3545</v>
      </c>
      <c r="E3371" s="29" t="s">
        <v>3549</v>
      </c>
      <c r="F3371" s="62"/>
      <c r="G3371" s="20" t="str">
        <f t="shared" si="1"/>
        <v>Home &amp; Garden, Household Supplies, Laundry Supplies, Drying Racks &amp; Hangers</v>
      </c>
    </row>
    <row r="3372">
      <c r="A3372" s="29">
        <v>6240.0</v>
      </c>
      <c r="B3372" s="29" t="s">
        <v>3234</v>
      </c>
      <c r="C3372" s="29" t="s">
        <v>3497</v>
      </c>
      <c r="D3372" s="29" t="s">
        <v>3545</v>
      </c>
      <c r="E3372" s="29" t="s">
        <v>3550</v>
      </c>
      <c r="F3372" s="62"/>
      <c r="G3372" s="20" t="str">
        <f t="shared" si="1"/>
        <v>Home &amp; Garden, Household Supplies, Laundry Supplies, Fabric Refreshers</v>
      </c>
    </row>
    <row r="3373">
      <c r="A3373" s="29">
        <v>5705.0</v>
      </c>
      <c r="B3373" s="29" t="s">
        <v>3234</v>
      </c>
      <c r="C3373" s="29" t="s">
        <v>3497</v>
      </c>
      <c r="D3373" s="29" t="s">
        <v>3545</v>
      </c>
      <c r="E3373" s="29" t="s">
        <v>3551</v>
      </c>
      <c r="F3373" s="62"/>
      <c r="G3373" s="20" t="str">
        <f t="shared" si="1"/>
        <v>Home &amp; Garden, Household Supplies, Laundry Supplies, Fabric Shavers</v>
      </c>
    </row>
    <row r="3374">
      <c r="A3374" s="29">
        <v>2794.0</v>
      </c>
      <c r="B3374" s="29" t="s">
        <v>3234</v>
      </c>
      <c r="C3374" s="29" t="s">
        <v>3497</v>
      </c>
      <c r="D3374" s="29" t="s">
        <v>3545</v>
      </c>
      <c r="E3374" s="29" t="s">
        <v>3552</v>
      </c>
      <c r="F3374" s="62"/>
      <c r="G3374" s="20" t="str">
        <f t="shared" si="1"/>
        <v>Home &amp; Garden, Household Supplies, Laundry Supplies, Fabric Softeners &amp; Dryer Sheets</v>
      </c>
    </row>
    <row r="3375">
      <c r="A3375" s="29">
        <v>4657.0</v>
      </c>
      <c r="B3375" s="29" t="s">
        <v>3234</v>
      </c>
      <c r="C3375" s="29" t="s">
        <v>3497</v>
      </c>
      <c r="D3375" s="29" t="s">
        <v>3545</v>
      </c>
      <c r="E3375" s="29" t="s">
        <v>3553</v>
      </c>
      <c r="F3375" s="62"/>
      <c r="G3375" s="20" t="str">
        <f t="shared" si="1"/>
        <v>Home &amp; Garden, Household Supplies, Laundry Supplies, Fabric Stain Removers</v>
      </c>
    </row>
    <row r="3376">
      <c r="A3376" s="29">
        <v>6387.0</v>
      </c>
      <c r="B3376" s="29" t="s">
        <v>3234</v>
      </c>
      <c r="C3376" s="29" t="s">
        <v>3497</v>
      </c>
      <c r="D3376" s="29" t="s">
        <v>3545</v>
      </c>
      <c r="E3376" s="29" t="s">
        <v>3554</v>
      </c>
      <c r="F3376" s="62"/>
      <c r="G3376" s="20" t="str">
        <f t="shared" si="1"/>
        <v>Home &amp; Garden, Household Supplies, Laundry Supplies, Fabric Starch</v>
      </c>
    </row>
    <row r="3377">
      <c r="A3377" s="29">
        <v>7457.0</v>
      </c>
      <c r="B3377" s="29" t="s">
        <v>3234</v>
      </c>
      <c r="C3377" s="29" t="s">
        <v>3497</v>
      </c>
      <c r="D3377" s="29" t="s">
        <v>3545</v>
      </c>
      <c r="E3377" s="29" t="s">
        <v>3555</v>
      </c>
      <c r="F3377" s="62"/>
      <c r="G3377" s="20" t="str">
        <f t="shared" si="1"/>
        <v>Home &amp; Garden, Household Supplies, Laundry Supplies, Garment Shields</v>
      </c>
    </row>
    <row r="3378">
      <c r="A3378" s="29">
        <v>499937.0</v>
      </c>
      <c r="B3378" s="29" t="s">
        <v>3234</v>
      </c>
      <c r="C3378" s="29" t="s">
        <v>3497</v>
      </c>
      <c r="D3378" s="29" t="s">
        <v>3545</v>
      </c>
      <c r="E3378" s="29" t="s">
        <v>3556</v>
      </c>
      <c r="F3378" s="62"/>
      <c r="G3378" s="20" t="str">
        <f t="shared" si="1"/>
        <v>Home &amp; Garden, Household Supplies, Laundry Supplies, Iron Rests</v>
      </c>
    </row>
    <row r="3379">
      <c r="A3379" s="29">
        <v>4656.0</v>
      </c>
      <c r="B3379" s="29" t="s">
        <v>3234</v>
      </c>
      <c r="C3379" s="29" t="s">
        <v>3497</v>
      </c>
      <c r="D3379" s="29" t="s">
        <v>3545</v>
      </c>
      <c r="E3379" s="29" t="s">
        <v>3557</v>
      </c>
      <c r="F3379" s="62"/>
      <c r="G3379" s="20" t="str">
        <f t="shared" si="1"/>
        <v>Home &amp; Garden, Household Supplies, Laundry Supplies, Ironing Board Pads &amp; Covers</v>
      </c>
    </row>
    <row r="3380">
      <c r="A3380" s="29">
        <v>499931.0</v>
      </c>
      <c r="B3380" s="29" t="s">
        <v>3234</v>
      </c>
      <c r="C3380" s="29" t="s">
        <v>3497</v>
      </c>
      <c r="D3380" s="29" t="s">
        <v>3545</v>
      </c>
      <c r="E3380" s="29" t="s">
        <v>3558</v>
      </c>
      <c r="F3380" s="62"/>
      <c r="G3380" s="20" t="str">
        <f t="shared" si="1"/>
        <v>Home &amp; Garden, Household Supplies, Laundry Supplies, Ironing Board Replacement Parts</v>
      </c>
    </row>
    <row r="3381">
      <c r="A3381" s="29">
        <v>633.0</v>
      </c>
      <c r="B3381" s="29" t="s">
        <v>3234</v>
      </c>
      <c r="C3381" s="29" t="s">
        <v>3497</v>
      </c>
      <c r="D3381" s="29" t="s">
        <v>3545</v>
      </c>
      <c r="E3381" s="29" t="s">
        <v>3559</v>
      </c>
      <c r="F3381" s="62"/>
      <c r="G3381" s="20" t="str">
        <f t="shared" si="1"/>
        <v>Home &amp; Garden, Household Supplies, Laundry Supplies, Ironing Boards</v>
      </c>
    </row>
    <row r="3382">
      <c r="A3382" s="29">
        <v>5084.0</v>
      </c>
      <c r="B3382" s="29" t="s">
        <v>3234</v>
      </c>
      <c r="C3382" s="29" t="s">
        <v>3497</v>
      </c>
      <c r="D3382" s="29" t="s">
        <v>3545</v>
      </c>
      <c r="E3382" s="29" t="s">
        <v>3560</v>
      </c>
      <c r="F3382" s="62"/>
      <c r="G3382" s="20" t="str">
        <f t="shared" si="1"/>
        <v>Home &amp; Garden, Household Supplies, Laundry Supplies, Laundry Balls</v>
      </c>
    </row>
    <row r="3383">
      <c r="A3383" s="29">
        <v>634.0</v>
      </c>
      <c r="B3383" s="29" t="s">
        <v>3234</v>
      </c>
      <c r="C3383" s="29" t="s">
        <v>3497</v>
      </c>
      <c r="D3383" s="29" t="s">
        <v>3545</v>
      </c>
      <c r="E3383" s="29" t="s">
        <v>3561</v>
      </c>
      <c r="F3383" s="62"/>
      <c r="G3383" s="20" t="str">
        <f t="shared" si="1"/>
        <v>Home &amp; Garden, Household Supplies, Laundry Supplies, Laundry Baskets</v>
      </c>
    </row>
    <row r="3384">
      <c r="A3384" s="29">
        <v>2754.0</v>
      </c>
      <c r="B3384" s="29" t="s">
        <v>3234</v>
      </c>
      <c r="C3384" s="29" t="s">
        <v>3497</v>
      </c>
      <c r="D3384" s="29" t="s">
        <v>3545</v>
      </c>
      <c r="E3384" s="29" t="s">
        <v>3562</v>
      </c>
      <c r="F3384" s="62"/>
      <c r="G3384" s="20" t="str">
        <f t="shared" si="1"/>
        <v>Home &amp; Garden, Household Supplies, Laundry Supplies, Laundry Detergent</v>
      </c>
    </row>
    <row r="3385">
      <c r="A3385" s="29">
        <v>5085.0</v>
      </c>
      <c r="B3385" s="29" t="s">
        <v>3234</v>
      </c>
      <c r="C3385" s="29" t="s">
        <v>3497</v>
      </c>
      <c r="D3385" s="29" t="s">
        <v>3545</v>
      </c>
      <c r="E3385" s="29" t="s">
        <v>3563</v>
      </c>
      <c r="F3385" s="62"/>
      <c r="G3385" s="20" t="str">
        <f t="shared" si="1"/>
        <v>Home &amp; Garden, Household Supplies, Laundry Supplies, Laundry Wash Bags &amp; Frames</v>
      </c>
    </row>
    <row r="3386">
      <c r="A3386" s="29">
        <v>3080.0</v>
      </c>
      <c r="B3386" s="29" t="s">
        <v>3234</v>
      </c>
      <c r="C3386" s="29" t="s">
        <v>3497</v>
      </c>
      <c r="D3386" s="29" t="s">
        <v>3545</v>
      </c>
      <c r="E3386" s="29" t="s">
        <v>3564</v>
      </c>
      <c r="F3386" s="62"/>
      <c r="G3386" s="20" t="str">
        <f t="shared" si="1"/>
        <v>Home &amp; Garden, Household Supplies, Laundry Supplies, Lint Rollers</v>
      </c>
    </row>
    <row r="3387">
      <c r="A3387" s="29">
        <v>7502.0</v>
      </c>
      <c r="B3387" s="29" t="s">
        <v>3234</v>
      </c>
      <c r="C3387" s="29" t="s">
        <v>3497</v>
      </c>
      <c r="D3387" s="29" t="s">
        <v>3545</v>
      </c>
      <c r="E3387" s="29" t="s">
        <v>3565</v>
      </c>
      <c r="G3387" s="20" t="str">
        <f t="shared" si="1"/>
        <v>Home &amp; Garden, Household Supplies, Laundry Supplies, Wrinkle Releasers &amp; Anti-Static Sprays</v>
      </c>
    </row>
    <row r="3388">
      <c r="A3388" s="29">
        <v>7406.0</v>
      </c>
      <c r="B3388" s="29" t="s">
        <v>3234</v>
      </c>
      <c r="C3388" s="29" t="s">
        <v>3497</v>
      </c>
      <c r="D3388" s="29" t="s">
        <v>3566</v>
      </c>
      <c r="E3388" s="62"/>
      <c r="F3388" s="62"/>
      <c r="G3388" s="20" t="str">
        <f t="shared" si="1"/>
        <v>Home &amp; Garden, Household Supplies, Moisture Absorbers, </v>
      </c>
    </row>
    <row r="3389">
      <c r="A3389" s="29">
        <v>728.0</v>
      </c>
      <c r="B3389" s="29" t="s">
        <v>3234</v>
      </c>
      <c r="C3389" s="29" t="s">
        <v>3497</v>
      </c>
      <c r="D3389" s="29" t="s">
        <v>3567</v>
      </c>
      <c r="E3389" s="62"/>
      <c r="F3389" s="62"/>
      <c r="G3389" s="20" t="str">
        <f t="shared" si="1"/>
        <v>Home &amp; Garden, Household Supplies, Pest Control, </v>
      </c>
    </row>
    <row r="3390">
      <c r="A3390" s="29">
        <v>4220.0</v>
      </c>
      <c r="B3390" s="29" t="s">
        <v>3234</v>
      </c>
      <c r="C3390" s="29" t="s">
        <v>3497</v>
      </c>
      <c r="D3390" s="29" t="s">
        <v>3567</v>
      </c>
      <c r="E3390" s="29" t="s">
        <v>3568</v>
      </c>
      <c r="F3390" s="62"/>
      <c r="G3390" s="20" t="str">
        <f t="shared" si="1"/>
        <v>Home &amp; Garden, Household Supplies, Pest Control, Fly Swatters</v>
      </c>
    </row>
    <row r="3391">
      <c r="A3391" s="29">
        <v>2631.0</v>
      </c>
      <c r="B3391" s="29" t="s">
        <v>3234</v>
      </c>
      <c r="C3391" s="29" t="s">
        <v>3497</v>
      </c>
      <c r="D3391" s="29" t="s">
        <v>3567</v>
      </c>
      <c r="E3391" s="29" t="s">
        <v>3569</v>
      </c>
      <c r="F3391" s="62"/>
      <c r="G3391" s="20" t="str">
        <f t="shared" si="1"/>
        <v>Home &amp; Garden, Household Supplies, Pest Control, Pest Control Traps</v>
      </c>
    </row>
    <row r="3392">
      <c r="A3392" s="29">
        <v>2869.0</v>
      </c>
      <c r="B3392" s="29" t="s">
        <v>3234</v>
      </c>
      <c r="C3392" s="29" t="s">
        <v>3497</v>
      </c>
      <c r="D3392" s="29" t="s">
        <v>3567</v>
      </c>
      <c r="E3392" s="29" t="s">
        <v>3570</v>
      </c>
      <c r="F3392" s="62"/>
      <c r="G3392" s="20" t="str">
        <f t="shared" si="1"/>
        <v>Home &amp; Garden, Household Supplies, Pest Control, Pesticides</v>
      </c>
    </row>
    <row r="3393">
      <c r="A3393" s="29">
        <v>2865.0</v>
      </c>
      <c r="B3393" s="29" t="s">
        <v>3234</v>
      </c>
      <c r="C3393" s="29" t="s">
        <v>3497</v>
      </c>
      <c r="D3393" s="29" t="s">
        <v>3567</v>
      </c>
      <c r="E3393" s="29" t="s">
        <v>3571</v>
      </c>
      <c r="F3393" s="62"/>
      <c r="G3393" s="20" t="str">
        <f t="shared" si="1"/>
        <v>Home &amp; Garden, Household Supplies, Pest Control, Repellents</v>
      </c>
    </row>
    <row r="3394">
      <c r="A3394" s="29">
        <v>7137.0</v>
      </c>
      <c r="B3394" s="29" t="s">
        <v>3234</v>
      </c>
      <c r="C3394" s="29" t="s">
        <v>3497</v>
      </c>
      <c r="D3394" s="29" t="s">
        <v>3567</v>
      </c>
      <c r="E3394" s="29" t="s">
        <v>3571</v>
      </c>
      <c r="F3394" s="29" t="s">
        <v>3572</v>
      </c>
      <c r="G3394" s="20" t="str">
        <f t="shared" si="1"/>
        <v>Home &amp; Garden, Household Supplies, Pest Control, RepellentsAnimal &amp; Pet Repellents</v>
      </c>
    </row>
    <row r="3395">
      <c r="A3395" s="29">
        <v>512.0</v>
      </c>
      <c r="B3395" s="29" t="s">
        <v>3234</v>
      </c>
      <c r="C3395" s="29" t="s">
        <v>3497</v>
      </c>
      <c r="D3395" s="29" t="s">
        <v>3567</v>
      </c>
      <c r="E3395" s="29" t="s">
        <v>3571</v>
      </c>
      <c r="F3395" s="29" t="s">
        <v>3573</v>
      </c>
      <c r="G3395" s="20" t="str">
        <f t="shared" si="1"/>
        <v>Home &amp; Garden, Household Supplies, Pest Control, RepellentsHousehold Insect Repellents</v>
      </c>
    </row>
    <row r="3396">
      <c r="A3396" s="29">
        <v>3307.0</v>
      </c>
      <c r="B3396" s="29" t="s">
        <v>3234</v>
      </c>
      <c r="C3396" s="29" t="s">
        <v>3497</v>
      </c>
      <c r="D3396" s="29" t="s">
        <v>3574</v>
      </c>
      <c r="E3396" s="62"/>
      <c r="F3396" s="62"/>
      <c r="G3396" s="20" t="str">
        <f t="shared" si="1"/>
        <v>Home &amp; Garden, Household Supplies, Rug Pads, </v>
      </c>
    </row>
    <row r="3397">
      <c r="A3397" s="29">
        <v>628.0</v>
      </c>
      <c r="B3397" s="29" t="s">
        <v>3234</v>
      </c>
      <c r="C3397" s="29" t="s">
        <v>3497</v>
      </c>
      <c r="D3397" s="29" t="s">
        <v>3575</v>
      </c>
      <c r="E3397" s="62"/>
      <c r="F3397" s="62"/>
      <c r="G3397" s="20" t="str">
        <f t="shared" si="1"/>
        <v>Home &amp; Garden, Household Supplies, Shoe Care &amp; Tools, </v>
      </c>
    </row>
    <row r="3398">
      <c r="A3398" s="29">
        <v>5600.0</v>
      </c>
      <c r="B3398" s="29" t="s">
        <v>3234</v>
      </c>
      <c r="C3398" s="29" t="s">
        <v>3497</v>
      </c>
      <c r="D3398" s="29" t="s">
        <v>3575</v>
      </c>
      <c r="E3398" s="29" t="s">
        <v>3576</v>
      </c>
      <c r="F3398" s="62"/>
      <c r="G3398" s="20" t="str">
        <f t="shared" si="1"/>
        <v>Home &amp; Garden, Household Supplies, Shoe Care &amp; Tools, Boot Pulls</v>
      </c>
    </row>
    <row r="3399">
      <c r="A3399" s="29">
        <v>2301.0</v>
      </c>
      <c r="B3399" s="29" t="s">
        <v>3234</v>
      </c>
      <c r="C3399" s="29" t="s">
        <v>3497</v>
      </c>
      <c r="D3399" s="29" t="s">
        <v>3575</v>
      </c>
      <c r="E3399" s="29" t="s">
        <v>3577</v>
      </c>
      <c r="F3399" s="62"/>
      <c r="G3399" s="20" t="str">
        <f t="shared" si="1"/>
        <v>Home &amp; Garden, Household Supplies, Shoe Care &amp; Tools, Shoe Bags</v>
      </c>
    </row>
    <row r="3400">
      <c r="A3400" s="29">
        <v>1874.0</v>
      </c>
      <c r="B3400" s="29" t="s">
        <v>3234</v>
      </c>
      <c r="C3400" s="29" t="s">
        <v>3497</v>
      </c>
      <c r="D3400" s="29" t="s">
        <v>3575</v>
      </c>
      <c r="E3400" s="29" t="s">
        <v>3578</v>
      </c>
      <c r="F3400" s="62"/>
      <c r="G3400" s="20" t="str">
        <f t="shared" si="1"/>
        <v>Home &amp; Garden, Household Supplies, Shoe Care &amp; Tools, Shoe Brushes</v>
      </c>
    </row>
    <row r="3401">
      <c r="A3401" s="29">
        <v>8033.0</v>
      </c>
      <c r="B3401" s="29" t="s">
        <v>3234</v>
      </c>
      <c r="C3401" s="29" t="s">
        <v>3497</v>
      </c>
      <c r="D3401" s="29" t="s">
        <v>3575</v>
      </c>
      <c r="E3401" s="29" t="s">
        <v>3579</v>
      </c>
      <c r="F3401" s="62"/>
      <c r="G3401" s="20" t="str">
        <f t="shared" si="1"/>
        <v>Home &amp; Garden, Household Supplies, Shoe Care &amp; Tools, Shoe Care Kits</v>
      </c>
    </row>
    <row r="3402">
      <c r="A3402" s="29">
        <v>2371.0</v>
      </c>
      <c r="B3402" s="29" t="s">
        <v>3234</v>
      </c>
      <c r="C3402" s="29" t="s">
        <v>3497</v>
      </c>
      <c r="D3402" s="29" t="s">
        <v>3575</v>
      </c>
      <c r="E3402" s="29" t="s">
        <v>3580</v>
      </c>
      <c r="F3402" s="62"/>
      <c r="G3402" s="20" t="str">
        <f t="shared" si="1"/>
        <v>Home &amp; Garden, Household Supplies, Shoe Care &amp; Tools, Shoe Dryers</v>
      </c>
    </row>
    <row r="3403">
      <c r="A3403" s="29">
        <v>5601.0</v>
      </c>
      <c r="B3403" s="29" t="s">
        <v>3234</v>
      </c>
      <c r="C3403" s="29" t="s">
        <v>3497</v>
      </c>
      <c r="D3403" s="29" t="s">
        <v>3575</v>
      </c>
      <c r="E3403" s="29" t="s">
        <v>3581</v>
      </c>
      <c r="F3403" s="62"/>
      <c r="G3403" s="20" t="str">
        <f t="shared" si="1"/>
        <v>Home &amp; Garden, Household Supplies, Shoe Care &amp; Tools, Shoe Horns &amp; Dressing Aids</v>
      </c>
    </row>
    <row r="3404">
      <c r="A3404" s="29">
        <v>8032.0</v>
      </c>
      <c r="B3404" s="29" t="s">
        <v>3234</v>
      </c>
      <c r="C3404" s="29" t="s">
        <v>3497</v>
      </c>
      <c r="D3404" s="29" t="s">
        <v>3575</v>
      </c>
      <c r="E3404" s="29" t="s">
        <v>3582</v>
      </c>
      <c r="F3404" s="62"/>
      <c r="G3404" s="20" t="str">
        <f t="shared" si="1"/>
        <v>Home &amp; Garden, Household Supplies, Shoe Care &amp; Tools, Shoe Polishers</v>
      </c>
    </row>
    <row r="3405">
      <c r="A3405" s="29">
        <v>1659.0</v>
      </c>
      <c r="B3405" s="29" t="s">
        <v>3234</v>
      </c>
      <c r="C3405" s="29" t="s">
        <v>3497</v>
      </c>
      <c r="D3405" s="29" t="s">
        <v>3575</v>
      </c>
      <c r="E3405" s="29" t="s">
        <v>3583</v>
      </c>
      <c r="F3405" s="62"/>
      <c r="G3405" s="20" t="str">
        <f t="shared" si="1"/>
        <v>Home &amp; Garden, Household Supplies, Shoe Care &amp; Tools, Shoe Polishes &amp; Waxes</v>
      </c>
    </row>
    <row r="3406">
      <c r="A3406" s="29">
        <v>8031.0</v>
      </c>
      <c r="B3406" s="29" t="s">
        <v>3234</v>
      </c>
      <c r="C3406" s="29" t="s">
        <v>3497</v>
      </c>
      <c r="D3406" s="29" t="s">
        <v>3575</v>
      </c>
      <c r="E3406" s="29" t="s">
        <v>3584</v>
      </c>
      <c r="F3406" s="62"/>
      <c r="G3406" s="20" t="str">
        <f t="shared" si="1"/>
        <v>Home &amp; Garden, Household Supplies, Shoe Care &amp; Tools, Shoe Scrapers</v>
      </c>
    </row>
    <row r="3407">
      <c r="A3407" s="29">
        <v>5604.0</v>
      </c>
      <c r="B3407" s="29" t="s">
        <v>3234</v>
      </c>
      <c r="C3407" s="29" t="s">
        <v>3497</v>
      </c>
      <c r="D3407" s="29" t="s">
        <v>3575</v>
      </c>
      <c r="E3407" s="29" t="s">
        <v>3585</v>
      </c>
      <c r="F3407" s="62"/>
      <c r="G3407" s="20" t="str">
        <f t="shared" si="1"/>
        <v>Home &amp; Garden, Household Supplies, Shoe Care &amp; Tools, Shoe Treatments &amp; Dyes</v>
      </c>
    </row>
    <row r="3408">
      <c r="A3408" s="29">
        <v>2431.0</v>
      </c>
      <c r="B3408" s="29" t="s">
        <v>3234</v>
      </c>
      <c r="C3408" s="29" t="s">
        <v>3497</v>
      </c>
      <c r="D3408" s="29" t="s">
        <v>3575</v>
      </c>
      <c r="E3408" s="29" t="s">
        <v>3586</v>
      </c>
      <c r="F3408" s="62"/>
      <c r="G3408" s="20" t="str">
        <f t="shared" si="1"/>
        <v>Home &amp; Garden, Household Supplies, Shoe Care &amp; Tools, Shoe Trees &amp; Shapers</v>
      </c>
    </row>
    <row r="3409">
      <c r="A3409" s="29">
        <v>499885.0</v>
      </c>
      <c r="B3409" s="29" t="s">
        <v>3234</v>
      </c>
      <c r="C3409" s="29" t="s">
        <v>3497</v>
      </c>
      <c r="D3409" s="29" t="s">
        <v>3587</v>
      </c>
      <c r="E3409" s="62"/>
      <c r="F3409" s="62"/>
      <c r="G3409" s="20" t="str">
        <f t="shared" si="1"/>
        <v>Home &amp; Garden, Household Supplies, Stair Treads, </v>
      </c>
    </row>
    <row r="3410">
      <c r="A3410" s="29">
        <v>636.0</v>
      </c>
      <c r="B3410" s="29" t="s">
        <v>3234</v>
      </c>
      <c r="C3410" s="29" t="s">
        <v>3497</v>
      </c>
      <c r="D3410" s="29" t="s">
        <v>3588</v>
      </c>
      <c r="E3410" s="62"/>
      <c r="F3410" s="62"/>
      <c r="G3410" s="20" t="str">
        <f t="shared" si="1"/>
        <v>Home &amp; Garden, Household Supplies, Storage &amp; Organization, </v>
      </c>
    </row>
    <row r="3411">
      <c r="A3411" s="29">
        <v>5558.0</v>
      </c>
      <c r="B3411" s="29" t="s">
        <v>3234</v>
      </c>
      <c r="C3411" s="29" t="s">
        <v>3497</v>
      </c>
      <c r="D3411" s="29" t="s">
        <v>3588</v>
      </c>
      <c r="E3411" s="29" t="s">
        <v>3589</v>
      </c>
      <c r="F3411" s="62"/>
      <c r="G3411" s="20" t="str">
        <f t="shared" si="1"/>
        <v>Home &amp; Garden, Household Supplies, Storage &amp; Organization, Clothing &amp; Closet Storage</v>
      </c>
    </row>
    <row r="3412">
      <c r="A3412" s="29">
        <v>3722.0</v>
      </c>
      <c r="B3412" s="29" t="s">
        <v>3234</v>
      </c>
      <c r="C3412" s="29" t="s">
        <v>3497</v>
      </c>
      <c r="D3412" s="29" t="s">
        <v>3588</v>
      </c>
      <c r="E3412" s="29" t="s">
        <v>3589</v>
      </c>
      <c r="F3412" s="29" t="s">
        <v>3590</v>
      </c>
      <c r="G3412" s="20" t="str">
        <f t="shared" si="1"/>
        <v>Home &amp; Garden, Household Supplies, Storage &amp; Organization, Clothing &amp; Closet StorageCharging Valets</v>
      </c>
    </row>
    <row r="3413">
      <c r="A3413" s="29">
        <v>5714.0</v>
      </c>
      <c r="B3413" s="29" t="s">
        <v>3234</v>
      </c>
      <c r="C3413" s="29" t="s">
        <v>3497</v>
      </c>
      <c r="D3413" s="29" t="s">
        <v>3588</v>
      </c>
      <c r="E3413" s="29" t="s">
        <v>3589</v>
      </c>
      <c r="F3413" s="29" t="s">
        <v>3591</v>
      </c>
      <c r="G3413" s="20" t="str">
        <f t="shared" si="1"/>
        <v>Home &amp; Garden, Household Supplies, Storage &amp; Organization, Clothing &amp; Closet StorageCloset Organizers &amp; Garment Racks</v>
      </c>
    </row>
    <row r="3414">
      <c r="A3414" s="29">
        <v>5716.0</v>
      </c>
      <c r="B3414" s="29" t="s">
        <v>3234</v>
      </c>
      <c r="C3414" s="29" t="s">
        <v>3497</v>
      </c>
      <c r="D3414" s="29" t="s">
        <v>3588</v>
      </c>
      <c r="E3414" s="29" t="s">
        <v>3589</v>
      </c>
      <c r="F3414" s="29" t="s">
        <v>3592</v>
      </c>
      <c r="G3414" s="20" t="str">
        <f t="shared" si="1"/>
        <v>Home &amp; Garden, Household Supplies, Storage &amp; Organization, Clothing &amp; Closet StorageClothes Valets</v>
      </c>
    </row>
    <row r="3415">
      <c r="A3415" s="29">
        <v>631.0</v>
      </c>
      <c r="B3415" s="29" t="s">
        <v>3234</v>
      </c>
      <c r="C3415" s="29" t="s">
        <v>3497</v>
      </c>
      <c r="D3415" s="29" t="s">
        <v>3588</v>
      </c>
      <c r="E3415" s="29" t="s">
        <v>3589</v>
      </c>
      <c r="F3415" s="29" t="s">
        <v>3593</v>
      </c>
      <c r="G3415" s="20" t="str">
        <f t="shared" si="1"/>
        <v>Home &amp; Garden, Household Supplies, Storage &amp; Organization, Clothing &amp; Closet StorageHangers</v>
      </c>
    </row>
    <row r="3416">
      <c r="A3416" s="29">
        <v>7514.0</v>
      </c>
      <c r="B3416" s="29" t="s">
        <v>3234</v>
      </c>
      <c r="C3416" s="29" t="s">
        <v>3497</v>
      </c>
      <c r="D3416" s="29" t="s">
        <v>3588</v>
      </c>
      <c r="E3416" s="29" t="s">
        <v>3589</v>
      </c>
      <c r="F3416" s="29" t="s">
        <v>3594</v>
      </c>
      <c r="G3416" s="20" t="str">
        <f t="shared" si="1"/>
        <v>Home &amp; Garden, Household Supplies, Storage &amp; Organization, Clothing &amp; Closet StorageHat Boxes</v>
      </c>
    </row>
    <row r="3417">
      <c r="A3417" s="29">
        <v>5559.0</v>
      </c>
      <c r="B3417" s="29" t="s">
        <v>3234</v>
      </c>
      <c r="C3417" s="29" t="s">
        <v>3497</v>
      </c>
      <c r="D3417" s="29" t="s">
        <v>3588</v>
      </c>
      <c r="E3417" s="29" t="s">
        <v>3589</v>
      </c>
      <c r="F3417" s="29" t="s">
        <v>3595</v>
      </c>
      <c r="G3417" s="20" t="str">
        <f t="shared" si="1"/>
        <v>Home &amp; Garden, Household Supplies, Storage &amp; Organization, Clothing &amp; Closet StorageShoe Racks &amp; Organizers</v>
      </c>
    </row>
    <row r="3418">
      <c r="A3418" s="29">
        <v>5128.0</v>
      </c>
      <c r="B3418" s="29" t="s">
        <v>3234</v>
      </c>
      <c r="C3418" s="29" t="s">
        <v>3497</v>
      </c>
      <c r="D3418" s="29" t="s">
        <v>3588</v>
      </c>
      <c r="E3418" s="29" t="s">
        <v>3596</v>
      </c>
      <c r="F3418" s="62"/>
      <c r="G3418" s="20" t="str">
        <f t="shared" si="1"/>
        <v>Home &amp; Garden, Household Supplies, Storage &amp; Organization, Flatware Chests</v>
      </c>
    </row>
    <row r="3419">
      <c r="A3419" s="29">
        <v>8058.0</v>
      </c>
      <c r="B3419" s="29" t="s">
        <v>3234</v>
      </c>
      <c r="C3419" s="29" t="s">
        <v>3497</v>
      </c>
      <c r="D3419" s="29" t="s">
        <v>3588</v>
      </c>
      <c r="E3419" s="29" t="s">
        <v>3597</v>
      </c>
      <c r="G3419" s="20" t="str">
        <f t="shared" si="1"/>
        <v>Home &amp; Garden, Household Supplies, Storage &amp; Organization, Household Drawer Organizer Inserts</v>
      </c>
    </row>
    <row r="3420">
      <c r="A3420" s="29">
        <v>3561.0</v>
      </c>
      <c r="B3420" s="29" t="s">
        <v>3234</v>
      </c>
      <c r="C3420" s="29" t="s">
        <v>3497</v>
      </c>
      <c r="D3420" s="29" t="s">
        <v>3588</v>
      </c>
      <c r="E3420" s="29" t="s">
        <v>3598</v>
      </c>
      <c r="F3420" s="62"/>
      <c r="G3420" s="20" t="str">
        <f t="shared" si="1"/>
        <v>Home &amp; Garden, Household Supplies, Storage &amp; Organization, Household Storage Bags</v>
      </c>
    </row>
    <row r="3421">
      <c r="A3421" s="29">
        <v>6986.0</v>
      </c>
      <c r="B3421" s="29" t="s">
        <v>3234</v>
      </c>
      <c r="C3421" s="29" t="s">
        <v>3497</v>
      </c>
      <c r="D3421" s="29" t="s">
        <v>3588</v>
      </c>
      <c r="E3421" s="29" t="s">
        <v>3599</v>
      </c>
      <c r="F3421" s="62"/>
      <c r="G3421" s="20" t="str">
        <f t="shared" si="1"/>
        <v>Home &amp; Garden, Household Supplies, Storage &amp; Organization, Household Storage Caddies</v>
      </c>
    </row>
    <row r="3422">
      <c r="A3422" s="29">
        <v>5631.0</v>
      </c>
      <c r="B3422" s="29" t="s">
        <v>3234</v>
      </c>
      <c r="C3422" s="29" t="s">
        <v>3497</v>
      </c>
      <c r="D3422" s="29" t="s">
        <v>3588</v>
      </c>
      <c r="E3422" s="29" t="s">
        <v>3600</v>
      </c>
      <c r="F3422" s="62"/>
      <c r="G3422" s="20" t="str">
        <f t="shared" si="1"/>
        <v>Home &amp; Garden, Household Supplies, Storage &amp; Organization, Household Storage Containers</v>
      </c>
    </row>
    <row r="3423">
      <c r="A3423" s="29">
        <v>7255.0</v>
      </c>
      <c r="B3423" s="29" t="s">
        <v>3234</v>
      </c>
      <c r="C3423" s="29" t="s">
        <v>3497</v>
      </c>
      <c r="D3423" s="29" t="s">
        <v>3588</v>
      </c>
      <c r="E3423" s="29" t="s">
        <v>3601</v>
      </c>
      <c r="F3423" s="62"/>
      <c r="G3423" s="20" t="str">
        <f t="shared" si="1"/>
        <v>Home &amp; Garden, Household Supplies, Storage &amp; Organization, Household Storage Drawers</v>
      </c>
    </row>
    <row r="3424">
      <c r="A3424" s="29">
        <v>4360.0</v>
      </c>
      <c r="B3424" s="29" t="s">
        <v>3234</v>
      </c>
      <c r="C3424" s="29" t="s">
        <v>3497</v>
      </c>
      <c r="D3424" s="29" t="s">
        <v>3588</v>
      </c>
      <c r="E3424" s="29" t="s">
        <v>3602</v>
      </c>
      <c r="F3424" s="62"/>
      <c r="G3424" s="20" t="str">
        <f t="shared" si="1"/>
        <v>Home &amp; Garden, Household Supplies, Storage &amp; Organization, Photo Storage</v>
      </c>
    </row>
    <row r="3425">
      <c r="A3425" s="29">
        <v>40.0</v>
      </c>
      <c r="B3425" s="29" t="s">
        <v>3234</v>
      </c>
      <c r="C3425" s="29" t="s">
        <v>3497</v>
      </c>
      <c r="D3425" s="29" t="s">
        <v>3588</v>
      </c>
      <c r="E3425" s="29" t="s">
        <v>3602</v>
      </c>
      <c r="F3425" s="29" t="s">
        <v>3603</v>
      </c>
      <c r="G3425" s="20" t="str">
        <f t="shared" si="1"/>
        <v>Home &amp; Garden, Household Supplies, Storage &amp; Organization, Photo StoragePhoto Albums</v>
      </c>
    </row>
    <row r="3426">
      <c r="A3426" s="29">
        <v>4237.0</v>
      </c>
      <c r="B3426" s="29" t="s">
        <v>3234</v>
      </c>
      <c r="C3426" s="29" t="s">
        <v>3497</v>
      </c>
      <c r="D3426" s="29" t="s">
        <v>3588</v>
      </c>
      <c r="E3426" s="29" t="s">
        <v>3602</v>
      </c>
      <c r="F3426" s="29" t="s">
        <v>3604</v>
      </c>
      <c r="G3426" s="20" t="str">
        <f t="shared" si="1"/>
        <v>Home &amp; Garden, Household Supplies, Storage &amp; Organization, Photo StoragePhoto Storage Boxes</v>
      </c>
    </row>
    <row r="3427">
      <c r="A3427" s="29">
        <v>2446.0</v>
      </c>
      <c r="B3427" s="29" t="s">
        <v>3234</v>
      </c>
      <c r="C3427" s="29" t="s">
        <v>3497</v>
      </c>
      <c r="D3427" s="29" t="s">
        <v>3588</v>
      </c>
      <c r="E3427" s="29" t="s">
        <v>3605</v>
      </c>
      <c r="F3427" s="62"/>
      <c r="G3427" s="20" t="str">
        <f t="shared" si="1"/>
        <v>Home &amp; Garden, Household Supplies, Storage &amp; Organization, Storage Hooks &amp; Racks</v>
      </c>
    </row>
    <row r="3428">
      <c r="A3428" s="29">
        <v>499930.0</v>
      </c>
      <c r="B3428" s="29" t="s">
        <v>3234</v>
      </c>
      <c r="C3428" s="29" t="s">
        <v>3497</v>
      </c>
      <c r="D3428" s="29" t="s">
        <v>3588</v>
      </c>
      <c r="E3428" s="29" t="s">
        <v>3605</v>
      </c>
      <c r="F3428" s="29" t="s">
        <v>3606</v>
      </c>
      <c r="G3428" s="20" t="str">
        <f t="shared" si="1"/>
        <v>Home &amp; Garden, Household Supplies, Storage &amp; Organization, Storage Hooks &amp; RacksIroning Board Hooks &amp; Racks</v>
      </c>
    </row>
    <row r="3429">
      <c r="A3429" s="29">
        <v>5494.0</v>
      </c>
      <c r="B3429" s="29" t="s">
        <v>3234</v>
      </c>
      <c r="C3429" s="29" t="s">
        <v>3497</v>
      </c>
      <c r="D3429" s="29" t="s">
        <v>3588</v>
      </c>
      <c r="E3429" s="29" t="s">
        <v>3605</v>
      </c>
      <c r="F3429" s="29" t="s">
        <v>3607</v>
      </c>
      <c r="G3429" s="20" t="str">
        <f t="shared" si="1"/>
        <v>Home &amp; Garden, Household Supplies, Storage &amp; Organization, Storage Hooks &amp; RacksUmbrella Stands &amp; Racks</v>
      </c>
    </row>
    <row r="3430">
      <c r="A3430" s="29">
        <v>5707.0</v>
      </c>
      <c r="B3430" s="29" t="s">
        <v>3234</v>
      </c>
      <c r="C3430" s="29" t="s">
        <v>3497</v>
      </c>
      <c r="D3430" s="29" t="s">
        <v>3588</v>
      </c>
      <c r="E3430" s="29" t="s">
        <v>3605</v>
      </c>
      <c r="F3430" s="29" t="s">
        <v>3608</v>
      </c>
      <c r="G3430" s="20" t="str">
        <f t="shared" si="1"/>
        <v>Home &amp; Garden, Household Supplies, Storage &amp; Organization, Storage Hooks &amp; RacksUtility Hooks</v>
      </c>
    </row>
    <row r="3431">
      <c r="A3431" s="29">
        <v>5056.0</v>
      </c>
      <c r="B3431" s="29" t="s">
        <v>3234</v>
      </c>
      <c r="C3431" s="29" t="s">
        <v>3497</v>
      </c>
      <c r="D3431" s="29" t="s">
        <v>3609</v>
      </c>
      <c r="F3431" s="62"/>
      <c r="G3431" s="20" t="str">
        <f t="shared" si="1"/>
        <v>Home &amp; Garden, Household Supplies, Trash Compactor Accessories, </v>
      </c>
    </row>
    <row r="3432">
      <c r="A3432" s="29">
        <v>4516.0</v>
      </c>
      <c r="B3432" s="29" t="s">
        <v>3234</v>
      </c>
      <c r="C3432" s="29" t="s">
        <v>3497</v>
      </c>
      <c r="D3432" s="29" t="s">
        <v>3610</v>
      </c>
      <c r="E3432" s="62"/>
      <c r="F3432" s="62"/>
      <c r="G3432" s="20" t="str">
        <f t="shared" si="1"/>
        <v>Home &amp; Garden, Household Supplies, Waste Containment, </v>
      </c>
    </row>
    <row r="3433">
      <c r="A3433" s="29">
        <v>500039.0</v>
      </c>
      <c r="B3433" s="29" t="s">
        <v>3234</v>
      </c>
      <c r="C3433" s="29" t="s">
        <v>3497</v>
      </c>
      <c r="D3433" s="29" t="s">
        <v>3610</v>
      </c>
      <c r="E3433" s="29" t="s">
        <v>3611</v>
      </c>
      <c r="F3433" s="62"/>
      <c r="G3433" s="20" t="str">
        <f t="shared" si="1"/>
        <v>Home &amp; Garden, Household Supplies, Waste Containment, Dumpsters</v>
      </c>
    </row>
    <row r="3434">
      <c r="A3434" s="29">
        <v>5143.0</v>
      </c>
      <c r="B3434" s="29" t="s">
        <v>3234</v>
      </c>
      <c r="C3434" s="29" t="s">
        <v>3497</v>
      </c>
      <c r="D3434" s="29" t="s">
        <v>3610</v>
      </c>
      <c r="E3434" s="29" t="s">
        <v>3612</v>
      </c>
      <c r="F3434" s="62"/>
      <c r="G3434" s="20" t="str">
        <f t="shared" si="1"/>
        <v>Home &amp; Garden, Household Supplies, Waste Containment, Hazardous Waste Containers</v>
      </c>
    </row>
    <row r="3435">
      <c r="A3435" s="29">
        <v>4517.0</v>
      </c>
      <c r="B3435" s="29" t="s">
        <v>3234</v>
      </c>
      <c r="C3435" s="29" t="s">
        <v>3497</v>
      </c>
      <c r="D3435" s="29" t="s">
        <v>3610</v>
      </c>
      <c r="E3435" s="29" t="s">
        <v>3613</v>
      </c>
      <c r="F3435" s="62"/>
      <c r="G3435" s="20" t="str">
        <f t="shared" si="1"/>
        <v>Home &amp; Garden, Household Supplies, Waste Containment, Recycling Containers</v>
      </c>
    </row>
    <row r="3436">
      <c r="A3436" s="29">
        <v>637.0</v>
      </c>
      <c r="B3436" s="29" t="s">
        <v>3234</v>
      </c>
      <c r="C3436" s="29" t="s">
        <v>3497</v>
      </c>
      <c r="D3436" s="29" t="s">
        <v>3610</v>
      </c>
      <c r="E3436" s="29" t="s">
        <v>3614</v>
      </c>
      <c r="F3436" s="62"/>
      <c r="G3436" s="20" t="str">
        <f t="shared" si="1"/>
        <v>Home &amp; Garden, Household Supplies, Waste Containment, Trash Cans &amp; Wastebaskets</v>
      </c>
    </row>
    <row r="3437">
      <c r="A3437" s="29">
        <v>6757.0</v>
      </c>
      <c r="B3437" s="29" t="s">
        <v>3234</v>
      </c>
      <c r="C3437" s="29" t="s">
        <v>3497</v>
      </c>
      <c r="D3437" s="29" t="s">
        <v>3615</v>
      </c>
      <c r="F3437" s="62"/>
      <c r="G3437" s="20" t="str">
        <f t="shared" si="1"/>
        <v>Home &amp; Garden, Household Supplies, Waste Containment Accessories, </v>
      </c>
    </row>
    <row r="3438">
      <c r="A3438" s="29">
        <v>6765.0</v>
      </c>
      <c r="B3438" s="29" t="s">
        <v>3234</v>
      </c>
      <c r="C3438" s="29" t="s">
        <v>3497</v>
      </c>
      <c r="D3438" s="29" t="s">
        <v>3615</v>
      </c>
      <c r="E3438" s="29" t="s">
        <v>3616</v>
      </c>
      <c r="F3438" s="62"/>
      <c r="G3438" s="20" t="str">
        <f t="shared" si="1"/>
        <v>Home &amp; Garden, Household Supplies, Waste Containment Accessories, Waste Container Carts</v>
      </c>
    </row>
    <row r="3439">
      <c r="A3439" s="29">
        <v>6726.0</v>
      </c>
      <c r="B3439" s="29" t="s">
        <v>3234</v>
      </c>
      <c r="C3439" s="29" t="s">
        <v>3497</v>
      </c>
      <c r="D3439" s="29" t="s">
        <v>3615</v>
      </c>
      <c r="E3439" s="29" t="s">
        <v>3617</v>
      </c>
      <c r="F3439" s="62"/>
      <c r="G3439" s="20" t="str">
        <f t="shared" si="1"/>
        <v>Home &amp; Garden, Household Supplies, Waste Containment Accessories, Waste Container Enclosures</v>
      </c>
    </row>
    <row r="3440">
      <c r="A3440" s="29">
        <v>500115.0</v>
      </c>
      <c r="B3440" s="29" t="s">
        <v>3234</v>
      </c>
      <c r="C3440" s="29" t="s">
        <v>3497</v>
      </c>
      <c r="D3440" s="29" t="s">
        <v>3615</v>
      </c>
      <c r="E3440" s="29" t="s">
        <v>3618</v>
      </c>
      <c r="F3440" s="62"/>
      <c r="G3440" s="20" t="str">
        <f t="shared" si="1"/>
        <v>Home &amp; Garden, Household Supplies, Waste Containment Accessories, Waste Container Labels &amp; Signs</v>
      </c>
    </row>
    <row r="3441">
      <c r="A3441" s="29">
        <v>4717.0</v>
      </c>
      <c r="B3441" s="29" t="s">
        <v>3234</v>
      </c>
      <c r="C3441" s="29" t="s">
        <v>3497</v>
      </c>
      <c r="D3441" s="29" t="s">
        <v>3615</v>
      </c>
      <c r="E3441" s="29" t="s">
        <v>3619</v>
      </c>
      <c r="F3441" s="62"/>
      <c r="G3441" s="20" t="str">
        <f t="shared" si="1"/>
        <v>Home &amp; Garden, Household Supplies, Waste Containment Accessories, Waste Container Lids</v>
      </c>
    </row>
    <row r="3442">
      <c r="A3442" s="29">
        <v>6758.0</v>
      </c>
      <c r="B3442" s="29" t="s">
        <v>3234</v>
      </c>
      <c r="C3442" s="29" t="s">
        <v>3497</v>
      </c>
      <c r="D3442" s="29" t="s">
        <v>3615</v>
      </c>
      <c r="E3442" s="29" t="s">
        <v>3620</v>
      </c>
      <c r="F3442" s="62"/>
      <c r="G3442" s="20" t="str">
        <f t="shared" si="1"/>
        <v>Home &amp; Garden, Household Supplies, Waste Containment Accessories, Waste Container Wheels</v>
      </c>
    </row>
    <row r="3443">
      <c r="A3443" s="29">
        <v>638.0</v>
      </c>
      <c r="B3443" s="29" t="s">
        <v>3234</v>
      </c>
      <c r="C3443" s="29" t="s">
        <v>3621</v>
      </c>
      <c r="D3443" s="62"/>
      <c r="E3443" s="62"/>
      <c r="F3443" s="62"/>
      <c r="G3443" s="20" t="str">
        <f t="shared" si="1"/>
        <v>Home &amp; Garden, Kitchen &amp; Dining, , </v>
      </c>
    </row>
    <row r="3444">
      <c r="A3444" s="29">
        <v>649.0</v>
      </c>
      <c r="B3444" s="29" t="s">
        <v>3234</v>
      </c>
      <c r="C3444" s="29" t="s">
        <v>3621</v>
      </c>
      <c r="D3444" s="29" t="s">
        <v>3622</v>
      </c>
      <c r="E3444" s="62"/>
      <c r="F3444" s="62"/>
      <c r="G3444" s="20" t="str">
        <f t="shared" si="1"/>
        <v>Home &amp; Garden, Kitchen &amp; Dining, Barware, </v>
      </c>
    </row>
    <row r="3445">
      <c r="A3445" s="29">
        <v>7075.0</v>
      </c>
      <c r="B3445" s="29" t="s">
        <v>3234</v>
      </c>
      <c r="C3445" s="29" t="s">
        <v>3621</v>
      </c>
      <c r="D3445" s="29" t="s">
        <v>3622</v>
      </c>
      <c r="E3445" s="29" t="s">
        <v>3623</v>
      </c>
      <c r="F3445" s="62"/>
      <c r="G3445" s="20" t="str">
        <f t="shared" si="1"/>
        <v>Home &amp; Garden, Kitchen &amp; Dining, Barware, Absinthe Fountains</v>
      </c>
    </row>
    <row r="3446">
      <c r="A3446" s="29">
        <v>1817.0</v>
      </c>
      <c r="B3446" s="29" t="s">
        <v>3234</v>
      </c>
      <c r="C3446" s="29" t="s">
        <v>3621</v>
      </c>
      <c r="D3446" s="29" t="s">
        <v>3622</v>
      </c>
      <c r="E3446" s="29" t="s">
        <v>3624</v>
      </c>
      <c r="F3446" s="62"/>
      <c r="G3446" s="20" t="str">
        <f t="shared" si="1"/>
        <v>Home &amp; Garden, Kitchen &amp; Dining, Barware, Beer Dispensers &amp; Taps</v>
      </c>
    </row>
    <row r="3447">
      <c r="A3447" s="29">
        <v>7569.0</v>
      </c>
      <c r="B3447" s="29" t="s">
        <v>3234</v>
      </c>
      <c r="C3447" s="29" t="s">
        <v>3621</v>
      </c>
      <c r="D3447" s="29" t="s">
        <v>3622</v>
      </c>
      <c r="E3447" s="29" t="s">
        <v>3625</v>
      </c>
      <c r="F3447" s="62"/>
      <c r="G3447" s="20" t="str">
        <f t="shared" si="1"/>
        <v>Home &amp; Garden, Kitchen &amp; Dining, Barware, Beverage Chilling Cubes &amp; Sticks</v>
      </c>
    </row>
    <row r="3448">
      <c r="A3448" s="29">
        <v>505806.0</v>
      </c>
      <c r="B3448" s="29" t="s">
        <v>3234</v>
      </c>
      <c r="C3448" s="29" t="s">
        <v>3621</v>
      </c>
      <c r="D3448" s="29" t="s">
        <v>3622</v>
      </c>
      <c r="E3448" s="29" t="s">
        <v>3626</v>
      </c>
      <c r="F3448" s="62"/>
      <c r="G3448" s="20" t="str">
        <f t="shared" si="1"/>
        <v>Home &amp; Garden, Kitchen &amp; Dining, Barware, Beverage Tubs &amp; Chillers</v>
      </c>
    </row>
    <row r="3449">
      <c r="A3449" s="29">
        <v>499990.0</v>
      </c>
      <c r="B3449" s="29" t="s">
        <v>3234</v>
      </c>
      <c r="C3449" s="29" t="s">
        <v>3621</v>
      </c>
      <c r="D3449" s="29" t="s">
        <v>3622</v>
      </c>
      <c r="E3449" s="29" t="s">
        <v>3627</v>
      </c>
      <c r="F3449" s="62"/>
      <c r="G3449" s="20" t="str">
        <f t="shared" si="1"/>
        <v>Home &amp; Garden, Kitchen &amp; Dining, Barware, Bottle Caps</v>
      </c>
    </row>
    <row r="3450">
      <c r="A3450" s="29">
        <v>4562.0</v>
      </c>
      <c r="B3450" s="29" t="s">
        <v>3234</v>
      </c>
      <c r="C3450" s="29" t="s">
        <v>3621</v>
      </c>
      <c r="D3450" s="29" t="s">
        <v>3622</v>
      </c>
      <c r="E3450" s="29" t="s">
        <v>3628</v>
      </c>
      <c r="F3450" s="62"/>
      <c r="G3450" s="20" t="str">
        <f t="shared" si="1"/>
        <v>Home &amp; Garden, Kitchen &amp; Dining, Barware, Bottle Stoppers &amp; Savers</v>
      </c>
    </row>
    <row r="3451">
      <c r="A3451" s="29">
        <v>7238.0</v>
      </c>
      <c r="B3451" s="29" t="s">
        <v>3234</v>
      </c>
      <c r="C3451" s="29" t="s">
        <v>3621</v>
      </c>
      <c r="D3451" s="29" t="s">
        <v>3622</v>
      </c>
      <c r="E3451" s="29" t="s">
        <v>3629</v>
      </c>
      <c r="F3451" s="62"/>
      <c r="G3451" s="20" t="str">
        <f t="shared" si="1"/>
        <v>Home &amp; Garden, Kitchen &amp; Dining, Barware, Coaster Holders</v>
      </c>
    </row>
    <row r="3452">
      <c r="A3452" s="29">
        <v>2363.0</v>
      </c>
      <c r="B3452" s="29" t="s">
        <v>3234</v>
      </c>
      <c r="C3452" s="29" t="s">
        <v>3621</v>
      </c>
      <c r="D3452" s="29" t="s">
        <v>3622</v>
      </c>
      <c r="E3452" s="29" t="s">
        <v>3630</v>
      </c>
      <c r="F3452" s="62"/>
      <c r="G3452" s="20" t="str">
        <f t="shared" si="1"/>
        <v>Home &amp; Garden, Kitchen &amp; Dining, Barware, Coasters</v>
      </c>
    </row>
    <row r="3453">
      <c r="A3453" s="29">
        <v>6957.0</v>
      </c>
      <c r="B3453" s="29" t="s">
        <v>3234</v>
      </c>
      <c r="C3453" s="29" t="s">
        <v>3621</v>
      </c>
      <c r="D3453" s="29" t="s">
        <v>3622</v>
      </c>
      <c r="E3453" s="29" t="s">
        <v>3631</v>
      </c>
      <c r="F3453" s="62"/>
      <c r="G3453" s="20" t="str">
        <f t="shared" si="1"/>
        <v>Home &amp; Garden, Kitchen &amp; Dining, Barware, Cocktail &amp; Barware Tool Sets</v>
      </c>
    </row>
    <row r="3454">
      <c r="A3454" s="29">
        <v>651.0</v>
      </c>
      <c r="B3454" s="29" t="s">
        <v>3234</v>
      </c>
      <c r="C3454" s="29" t="s">
        <v>3621</v>
      </c>
      <c r="D3454" s="29" t="s">
        <v>3622</v>
      </c>
      <c r="E3454" s="29" t="s">
        <v>3632</v>
      </c>
      <c r="F3454" s="62"/>
      <c r="G3454" s="20" t="str">
        <f t="shared" si="1"/>
        <v>Home &amp; Garden, Kitchen &amp; Dining, Barware, Cocktail Shakers &amp; Tools</v>
      </c>
    </row>
    <row r="3455">
      <c r="A3455" s="29">
        <v>4222.0</v>
      </c>
      <c r="B3455" s="29" t="s">
        <v>3234</v>
      </c>
      <c r="C3455" s="29" t="s">
        <v>3621</v>
      </c>
      <c r="D3455" s="29" t="s">
        <v>3622</v>
      </c>
      <c r="E3455" s="29" t="s">
        <v>3632</v>
      </c>
      <c r="F3455" s="29" t="s">
        <v>3633</v>
      </c>
      <c r="G3455" s="20" t="str">
        <f t="shared" si="1"/>
        <v>Home &amp; Garden, Kitchen &amp; Dining, Barware, Cocktail Shakers &amp; ToolsBar Ice Picks</v>
      </c>
    </row>
    <row r="3456">
      <c r="A3456" s="29">
        <v>3427.0</v>
      </c>
      <c r="B3456" s="29" t="s">
        <v>3234</v>
      </c>
      <c r="C3456" s="29" t="s">
        <v>3621</v>
      </c>
      <c r="D3456" s="29" t="s">
        <v>3622</v>
      </c>
      <c r="E3456" s="29" t="s">
        <v>3632</v>
      </c>
      <c r="F3456" s="29" t="s">
        <v>3634</v>
      </c>
      <c r="G3456" s="20" t="str">
        <f t="shared" si="1"/>
        <v>Home &amp; Garden, Kitchen &amp; Dining, Barware, Cocktail Shakers &amp; ToolsBottle Openers</v>
      </c>
    </row>
    <row r="3457">
      <c r="A3457" s="29">
        <v>6956.0</v>
      </c>
      <c r="B3457" s="29" t="s">
        <v>3234</v>
      </c>
      <c r="C3457" s="29" t="s">
        <v>3621</v>
      </c>
      <c r="D3457" s="29" t="s">
        <v>3622</v>
      </c>
      <c r="E3457" s="29" t="s">
        <v>3632</v>
      </c>
      <c r="F3457" s="29" t="s">
        <v>3635</v>
      </c>
      <c r="G3457" s="20" t="str">
        <f t="shared" si="1"/>
        <v>Home &amp; Garden, Kitchen &amp; Dining, Barware, Cocktail Shakers &amp; ToolsCocktail Shakers</v>
      </c>
    </row>
    <row r="3458">
      <c r="A3458" s="29">
        <v>505327.0</v>
      </c>
      <c r="B3458" s="29" t="s">
        <v>3234</v>
      </c>
      <c r="C3458" s="29" t="s">
        <v>3621</v>
      </c>
      <c r="D3458" s="29" t="s">
        <v>3622</v>
      </c>
      <c r="E3458" s="29" t="s">
        <v>3632</v>
      </c>
      <c r="F3458" s="29" t="s">
        <v>3636</v>
      </c>
      <c r="G3458" s="20" t="str">
        <f t="shared" si="1"/>
        <v>Home &amp; Garden, Kitchen &amp; Dining, Barware, Cocktail Shakers &amp; ToolsCocktail Strainers</v>
      </c>
    </row>
    <row r="3459">
      <c r="A3459" s="29">
        <v>503757.0</v>
      </c>
      <c r="B3459" s="29" t="s">
        <v>3234</v>
      </c>
      <c r="C3459" s="29" t="s">
        <v>3621</v>
      </c>
      <c r="D3459" s="29" t="s">
        <v>3622</v>
      </c>
      <c r="E3459" s="29" t="s">
        <v>3632</v>
      </c>
      <c r="F3459" s="29" t="s">
        <v>3637</v>
      </c>
      <c r="G3459" s="20" t="str">
        <f t="shared" si="1"/>
        <v>Home &amp; Garden, Kitchen &amp; Dining, Barware, Cocktail Shakers &amp; ToolsMuddlers</v>
      </c>
    </row>
    <row r="3460">
      <c r="A3460" s="29">
        <v>2976.0</v>
      </c>
      <c r="B3460" s="29" t="s">
        <v>3234</v>
      </c>
      <c r="C3460" s="29" t="s">
        <v>3621</v>
      </c>
      <c r="D3460" s="29" t="s">
        <v>3622</v>
      </c>
      <c r="E3460" s="29" t="s">
        <v>3638</v>
      </c>
      <c r="F3460" s="62"/>
      <c r="G3460" s="20" t="str">
        <f t="shared" si="1"/>
        <v>Home &amp; Garden, Kitchen &amp; Dining, Barware, Corkscrews</v>
      </c>
    </row>
    <row r="3461">
      <c r="A3461" s="29">
        <v>650.0</v>
      </c>
      <c r="B3461" s="29" t="s">
        <v>3234</v>
      </c>
      <c r="C3461" s="29" t="s">
        <v>3621</v>
      </c>
      <c r="D3461" s="29" t="s">
        <v>3622</v>
      </c>
      <c r="E3461" s="29" t="s">
        <v>3639</v>
      </c>
      <c r="F3461" s="62"/>
      <c r="G3461" s="20" t="str">
        <f t="shared" si="1"/>
        <v>Home &amp; Garden, Kitchen &amp; Dining, Barware, Decanters</v>
      </c>
    </row>
    <row r="3462">
      <c r="A3462" s="29">
        <v>7139.0</v>
      </c>
      <c r="B3462" s="29" t="s">
        <v>3234</v>
      </c>
      <c r="C3462" s="29" t="s">
        <v>3621</v>
      </c>
      <c r="D3462" s="29" t="s">
        <v>3622</v>
      </c>
      <c r="E3462" s="29" t="s">
        <v>3640</v>
      </c>
      <c r="F3462" s="62"/>
      <c r="G3462" s="20" t="str">
        <f t="shared" si="1"/>
        <v>Home &amp; Garden, Kitchen &amp; Dining, Barware, Foil Cutters</v>
      </c>
    </row>
    <row r="3463">
      <c r="A3463" s="29">
        <v>4563.0</v>
      </c>
      <c r="B3463" s="29" t="s">
        <v>3234</v>
      </c>
      <c r="C3463" s="29" t="s">
        <v>3621</v>
      </c>
      <c r="D3463" s="29" t="s">
        <v>3622</v>
      </c>
      <c r="E3463" s="29" t="s">
        <v>3641</v>
      </c>
      <c r="F3463" s="62"/>
      <c r="G3463" s="20" t="str">
        <f t="shared" si="1"/>
        <v>Home &amp; Garden, Kitchen &amp; Dining, Barware, Wine Aerators</v>
      </c>
    </row>
    <row r="3464">
      <c r="A3464" s="29">
        <v>8493.0</v>
      </c>
      <c r="B3464" s="29" t="s">
        <v>3234</v>
      </c>
      <c r="C3464" s="29" t="s">
        <v>3621</v>
      </c>
      <c r="D3464" s="29" t="s">
        <v>3622</v>
      </c>
      <c r="E3464" s="29" t="s">
        <v>3642</v>
      </c>
      <c r="F3464" s="62"/>
      <c r="G3464" s="20" t="str">
        <f t="shared" si="1"/>
        <v>Home &amp; Garden, Kitchen &amp; Dining, Barware, Wine Bottle Holders</v>
      </c>
    </row>
    <row r="3465">
      <c r="A3465" s="29">
        <v>7008.0</v>
      </c>
      <c r="B3465" s="29" t="s">
        <v>3234</v>
      </c>
      <c r="C3465" s="29" t="s">
        <v>3621</v>
      </c>
      <c r="D3465" s="29" t="s">
        <v>3622</v>
      </c>
      <c r="E3465" s="29" t="s">
        <v>3643</v>
      </c>
      <c r="F3465" s="62"/>
      <c r="G3465" s="20" t="str">
        <f t="shared" si="1"/>
        <v>Home &amp; Garden, Kitchen &amp; Dining, Barware, Wine Glass Charms</v>
      </c>
    </row>
    <row r="3466">
      <c r="A3466" s="29">
        <v>6070.0</v>
      </c>
      <c r="B3466" s="29" t="s">
        <v>3234</v>
      </c>
      <c r="C3466" s="29" t="s">
        <v>3621</v>
      </c>
      <c r="D3466" s="29" t="s">
        <v>3644</v>
      </c>
      <c r="E3466" s="62"/>
      <c r="F3466" s="62"/>
      <c r="G3466" s="20" t="str">
        <f t="shared" si="1"/>
        <v>Home &amp; Garden, Kitchen &amp; Dining, Cookware &amp; Bakeware, </v>
      </c>
    </row>
    <row r="3467">
      <c r="A3467" s="29">
        <v>640.0</v>
      </c>
      <c r="B3467" s="29" t="s">
        <v>3234</v>
      </c>
      <c r="C3467" s="29" t="s">
        <v>3621</v>
      </c>
      <c r="D3467" s="29" t="s">
        <v>3644</v>
      </c>
      <c r="E3467" s="29" t="s">
        <v>3645</v>
      </c>
      <c r="F3467" s="62"/>
      <c r="G3467" s="20" t="str">
        <f t="shared" si="1"/>
        <v>Home &amp; Garden, Kitchen &amp; Dining, Cookware &amp; Bakeware, Bakeware</v>
      </c>
    </row>
    <row r="3468">
      <c r="A3468" s="29">
        <v>4764.0</v>
      </c>
      <c r="B3468" s="29" t="s">
        <v>3234</v>
      </c>
      <c r="C3468" s="29" t="s">
        <v>3621</v>
      </c>
      <c r="D3468" s="29" t="s">
        <v>3644</v>
      </c>
      <c r="E3468" s="29" t="s">
        <v>3645</v>
      </c>
      <c r="F3468" s="29" t="s">
        <v>3646</v>
      </c>
      <c r="G3468" s="20" t="str">
        <f t="shared" si="1"/>
        <v>Home &amp; Garden, Kitchen &amp; Dining, Cookware &amp; Bakeware, BakewareBakeware Sets</v>
      </c>
    </row>
    <row r="3469">
      <c r="A3469" s="29">
        <v>641.0</v>
      </c>
      <c r="B3469" s="29" t="s">
        <v>3234</v>
      </c>
      <c r="C3469" s="29" t="s">
        <v>3621</v>
      </c>
      <c r="D3469" s="29" t="s">
        <v>3644</v>
      </c>
      <c r="E3469" s="29" t="s">
        <v>3645</v>
      </c>
      <c r="F3469" s="29" t="s">
        <v>3647</v>
      </c>
      <c r="G3469" s="20" t="str">
        <f t="shared" si="1"/>
        <v>Home &amp; Garden, Kitchen &amp; Dining, Cookware &amp; Bakeware, BakewareBaking &amp; Cookie Sheets</v>
      </c>
    </row>
    <row r="3470">
      <c r="A3470" s="29">
        <v>642.0</v>
      </c>
      <c r="B3470" s="29" t="s">
        <v>3234</v>
      </c>
      <c r="C3470" s="29" t="s">
        <v>3621</v>
      </c>
      <c r="D3470" s="29" t="s">
        <v>3644</v>
      </c>
      <c r="E3470" s="29" t="s">
        <v>3645</v>
      </c>
      <c r="F3470" s="29" t="s">
        <v>3648</v>
      </c>
      <c r="G3470" s="20" t="str">
        <f t="shared" si="1"/>
        <v>Home &amp; Garden, Kitchen &amp; Dining, Cookware &amp; Bakeware, BakewareBread Pans &amp; Molds</v>
      </c>
    </row>
    <row r="3471">
      <c r="A3471" s="29">
        <v>6756.0</v>
      </c>
      <c r="B3471" s="29" t="s">
        <v>3234</v>
      </c>
      <c r="C3471" s="29" t="s">
        <v>3621</v>
      </c>
      <c r="D3471" s="29" t="s">
        <v>3644</v>
      </c>
      <c r="E3471" s="29" t="s">
        <v>3645</v>
      </c>
      <c r="F3471" s="29" t="s">
        <v>3649</v>
      </c>
      <c r="G3471" s="20" t="str">
        <f t="shared" si="1"/>
        <v>Home &amp; Garden, Kitchen &amp; Dining, Cookware &amp; Bakeware, BakewareBroiling Pans</v>
      </c>
    </row>
    <row r="3472">
      <c r="A3472" s="29">
        <v>643.0</v>
      </c>
      <c r="B3472" s="29" t="s">
        <v>3234</v>
      </c>
      <c r="C3472" s="29" t="s">
        <v>3621</v>
      </c>
      <c r="D3472" s="29" t="s">
        <v>3644</v>
      </c>
      <c r="E3472" s="29" t="s">
        <v>3645</v>
      </c>
      <c r="F3472" s="29" t="s">
        <v>3650</v>
      </c>
      <c r="G3472" s="20" t="str">
        <f t="shared" si="1"/>
        <v>Home &amp; Garden, Kitchen &amp; Dining, Cookware &amp; Bakeware, BakewareCake Pans &amp; Molds</v>
      </c>
    </row>
    <row r="3473">
      <c r="A3473" s="29">
        <v>644.0</v>
      </c>
      <c r="B3473" s="29" t="s">
        <v>3234</v>
      </c>
      <c r="C3473" s="29" t="s">
        <v>3621</v>
      </c>
      <c r="D3473" s="29" t="s">
        <v>3644</v>
      </c>
      <c r="E3473" s="29" t="s">
        <v>3645</v>
      </c>
      <c r="F3473" s="29" t="s">
        <v>3651</v>
      </c>
      <c r="G3473" s="20" t="str">
        <f t="shared" si="1"/>
        <v>Home &amp; Garden, Kitchen &amp; Dining, Cookware &amp; Bakeware, BakewareMuffin &amp; Pastry Pans</v>
      </c>
    </row>
    <row r="3474">
      <c r="A3474" s="29">
        <v>645.0</v>
      </c>
      <c r="B3474" s="29" t="s">
        <v>3234</v>
      </c>
      <c r="C3474" s="29" t="s">
        <v>3621</v>
      </c>
      <c r="D3474" s="29" t="s">
        <v>3644</v>
      </c>
      <c r="E3474" s="29" t="s">
        <v>3645</v>
      </c>
      <c r="F3474" s="29" t="s">
        <v>3652</v>
      </c>
      <c r="G3474" s="20" t="str">
        <f t="shared" si="1"/>
        <v>Home &amp; Garden, Kitchen &amp; Dining, Cookware &amp; Bakeware, BakewarePie &amp; Quiche Pans</v>
      </c>
    </row>
    <row r="3475">
      <c r="A3475" s="29">
        <v>2843.0</v>
      </c>
      <c r="B3475" s="29" t="s">
        <v>3234</v>
      </c>
      <c r="C3475" s="29" t="s">
        <v>3621</v>
      </c>
      <c r="D3475" s="29" t="s">
        <v>3644</v>
      </c>
      <c r="E3475" s="29" t="s">
        <v>3645</v>
      </c>
      <c r="F3475" s="29" t="s">
        <v>3653</v>
      </c>
      <c r="G3475" s="20" t="str">
        <f t="shared" si="1"/>
        <v>Home &amp; Garden, Kitchen &amp; Dining, Cookware &amp; Bakeware, BakewarePizza Pans</v>
      </c>
    </row>
    <row r="3476">
      <c r="A3476" s="29">
        <v>646.0</v>
      </c>
      <c r="B3476" s="29" t="s">
        <v>3234</v>
      </c>
      <c r="C3476" s="29" t="s">
        <v>3621</v>
      </c>
      <c r="D3476" s="29" t="s">
        <v>3644</v>
      </c>
      <c r="E3476" s="29" t="s">
        <v>3645</v>
      </c>
      <c r="F3476" s="29" t="s">
        <v>3654</v>
      </c>
      <c r="G3476" s="20" t="str">
        <f t="shared" si="1"/>
        <v>Home &amp; Garden, Kitchen &amp; Dining, Cookware &amp; Bakeware, BakewarePizza Stones</v>
      </c>
    </row>
    <row r="3477">
      <c r="A3477" s="29">
        <v>647.0</v>
      </c>
      <c r="B3477" s="29" t="s">
        <v>3234</v>
      </c>
      <c r="C3477" s="29" t="s">
        <v>3621</v>
      </c>
      <c r="D3477" s="29" t="s">
        <v>3644</v>
      </c>
      <c r="E3477" s="29" t="s">
        <v>3645</v>
      </c>
      <c r="F3477" s="29" t="s">
        <v>3655</v>
      </c>
      <c r="G3477" s="20" t="str">
        <f t="shared" si="1"/>
        <v>Home &amp; Garden, Kitchen &amp; Dining, Cookware &amp; Bakeware, BakewareRamekins &amp; Souffle Dishes</v>
      </c>
    </row>
    <row r="3478">
      <c r="A3478" s="29">
        <v>648.0</v>
      </c>
      <c r="B3478" s="29" t="s">
        <v>3234</v>
      </c>
      <c r="C3478" s="29" t="s">
        <v>3621</v>
      </c>
      <c r="D3478" s="29" t="s">
        <v>3644</v>
      </c>
      <c r="E3478" s="29" t="s">
        <v>3645</v>
      </c>
      <c r="F3478" s="29" t="s">
        <v>3656</v>
      </c>
      <c r="G3478" s="20" t="str">
        <f t="shared" si="1"/>
        <v>Home &amp; Garden, Kitchen &amp; Dining, Cookware &amp; Bakeware, BakewareRoasting Pans</v>
      </c>
    </row>
    <row r="3479">
      <c r="A3479" s="29">
        <v>4502.0</v>
      </c>
      <c r="B3479" s="29" t="s">
        <v>3234</v>
      </c>
      <c r="C3479" s="29" t="s">
        <v>3621</v>
      </c>
      <c r="D3479" s="29" t="s">
        <v>3644</v>
      </c>
      <c r="E3479" s="29" t="s">
        <v>3657</v>
      </c>
      <c r="F3479" s="62"/>
      <c r="G3479" s="20" t="str">
        <f t="shared" si="1"/>
        <v>Home &amp; Garden, Kitchen &amp; Dining, Cookware &amp; Bakeware, Bakeware Accessories</v>
      </c>
    </row>
    <row r="3480">
      <c r="A3480" s="29">
        <v>4503.0</v>
      </c>
      <c r="B3480" s="29" t="s">
        <v>3234</v>
      </c>
      <c r="C3480" s="29" t="s">
        <v>3621</v>
      </c>
      <c r="D3480" s="29" t="s">
        <v>3644</v>
      </c>
      <c r="E3480" s="29" t="s">
        <v>3657</v>
      </c>
      <c r="F3480" s="29" t="s">
        <v>3658</v>
      </c>
      <c r="G3480" s="20" t="str">
        <f t="shared" si="1"/>
        <v>Home &amp; Garden, Kitchen &amp; Dining, Cookware &amp; Bakeware, Bakeware AccessoriesBaking Mats &amp; Liners</v>
      </c>
    </row>
    <row r="3481">
      <c r="A3481" s="29">
        <v>7131.0</v>
      </c>
      <c r="B3481" s="29" t="s">
        <v>3234</v>
      </c>
      <c r="C3481" s="29" t="s">
        <v>3621</v>
      </c>
      <c r="D3481" s="29" t="s">
        <v>3644</v>
      </c>
      <c r="E3481" s="29" t="s">
        <v>3657</v>
      </c>
      <c r="F3481" s="29" t="s">
        <v>3659</v>
      </c>
      <c r="G3481" s="20" t="str">
        <f t="shared" si="1"/>
        <v>Home &amp; Garden, Kitchen &amp; Dining, Cookware &amp; Bakeware, Bakeware AccessoriesBaking Weights</v>
      </c>
    </row>
    <row r="3482">
      <c r="A3482" s="29">
        <v>4726.0</v>
      </c>
      <c r="B3482" s="29" t="s">
        <v>3234</v>
      </c>
      <c r="C3482" s="29" t="s">
        <v>3621</v>
      </c>
      <c r="D3482" s="29" t="s">
        <v>3644</v>
      </c>
      <c r="E3482" s="29" t="s">
        <v>3657</v>
      </c>
      <c r="F3482" s="29" t="s">
        <v>3660</v>
      </c>
      <c r="G3482" s="20" t="str">
        <f t="shared" si="1"/>
        <v>Home &amp; Garden, Kitchen &amp; Dining, Cookware &amp; Bakeware, Bakeware AccessoriesRoasting Pan Racks</v>
      </c>
    </row>
    <row r="3483">
      <c r="A3483" s="29">
        <v>654.0</v>
      </c>
      <c r="B3483" s="29" t="s">
        <v>3234</v>
      </c>
      <c r="C3483" s="29" t="s">
        <v>3621</v>
      </c>
      <c r="D3483" s="29" t="s">
        <v>3644</v>
      </c>
      <c r="E3483" s="29" t="s">
        <v>3661</v>
      </c>
      <c r="F3483" s="62"/>
      <c r="G3483" s="20" t="str">
        <f t="shared" si="1"/>
        <v>Home &amp; Garden, Kitchen &amp; Dining, Cookware &amp; Bakeware, Cookware</v>
      </c>
    </row>
    <row r="3484">
      <c r="A3484" s="29">
        <v>6071.0</v>
      </c>
      <c r="B3484" s="29" t="s">
        <v>3234</v>
      </c>
      <c r="C3484" s="29" t="s">
        <v>3621</v>
      </c>
      <c r="D3484" s="29" t="s">
        <v>3644</v>
      </c>
      <c r="E3484" s="29" t="s">
        <v>3662</v>
      </c>
      <c r="G3484" s="20" t="str">
        <f t="shared" si="1"/>
        <v>Home &amp; Garden, Kitchen &amp; Dining, Cookware &amp; Bakeware, Cookware &amp; Bakeware Combo Sets</v>
      </c>
    </row>
    <row r="3485">
      <c r="A3485" s="29">
        <v>655.0</v>
      </c>
      <c r="B3485" s="29" t="s">
        <v>3234</v>
      </c>
      <c r="C3485" s="29" t="s">
        <v>3621</v>
      </c>
      <c r="D3485" s="29" t="s">
        <v>3644</v>
      </c>
      <c r="E3485" s="29" t="s">
        <v>3661</v>
      </c>
      <c r="F3485" s="29" t="s">
        <v>3663</v>
      </c>
      <c r="G3485" s="20" t="str">
        <f t="shared" si="1"/>
        <v>Home &amp; Garden, Kitchen &amp; Dining, Cookware &amp; Bakeware, CookwareCasserole Dishes</v>
      </c>
    </row>
    <row r="3486">
      <c r="A3486" s="29">
        <v>4721.0</v>
      </c>
      <c r="B3486" s="29" t="s">
        <v>3234</v>
      </c>
      <c r="C3486" s="29" t="s">
        <v>3621</v>
      </c>
      <c r="D3486" s="29" t="s">
        <v>3644</v>
      </c>
      <c r="E3486" s="29" t="s">
        <v>3661</v>
      </c>
      <c r="F3486" s="29" t="s">
        <v>3664</v>
      </c>
      <c r="G3486" s="20" t="str">
        <f t="shared" si="1"/>
        <v>Home &amp; Garden, Kitchen &amp; Dining, Cookware &amp; Bakeware, CookwareCookware Sets</v>
      </c>
    </row>
    <row r="3487">
      <c r="A3487" s="29">
        <v>6838.0</v>
      </c>
      <c r="B3487" s="29" t="s">
        <v>3234</v>
      </c>
      <c r="C3487" s="29" t="s">
        <v>3621</v>
      </c>
      <c r="D3487" s="29" t="s">
        <v>3644</v>
      </c>
      <c r="E3487" s="29" t="s">
        <v>3661</v>
      </c>
      <c r="F3487" s="29" t="s">
        <v>3665</v>
      </c>
      <c r="G3487" s="20" t="str">
        <f t="shared" si="1"/>
        <v>Home &amp; Garden, Kitchen &amp; Dining, Cookware &amp; Bakeware, CookwareCrêpe &amp; Blini Pans</v>
      </c>
    </row>
    <row r="3488">
      <c r="A3488" s="29">
        <v>656.0</v>
      </c>
      <c r="B3488" s="29" t="s">
        <v>3234</v>
      </c>
      <c r="C3488" s="29" t="s">
        <v>3621</v>
      </c>
      <c r="D3488" s="29" t="s">
        <v>3644</v>
      </c>
      <c r="E3488" s="29" t="s">
        <v>3661</v>
      </c>
      <c r="F3488" s="29" t="s">
        <v>3666</v>
      </c>
      <c r="G3488" s="20" t="str">
        <f t="shared" si="1"/>
        <v>Home &amp; Garden, Kitchen &amp; Dining, Cookware &amp; Bakeware, CookwareDouble Boilers</v>
      </c>
    </row>
    <row r="3489">
      <c r="A3489" s="29">
        <v>657.0</v>
      </c>
      <c r="B3489" s="29" t="s">
        <v>3234</v>
      </c>
      <c r="C3489" s="29" t="s">
        <v>3621</v>
      </c>
      <c r="D3489" s="29" t="s">
        <v>3644</v>
      </c>
      <c r="E3489" s="29" t="s">
        <v>3661</v>
      </c>
      <c r="F3489" s="29" t="s">
        <v>3667</v>
      </c>
      <c r="G3489" s="20" t="str">
        <f t="shared" si="1"/>
        <v>Home &amp; Garden, Kitchen &amp; Dining, Cookware &amp; Bakeware, CookwareDutch Ovens</v>
      </c>
    </row>
    <row r="3490">
      <c r="A3490" s="29">
        <v>6518.0</v>
      </c>
      <c r="B3490" s="29" t="s">
        <v>3234</v>
      </c>
      <c r="C3490" s="29" t="s">
        <v>3621</v>
      </c>
      <c r="D3490" s="29" t="s">
        <v>3644</v>
      </c>
      <c r="E3490" s="29" t="s">
        <v>3661</v>
      </c>
      <c r="F3490" s="29" t="s">
        <v>3668</v>
      </c>
      <c r="G3490" s="20" t="str">
        <f t="shared" si="1"/>
        <v>Home &amp; Garden, Kitchen &amp; Dining, Cookware &amp; Bakeware, CookwareFermentation &amp; Pickling Crocks</v>
      </c>
    </row>
    <row r="3491">
      <c r="A3491" s="29">
        <v>658.0</v>
      </c>
      <c r="B3491" s="29" t="s">
        <v>3234</v>
      </c>
      <c r="C3491" s="29" t="s">
        <v>3621</v>
      </c>
      <c r="D3491" s="29" t="s">
        <v>3644</v>
      </c>
      <c r="E3491" s="29" t="s">
        <v>3661</v>
      </c>
      <c r="F3491" s="29" t="s">
        <v>3669</v>
      </c>
      <c r="G3491" s="20" t="str">
        <f t="shared" si="1"/>
        <v>Home &amp; Garden, Kitchen &amp; Dining, Cookware &amp; Bakeware, CookwareGriddles &amp; Grill Pans</v>
      </c>
    </row>
    <row r="3492">
      <c r="A3492" s="29">
        <v>5110.0</v>
      </c>
      <c r="B3492" s="29" t="s">
        <v>3234</v>
      </c>
      <c r="C3492" s="29" t="s">
        <v>3621</v>
      </c>
      <c r="D3492" s="29" t="s">
        <v>3644</v>
      </c>
      <c r="E3492" s="29" t="s">
        <v>3661</v>
      </c>
      <c r="F3492" s="29" t="s">
        <v>3670</v>
      </c>
      <c r="G3492" s="20" t="str">
        <f t="shared" si="1"/>
        <v>Home &amp; Garden, Kitchen &amp; Dining, Cookware &amp; Bakeware, CookwareGrill Presses</v>
      </c>
    </row>
    <row r="3493">
      <c r="A3493" s="29">
        <v>4459.0</v>
      </c>
      <c r="B3493" s="29" t="s">
        <v>3234</v>
      </c>
      <c r="C3493" s="29" t="s">
        <v>3621</v>
      </c>
      <c r="D3493" s="29" t="s">
        <v>3644</v>
      </c>
      <c r="E3493" s="29" t="s">
        <v>3661</v>
      </c>
      <c r="F3493" s="29" t="s">
        <v>3671</v>
      </c>
      <c r="G3493" s="20" t="str">
        <f t="shared" si="1"/>
        <v>Home &amp; Garden, Kitchen &amp; Dining, Cookware &amp; Bakeware, CookwarePaella Pans</v>
      </c>
    </row>
    <row r="3494">
      <c r="A3494" s="29">
        <v>660.0</v>
      </c>
      <c r="B3494" s="29" t="s">
        <v>3234</v>
      </c>
      <c r="C3494" s="29" t="s">
        <v>3621</v>
      </c>
      <c r="D3494" s="29" t="s">
        <v>3644</v>
      </c>
      <c r="E3494" s="29" t="s">
        <v>3661</v>
      </c>
      <c r="F3494" s="29" t="s">
        <v>3672</v>
      </c>
      <c r="G3494" s="20" t="str">
        <f t="shared" si="1"/>
        <v>Home &amp; Garden, Kitchen &amp; Dining, Cookware &amp; Bakeware, CookwarePressure Cookers &amp; Canners</v>
      </c>
    </row>
    <row r="3495">
      <c r="A3495" s="29">
        <v>661.0</v>
      </c>
      <c r="B3495" s="29" t="s">
        <v>3234</v>
      </c>
      <c r="C3495" s="29" t="s">
        <v>3621</v>
      </c>
      <c r="D3495" s="29" t="s">
        <v>3644</v>
      </c>
      <c r="E3495" s="29" t="s">
        <v>3661</v>
      </c>
      <c r="F3495" s="29" t="s">
        <v>3673</v>
      </c>
      <c r="G3495" s="20" t="str">
        <f t="shared" si="1"/>
        <v>Home &amp; Garden, Kitchen &amp; Dining, Cookware &amp; Bakeware, CookwareSaucepans</v>
      </c>
    </row>
    <row r="3496">
      <c r="A3496" s="29">
        <v>4423.0</v>
      </c>
      <c r="B3496" s="29" t="s">
        <v>3234</v>
      </c>
      <c r="C3496" s="29" t="s">
        <v>3621</v>
      </c>
      <c r="D3496" s="29" t="s">
        <v>3644</v>
      </c>
      <c r="E3496" s="29" t="s">
        <v>3661</v>
      </c>
      <c r="F3496" s="29" t="s">
        <v>3674</v>
      </c>
      <c r="G3496" s="20" t="str">
        <f t="shared" si="1"/>
        <v>Home &amp; Garden, Kitchen &amp; Dining, Cookware &amp; Bakeware, CookwareSauté Pans</v>
      </c>
    </row>
    <row r="3497">
      <c r="A3497" s="29">
        <v>662.0</v>
      </c>
      <c r="B3497" s="29" t="s">
        <v>3234</v>
      </c>
      <c r="C3497" s="29" t="s">
        <v>3621</v>
      </c>
      <c r="D3497" s="29" t="s">
        <v>3644</v>
      </c>
      <c r="E3497" s="29" t="s">
        <v>3661</v>
      </c>
      <c r="F3497" s="29" t="s">
        <v>3675</v>
      </c>
      <c r="G3497" s="20" t="str">
        <f t="shared" si="1"/>
        <v>Home &amp; Garden, Kitchen &amp; Dining, Cookware &amp; Bakeware, CookwareSkillets &amp; Frying Pans</v>
      </c>
    </row>
    <row r="3498">
      <c r="A3498" s="29">
        <v>663.0</v>
      </c>
      <c r="B3498" s="29" t="s">
        <v>3234</v>
      </c>
      <c r="C3498" s="29" t="s">
        <v>3621</v>
      </c>
      <c r="D3498" s="29" t="s">
        <v>3644</v>
      </c>
      <c r="E3498" s="29" t="s">
        <v>3661</v>
      </c>
      <c r="F3498" s="29" t="s">
        <v>3676</v>
      </c>
      <c r="G3498" s="20" t="str">
        <f t="shared" si="1"/>
        <v>Home &amp; Garden, Kitchen &amp; Dining, Cookware &amp; Bakeware, CookwareStock Pots</v>
      </c>
    </row>
    <row r="3499">
      <c r="A3499" s="29">
        <v>659.0</v>
      </c>
      <c r="B3499" s="29" t="s">
        <v>3234</v>
      </c>
      <c r="C3499" s="29" t="s">
        <v>3621</v>
      </c>
      <c r="D3499" s="29" t="s">
        <v>3644</v>
      </c>
      <c r="E3499" s="29" t="s">
        <v>3661</v>
      </c>
      <c r="F3499" s="29" t="s">
        <v>3677</v>
      </c>
      <c r="G3499" s="20" t="str">
        <f t="shared" si="1"/>
        <v>Home &amp; Garden, Kitchen &amp; Dining, Cookware &amp; Bakeware, CookwareStovetop Kettles</v>
      </c>
    </row>
    <row r="3500">
      <c r="A3500" s="29">
        <v>5340.0</v>
      </c>
      <c r="B3500" s="29" t="s">
        <v>3234</v>
      </c>
      <c r="C3500" s="29" t="s">
        <v>3621</v>
      </c>
      <c r="D3500" s="29" t="s">
        <v>3644</v>
      </c>
      <c r="E3500" s="29" t="s">
        <v>3661</v>
      </c>
      <c r="F3500" s="29" t="s">
        <v>3678</v>
      </c>
      <c r="G3500" s="20" t="str">
        <f t="shared" si="1"/>
        <v>Home &amp; Garden, Kitchen &amp; Dining, Cookware &amp; Bakeware, CookwareTagines &amp; Clay Cooking Pots</v>
      </c>
    </row>
    <row r="3501">
      <c r="A3501" s="29">
        <v>664.0</v>
      </c>
      <c r="B3501" s="29" t="s">
        <v>3234</v>
      </c>
      <c r="C3501" s="29" t="s">
        <v>3621</v>
      </c>
      <c r="D3501" s="29" t="s">
        <v>3644</v>
      </c>
      <c r="E3501" s="29" t="s">
        <v>3661</v>
      </c>
      <c r="F3501" s="29" t="s">
        <v>3679</v>
      </c>
      <c r="G3501" s="20" t="str">
        <f t="shared" si="1"/>
        <v>Home &amp; Garden, Kitchen &amp; Dining, Cookware &amp; Bakeware, CookwareWoks</v>
      </c>
    </row>
    <row r="3502">
      <c r="A3502" s="29">
        <v>4424.0</v>
      </c>
      <c r="B3502" s="29" t="s">
        <v>3234</v>
      </c>
      <c r="C3502" s="29" t="s">
        <v>3621</v>
      </c>
      <c r="D3502" s="29" t="s">
        <v>3644</v>
      </c>
      <c r="E3502" s="29" t="s">
        <v>3680</v>
      </c>
      <c r="F3502" s="62"/>
      <c r="G3502" s="20" t="str">
        <f t="shared" si="1"/>
        <v>Home &amp; Garden, Kitchen &amp; Dining, Cookware &amp; Bakeware, Cookware Accessories</v>
      </c>
    </row>
    <row r="3503">
      <c r="A3503" s="29">
        <v>4661.0</v>
      </c>
      <c r="B3503" s="29" t="s">
        <v>3234</v>
      </c>
      <c r="C3503" s="29" t="s">
        <v>3621</v>
      </c>
      <c r="D3503" s="29" t="s">
        <v>3644</v>
      </c>
      <c r="E3503" s="29" t="s">
        <v>3680</v>
      </c>
      <c r="F3503" s="29" t="s">
        <v>3681</v>
      </c>
      <c r="G3503" s="20" t="str">
        <f t="shared" si="1"/>
        <v>Home &amp; Garden, Kitchen &amp; Dining, Cookware &amp; Bakeware, Cookware AccessoriesPot &amp; Pan Handles</v>
      </c>
    </row>
    <row r="3504">
      <c r="A3504" s="29">
        <v>4660.0</v>
      </c>
      <c r="B3504" s="29" t="s">
        <v>3234</v>
      </c>
      <c r="C3504" s="29" t="s">
        <v>3621</v>
      </c>
      <c r="D3504" s="29" t="s">
        <v>3644</v>
      </c>
      <c r="E3504" s="29" t="s">
        <v>3680</v>
      </c>
      <c r="F3504" s="29" t="s">
        <v>3682</v>
      </c>
      <c r="G3504" s="20" t="str">
        <f t="shared" si="1"/>
        <v>Home &amp; Garden, Kitchen &amp; Dining, Cookware &amp; Bakeware, Cookware AccessoriesPot &amp; Pan Lids</v>
      </c>
    </row>
    <row r="3505">
      <c r="A3505" s="29">
        <v>4501.0</v>
      </c>
      <c r="B3505" s="29" t="s">
        <v>3234</v>
      </c>
      <c r="C3505" s="29" t="s">
        <v>3621</v>
      </c>
      <c r="D3505" s="29" t="s">
        <v>3644</v>
      </c>
      <c r="E3505" s="29" t="s">
        <v>3680</v>
      </c>
      <c r="F3505" s="29" t="s">
        <v>3683</v>
      </c>
      <c r="G3505" s="20" t="str">
        <f t="shared" si="1"/>
        <v>Home &amp; Garden, Kitchen &amp; Dining, Cookware &amp; Bakeware, Cookware AccessoriesPressure Cooker &amp; Canner Accessories</v>
      </c>
    </row>
    <row r="3506">
      <c r="A3506" s="29">
        <v>4529.0</v>
      </c>
      <c r="B3506" s="29" t="s">
        <v>3234</v>
      </c>
      <c r="C3506" s="29" t="s">
        <v>3621</v>
      </c>
      <c r="D3506" s="29" t="s">
        <v>3644</v>
      </c>
      <c r="E3506" s="29" t="s">
        <v>3680</v>
      </c>
      <c r="F3506" s="29" t="s">
        <v>3684</v>
      </c>
      <c r="G3506" s="20" t="str">
        <f t="shared" si="1"/>
        <v>Home &amp; Garden, Kitchen &amp; Dining, Cookware &amp; Bakeware, Cookware AccessoriesSteamer Baskets</v>
      </c>
    </row>
    <row r="3507">
      <c r="A3507" s="29">
        <v>4427.0</v>
      </c>
      <c r="B3507" s="29" t="s">
        <v>3234</v>
      </c>
      <c r="C3507" s="29" t="s">
        <v>3621</v>
      </c>
      <c r="D3507" s="29" t="s">
        <v>3644</v>
      </c>
      <c r="E3507" s="29" t="s">
        <v>3680</v>
      </c>
      <c r="F3507" s="29" t="s">
        <v>3685</v>
      </c>
      <c r="G3507" s="20" t="str">
        <f t="shared" si="1"/>
        <v>Home &amp; Garden, Kitchen &amp; Dining, Cookware &amp; Bakeware, Cookware AccessoriesWok Accessories</v>
      </c>
    </row>
    <row r="3508">
      <c r="A3508" s="29">
        <v>4663.0</v>
      </c>
      <c r="B3508" s="29" t="s">
        <v>3234</v>
      </c>
      <c r="C3508" s="29" t="s">
        <v>3621</v>
      </c>
      <c r="D3508" s="29" t="s">
        <v>3644</v>
      </c>
      <c r="E3508" s="29" t="s">
        <v>3680</v>
      </c>
      <c r="F3508" s="29" t="s">
        <v>3685</v>
      </c>
      <c r="G3508" s="20" t="str">
        <f t="shared" si="1"/>
        <v>Home &amp; Garden, Kitchen &amp; Dining, Cookware &amp; Bakeware, Cookware AccessoriesWok Accessories</v>
      </c>
    </row>
    <row r="3509">
      <c r="A3509" s="29">
        <v>4662.0</v>
      </c>
      <c r="B3509" s="29" t="s">
        <v>3234</v>
      </c>
      <c r="C3509" s="29" t="s">
        <v>3621</v>
      </c>
      <c r="D3509" s="29" t="s">
        <v>3644</v>
      </c>
      <c r="E3509" s="29" t="s">
        <v>3680</v>
      </c>
      <c r="F3509" s="29" t="s">
        <v>3685</v>
      </c>
      <c r="G3509" s="20" t="str">
        <f t="shared" si="1"/>
        <v>Home &amp; Garden, Kitchen &amp; Dining, Cookware &amp; Bakeware, Cookware AccessoriesWok Accessories</v>
      </c>
    </row>
    <row r="3510">
      <c r="A3510" s="29">
        <v>2920.0</v>
      </c>
      <c r="B3510" s="29" t="s">
        <v>3234</v>
      </c>
      <c r="C3510" s="29" t="s">
        <v>3621</v>
      </c>
      <c r="D3510" s="29" t="s">
        <v>3686</v>
      </c>
      <c r="F3510" s="62"/>
      <c r="G3510" s="20" t="str">
        <f t="shared" si="1"/>
        <v>Home &amp; Garden, Kitchen &amp; Dining, Food &amp; Beverage Carriers, </v>
      </c>
    </row>
    <row r="3511">
      <c r="A3511" s="29">
        <v>4722.0</v>
      </c>
      <c r="B3511" s="29" t="s">
        <v>3234</v>
      </c>
      <c r="C3511" s="29" t="s">
        <v>3621</v>
      </c>
      <c r="D3511" s="29" t="s">
        <v>3686</v>
      </c>
      <c r="E3511" s="29" t="s">
        <v>3687</v>
      </c>
      <c r="F3511" s="62"/>
      <c r="G3511" s="20" t="str">
        <f t="shared" si="1"/>
        <v>Home &amp; Garden, Kitchen &amp; Dining, Food &amp; Beverage Carriers, Airpots</v>
      </c>
    </row>
    <row r="3512">
      <c r="A3512" s="29">
        <v>3435.0</v>
      </c>
      <c r="B3512" s="29" t="s">
        <v>3234</v>
      </c>
      <c r="C3512" s="29" t="s">
        <v>3621</v>
      </c>
      <c r="D3512" s="29" t="s">
        <v>3686</v>
      </c>
      <c r="E3512" s="29" t="s">
        <v>3688</v>
      </c>
      <c r="F3512" s="62"/>
      <c r="G3512" s="20" t="str">
        <f t="shared" si="1"/>
        <v>Home &amp; Garden, Kitchen &amp; Dining, Food &amp; Beverage Carriers, Canteens</v>
      </c>
    </row>
    <row r="3513">
      <c r="A3513" s="29">
        <v>1017.0</v>
      </c>
      <c r="B3513" s="29" t="s">
        <v>3234</v>
      </c>
      <c r="C3513" s="29" t="s">
        <v>3621</v>
      </c>
      <c r="D3513" s="29" t="s">
        <v>3686</v>
      </c>
      <c r="E3513" s="29" t="s">
        <v>3689</v>
      </c>
      <c r="F3513" s="62"/>
      <c r="G3513" s="20" t="str">
        <f t="shared" si="1"/>
        <v>Home &amp; Garden, Kitchen &amp; Dining, Food &amp; Beverage Carriers, Coolers</v>
      </c>
    </row>
    <row r="3514">
      <c r="A3514" s="29">
        <v>4520.0</v>
      </c>
      <c r="B3514" s="29" t="s">
        <v>3234</v>
      </c>
      <c r="C3514" s="29" t="s">
        <v>3621</v>
      </c>
      <c r="D3514" s="29" t="s">
        <v>3686</v>
      </c>
      <c r="E3514" s="29" t="s">
        <v>3690</v>
      </c>
      <c r="F3514" s="62"/>
      <c r="G3514" s="20" t="str">
        <f t="shared" si="1"/>
        <v>Home &amp; Garden, Kitchen &amp; Dining, Food &amp; Beverage Carriers, Drink Sleeves</v>
      </c>
    </row>
    <row r="3515">
      <c r="A3515" s="29">
        <v>4521.0</v>
      </c>
      <c r="B3515" s="29" t="s">
        <v>3234</v>
      </c>
      <c r="C3515" s="29" t="s">
        <v>3621</v>
      </c>
      <c r="D3515" s="29" t="s">
        <v>3686</v>
      </c>
      <c r="E3515" s="29" t="s">
        <v>3690</v>
      </c>
      <c r="F3515" s="29" t="s">
        <v>3691</v>
      </c>
      <c r="G3515" s="20" t="str">
        <f t="shared" si="1"/>
        <v>Home &amp; Garden, Kitchen &amp; Dining, Food &amp; Beverage Carriers, Drink SleevesCan &amp; Bottle Sleeves</v>
      </c>
    </row>
    <row r="3516">
      <c r="A3516" s="29">
        <v>4522.0</v>
      </c>
      <c r="B3516" s="29" t="s">
        <v>3234</v>
      </c>
      <c r="C3516" s="29" t="s">
        <v>3621</v>
      </c>
      <c r="D3516" s="29" t="s">
        <v>3686</v>
      </c>
      <c r="E3516" s="29" t="s">
        <v>3690</v>
      </c>
      <c r="F3516" s="29" t="s">
        <v>3692</v>
      </c>
      <c r="G3516" s="20" t="str">
        <f t="shared" si="1"/>
        <v>Home &amp; Garden, Kitchen &amp; Dining, Food &amp; Beverage Carriers, Drink SleevesCup Sleeves</v>
      </c>
    </row>
    <row r="3517">
      <c r="A3517" s="29">
        <v>1444.0</v>
      </c>
      <c r="B3517" s="29" t="s">
        <v>3234</v>
      </c>
      <c r="C3517" s="29" t="s">
        <v>3621</v>
      </c>
      <c r="D3517" s="29" t="s">
        <v>3686</v>
      </c>
      <c r="E3517" s="29" t="s">
        <v>3693</v>
      </c>
      <c r="F3517" s="62"/>
      <c r="G3517" s="20" t="str">
        <f t="shared" si="1"/>
        <v>Home &amp; Garden, Kitchen &amp; Dining, Food &amp; Beverage Carriers, Flasks</v>
      </c>
    </row>
    <row r="3518">
      <c r="A3518" s="29">
        <v>2507.0</v>
      </c>
      <c r="B3518" s="29" t="s">
        <v>3234</v>
      </c>
      <c r="C3518" s="29" t="s">
        <v>3621</v>
      </c>
      <c r="D3518" s="29" t="s">
        <v>3686</v>
      </c>
      <c r="E3518" s="29" t="s">
        <v>3694</v>
      </c>
      <c r="F3518" s="62"/>
      <c r="G3518" s="20" t="str">
        <f t="shared" si="1"/>
        <v>Home &amp; Garden, Kitchen &amp; Dining, Food &amp; Beverage Carriers, Insulated Bags</v>
      </c>
    </row>
    <row r="3519">
      <c r="A3519" s="29">
        <v>669.0</v>
      </c>
      <c r="B3519" s="29" t="s">
        <v>3234</v>
      </c>
      <c r="C3519" s="29" t="s">
        <v>3621</v>
      </c>
      <c r="D3519" s="29" t="s">
        <v>3686</v>
      </c>
      <c r="E3519" s="29" t="s">
        <v>3695</v>
      </c>
      <c r="F3519" s="62"/>
      <c r="G3519" s="20" t="str">
        <f t="shared" si="1"/>
        <v>Home &amp; Garden, Kitchen &amp; Dining, Food &amp; Beverage Carriers, Lunch Boxes &amp; Totes</v>
      </c>
    </row>
    <row r="3520">
      <c r="A3520" s="29">
        <v>671.0</v>
      </c>
      <c r="B3520" s="29" t="s">
        <v>3234</v>
      </c>
      <c r="C3520" s="29" t="s">
        <v>3621</v>
      </c>
      <c r="D3520" s="29" t="s">
        <v>3686</v>
      </c>
      <c r="E3520" s="29" t="s">
        <v>3696</v>
      </c>
      <c r="F3520" s="62"/>
      <c r="G3520" s="20" t="str">
        <f t="shared" si="1"/>
        <v>Home &amp; Garden, Kitchen &amp; Dining, Food &amp; Beverage Carriers, Picnic Baskets</v>
      </c>
    </row>
    <row r="3521">
      <c r="A3521" s="29">
        <v>5060.0</v>
      </c>
      <c r="B3521" s="29" t="s">
        <v>3234</v>
      </c>
      <c r="C3521" s="29" t="s">
        <v>3621</v>
      </c>
      <c r="D3521" s="29" t="s">
        <v>3686</v>
      </c>
      <c r="E3521" s="29" t="s">
        <v>3697</v>
      </c>
      <c r="F3521" s="62"/>
      <c r="G3521" s="20" t="str">
        <f t="shared" si="1"/>
        <v>Home &amp; Garden, Kitchen &amp; Dining, Food &amp; Beverage Carriers, Replacement Drink Lids</v>
      </c>
    </row>
    <row r="3522">
      <c r="A3522" s="29">
        <v>3800.0</v>
      </c>
      <c r="B3522" s="29" t="s">
        <v>3234</v>
      </c>
      <c r="C3522" s="29" t="s">
        <v>3621</v>
      </c>
      <c r="D3522" s="29" t="s">
        <v>3686</v>
      </c>
      <c r="E3522" s="29" t="s">
        <v>3698</v>
      </c>
      <c r="F3522" s="62"/>
      <c r="G3522" s="20" t="str">
        <f t="shared" si="1"/>
        <v>Home &amp; Garden, Kitchen &amp; Dining, Food &amp; Beverage Carriers, Thermoses</v>
      </c>
    </row>
    <row r="3523">
      <c r="A3523" s="29">
        <v>3809.0</v>
      </c>
      <c r="B3523" s="29" t="s">
        <v>3234</v>
      </c>
      <c r="C3523" s="29" t="s">
        <v>3621</v>
      </c>
      <c r="D3523" s="29" t="s">
        <v>3686</v>
      </c>
      <c r="E3523" s="29" t="s">
        <v>3699</v>
      </c>
      <c r="F3523" s="62"/>
      <c r="G3523" s="20" t="str">
        <f t="shared" si="1"/>
        <v>Home &amp; Garden, Kitchen &amp; Dining, Food &amp; Beverage Carriers, Water Bottles</v>
      </c>
    </row>
    <row r="3524">
      <c r="A3524" s="29">
        <v>6449.0</v>
      </c>
      <c r="B3524" s="29" t="s">
        <v>3234</v>
      </c>
      <c r="C3524" s="29" t="s">
        <v>3621</v>
      </c>
      <c r="D3524" s="29" t="s">
        <v>3686</v>
      </c>
      <c r="E3524" s="29" t="s">
        <v>3700</v>
      </c>
      <c r="F3524" s="62"/>
      <c r="G3524" s="20" t="str">
        <f t="shared" si="1"/>
        <v>Home &amp; Garden, Kitchen &amp; Dining, Food &amp; Beverage Carriers, Wine Carrier Bags</v>
      </c>
    </row>
    <row r="3525">
      <c r="A3525" s="29">
        <v>2626.0</v>
      </c>
      <c r="B3525" s="29" t="s">
        <v>3234</v>
      </c>
      <c r="C3525" s="29" t="s">
        <v>3621</v>
      </c>
      <c r="D3525" s="29" t="s">
        <v>3701</v>
      </c>
      <c r="E3525" s="62"/>
      <c r="F3525" s="62"/>
      <c r="G3525" s="20" t="str">
        <f t="shared" si="1"/>
        <v>Home &amp; Garden, Kitchen &amp; Dining, Food Storage, </v>
      </c>
    </row>
    <row r="3526">
      <c r="A3526" s="29">
        <v>3337.0</v>
      </c>
      <c r="B3526" s="29" t="s">
        <v>3234</v>
      </c>
      <c r="C3526" s="29" t="s">
        <v>3621</v>
      </c>
      <c r="D3526" s="29" t="s">
        <v>3701</v>
      </c>
      <c r="E3526" s="29" t="s">
        <v>3702</v>
      </c>
      <c r="F3526" s="62"/>
      <c r="G3526" s="20" t="str">
        <f t="shared" si="1"/>
        <v>Home &amp; Garden, Kitchen &amp; Dining, Food Storage, Bread Boxes &amp; Bags</v>
      </c>
    </row>
    <row r="3527">
      <c r="A3527" s="29">
        <v>6534.0</v>
      </c>
      <c r="B3527" s="29" t="s">
        <v>3234</v>
      </c>
      <c r="C3527" s="29" t="s">
        <v>3621</v>
      </c>
      <c r="D3527" s="29" t="s">
        <v>3701</v>
      </c>
      <c r="E3527" s="29" t="s">
        <v>3703</v>
      </c>
      <c r="F3527" s="62"/>
      <c r="G3527" s="20" t="str">
        <f t="shared" si="1"/>
        <v>Home &amp; Garden, Kitchen &amp; Dining, Food Storage, Candy Buckets</v>
      </c>
    </row>
    <row r="3528">
      <c r="A3528" s="29">
        <v>2644.0</v>
      </c>
      <c r="B3528" s="29" t="s">
        <v>3234</v>
      </c>
      <c r="C3528" s="29" t="s">
        <v>3621</v>
      </c>
      <c r="D3528" s="29" t="s">
        <v>3701</v>
      </c>
      <c r="E3528" s="29" t="s">
        <v>3704</v>
      </c>
      <c r="F3528" s="62"/>
      <c r="G3528" s="20" t="str">
        <f t="shared" si="1"/>
        <v>Home &amp; Garden, Kitchen &amp; Dining, Food Storage, Cookie Jars</v>
      </c>
    </row>
    <row r="3529">
      <c r="A3529" s="29">
        <v>6481.0</v>
      </c>
      <c r="B3529" s="29" t="s">
        <v>3234</v>
      </c>
      <c r="C3529" s="29" t="s">
        <v>3621</v>
      </c>
      <c r="D3529" s="29" t="s">
        <v>3701</v>
      </c>
      <c r="E3529" s="29" t="s">
        <v>3705</v>
      </c>
      <c r="F3529" s="62"/>
      <c r="G3529" s="20" t="str">
        <f t="shared" si="1"/>
        <v>Home &amp; Garden, Kitchen &amp; Dining, Food Storage, Food Container Covers</v>
      </c>
    </row>
    <row r="3530">
      <c r="A3530" s="29">
        <v>3591.0</v>
      </c>
      <c r="B3530" s="29" t="s">
        <v>3234</v>
      </c>
      <c r="C3530" s="29" t="s">
        <v>3621</v>
      </c>
      <c r="D3530" s="29" t="s">
        <v>3701</v>
      </c>
      <c r="E3530" s="29" t="s">
        <v>3706</v>
      </c>
      <c r="F3530" s="62"/>
      <c r="G3530" s="20" t="str">
        <f t="shared" si="1"/>
        <v>Home &amp; Garden, Kitchen &amp; Dining, Food Storage, Food Storage Bags</v>
      </c>
    </row>
    <row r="3531">
      <c r="A3531" s="29">
        <v>667.0</v>
      </c>
      <c r="B3531" s="29" t="s">
        <v>3234</v>
      </c>
      <c r="C3531" s="29" t="s">
        <v>3621</v>
      </c>
      <c r="D3531" s="29" t="s">
        <v>3701</v>
      </c>
      <c r="E3531" s="29" t="s">
        <v>3707</v>
      </c>
      <c r="F3531" s="62"/>
      <c r="G3531" s="20" t="str">
        <f t="shared" si="1"/>
        <v>Home &amp; Garden, Kitchen &amp; Dining, Food Storage, Food Storage Containers</v>
      </c>
    </row>
    <row r="3532">
      <c r="A3532" s="29">
        <v>3110.0</v>
      </c>
      <c r="B3532" s="29" t="s">
        <v>3234</v>
      </c>
      <c r="C3532" s="29" t="s">
        <v>3621</v>
      </c>
      <c r="D3532" s="29" t="s">
        <v>3701</v>
      </c>
      <c r="E3532" s="29" t="s">
        <v>3708</v>
      </c>
      <c r="F3532" s="62"/>
      <c r="G3532" s="20" t="str">
        <f t="shared" si="1"/>
        <v>Home &amp; Garden, Kitchen &amp; Dining, Food Storage, Food Wraps</v>
      </c>
    </row>
    <row r="3533">
      <c r="A3533" s="29">
        <v>1496.0</v>
      </c>
      <c r="B3533" s="29" t="s">
        <v>3234</v>
      </c>
      <c r="C3533" s="29" t="s">
        <v>3621</v>
      </c>
      <c r="D3533" s="29" t="s">
        <v>3701</v>
      </c>
      <c r="E3533" s="29" t="s">
        <v>3708</v>
      </c>
      <c r="F3533" s="29" t="s">
        <v>3709</v>
      </c>
      <c r="G3533" s="20" t="str">
        <f t="shared" si="1"/>
        <v>Home &amp; Garden, Kitchen &amp; Dining, Food Storage, Food WrapsFoil</v>
      </c>
    </row>
    <row r="3534">
      <c r="A3534" s="29">
        <v>5642.0</v>
      </c>
      <c r="B3534" s="29" t="s">
        <v>3234</v>
      </c>
      <c r="C3534" s="29" t="s">
        <v>3621</v>
      </c>
      <c r="D3534" s="29" t="s">
        <v>3701</v>
      </c>
      <c r="E3534" s="29" t="s">
        <v>3708</v>
      </c>
      <c r="F3534" s="29" t="s">
        <v>3710</v>
      </c>
      <c r="G3534" s="20" t="str">
        <f t="shared" si="1"/>
        <v>Home &amp; Garden, Kitchen &amp; Dining, Food Storage, Food WrapsParchment Paper</v>
      </c>
    </row>
    <row r="3535">
      <c r="A3535" s="29">
        <v>3750.0</v>
      </c>
      <c r="B3535" s="29" t="s">
        <v>3234</v>
      </c>
      <c r="C3535" s="29" t="s">
        <v>3621</v>
      </c>
      <c r="D3535" s="29" t="s">
        <v>3701</v>
      </c>
      <c r="E3535" s="29" t="s">
        <v>3708</v>
      </c>
      <c r="F3535" s="29" t="s">
        <v>3711</v>
      </c>
      <c r="G3535" s="20" t="str">
        <f t="shared" si="1"/>
        <v>Home &amp; Garden, Kitchen &amp; Dining, Food Storage, Food WrapsPlastic Wrap</v>
      </c>
    </row>
    <row r="3536">
      <c r="A3536" s="29">
        <v>3956.0</v>
      </c>
      <c r="B3536" s="29" t="s">
        <v>3234</v>
      </c>
      <c r="C3536" s="29" t="s">
        <v>3621</v>
      </c>
      <c r="D3536" s="29" t="s">
        <v>3701</v>
      </c>
      <c r="E3536" s="29" t="s">
        <v>3708</v>
      </c>
      <c r="F3536" s="29" t="s">
        <v>3712</v>
      </c>
      <c r="G3536" s="20" t="str">
        <f t="shared" si="1"/>
        <v>Home &amp; Garden, Kitchen &amp; Dining, Food Storage, Food WrapsWax Paper</v>
      </c>
    </row>
    <row r="3537">
      <c r="A3537" s="29">
        <v>5134.0</v>
      </c>
      <c r="B3537" s="29" t="s">
        <v>3234</v>
      </c>
      <c r="C3537" s="29" t="s">
        <v>3621</v>
      </c>
      <c r="D3537" s="29" t="s">
        <v>3701</v>
      </c>
      <c r="E3537" s="29" t="s">
        <v>3713</v>
      </c>
      <c r="F3537" s="62"/>
      <c r="G3537" s="20" t="str">
        <f t="shared" si="1"/>
        <v>Home &amp; Garden, Kitchen &amp; Dining, Food Storage, Honey Jars</v>
      </c>
    </row>
    <row r="3538">
      <c r="A3538" s="29">
        <v>6478.0</v>
      </c>
      <c r="B3538" s="29" t="s">
        <v>3234</v>
      </c>
      <c r="C3538" s="29" t="s">
        <v>3621</v>
      </c>
      <c r="D3538" s="29" t="s">
        <v>3714</v>
      </c>
      <c r="F3538" s="62"/>
      <c r="G3538" s="20" t="str">
        <f t="shared" si="1"/>
        <v>Home &amp; Garden, Kitchen &amp; Dining, Food Storage Accessories, </v>
      </c>
    </row>
    <row r="3539">
      <c r="A3539" s="29">
        <v>499924.0</v>
      </c>
      <c r="B3539" s="29" t="s">
        <v>3234</v>
      </c>
      <c r="C3539" s="29" t="s">
        <v>3621</v>
      </c>
      <c r="D3539" s="29" t="s">
        <v>3714</v>
      </c>
      <c r="E3539" s="29" t="s">
        <v>3715</v>
      </c>
      <c r="F3539" s="62"/>
      <c r="G3539" s="20" t="str">
        <f t="shared" si="1"/>
        <v>Home &amp; Garden, Kitchen &amp; Dining, Food Storage Accessories, Food &amp; Beverage Labels</v>
      </c>
    </row>
    <row r="3540">
      <c r="A3540" s="29">
        <v>8039.0</v>
      </c>
      <c r="B3540" s="29" t="s">
        <v>3234</v>
      </c>
      <c r="C3540" s="29" t="s">
        <v>3621</v>
      </c>
      <c r="D3540" s="29" t="s">
        <v>3714</v>
      </c>
      <c r="E3540" s="29" t="s">
        <v>3716</v>
      </c>
      <c r="F3540" s="62"/>
      <c r="G3540" s="20" t="str">
        <f t="shared" si="1"/>
        <v>Home &amp; Garden, Kitchen &amp; Dining, Food Storage Accessories, Food Wrap Dispensers</v>
      </c>
    </row>
    <row r="3541">
      <c r="A3541" s="29">
        <v>6479.0</v>
      </c>
      <c r="B3541" s="29" t="s">
        <v>3234</v>
      </c>
      <c r="C3541" s="29" t="s">
        <v>3621</v>
      </c>
      <c r="D3541" s="29" t="s">
        <v>3714</v>
      </c>
      <c r="E3541" s="29" t="s">
        <v>3717</v>
      </c>
      <c r="F3541" s="62"/>
      <c r="G3541" s="20" t="str">
        <f t="shared" si="1"/>
        <v>Home &amp; Garden, Kitchen &amp; Dining, Food Storage Accessories, Oxygen Absorbers</v>
      </c>
    </row>
    <row r="3542">
      <c r="A3542" s="29">
        <v>5837.0</v>
      </c>
      <c r="B3542" s="29" t="s">
        <v>3234</v>
      </c>
      <c r="C3542" s="29" t="s">
        <v>3621</v>
      </c>
      <c r="D3542" s="29" t="s">
        <v>3714</v>
      </c>
      <c r="E3542" s="29" t="s">
        <v>3718</v>
      </c>
      <c r="F3542" s="62"/>
      <c r="G3542" s="20" t="str">
        <f t="shared" si="1"/>
        <v>Home &amp; Garden, Kitchen &amp; Dining, Food Storage Accessories, Twist Ties &amp; Bag Clips</v>
      </c>
    </row>
    <row r="3543">
      <c r="A3543" s="29">
        <v>2901.0</v>
      </c>
      <c r="B3543" s="29" t="s">
        <v>3234</v>
      </c>
      <c r="C3543" s="29" t="s">
        <v>3621</v>
      </c>
      <c r="D3543" s="29" t="s">
        <v>3719</v>
      </c>
      <c r="F3543" s="62"/>
      <c r="G3543" s="20" t="str">
        <f t="shared" si="1"/>
        <v>Home &amp; Garden, Kitchen &amp; Dining, Kitchen Appliance Accessories, </v>
      </c>
    </row>
    <row r="3544">
      <c r="A3544" s="29">
        <v>3489.0</v>
      </c>
      <c r="B3544" s="29" t="s">
        <v>3234</v>
      </c>
      <c r="C3544" s="29" t="s">
        <v>3621</v>
      </c>
      <c r="D3544" s="29" t="s">
        <v>3719</v>
      </c>
      <c r="E3544" s="29" t="s">
        <v>3720</v>
      </c>
      <c r="F3544" s="62"/>
      <c r="G3544" s="20" t="str">
        <f t="shared" si="1"/>
        <v>Home &amp; Garden, Kitchen &amp; Dining, Kitchen Appliance Accessories, Breadmaker Accessories</v>
      </c>
    </row>
    <row r="3545">
      <c r="A3545" s="29">
        <v>3988.0</v>
      </c>
      <c r="B3545" s="29" t="s">
        <v>3234</v>
      </c>
      <c r="C3545" s="29" t="s">
        <v>3621</v>
      </c>
      <c r="D3545" s="29" t="s">
        <v>3719</v>
      </c>
      <c r="E3545" s="29" t="s">
        <v>3721</v>
      </c>
      <c r="G3545" s="20" t="str">
        <f t="shared" si="1"/>
        <v>Home &amp; Garden, Kitchen &amp; Dining, Kitchen Appliance Accessories, Coffee Maker &amp; Espresso Machine Accessories</v>
      </c>
    </row>
    <row r="3546">
      <c r="A3546" s="29">
        <v>6888.0</v>
      </c>
      <c r="B3546" s="29" t="s">
        <v>3234</v>
      </c>
      <c r="C3546" s="29" t="s">
        <v>3621</v>
      </c>
      <c r="D3546" s="29" t="s">
        <v>3719</v>
      </c>
      <c r="E3546" s="29" t="s">
        <v>3721</v>
      </c>
      <c r="F3546" s="29" t="s">
        <v>3722</v>
      </c>
      <c r="G3546" s="20" t="str">
        <f t="shared" si="1"/>
        <v>Home &amp; Garden, Kitchen &amp; Dining, Kitchen Appliance Accessories, Coffee Maker &amp; Espresso Machine AccessoriesCoffee Decanter Warmers</v>
      </c>
    </row>
    <row r="3547">
      <c r="A3547" s="29">
        <v>3239.0</v>
      </c>
      <c r="B3547" s="29" t="s">
        <v>3234</v>
      </c>
      <c r="C3547" s="29" t="s">
        <v>3621</v>
      </c>
      <c r="D3547" s="29" t="s">
        <v>3719</v>
      </c>
      <c r="E3547" s="29" t="s">
        <v>3721</v>
      </c>
      <c r="F3547" s="29" t="s">
        <v>3723</v>
      </c>
      <c r="G3547" s="20" t="str">
        <f t="shared" si="1"/>
        <v>Home &amp; Garden, Kitchen &amp; Dining, Kitchen Appliance Accessories, Coffee Maker &amp; Espresso Machine AccessoriesCoffee Decanters</v>
      </c>
    </row>
    <row r="3548">
      <c r="A3548" s="29">
        <v>4500.0</v>
      </c>
      <c r="B3548" s="29" t="s">
        <v>3234</v>
      </c>
      <c r="C3548" s="29" t="s">
        <v>3621</v>
      </c>
      <c r="D3548" s="29" t="s">
        <v>3719</v>
      </c>
      <c r="E3548" s="29" t="s">
        <v>3721</v>
      </c>
      <c r="F3548" s="29" t="s">
        <v>3724</v>
      </c>
      <c r="G3548" s="20" t="str">
        <f t="shared" si="1"/>
        <v>Home &amp; Garden, Kitchen &amp; Dining, Kitchen Appliance Accessories, Coffee Maker &amp; Espresso Machine AccessoriesCoffee Filter Baskets</v>
      </c>
    </row>
    <row r="3549">
      <c r="A3549" s="29">
        <v>3450.0</v>
      </c>
      <c r="B3549" s="29" t="s">
        <v>3234</v>
      </c>
      <c r="C3549" s="29" t="s">
        <v>3621</v>
      </c>
      <c r="D3549" s="29" t="s">
        <v>3719</v>
      </c>
      <c r="E3549" s="29" t="s">
        <v>3721</v>
      </c>
      <c r="F3549" s="29" t="s">
        <v>3725</v>
      </c>
      <c r="G3549" s="20" t="str">
        <f t="shared" si="1"/>
        <v>Home &amp; Garden, Kitchen &amp; Dining, Kitchen Appliance Accessories, Coffee Maker &amp; Espresso Machine AccessoriesCoffee Filters</v>
      </c>
    </row>
    <row r="3550">
      <c r="A3550" s="29">
        <v>4786.0</v>
      </c>
      <c r="B3550" s="29" t="s">
        <v>3234</v>
      </c>
      <c r="C3550" s="29" t="s">
        <v>3621</v>
      </c>
      <c r="D3550" s="29" t="s">
        <v>3719</v>
      </c>
      <c r="E3550" s="29" t="s">
        <v>3721</v>
      </c>
      <c r="F3550" s="29" t="s">
        <v>3726</v>
      </c>
      <c r="G3550" s="20" t="str">
        <f t="shared" si="1"/>
        <v>Home &amp; Garden, Kitchen &amp; Dining, Kitchen Appliance Accessories, Coffee Maker &amp; Espresso Machine AccessoriesCoffee Grinder Accessories</v>
      </c>
    </row>
    <row r="3551">
      <c r="A3551" s="29">
        <v>734.0</v>
      </c>
      <c r="B3551" s="29" t="s">
        <v>3234</v>
      </c>
      <c r="C3551" s="29" t="s">
        <v>3621</v>
      </c>
      <c r="D3551" s="29" t="s">
        <v>3719</v>
      </c>
      <c r="E3551" s="29" t="s">
        <v>3721</v>
      </c>
      <c r="F3551" s="29" t="s">
        <v>3727</v>
      </c>
      <c r="G3551" s="20" t="str">
        <f t="shared" si="1"/>
        <v>Home &amp; Garden, Kitchen &amp; Dining, Kitchen Appliance Accessories, Coffee Maker &amp; Espresso Machine AccessoriesCoffee Grinders</v>
      </c>
    </row>
    <row r="3552">
      <c r="A3552" s="29">
        <v>503736.0</v>
      </c>
      <c r="B3552" s="29" t="s">
        <v>3234</v>
      </c>
      <c r="C3552" s="29" t="s">
        <v>3621</v>
      </c>
      <c r="D3552" s="29" t="s">
        <v>3719</v>
      </c>
      <c r="E3552" s="29" t="s">
        <v>3721</v>
      </c>
      <c r="F3552" s="29" t="s">
        <v>3728</v>
      </c>
      <c r="G3552" s="20" t="str">
        <f t="shared" si="1"/>
        <v>Home &amp; Garden, Kitchen &amp; Dining, Kitchen Appliance Accessories, Coffee Maker &amp; Espresso Machine AccessoriesCoffee Maker &amp; Espresso Machine Replacement Parts</v>
      </c>
    </row>
    <row r="3553">
      <c r="A3553" s="29">
        <v>5065.0</v>
      </c>
      <c r="B3553" s="29" t="s">
        <v>3234</v>
      </c>
      <c r="C3553" s="29" t="s">
        <v>3621</v>
      </c>
      <c r="D3553" s="29" t="s">
        <v>3719</v>
      </c>
      <c r="E3553" s="29" t="s">
        <v>3721</v>
      </c>
      <c r="F3553" s="29" t="s">
        <v>3729</v>
      </c>
      <c r="G3553" s="20" t="str">
        <f t="shared" si="1"/>
        <v>Home &amp; Garden, Kitchen &amp; Dining, Kitchen Appliance Accessories, Coffee Maker &amp; Espresso Machine AccessoriesCoffee Maker Water Filters</v>
      </c>
    </row>
    <row r="3554">
      <c r="A3554" s="29">
        <v>5066.0</v>
      </c>
      <c r="B3554" s="29" t="s">
        <v>3234</v>
      </c>
      <c r="C3554" s="29" t="s">
        <v>3621</v>
      </c>
      <c r="D3554" s="29" t="s">
        <v>3719</v>
      </c>
      <c r="E3554" s="29" t="s">
        <v>3721</v>
      </c>
      <c r="F3554" s="29" t="s">
        <v>3730</v>
      </c>
      <c r="G3554" s="20" t="str">
        <f t="shared" si="1"/>
        <v>Home &amp; Garden, Kitchen &amp; Dining, Kitchen Appliance Accessories, Coffee Maker &amp; Espresso Machine AccessoriesFrothing Pitchers</v>
      </c>
    </row>
    <row r="3555">
      <c r="A3555" s="29">
        <v>3838.0</v>
      </c>
      <c r="B3555" s="29" t="s">
        <v>3234</v>
      </c>
      <c r="C3555" s="29" t="s">
        <v>3621</v>
      </c>
      <c r="D3555" s="29" t="s">
        <v>3719</v>
      </c>
      <c r="E3555" s="29" t="s">
        <v>3721</v>
      </c>
      <c r="F3555" s="29" t="s">
        <v>3731</v>
      </c>
      <c r="G3555" s="20" t="str">
        <f t="shared" si="1"/>
        <v>Home &amp; Garden, Kitchen &amp; Dining, Kitchen Appliance Accessories, Coffee Maker &amp; Espresso Machine AccessoriesPortafilters</v>
      </c>
    </row>
    <row r="3556">
      <c r="A3556" s="29">
        <v>500004.0</v>
      </c>
      <c r="B3556" s="29" t="s">
        <v>3234</v>
      </c>
      <c r="C3556" s="29" t="s">
        <v>3621</v>
      </c>
      <c r="D3556" s="29" t="s">
        <v>3719</v>
      </c>
      <c r="E3556" s="29" t="s">
        <v>3732</v>
      </c>
      <c r="G3556" s="20" t="str">
        <f t="shared" si="1"/>
        <v>Home &amp; Garden, Kitchen &amp; Dining, Kitchen Appliance Accessories, Cooktop, Oven &amp; Range Accessories</v>
      </c>
    </row>
    <row r="3557">
      <c r="A3557" s="29">
        <v>5076.0</v>
      </c>
      <c r="B3557" s="29" t="s">
        <v>3234</v>
      </c>
      <c r="C3557" s="29" t="s">
        <v>3621</v>
      </c>
      <c r="D3557" s="29" t="s">
        <v>3719</v>
      </c>
      <c r="E3557" s="29" t="s">
        <v>3733</v>
      </c>
      <c r="G3557" s="20" t="str">
        <f t="shared" si="1"/>
        <v>Home &amp; Garden, Kitchen &amp; Dining, Kitchen Appliance Accessories, Cotton Candy Machine Accessories</v>
      </c>
    </row>
    <row r="3558">
      <c r="A3558" s="29">
        <v>3954.0</v>
      </c>
      <c r="B3558" s="29" t="s">
        <v>3234</v>
      </c>
      <c r="C3558" s="29" t="s">
        <v>3621</v>
      </c>
      <c r="D3558" s="29" t="s">
        <v>3719</v>
      </c>
      <c r="E3558" s="29" t="s">
        <v>3734</v>
      </c>
      <c r="F3558" s="62"/>
      <c r="G3558" s="20" t="str">
        <f t="shared" si="1"/>
        <v>Home &amp; Garden, Kitchen &amp; Dining, Kitchen Appliance Accessories, Deep Fryer Accessories</v>
      </c>
    </row>
    <row r="3559">
      <c r="A3559" s="29">
        <v>3443.0</v>
      </c>
      <c r="B3559" s="29" t="s">
        <v>3234</v>
      </c>
      <c r="C3559" s="29" t="s">
        <v>3621</v>
      </c>
      <c r="D3559" s="29" t="s">
        <v>3719</v>
      </c>
      <c r="E3559" s="29" t="s">
        <v>3735</v>
      </c>
      <c r="F3559" s="62"/>
      <c r="G3559" s="20" t="str">
        <f t="shared" si="1"/>
        <v>Home &amp; Garden, Kitchen &amp; Dining, Kitchen Appliance Accessories, Dishwasher Parts &amp; Accessories</v>
      </c>
    </row>
    <row r="3560">
      <c r="A3560" s="29">
        <v>500066.0</v>
      </c>
      <c r="B3560" s="29" t="s">
        <v>3234</v>
      </c>
      <c r="C3560" s="29" t="s">
        <v>3621</v>
      </c>
      <c r="D3560" s="29" t="s">
        <v>3719</v>
      </c>
      <c r="E3560" s="29" t="s">
        <v>3736</v>
      </c>
      <c r="F3560" s="62"/>
      <c r="G3560" s="20" t="str">
        <f t="shared" si="1"/>
        <v>Home &amp; Garden, Kitchen &amp; Dining, Kitchen Appliance Accessories, Electric Kettle Accessories</v>
      </c>
    </row>
    <row r="3561">
      <c r="A3561" s="29">
        <v>7355.0</v>
      </c>
      <c r="B3561" s="29" t="s">
        <v>3234</v>
      </c>
      <c r="C3561" s="29" t="s">
        <v>3621</v>
      </c>
      <c r="D3561" s="29" t="s">
        <v>3719</v>
      </c>
      <c r="E3561" s="29" t="s">
        <v>3737</v>
      </c>
      <c r="G3561" s="20" t="str">
        <f t="shared" si="1"/>
        <v>Home &amp; Garden, Kitchen &amp; Dining, Kitchen Appliance Accessories, Electric Skillet &amp; Wok Accessories</v>
      </c>
    </row>
    <row r="3562">
      <c r="A3562" s="29">
        <v>6944.0</v>
      </c>
      <c r="B3562" s="29" t="s">
        <v>3234</v>
      </c>
      <c r="C3562" s="29" t="s">
        <v>3621</v>
      </c>
      <c r="D3562" s="29" t="s">
        <v>3719</v>
      </c>
      <c r="E3562" s="29" t="s">
        <v>3738</v>
      </c>
      <c r="F3562" s="62"/>
      <c r="G3562" s="20" t="str">
        <f t="shared" si="1"/>
        <v>Home &amp; Garden, Kitchen &amp; Dining, Kitchen Appliance Accessories, Fondue Set Accessories</v>
      </c>
    </row>
    <row r="3563">
      <c r="A3563" s="29">
        <v>503725.0</v>
      </c>
      <c r="B3563" s="29" t="s">
        <v>3234</v>
      </c>
      <c r="C3563" s="29" t="s">
        <v>3621</v>
      </c>
      <c r="D3563" s="29" t="s">
        <v>3719</v>
      </c>
      <c r="E3563" s="29" t="s">
        <v>3738</v>
      </c>
      <c r="F3563" s="29" t="s">
        <v>3739</v>
      </c>
      <c r="G3563" s="20" t="str">
        <f t="shared" si="1"/>
        <v>Home &amp; Garden, Kitchen &amp; Dining, Kitchen Appliance Accessories, Fondue Set AccessoriesCooking Gel Fuels</v>
      </c>
    </row>
    <row r="3564">
      <c r="A3564" s="29">
        <v>6945.0</v>
      </c>
      <c r="B3564" s="29" t="s">
        <v>3234</v>
      </c>
      <c r="C3564" s="29" t="s">
        <v>3621</v>
      </c>
      <c r="D3564" s="29" t="s">
        <v>3719</v>
      </c>
      <c r="E3564" s="29" t="s">
        <v>3738</v>
      </c>
      <c r="F3564" s="29" t="s">
        <v>3740</v>
      </c>
      <c r="G3564" s="20" t="str">
        <f t="shared" si="1"/>
        <v>Home &amp; Garden, Kitchen &amp; Dining, Kitchen Appliance Accessories, Fondue Set AccessoriesFondue Forks</v>
      </c>
    </row>
    <row r="3565">
      <c r="A3565" s="29">
        <v>6946.0</v>
      </c>
      <c r="B3565" s="29" t="s">
        <v>3234</v>
      </c>
      <c r="C3565" s="29" t="s">
        <v>3621</v>
      </c>
      <c r="D3565" s="29" t="s">
        <v>3719</v>
      </c>
      <c r="E3565" s="29" t="s">
        <v>3738</v>
      </c>
      <c r="F3565" s="29" t="s">
        <v>3741</v>
      </c>
      <c r="G3565" s="20" t="str">
        <f t="shared" si="1"/>
        <v>Home &amp; Garden, Kitchen &amp; Dining, Kitchen Appliance Accessories, Fondue Set AccessoriesFondue Pot Stands</v>
      </c>
    </row>
    <row r="3566">
      <c r="A3566" s="29">
        <v>4653.0</v>
      </c>
      <c r="B3566" s="29" t="s">
        <v>3234</v>
      </c>
      <c r="C3566" s="29" t="s">
        <v>3621</v>
      </c>
      <c r="D3566" s="29" t="s">
        <v>3719</v>
      </c>
      <c r="E3566" s="29" t="s">
        <v>3742</v>
      </c>
      <c r="F3566" s="62"/>
      <c r="G3566" s="20" t="str">
        <f t="shared" si="1"/>
        <v>Home &amp; Garden, Kitchen &amp; Dining, Kitchen Appliance Accessories, Food Dehydrator Accessories</v>
      </c>
    </row>
    <row r="3567">
      <c r="A3567" s="29">
        <v>4655.0</v>
      </c>
      <c r="B3567" s="29" t="s">
        <v>3234</v>
      </c>
      <c r="C3567" s="29" t="s">
        <v>3621</v>
      </c>
      <c r="D3567" s="29" t="s">
        <v>3719</v>
      </c>
      <c r="E3567" s="29" t="s">
        <v>3742</v>
      </c>
      <c r="F3567" s="29" t="s">
        <v>3743</v>
      </c>
      <c r="G3567" s="20" t="str">
        <f t="shared" si="1"/>
        <v>Home &amp; Garden, Kitchen &amp; Dining, Kitchen Appliance Accessories, Food Dehydrator AccessoriesFood Dehydrator Sheets</v>
      </c>
    </row>
    <row r="3568">
      <c r="A3568" s="29">
        <v>4654.0</v>
      </c>
      <c r="B3568" s="29" t="s">
        <v>3234</v>
      </c>
      <c r="C3568" s="29" t="s">
        <v>3621</v>
      </c>
      <c r="D3568" s="29" t="s">
        <v>3719</v>
      </c>
      <c r="E3568" s="29" t="s">
        <v>3742</v>
      </c>
      <c r="F3568" s="29" t="s">
        <v>3744</v>
      </c>
      <c r="G3568" s="20" t="str">
        <f t="shared" si="1"/>
        <v>Home &amp; Garden, Kitchen &amp; Dining, Kitchen Appliance Accessories, Food Dehydrator AccessoriesFood Dehydrator Trays</v>
      </c>
    </row>
    <row r="3569">
      <c r="A3569" s="29">
        <v>4763.0</v>
      </c>
      <c r="B3569" s="29" t="s">
        <v>3234</v>
      </c>
      <c r="C3569" s="29" t="s">
        <v>3621</v>
      </c>
      <c r="D3569" s="29" t="s">
        <v>3719</v>
      </c>
      <c r="E3569" s="29" t="s">
        <v>3745</v>
      </c>
      <c r="F3569" s="62"/>
      <c r="G3569" s="20" t="str">
        <f t="shared" si="1"/>
        <v>Home &amp; Garden, Kitchen &amp; Dining, Kitchen Appliance Accessories, Food Grinder Accessories</v>
      </c>
    </row>
    <row r="3570">
      <c r="A3570" s="29">
        <v>505765.0</v>
      </c>
      <c r="B3570" s="29" t="s">
        <v>3234</v>
      </c>
      <c r="C3570" s="29" t="s">
        <v>3621</v>
      </c>
      <c r="D3570" s="29" t="s">
        <v>3719</v>
      </c>
      <c r="E3570" s="29" t="s">
        <v>3746</v>
      </c>
      <c r="G3570" s="20" t="str">
        <f t="shared" si="1"/>
        <v>Home &amp; Garden, Kitchen &amp; Dining, Kitchen Appliance Accessories, Food Mixer &amp; Blender Accessories</v>
      </c>
    </row>
    <row r="3571">
      <c r="A3571" s="29">
        <v>7570.0</v>
      </c>
      <c r="B3571" s="29" t="s">
        <v>3234</v>
      </c>
      <c r="C3571" s="29" t="s">
        <v>3621</v>
      </c>
      <c r="D3571" s="29" t="s">
        <v>3719</v>
      </c>
      <c r="E3571" s="29" t="s">
        <v>3747</v>
      </c>
      <c r="F3571" s="62"/>
      <c r="G3571" s="20" t="str">
        <f t="shared" si="1"/>
        <v>Home &amp; Garden, Kitchen &amp; Dining, Kitchen Appliance Accessories, Freezer Accessories</v>
      </c>
    </row>
    <row r="3572">
      <c r="A3572" s="29">
        <v>6747.0</v>
      </c>
      <c r="B3572" s="29" t="s">
        <v>3234</v>
      </c>
      <c r="C3572" s="29" t="s">
        <v>3621</v>
      </c>
      <c r="D3572" s="29" t="s">
        <v>3719</v>
      </c>
      <c r="E3572" s="29" t="s">
        <v>3748</v>
      </c>
      <c r="F3572" s="62"/>
      <c r="G3572" s="20" t="str">
        <f t="shared" si="1"/>
        <v>Home &amp; Garden, Kitchen &amp; Dining, Kitchen Appliance Accessories, Garbage Disposal Accessories</v>
      </c>
    </row>
    <row r="3573">
      <c r="A3573" s="29">
        <v>4674.0</v>
      </c>
      <c r="B3573" s="29" t="s">
        <v>3234</v>
      </c>
      <c r="C3573" s="29" t="s">
        <v>3621</v>
      </c>
      <c r="D3573" s="29" t="s">
        <v>3719</v>
      </c>
      <c r="E3573" s="29" t="s">
        <v>3749</v>
      </c>
      <c r="F3573" s="62"/>
      <c r="G3573" s="20" t="str">
        <f t="shared" si="1"/>
        <v>Home &amp; Garden, Kitchen &amp; Dining, Kitchen Appliance Accessories, Ice Cream Maker Accessories</v>
      </c>
    </row>
    <row r="3574">
      <c r="A3574" s="29">
        <v>4675.0</v>
      </c>
      <c r="B3574" s="29" t="s">
        <v>3234</v>
      </c>
      <c r="C3574" s="29" t="s">
        <v>3621</v>
      </c>
      <c r="D3574" s="29" t="s">
        <v>3719</v>
      </c>
      <c r="E3574" s="29" t="s">
        <v>3749</v>
      </c>
      <c r="F3574" s="29" t="s">
        <v>3750</v>
      </c>
      <c r="G3574" s="20" t="str">
        <f t="shared" si="1"/>
        <v>Home &amp; Garden, Kitchen &amp; Dining, Kitchen Appliance Accessories, Ice Cream Maker AccessoriesIce Cream Maker Freezer Bowls</v>
      </c>
    </row>
    <row r="3575">
      <c r="A3575" s="29">
        <v>5042.0</v>
      </c>
      <c r="B3575" s="29" t="s">
        <v>3234</v>
      </c>
      <c r="C3575" s="29" t="s">
        <v>3621</v>
      </c>
      <c r="D3575" s="29" t="s">
        <v>3719</v>
      </c>
      <c r="E3575" s="29" t="s">
        <v>3751</v>
      </c>
      <c r="G3575" s="20" t="str">
        <f t="shared" si="1"/>
        <v>Home &amp; Garden, Kitchen &amp; Dining, Kitchen Appliance Accessories, Ice Crusher &amp; Shaver Accessories</v>
      </c>
    </row>
    <row r="3576">
      <c r="A3576" s="29">
        <v>7187.0</v>
      </c>
      <c r="B3576" s="29" t="s">
        <v>3234</v>
      </c>
      <c r="C3576" s="29" t="s">
        <v>3621</v>
      </c>
      <c r="D3576" s="29" t="s">
        <v>3719</v>
      </c>
      <c r="E3576" s="29" t="s">
        <v>3752</v>
      </c>
      <c r="F3576" s="62"/>
      <c r="G3576" s="20" t="str">
        <f t="shared" si="1"/>
        <v>Home &amp; Garden, Kitchen &amp; Dining, Kitchen Appliance Accessories, Ice Maker Accessories</v>
      </c>
    </row>
    <row r="3577">
      <c r="A3577" s="29">
        <v>4519.0</v>
      </c>
      <c r="B3577" s="29" t="s">
        <v>3234</v>
      </c>
      <c r="C3577" s="29" t="s">
        <v>3621</v>
      </c>
      <c r="D3577" s="29" t="s">
        <v>3719</v>
      </c>
      <c r="E3577" s="29" t="s">
        <v>3753</v>
      </c>
      <c r="F3577" s="62"/>
      <c r="G3577" s="20" t="str">
        <f t="shared" si="1"/>
        <v>Home &amp; Garden, Kitchen &amp; Dining, Kitchen Appliance Accessories, Juicer Accessories</v>
      </c>
    </row>
    <row r="3578">
      <c r="A3578" s="29">
        <v>1334.0</v>
      </c>
      <c r="B3578" s="29" t="s">
        <v>3234</v>
      </c>
      <c r="C3578" s="29" t="s">
        <v>3621</v>
      </c>
      <c r="D3578" s="29" t="s">
        <v>3719</v>
      </c>
      <c r="E3578" s="29" t="s">
        <v>3754</v>
      </c>
      <c r="F3578" s="62"/>
      <c r="G3578" s="20" t="str">
        <f t="shared" si="1"/>
        <v>Home &amp; Garden, Kitchen &amp; Dining, Kitchen Appliance Accessories, Microwave Oven Accessories</v>
      </c>
    </row>
    <row r="3579">
      <c r="A3579" s="29">
        <v>3684.0</v>
      </c>
      <c r="B3579" s="29" t="s">
        <v>3234</v>
      </c>
      <c r="C3579" s="29" t="s">
        <v>3621</v>
      </c>
      <c r="D3579" s="29" t="s">
        <v>3719</v>
      </c>
      <c r="E3579" s="29" t="s">
        <v>3755</v>
      </c>
      <c r="F3579" s="62"/>
      <c r="G3579" s="20" t="str">
        <f t="shared" si="1"/>
        <v>Home &amp; Garden, Kitchen &amp; Dining, Kitchen Appliance Accessories, Outdoor Grill Accessories</v>
      </c>
    </row>
    <row r="3580">
      <c r="A3580" s="29">
        <v>5694.0</v>
      </c>
      <c r="B3580" s="29" t="s">
        <v>3234</v>
      </c>
      <c r="C3580" s="29" t="s">
        <v>3621</v>
      </c>
      <c r="D3580" s="29" t="s">
        <v>3719</v>
      </c>
      <c r="E3580" s="29" t="s">
        <v>3755</v>
      </c>
      <c r="F3580" s="29" t="s">
        <v>3756</v>
      </c>
      <c r="G3580" s="20" t="str">
        <f t="shared" si="1"/>
        <v>Home &amp; Garden, Kitchen &amp; Dining, Kitchen Appliance Accessories, Outdoor Grill AccessoriesCharcoal Briquettes</v>
      </c>
    </row>
    <row r="3581">
      <c r="A3581" s="29">
        <v>7540.0</v>
      </c>
      <c r="B3581" s="29" t="s">
        <v>3234</v>
      </c>
      <c r="C3581" s="29" t="s">
        <v>3621</v>
      </c>
      <c r="D3581" s="29" t="s">
        <v>3719</v>
      </c>
      <c r="E3581" s="29" t="s">
        <v>3755</v>
      </c>
      <c r="F3581" s="29" t="s">
        <v>3757</v>
      </c>
      <c r="G3581" s="20" t="str">
        <f t="shared" si="1"/>
        <v>Home &amp; Garden, Kitchen &amp; Dining, Kitchen Appliance Accessories, Outdoor Grill AccessoriesCharcoal Chimneys</v>
      </c>
    </row>
    <row r="3582">
      <c r="A3582" s="29">
        <v>5670.0</v>
      </c>
      <c r="B3582" s="29" t="s">
        <v>3234</v>
      </c>
      <c r="C3582" s="29" t="s">
        <v>3621</v>
      </c>
      <c r="D3582" s="29" t="s">
        <v>3719</v>
      </c>
      <c r="E3582" s="29" t="s">
        <v>3755</v>
      </c>
      <c r="F3582" s="29" t="s">
        <v>3758</v>
      </c>
      <c r="G3582" s="20" t="str">
        <f t="shared" si="1"/>
        <v>Home &amp; Garden, Kitchen &amp; Dining, Kitchen Appliance Accessories, Outdoor Grill AccessoriesOutdoor Grill Carts</v>
      </c>
    </row>
    <row r="3583">
      <c r="A3583" s="29">
        <v>3855.0</v>
      </c>
      <c r="B3583" s="29" t="s">
        <v>3234</v>
      </c>
      <c r="C3583" s="29" t="s">
        <v>3621</v>
      </c>
      <c r="D3583" s="29" t="s">
        <v>3719</v>
      </c>
      <c r="E3583" s="29" t="s">
        <v>3755</v>
      </c>
      <c r="F3583" s="29" t="s">
        <v>3759</v>
      </c>
      <c r="G3583" s="20" t="str">
        <f t="shared" si="1"/>
        <v>Home &amp; Garden, Kitchen &amp; Dining, Kitchen Appliance Accessories, Outdoor Grill AccessoriesOutdoor Grill Covers</v>
      </c>
    </row>
    <row r="3584">
      <c r="A3584" s="29">
        <v>3382.0</v>
      </c>
      <c r="B3584" s="29" t="s">
        <v>3234</v>
      </c>
      <c r="C3584" s="29" t="s">
        <v>3621</v>
      </c>
      <c r="D3584" s="29" t="s">
        <v>3719</v>
      </c>
      <c r="E3584" s="29" t="s">
        <v>3755</v>
      </c>
      <c r="F3584" s="29" t="s">
        <v>3760</v>
      </c>
      <c r="G3584" s="20" t="str">
        <f t="shared" si="1"/>
        <v>Home &amp; Garden, Kitchen &amp; Dining, Kitchen Appliance Accessories, Outdoor Grill AccessoriesOutdoor Grill Racks &amp; Toppers</v>
      </c>
    </row>
    <row r="3585">
      <c r="A3585" s="29">
        <v>505667.0</v>
      </c>
      <c r="B3585" s="29" t="s">
        <v>3234</v>
      </c>
      <c r="C3585" s="29" t="s">
        <v>3621</v>
      </c>
      <c r="D3585" s="29" t="s">
        <v>3719</v>
      </c>
      <c r="E3585" s="29" t="s">
        <v>3755</v>
      </c>
      <c r="F3585" s="29" t="s">
        <v>3761</v>
      </c>
      <c r="G3585" s="20" t="str">
        <f t="shared" si="1"/>
        <v>Home &amp; Garden, Kitchen &amp; Dining, Kitchen Appliance Accessories, Outdoor Grill AccessoriesOutdoor Grill Replacement Parts</v>
      </c>
    </row>
    <row r="3586">
      <c r="A3586" s="29">
        <v>4560.0</v>
      </c>
      <c r="B3586" s="29" t="s">
        <v>3234</v>
      </c>
      <c r="C3586" s="29" t="s">
        <v>3621</v>
      </c>
      <c r="D3586" s="29" t="s">
        <v>3719</v>
      </c>
      <c r="E3586" s="29" t="s">
        <v>3755</v>
      </c>
      <c r="F3586" s="29" t="s">
        <v>3762</v>
      </c>
      <c r="G3586" s="20" t="str">
        <f t="shared" si="1"/>
        <v>Home &amp; Garden, Kitchen &amp; Dining, Kitchen Appliance Accessories, Outdoor Grill AccessoriesOutdoor Grill Spits &amp; Baskets</v>
      </c>
    </row>
    <row r="3587">
      <c r="A3587" s="29">
        <v>5672.0</v>
      </c>
      <c r="B3587" s="29" t="s">
        <v>3234</v>
      </c>
      <c r="C3587" s="29" t="s">
        <v>3621</v>
      </c>
      <c r="D3587" s="29" t="s">
        <v>3719</v>
      </c>
      <c r="E3587" s="29" t="s">
        <v>3755</v>
      </c>
      <c r="F3587" s="29" t="s">
        <v>3763</v>
      </c>
      <c r="G3587" s="20" t="str">
        <f t="shared" si="1"/>
        <v>Home &amp; Garden, Kitchen &amp; Dining, Kitchen Appliance Accessories, Outdoor Grill AccessoriesOutdoor Grilling Planks</v>
      </c>
    </row>
    <row r="3588">
      <c r="A3588" s="29">
        <v>5671.0</v>
      </c>
      <c r="B3588" s="29" t="s">
        <v>3234</v>
      </c>
      <c r="C3588" s="29" t="s">
        <v>3621</v>
      </c>
      <c r="D3588" s="29" t="s">
        <v>3719</v>
      </c>
      <c r="E3588" s="29" t="s">
        <v>3755</v>
      </c>
      <c r="F3588" s="29" t="s">
        <v>3764</v>
      </c>
      <c r="G3588" s="20" t="str">
        <f t="shared" si="1"/>
        <v>Home &amp; Garden, Kitchen &amp; Dining, Kitchen Appliance Accessories, Outdoor Grill AccessoriesSmoking Chips &amp; Pellets</v>
      </c>
    </row>
    <row r="3589">
      <c r="A3589" s="29">
        <v>2540.0</v>
      </c>
      <c r="B3589" s="29" t="s">
        <v>3234</v>
      </c>
      <c r="C3589" s="29" t="s">
        <v>3621</v>
      </c>
      <c r="D3589" s="29" t="s">
        <v>3719</v>
      </c>
      <c r="E3589" s="29" t="s">
        <v>3765</v>
      </c>
      <c r="F3589" s="62"/>
      <c r="G3589" s="20" t="str">
        <f t="shared" si="1"/>
        <v>Home &amp; Garden, Kitchen &amp; Dining, Kitchen Appliance Accessories, Pasta Maker Accessories</v>
      </c>
    </row>
    <row r="3590">
      <c r="A3590" s="29">
        <v>5075.0</v>
      </c>
      <c r="B3590" s="29" t="s">
        <v>3234</v>
      </c>
      <c r="C3590" s="29" t="s">
        <v>3621</v>
      </c>
      <c r="D3590" s="29" t="s">
        <v>3719</v>
      </c>
      <c r="E3590" s="29" t="s">
        <v>3766</v>
      </c>
      <c r="F3590" s="62"/>
      <c r="G3590" s="20" t="str">
        <f t="shared" si="1"/>
        <v>Home &amp; Garden, Kitchen &amp; Dining, Kitchen Appliance Accessories, Popcorn Maker Accessories</v>
      </c>
    </row>
    <row r="3591">
      <c r="A3591" s="29">
        <v>7006.0</v>
      </c>
      <c r="B3591" s="29" t="s">
        <v>3234</v>
      </c>
      <c r="C3591" s="29" t="s">
        <v>3621</v>
      </c>
      <c r="D3591" s="29" t="s">
        <v>3719</v>
      </c>
      <c r="E3591" s="29" t="s">
        <v>3767</v>
      </c>
      <c r="G3591" s="20" t="str">
        <f t="shared" si="1"/>
        <v>Home &amp; Garden, Kitchen &amp; Dining, Kitchen Appliance Accessories, Portable Cooking Stove Accessories</v>
      </c>
    </row>
    <row r="3592">
      <c r="A3592" s="29">
        <v>8087.0</v>
      </c>
      <c r="B3592" s="29" t="s">
        <v>3234</v>
      </c>
      <c r="C3592" s="29" t="s">
        <v>3621</v>
      </c>
      <c r="D3592" s="29" t="s">
        <v>3719</v>
      </c>
      <c r="E3592" s="29" t="s">
        <v>3768</v>
      </c>
      <c r="F3592" s="62"/>
      <c r="G3592" s="20" t="str">
        <f t="shared" si="1"/>
        <v>Home &amp; Garden, Kitchen &amp; Dining, Kitchen Appliance Accessories, Range Hood Accessories</v>
      </c>
    </row>
    <row r="3593">
      <c r="A3593" s="29">
        <v>3848.0</v>
      </c>
      <c r="B3593" s="29" t="s">
        <v>3234</v>
      </c>
      <c r="C3593" s="29" t="s">
        <v>3621</v>
      </c>
      <c r="D3593" s="29" t="s">
        <v>3719</v>
      </c>
      <c r="E3593" s="29" t="s">
        <v>3769</v>
      </c>
      <c r="F3593" s="62"/>
      <c r="G3593" s="20" t="str">
        <f t="shared" si="1"/>
        <v>Home &amp; Garden, Kitchen &amp; Dining, Kitchen Appliance Accessories, Refrigerator Accessories</v>
      </c>
    </row>
    <row r="3594">
      <c r="A3594" s="29">
        <v>502989.0</v>
      </c>
      <c r="B3594" s="29" t="s">
        <v>3234</v>
      </c>
      <c r="C3594" s="29" t="s">
        <v>3621</v>
      </c>
      <c r="D3594" s="29" t="s">
        <v>3719</v>
      </c>
      <c r="E3594" s="29" t="s">
        <v>3770</v>
      </c>
      <c r="F3594" s="62"/>
      <c r="G3594" s="20" t="str">
        <f t="shared" si="1"/>
        <v>Home &amp; Garden, Kitchen &amp; Dining, Kitchen Appliance Accessories, Soda Maker Accessories</v>
      </c>
    </row>
    <row r="3595">
      <c r="A3595" s="29">
        <v>8051.0</v>
      </c>
      <c r="B3595" s="29" t="s">
        <v>3234</v>
      </c>
      <c r="C3595" s="29" t="s">
        <v>3621</v>
      </c>
      <c r="D3595" s="29" t="s">
        <v>3719</v>
      </c>
      <c r="E3595" s="29" t="s">
        <v>3771</v>
      </c>
      <c r="F3595" s="62"/>
      <c r="G3595" s="20" t="str">
        <f t="shared" si="1"/>
        <v>Home &amp; Garden, Kitchen &amp; Dining, Kitchen Appliance Accessories, Steam Table Accessories</v>
      </c>
    </row>
    <row r="3596">
      <c r="A3596" s="29">
        <v>8052.0</v>
      </c>
      <c r="B3596" s="29" t="s">
        <v>3234</v>
      </c>
      <c r="C3596" s="29" t="s">
        <v>3621</v>
      </c>
      <c r="D3596" s="29" t="s">
        <v>3719</v>
      </c>
      <c r="E3596" s="29" t="s">
        <v>3771</v>
      </c>
      <c r="F3596" s="29" t="s">
        <v>3772</v>
      </c>
      <c r="G3596" s="20" t="str">
        <f t="shared" si="1"/>
        <v>Home &amp; Garden, Kitchen &amp; Dining, Kitchen Appliance Accessories, Steam Table AccessoriesSteam Table Pan Covers</v>
      </c>
    </row>
    <row r="3597">
      <c r="A3597" s="29">
        <v>8053.0</v>
      </c>
      <c r="B3597" s="29" t="s">
        <v>3234</v>
      </c>
      <c r="C3597" s="29" t="s">
        <v>3621</v>
      </c>
      <c r="D3597" s="29" t="s">
        <v>3719</v>
      </c>
      <c r="E3597" s="29" t="s">
        <v>3771</v>
      </c>
      <c r="F3597" s="29" t="s">
        <v>3773</v>
      </c>
      <c r="G3597" s="20" t="str">
        <f t="shared" si="1"/>
        <v>Home &amp; Garden, Kitchen &amp; Dining, Kitchen Appliance Accessories, Steam Table AccessoriesSteam Table Pans</v>
      </c>
    </row>
    <row r="3598">
      <c r="A3598" s="29">
        <v>7444.0</v>
      </c>
      <c r="B3598" s="29" t="s">
        <v>3234</v>
      </c>
      <c r="C3598" s="29" t="s">
        <v>3621</v>
      </c>
      <c r="D3598" s="29" t="s">
        <v>3719</v>
      </c>
      <c r="E3598" s="29" t="s">
        <v>3774</v>
      </c>
      <c r="F3598" s="62"/>
      <c r="G3598" s="20" t="str">
        <f t="shared" si="1"/>
        <v>Home &amp; Garden, Kitchen &amp; Dining, Kitchen Appliance Accessories, Toaster Accessories</v>
      </c>
    </row>
    <row r="3599">
      <c r="A3599" s="29">
        <v>3523.0</v>
      </c>
      <c r="B3599" s="29" t="s">
        <v>3234</v>
      </c>
      <c r="C3599" s="29" t="s">
        <v>3621</v>
      </c>
      <c r="D3599" s="29" t="s">
        <v>3719</v>
      </c>
      <c r="E3599" s="29" t="s">
        <v>3775</v>
      </c>
      <c r="F3599" s="62"/>
      <c r="G3599" s="20" t="str">
        <f t="shared" si="1"/>
        <v>Home &amp; Garden, Kitchen &amp; Dining, Kitchen Appliance Accessories, Vacuum Sealer Accessories</v>
      </c>
    </row>
    <row r="3600">
      <c r="A3600" s="29">
        <v>3124.0</v>
      </c>
      <c r="B3600" s="29" t="s">
        <v>3234</v>
      </c>
      <c r="C3600" s="29" t="s">
        <v>3621</v>
      </c>
      <c r="D3600" s="29" t="s">
        <v>3719</v>
      </c>
      <c r="E3600" s="29" t="s">
        <v>3775</v>
      </c>
      <c r="F3600" s="29" t="s">
        <v>3776</v>
      </c>
      <c r="G3600" s="20" t="str">
        <f t="shared" si="1"/>
        <v>Home &amp; Garden, Kitchen &amp; Dining, Kitchen Appliance Accessories, Vacuum Sealer AccessoriesVacuum Sealer Bags</v>
      </c>
    </row>
    <row r="3601">
      <c r="A3601" s="29">
        <v>499996.0</v>
      </c>
      <c r="B3601" s="29" t="s">
        <v>3234</v>
      </c>
      <c r="C3601" s="29" t="s">
        <v>3621</v>
      </c>
      <c r="D3601" s="29" t="s">
        <v>3719</v>
      </c>
      <c r="E3601" s="29" t="s">
        <v>3777</v>
      </c>
      <c r="F3601" s="62"/>
      <c r="G3601" s="20" t="str">
        <f t="shared" si="1"/>
        <v>Home &amp; Garden, Kitchen &amp; Dining, Kitchen Appliance Accessories, Waffle Iron Accessories</v>
      </c>
    </row>
    <row r="3602">
      <c r="A3602" s="29">
        <v>7118.0</v>
      </c>
      <c r="B3602" s="29" t="s">
        <v>3234</v>
      </c>
      <c r="C3602" s="29" t="s">
        <v>3621</v>
      </c>
      <c r="D3602" s="29" t="s">
        <v>3719</v>
      </c>
      <c r="E3602" s="29" t="s">
        <v>3778</v>
      </c>
      <c r="F3602" s="62"/>
      <c r="G3602" s="20" t="str">
        <f t="shared" si="1"/>
        <v>Home &amp; Garden, Kitchen &amp; Dining, Kitchen Appliance Accessories, Water Cooler Accessories</v>
      </c>
    </row>
    <row r="3603">
      <c r="A3603" s="29">
        <v>7119.0</v>
      </c>
      <c r="B3603" s="29" t="s">
        <v>3234</v>
      </c>
      <c r="C3603" s="29" t="s">
        <v>3621</v>
      </c>
      <c r="D3603" s="29" t="s">
        <v>3719</v>
      </c>
      <c r="E3603" s="29" t="s">
        <v>3778</v>
      </c>
      <c r="F3603" s="29" t="s">
        <v>3779</v>
      </c>
      <c r="G3603" s="20" t="str">
        <f t="shared" si="1"/>
        <v>Home &amp; Garden, Kitchen &amp; Dining, Kitchen Appliance Accessories, Water Cooler AccessoriesWater Cooler Bottles</v>
      </c>
    </row>
    <row r="3604">
      <c r="A3604" s="29">
        <v>8106.0</v>
      </c>
      <c r="B3604" s="29" t="s">
        <v>3234</v>
      </c>
      <c r="C3604" s="29" t="s">
        <v>3621</v>
      </c>
      <c r="D3604" s="29" t="s">
        <v>3719</v>
      </c>
      <c r="E3604" s="29" t="s">
        <v>3780</v>
      </c>
      <c r="F3604" s="62"/>
      <c r="G3604" s="20" t="str">
        <f t="shared" si="1"/>
        <v>Home &amp; Garden, Kitchen &amp; Dining, Kitchen Appliance Accessories, Wine Fridge Accessories</v>
      </c>
    </row>
    <row r="3605">
      <c r="A3605" s="29">
        <v>5570.0</v>
      </c>
      <c r="B3605" s="29" t="s">
        <v>3234</v>
      </c>
      <c r="C3605" s="29" t="s">
        <v>3621</v>
      </c>
      <c r="D3605" s="29" t="s">
        <v>3719</v>
      </c>
      <c r="E3605" s="29" t="s">
        <v>3781</v>
      </c>
      <c r="F3605" s="62"/>
      <c r="G3605" s="20" t="str">
        <f t="shared" si="1"/>
        <v>Home &amp; Garden, Kitchen &amp; Dining, Kitchen Appliance Accessories, Yogurt Maker Accessories</v>
      </c>
    </row>
    <row r="3606">
      <c r="A3606" s="29">
        <v>730.0</v>
      </c>
      <c r="B3606" s="29" t="s">
        <v>3234</v>
      </c>
      <c r="C3606" s="29" t="s">
        <v>3621</v>
      </c>
      <c r="D3606" s="29" t="s">
        <v>3782</v>
      </c>
      <c r="E3606" s="62"/>
      <c r="F3606" s="62"/>
      <c r="G3606" s="20" t="str">
        <f t="shared" si="1"/>
        <v>Home &amp; Garden, Kitchen &amp; Dining, Kitchen Appliances, </v>
      </c>
    </row>
    <row r="3607">
      <c r="A3607" s="29">
        <v>5287.0</v>
      </c>
      <c r="B3607" s="29" t="s">
        <v>3234</v>
      </c>
      <c r="C3607" s="29" t="s">
        <v>3621</v>
      </c>
      <c r="D3607" s="29" t="s">
        <v>3782</v>
      </c>
      <c r="E3607" s="29" t="s">
        <v>3783</v>
      </c>
      <c r="F3607" s="62"/>
      <c r="G3607" s="20" t="str">
        <f t="shared" si="1"/>
        <v>Home &amp; Garden, Kitchen &amp; Dining, Kitchen Appliances, Beverage Warmers</v>
      </c>
    </row>
    <row r="3608">
      <c r="A3608" s="29">
        <v>732.0</v>
      </c>
      <c r="B3608" s="29" t="s">
        <v>3234</v>
      </c>
      <c r="C3608" s="29" t="s">
        <v>3621</v>
      </c>
      <c r="D3608" s="29" t="s">
        <v>3782</v>
      </c>
      <c r="E3608" s="29" t="s">
        <v>3784</v>
      </c>
      <c r="F3608" s="62"/>
      <c r="G3608" s="20" t="str">
        <f t="shared" si="1"/>
        <v>Home &amp; Garden, Kitchen &amp; Dining, Kitchen Appliances, Breadmakers</v>
      </c>
    </row>
    <row r="3609">
      <c r="A3609" s="29">
        <v>5090.0</v>
      </c>
      <c r="B3609" s="29" t="s">
        <v>3234</v>
      </c>
      <c r="C3609" s="29" t="s">
        <v>3621</v>
      </c>
      <c r="D3609" s="29" t="s">
        <v>3782</v>
      </c>
      <c r="E3609" s="29" t="s">
        <v>3785</v>
      </c>
      <c r="F3609" s="62"/>
      <c r="G3609" s="20" t="str">
        <f t="shared" si="1"/>
        <v>Home &amp; Garden, Kitchen &amp; Dining, Kitchen Appliances, Chocolate Tempering Machines</v>
      </c>
    </row>
    <row r="3610">
      <c r="A3610" s="29">
        <v>736.0</v>
      </c>
      <c r="B3610" s="29" t="s">
        <v>3234</v>
      </c>
      <c r="C3610" s="29" t="s">
        <v>3621</v>
      </c>
      <c r="D3610" s="29" t="s">
        <v>3782</v>
      </c>
      <c r="E3610" s="29" t="s">
        <v>3786</v>
      </c>
      <c r="G3610" s="20" t="str">
        <f t="shared" si="1"/>
        <v>Home &amp; Garden, Kitchen &amp; Dining, Kitchen Appliances, Coffee Makers &amp; Espresso Machines</v>
      </c>
    </row>
    <row r="3611">
      <c r="A3611" s="29">
        <v>1388.0</v>
      </c>
      <c r="B3611" s="29" t="s">
        <v>3234</v>
      </c>
      <c r="C3611" s="29" t="s">
        <v>3621</v>
      </c>
      <c r="D3611" s="29" t="s">
        <v>3782</v>
      </c>
      <c r="E3611" s="29" t="s">
        <v>3786</v>
      </c>
      <c r="F3611" s="29" t="s">
        <v>3787</v>
      </c>
      <c r="G3611" s="20" t="str">
        <f t="shared" si="1"/>
        <v>Home &amp; Garden, Kitchen &amp; Dining, Kitchen Appliances, Coffee Makers &amp; Espresso MachinesDrip Coffee Makers</v>
      </c>
    </row>
    <row r="3612">
      <c r="A3612" s="29">
        <v>1647.0</v>
      </c>
      <c r="B3612" s="29" t="s">
        <v>3234</v>
      </c>
      <c r="C3612" s="29" t="s">
        <v>3621</v>
      </c>
      <c r="D3612" s="29" t="s">
        <v>3782</v>
      </c>
      <c r="E3612" s="29" t="s">
        <v>3786</v>
      </c>
      <c r="F3612" s="29" t="s">
        <v>3788</v>
      </c>
      <c r="G3612" s="20" t="str">
        <f t="shared" si="1"/>
        <v>Home &amp; Garden, Kitchen &amp; Dining, Kitchen Appliances, Coffee Makers &amp; Espresso MachinesElectric &amp; Stovetop Espresso Pots</v>
      </c>
    </row>
    <row r="3613">
      <c r="A3613" s="29">
        <v>2422.0</v>
      </c>
      <c r="B3613" s="29" t="s">
        <v>3234</v>
      </c>
      <c r="C3613" s="29" t="s">
        <v>3621</v>
      </c>
      <c r="D3613" s="29" t="s">
        <v>3782</v>
      </c>
      <c r="E3613" s="29" t="s">
        <v>3786</v>
      </c>
      <c r="F3613" s="29" t="s">
        <v>3789</v>
      </c>
      <c r="G3613" s="20" t="str">
        <f t="shared" si="1"/>
        <v>Home &amp; Garden, Kitchen &amp; Dining, Kitchen Appliances, Coffee Makers &amp; Espresso MachinesEspresso Machines</v>
      </c>
    </row>
    <row r="3614">
      <c r="A3614" s="29">
        <v>1557.0</v>
      </c>
      <c r="B3614" s="29" t="s">
        <v>3234</v>
      </c>
      <c r="C3614" s="29" t="s">
        <v>3621</v>
      </c>
      <c r="D3614" s="29" t="s">
        <v>3782</v>
      </c>
      <c r="E3614" s="29" t="s">
        <v>3786</v>
      </c>
      <c r="F3614" s="29" t="s">
        <v>3790</v>
      </c>
      <c r="G3614" s="20" t="str">
        <f t="shared" si="1"/>
        <v>Home &amp; Garden, Kitchen &amp; Dining, Kitchen Appliances, Coffee Makers &amp; Espresso MachinesFrench Presses</v>
      </c>
    </row>
    <row r="3615">
      <c r="A3615" s="29">
        <v>2247.0</v>
      </c>
      <c r="B3615" s="29" t="s">
        <v>3234</v>
      </c>
      <c r="C3615" s="29" t="s">
        <v>3621</v>
      </c>
      <c r="D3615" s="29" t="s">
        <v>3782</v>
      </c>
      <c r="E3615" s="29" t="s">
        <v>3786</v>
      </c>
      <c r="F3615" s="29" t="s">
        <v>3791</v>
      </c>
      <c r="G3615" s="20" t="str">
        <f t="shared" si="1"/>
        <v>Home &amp; Garden, Kitchen &amp; Dining, Kitchen Appliances, Coffee Makers &amp; Espresso MachinesPercolators</v>
      </c>
    </row>
    <row r="3616">
      <c r="A3616" s="29">
        <v>5286.0</v>
      </c>
      <c r="B3616" s="29" t="s">
        <v>3234</v>
      </c>
      <c r="C3616" s="29" t="s">
        <v>3621</v>
      </c>
      <c r="D3616" s="29" t="s">
        <v>3782</v>
      </c>
      <c r="E3616" s="29" t="s">
        <v>3786</v>
      </c>
      <c r="F3616" s="29" t="s">
        <v>3792</v>
      </c>
      <c r="G3616" s="20" t="str">
        <f t="shared" si="1"/>
        <v>Home &amp; Garden, Kitchen &amp; Dining, Kitchen Appliances, Coffee Makers &amp; Espresso MachinesVacuum Coffee Makers</v>
      </c>
    </row>
    <row r="3617">
      <c r="A3617" s="29">
        <v>679.0</v>
      </c>
      <c r="B3617" s="29" t="s">
        <v>3234</v>
      </c>
      <c r="C3617" s="29" t="s">
        <v>3621</v>
      </c>
      <c r="D3617" s="29" t="s">
        <v>3782</v>
      </c>
      <c r="E3617" s="29" t="s">
        <v>3793</v>
      </c>
      <c r="F3617" s="62"/>
      <c r="G3617" s="20" t="str">
        <f t="shared" si="1"/>
        <v>Home &amp; Garden, Kitchen &amp; Dining, Kitchen Appliances, Cooktops</v>
      </c>
    </row>
    <row r="3618">
      <c r="A3618" s="29">
        <v>3319.0</v>
      </c>
      <c r="B3618" s="29" t="s">
        <v>3234</v>
      </c>
      <c r="C3618" s="29" t="s">
        <v>3621</v>
      </c>
      <c r="D3618" s="29" t="s">
        <v>3782</v>
      </c>
      <c r="E3618" s="29" t="s">
        <v>3794</v>
      </c>
      <c r="F3618" s="62"/>
      <c r="G3618" s="20" t="str">
        <f t="shared" si="1"/>
        <v>Home &amp; Garden, Kitchen &amp; Dining, Kitchen Appliances, Cotton Candy Machines</v>
      </c>
    </row>
    <row r="3619">
      <c r="A3619" s="29">
        <v>738.0</v>
      </c>
      <c r="B3619" s="29" t="s">
        <v>3234</v>
      </c>
      <c r="C3619" s="29" t="s">
        <v>3621</v>
      </c>
      <c r="D3619" s="29" t="s">
        <v>3782</v>
      </c>
      <c r="E3619" s="29" t="s">
        <v>3795</v>
      </c>
      <c r="F3619" s="62"/>
      <c r="G3619" s="20" t="str">
        <f t="shared" si="1"/>
        <v>Home &amp; Garden, Kitchen &amp; Dining, Kitchen Appliances, Deep Fryers</v>
      </c>
    </row>
    <row r="3620">
      <c r="A3620" s="29">
        <v>3181.0</v>
      </c>
      <c r="B3620" s="29" t="s">
        <v>3234</v>
      </c>
      <c r="C3620" s="29" t="s">
        <v>3621</v>
      </c>
      <c r="D3620" s="29" t="s">
        <v>3782</v>
      </c>
      <c r="E3620" s="29" t="s">
        <v>3796</v>
      </c>
      <c r="F3620" s="62"/>
      <c r="G3620" s="20" t="str">
        <f t="shared" si="1"/>
        <v>Home &amp; Garden, Kitchen &amp; Dining, Kitchen Appliances, Deli Slicers</v>
      </c>
    </row>
    <row r="3621">
      <c r="A3621" s="29">
        <v>680.0</v>
      </c>
      <c r="B3621" s="29" t="s">
        <v>3234</v>
      </c>
      <c r="C3621" s="29" t="s">
        <v>3621</v>
      </c>
      <c r="D3621" s="29" t="s">
        <v>3782</v>
      </c>
      <c r="E3621" s="29" t="s">
        <v>3797</v>
      </c>
      <c r="F3621" s="62"/>
      <c r="G3621" s="20" t="str">
        <f t="shared" si="1"/>
        <v>Home &amp; Garden, Kitchen &amp; Dining, Kitchen Appliances, Dishwashers</v>
      </c>
    </row>
    <row r="3622">
      <c r="A3622" s="29">
        <v>7165.0</v>
      </c>
      <c r="B3622" s="29" t="s">
        <v>3234</v>
      </c>
      <c r="C3622" s="29" t="s">
        <v>3621</v>
      </c>
      <c r="D3622" s="29" t="s">
        <v>3782</v>
      </c>
      <c r="E3622" s="29" t="s">
        <v>3798</v>
      </c>
      <c r="F3622" s="62"/>
      <c r="G3622" s="20" t="str">
        <f t="shared" si="1"/>
        <v>Home &amp; Garden, Kitchen &amp; Dining, Kitchen Appliances, Electric Griddles &amp; Grills</v>
      </c>
    </row>
    <row r="3623">
      <c r="A3623" s="29">
        <v>751.0</v>
      </c>
      <c r="B3623" s="29" t="s">
        <v>3234</v>
      </c>
      <c r="C3623" s="29" t="s">
        <v>3621</v>
      </c>
      <c r="D3623" s="29" t="s">
        <v>3782</v>
      </c>
      <c r="E3623" s="29" t="s">
        <v>3799</v>
      </c>
      <c r="F3623" s="62"/>
      <c r="G3623" s="20" t="str">
        <f t="shared" si="1"/>
        <v>Home &amp; Garden, Kitchen &amp; Dining, Kitchen Appliances, Electric Kettles</v>
      </c>
    </row>
    <row r="3624">
      <c r="A3624" s="29">
        <v>4421.0</v>
      </c>
      <c r="B3624" s="29" t="s">
        <v>3234</v>
      </c>
      <c r="C3624" s="29" t="s">
        <v>3621</v>
      </c>
      <c r="D3624" s="29" t="s">
        <v>3782</v>
      </c>
      <c r="E3624" s="29" t="s">
        <v>3800</v>
      </c>
      <c r="F3624" s="62"/>
      <c r="G3624" s="20" t="str">
        <f t="shared" si="1"/>
        <v>Home &amp; Garden, Kitchen &amp; Dining, Kitchen Appliances, Electric Skillets &amp; Woks</v>
      </c>
    </row>
    <row r="3625">
      <c r="A3625" s="29">
        <v>4720.0</v>
      </c>
      <c r="B3625" s="29" t="s">
        <v>3234</v>
      </c>
      <c r="C3625" s="29" t="s">
        <v>3621</v>
      </c>
      <c r="D3625" s="29" t="s">
        <v>3782</v>
      </c>
      <c r="E3625" s="29" t="s">
        <v>3801</v>
      </c>
      <c r="F3625" s="62"/>
      <c r="G3625" s="20" t="str">
        <f t="shared" si="1"/>
        <v>Home &amp; Garden, Kitchen &amp; Dining, Kitchen Appliances, Fondue Pots &amp; Sets</v>
      </c>
    </row>
    <row r="3626">
      <c r="A3626" s="29">
        <v>4532.0</v>
      </c>
      <c r="B3626" s="29" t="s">
        <v>3234</v>
      </c>
      <c r="C3626" s="29" t="s">
        <v>3621</v>
      </c>
      <c r="D3626" s="29" t="s">
        <v>3782</v>
      </c>
      <c r="E3626" s="29" t="s">
        <v>3802</v>
      </c>
      <c r="F3626" s="62"/>
      <c r="G3626" s="20" t="str">
        <f t="shared" si="1"/>
        <v>Home &amp; Garden, Kitchen &amp; Dining, Kitchen Appliances, Food Cookers &amp; Steamers</v>
      </c>
    </row>
    <row r="3627">
      <c r="A3627" s="29">
        <v>739.0</v>
      </c>
      <c r="B3627" s="29" t="s">
        <v>3234</v>
      </c>
      <c r="C3627" s="29" t="s">
        <v>3621</v>
      </c>
      <c r="D3627" s="29" t="s">
        <v>3782</v>
      </c>
      <c r="E3627" s="29" t="s">
        <v>3802</v>
      </c>
      <c r="F3627" s="29" t="s">
        <v>3803</v>
      </c>
      <c r="G3627" s="20" t="str">
        <f t="shared" si="1"/>
        <v>Home &amp; Garden, Kitchen &amp; Dining, Kitchen Appliances, Food Cookers &amp; SteamersEgg Cookers</v>
      </c>
    </row>
    <row r="3628">
      <c r="A3628" s="29">
        <v>760.0</v>
      </c>
      <c r="B3628" s="29" t="s">
        <v>3234</v>
      </c>
      <c r="C3628" s="29" t="s">
        <v>3621</v>
      </c>
      <c r="D3628" s="29" t="s">
        <v>3782</v>
      </c>
      <c r="E3628" s="29" t="s">
        <v>3802</v>
      </c>
      <c r="F3628" s="29" t="s">
        <v>3804</v>
      </c>
      <c r="G3628" s="20" t="str">
        <f t="shared" si="1"/>
        <v>Home &amp; Garden, Kitchen &amp; Dining, Kitchen Appliances, Food Cookers &amp; SteamersFood Steamers</v>
      </c>
    </row>
    <row r="3629">
      <c r="A3629" s="29">
        <v>757.0</v>
      </c>
      <c r="B3629" s="29" t="s">
        <v>3234</v>
      </c>
      <c r="C3629" s="29" t="s">
        <v>3621</v>
      </c>
      <c r="D3629" s="29" t="s">
        <v>3782</v>
      </c>
      <c r="E3629" s="29" t="s">
        <v>3802</v>
      </c>
      <c r="F3629" s="29" t="s">
        <v>3805</v>
      </c>
      <c r="G3629" s="20" t="str">
        <f t="shared" si="1"/>
        <v>Home &amp; Garden, Kitchen &amp; Dining, Kitchen Appliances, Food Cookers &amp; SteamersRice Cookers</v>
      </c>
    </row>
    <row r="3630">
      <c r="A3630" s="29">
        <v>737.0</v>
      </c>
      <c r="B3630" s="29" t="s">
        <v>3234</v>
      </c>
      <c r="C3630" s="29" t="s">
        <v>3621</v>
      </c>
      <c r="D3630" s="29" t="s">
        <v>3782</v>
      </c>
      <c r="E3630" s="29" t="s">
        <v>3802</v>
      </c>
      <c r="F3630" s="29" t="s">
        <v>3806</v>
      </c>
      <c r="G3630" s="20" t="str">
        <f t="shared" si="1"/>
        <v>Home &amp; Garden, Kitchen &amp; Dining, Kitchen Appliances, Food Cookers &amp; SteamersSlow Cookers</v>
      </c>
    </row>
    <row r="3631">
      <c r="A3631" s="29">
        <v>6523.0</v>
      </c>
      <c r="B3631" s="29" t="s">
        <v>3234</v>
      </c>
      <c r="C3631" s="29" t="s">
        <v>3621</v>
      </c>
      <c r="D3631" s="29" t="s">
        <v>3782</v>
      </c>
      <c r="E3631" s="29" t="s">
        <v>3802</v>
      </c>
      <c r="F3631" s="29" t="s">
        <v>3807</v>
      </c>
      <c r="G3631" s="20" t="str">
        <f t="shared" si="1"/>
        <v>Home &amp; Garden, Kitchen &amp; Dining, Kitchen Appliances, Food Cookers &amp; SteamersThermal Cookers</v>
      </c>
    </row>
    <row r="3632">
      <c r="A3632" s="29">
        <v>6279.0</v>
      </c>
      <c r="B3632" s="29" t="s">
        <v>3234</v>
      </c>
      <c r="C3632" s="29" t="s">
        <v>3621</v>
      </c>
      <c r="D3632" s="29" t="s">
        <v>3782</v>
      </c>
      <c r="E3632" s="29" t="s">
        <v>3802</v>
      </c>
      <c r="F3632" s="29" t="s">
        <v>3808</v>
      </c>
      <c r="G3632" s="20" t="str">
        <f t="shared" si="1"/>
        <v>Home &amp; Garden, Kitchen &amp; Dining, Kitchen Appliances, Food Cookers &amp; SteamersWater Ovens</v>
      </c>
    </row>
    <row r="3633">
      <c r="A3633" s="29">
        <v>743.0</v>
      </c>
      <c r="B3633" s="29" t="s">
        <v>3234</v>
      </c>
      <c r="C3633" s="29" t="s">
        <v>3621</v>
      </c>
      <c r="D3633" s="29" t="s">
        <v>3782</v>
      </c>
      <c r="E3633" s="29" t="s">
        <v>3809</v>
      </c>
      <c r="F3633" s="62"/>
      <c r="G3633" s="20" t="str">
        <f t="shared" si="1"/>
        <v>Home &amp; Garden, Kitchen &amp; Dining, Kitchen Appliances, Food Dehydrators</v>
      </c>
    </row>
    <row r="3634">
      <c r="A3634" s="29">
        <v>744.0</v>
      </c>
      <c r="B3634" s="29" t="s">
        <v>3234</v>
      </c>
      <c r="C3634" s="29" t="s">
        <v>3621</v>
      </c>
      <c r="D3634" s="29" t="s">
        <v>3782</v>
      </c>
      <c r="E3634" s="29" t="s">
        <v>3810</v>
      </c>
      <c r="F3634" s="62"/>
      <c r="G3634" s="20" t="str">
        <f t="shared" si="1"/>
        <v>Home &amp; Garden, Kitchen &amp; Dining, Kitchen Appliances, Food Grinders &amp; Mills</v>
      </c>
    </row>
    <row r="3635">
      <c r="A3635" s="29">
        <v>505666.0</v>
      </c>
      <c r="B3635" s="29" t="s">
        <v>3234</v>
      </c>
      <c r="C3635" s="29" t="s">
        <v>3621</v>
      </c>
      <c r="D3635" s="29" t="s">
        <v>3782</v>
      </c>
      <c r="E3635" s="29" t="s">
        <v>3811</v>
      </c>
      <c r="F3635" s="62"/>
      <c r="G3635" s="20" t="str">
        <f t="shared" si="1"/>
        <v>Home &amp; Garden, Kitchen &amp; Dining, Kitchen Appliances, Food Mixers &amp; Blenders</v>
      </c>
    </row>
    <row r="3636">
      <c r="A3636" s="29">
        <v>687.0</v>
      </c>
      <c r="B3636" s="29" t="s">
        <v>3234</v>
      </c>
      <c r="C3636" s="29" t="s">
        <v>3621</v>
      </c>
      <c r="D3636" s="29" t="s">
        <v>3782</v>
      </c>
      <c r="E3636" s="29" t="s">
        <v>3812</v>
      </c>
      <c r="F3636" s="62"/>
      <c r="G3636" s="20" t="str">
        <f t="shared" si="1"/>
        <v>Home &amp; Garden, Kitchen &amp; Dining, Kitchen Appliances, Food Smokers</v>
      </c>
    </row>
    <row r="3637">
      <c r="A3637" s="29">
        <v>5103.0</v>
      </c>
      <c r="B3637" s="29" t="s">
        <v>3234</v>
      </c>
      <c r="C3637" s="29" t="s">
        <v>3621</v>
      </c>
      <c r="D3637" s="29" t="s">
        <v>3782</v>
      </c>
      <c r="E3637" s="29" t="s">
        <v>3813</v>
      </c>
      <c r="F3637" s="62"/>
      <c r="G3637" s="20" t="str">
        <f t="shared" si="1"/>
        <v>Home &amp; Garden, Kitchen &amp; Dining, Kitchen Appliances, Food Warmers</v>
      </c>
    </row>
    <row r="3638">
      <c r="A3638" s="29">
        <v>6548.0</v>
      </c>
      <c r="B3638" s="29" t="s">
        <v>3234</v>
      </c>
      <c r="C3638" s="29" t="s">
        <v>3621</v>
      </c>
      <c r="D3638" s="29" t="s">
        <v>3782</v>
      </c>
      <c r="E3638" s="29" t="s">
        <v>3813</v>
      </c>
      <c r="F3638" s="29" t="s">
        <v>3814</v>
      </c>
      <c r="G3638" s="20" t="str">
        <f t="shared" si="1"/>
        <v>Home &amp; Garden, Kitchen &amp; Dining, Kitchen Appliances, Food WarmersChafing Dishes</v>
      </c>
    </row>
    <row r="3639">
      <c r="A3639" s="29">
        <v>5349.0</v>
      </c>
      <c r="B3639" s="29" t="s">
        <v>3234</v>
      </c>
      <c r="C3639" s="29" t="s">
        <v>3621</v>
      </c>
      <c r="D3639" s="29" t="s">
        <v>3782</v>
      </c>
      <c r="E3639" s="29" t="s">
        <v>3813</v>
      </c>
      <c r="F3639" s="29" t="s">
        <v>3815</v>
      </c>
      <c r="G3639" s="20" t="str">
        <f t="shared" si="1"/>
        <v>Home &amp; Garden, Kitchen &amp; Dining, Kitchen Appliances, Food WarmersFood Heat Lamps</v>
      </c>
    </row>
    <row r="3640">
      <c r="A3640" s="29">
        <v>504633.0</v>
      </c>
      <c r="B3640" s="29" t="s">
        <v>3234</v>
      </c>
      <c r="C3640" s="29" t="s">
        <v>3621</v>
      </c>
      <c r="D3640" s="29" t="s">
        <v>3782</v>
      </c>
      <c r="E3640" s="29" t="s">
        <v>3813</v>
      </c>
      <c r="F3640" s="29" t="s">
        <v>3816</v>
      </c>
      <c r="G3640" s="20" t="str">
        <f t="shared" si="1"/>
        <v>Home &amp; Garden, Kitchen &amp; Dining, Kitchen Appliances, Food WarmersRice Keepers</v>
      </c>
    </row>
    <row r="3641">
      <c r="A3641" s="29">
        <v>4292.0</v>
      </c>
      <c r="B3641" s="29" t="s">
        <v>3234</v>
      </c>
      <c r="C3641" s="29" t="s">
        <v>3621</v>
      </c>
      <c r="D3641" s="29" t="s">
        <v>3782</v>
      </c>
      <c r="E3641" s="29" t="s">
        <v>3813</v>
      </c>
      <c r="F3641" s="29" t="s">
        <v>3817</v>
      </c>
      <c r="G3641" s="20" t="str">
        <f t="shared" si="1"/>
        <v>Home &amp; Garden, Kitchen &amp; Dining, Kitchen Appliances, Food WarmersSteam Tables</v>
      </c>
    </row>
    <row r="3642">
      <c r="A3642" s="29">
        <v>681.0</v>
      </c>
      <c r="B3642" s="29" t="s">
        <v>3234</v>
      </c>
      <c r="C3642" s="29" t="s">
        <v>3621</v>
      </c>
      <c r="D3642" s="29" t="s">
        <v>3782</v>
      </c>
      <c r="E3642" s="29" t="s">
        <v>3818</v>
      </c>
      <c r="F3642" s="62"/>
      <c r="G3642" s="20" t="str">
        <f t="shared" si="1"/>
        <v>Home &amp; Garden, Kitchen &amp; Dining, Kitchen Appliances, Freezers</v>
      </c>
    </row>
    <row r="3643">
      <c r="A3643" s="29">
        <v>5156.0</v>
      </c>
      <c r="B3643" s="29" t="s">
        <v>3234</v>
      </c>
      <c r="C3643" s="29" t="s">
        <v>3621</v>
      </c>
      <c r="D3643" s="29" t="s">
        <v>3782</v>
      </c>
      <c r="E3643" s="29" t="s">
        <v>3819</v>
      </c>
      <c r="F3643" s="62"/>
      <c r="G3643" s="20" t="str">
        <f t="shared" si="1"/>
        <v>Home &amp; Garden, Kitchen &amp; Dining, Kitchen Appliances, Frozen Drink Makers</v>
      </c>
    </row>
    <row r="3644">
      <c r="A3644" s="29">
        <v>610.0</v>
      </c>
      <c r="B3644" s="29" t="s">
        <v>3234</v>
      </c>
      <c r="C3644" s="29" t="s">
        <v>3621</v>
      </c>
      <c r="D3644" s="29" t="s">
        <v>3782</v>
      </c>
      <c r="E3644" s="29" t="s">
        <v>3820</v>
      </c>
      <c r="F3644" s="62"/>
      <c r="G3644" s="20" t="str">
        <f t="shared" si="1"/>
        <v>Home &amp; Garden, Kitchen &amp; Dining, Kitchen Appliances, Garbage Disposals</v>
      </c>
    </row>
    <row r="3645">
      <c r="A3645" s="29">
        <v>6524.0</v>
      </c>
      <c r="B3645" s="29" t="s">
        <v>3234</v>
      </c>
      <c r="C3645" s="29" t="s">
        <v>3621</v>
      </c>
      <c r="D3645" s="29" t="s">
        <v>3782</v>
      </c>
      <c r="E3645" s="29" t="s">
        <v>3821</v>
      </c>
      <c r="F3645" s="62"/>
      <c r="G3645" s="20" t="str">
        <f t="shared" si="1"/>
        <v>Home &amp; Garden, Kitchen &amp; Dining, Kitchen Appliances, Gas Griddles</v>
      </c>
    </row>
    <row r="3646">
      <c r="A3646" s="29">
        <v>6543.0</v>
      </c>
      <c r="B3646" s="29" t="s">
        <v>3234</v>
      </c>
      <c r="C3646" s="29" t="s">
        <v>3621</v>
      </c>
      <c r="D3646" s="29" t="s">
        <v>3782</v>
      </c>
      <c r="E3646" s="29" t="s">
        <v>3822</v>
      </c>
      <c r="F3646" s="62"/>
      <c r="G3646" s="20" t="str">
        <f t="shared" si="1"/>
        <v>Home &amp; Garden, Kitchen &amp; Dining, Kitchen Appliances, Hot Drink Makers</v>
      </c>
    </row>
    <row r="3647">
      <c r="A3647" s="29">
        <v>747.0</v>
      </c>
      <c r="B3647" s="29" t="s">
        <v>3234</v>
      </c>
      <c r="C3647" s="29" t="s">
        <v>3621</v>
      </c>
      <c r="D3647" s="29" t="s">
        <v>3782</v>
      </c>
      <c r="E3647" s="29" t="s">
        <v>3823</v>
      </c>
      <c r="F3647" s="62"/>
      <c r="G3647" s="20" t="str">
        <f t="shared" si="1"/>
        <v>Home &amp; Garden, Kitchen &amp; Dining, Kitchen Appliances, Hot Plates</v>
      </c>
    </row>
    <row r="3648">
      <c r="A3648" s="29">
        <v>748.0</v>
      </c>
      <c r="B3648" s="29" t="s">
        <v>3234</v>
      </c>
      <c r="C3648" s="29" t="s">
        <v>3621</v>
      </c>
      <c r="D3648" s="29" t="s">
        <v>3782</v>
      </c>
      <c r="E3648" s="29" t="s">
        <v>3824</v>
      </c>
      <c r="F3648" s="62"/>
      <c r="G3648" s="20" t="str">
        <f t="shared" si="1"/>
        <v>Home &amp; Garden, Kitchen &amp; Dining, Kitchen Appliances, Ice Cream Makers</v>
      </c>
    </row>
    <row r="3649">
      <c r="A3649" s="29">
        <v>749.0</v>
      </c>
      <c r="B3649" s="29" t="s">
        <v>3234</v>
      </c>
      <c r="C3649" s="29" t="s">
        <v>3621</v>
      </c>
      <c r="D3649" s="29" t="s">
        <v>3782</v>
      </c>
      <c r="E3649" s="29" t="s">
        <v>3825</v>
      </c>
      <c r="F3649" s="62"/>
      <c r="G3649" s="20" t="str">
        <f t="shared" si="1"/>
        <v>Home &amp; Garden, Kitchen &amp; Dining, Kitchen Appliances, Ice Crushers &amp; Shavers</v>
      </c>
    </row>
    <row r="3650">
      <c r="A3650" s="29">
        <v>4161.0</v>
      </c>
      <c r="B3650" s="29" t="s">
        <v>3234</v>
      </c>
      <c r="C3650" s="29" t="s">
        <v>3621</v>
      </c>
      <c r="D3650" s="29" t="s">
        <v>3782</v>
      </c>
      <c r="E3650" s="29" t="s">
        <v>3826</v>
      </c>
      <c r="F3650" s="62"/>
      <c r="G3650" s="20" t="str">
        <f t="shared" si="1"/>
        <v>Home &amp; Garden, Kitchen &amp; Dining, Kitchen Appliances, Ice Makers</v>
      </c>
    </row>
    <row r="3651">
      <c r="A3651" s="29">
        <v>750.0</v>
      </c>
      <c r="B3651" s="29" t="s">
        <v>3234</v>
      </c>
      <c r="C3651" s="29" t="s">
        <v>3621</v>
      </c>
      <c r="D3651" s="29" t="s">
        <v>3782</v>
      </c>
      <c r="E3651" s="29" t="s">
        <v>3827</v>
      </c>
      <c r="F3651" s="62"/>
      <c r="G3651" s="20" t="str">
        <f t="shared" si="1"/>
        <v>Home &amp; Garden, Kitchen &amp; Dining, Kitchen Appliances, Juicers</v>
      </c>
    </row>
    <row r="3652">
      <c r="A3652" s="29">
        <v>752.0</v>
      </c>
      <c r="B3652" s="29" t="s">
        <v>3234</v>
      </c>
      <c r="C3652" s="29" t="s">
        <v>3621</v>
      </c>
      <c r="D3652" s="29" t="s">
        <v>3782</v>
      </c>
      <c r="E3652" s="29" t="s">
        <v>3828</v>
      </c>
      <c r="F3652" s="62"/>
      <c r="G3652" s="20" t="str">
        <f t="shared" si="1"/>
        <v>Home &amp; Garden, Kitchen &amp; Dining, Kitchen Appliances, Knife Sharpeners</v>
      </c>
    </row>
    <row r="3653">
      <c r="A3653" s="29">
        <v>753.0</v>
      </c>
      <c r="B3653" s="29" t="s">
        <v>3234</v>
      </c>
      <c r="C3653" s="29" t="s">
        <v>3621</v>
      </c>
      <c r="D3653" s="29" t="s">
        <v>3782</v>
      </c>
      <c r="E3653" s="29" t="s">
        <v>3829</v>
      </c>
      <c r="F3653" s="62"/>
      <c r="G3653" s="20" t="str">
        <f t="shared" si="1"/>
        <v>Home &amp; Garden, Kitchen &amp; Dining, Kitchen Appliances, Microwave Ovens</v>
      </c>
    </row>
    <row r="3654">
      <c r="A3654" s="29">
        <v>3526.0</v>
      </c>
      <c r="B3654" s="29" t="s">
        <v>3234</v>
      </c>
      <c r="C3654" s="29" t="s">
        <v>3621</v>
      </c>
      <c r="D3654" s="29" t="s">
        <v>3782</v>
      </c>
      <c r="E3654" s="29" t="s">
        <v>3830</v>
      </c>
      <c r="F3654" s="62"/>
      <c r="G3654" s="20" t="str">
        <f t="shared" si="1"/>
        <v>Home &amp; Garden, Kitchen &amp; Dining, Kitchen Appliances, Milk Frothers &amp; Steamers</v>
      </c>
    </row>
    <row r="3655">
      <c r="A3655" s="29">
        <v>4482.0</v>
      </c>
      <c r="B3655" s="29" t="s">
        <v>3234</v>
      </c>
      <c r="C3655" s="29" t="s">
        <v>3621</v>
      </c>
      <c r="D3655" s="29" t="s">
        <v>3782</v>
      </c>
      <c r="E3655" s="29" t="s">
        <v>3831</v>
      </c>
      <c r="F3655" s="62"/>
      <c r="G3655" s="20" t="str">
        <f t="shared" si="1"/>
        <v>Home &amp; Garden, Kitchen &amp; Dining, Kitchen Appliances, Mochi Makers</v>
      </c>
    </row>
    <row r="3656">
      <c r="A3656" s="29">
        <v>2985.0</v>
      </c>
      <c r="B3656" s="29" t="s">
        <v>3234</v>
      </c>
      <c r="C3656" s="29" t="s">
        <v>3621</v>
      </c>
      <c r="D3656" s="29" t="s">
        <v>3782</v>
      </c>
      <c r="E3656" s="29" t="s">
        <v>3832</v>
      </c>
      <c r="F3656" s="62"/>
      <c r="G3656" s="20" t="str">
        <f t="shared" si="1"/>
        <v>Home &amp; Garden, Kitchen &amp; Dining, Kitchen Appliances, Outdoor Grills</v>
      </c>
    </row>
    <row r="3657">
      <c r="A3657" s="29">
        <v>683.0</v>
      </c>
      <c r="B3657" s="29" t="s">
        <v>3234</v>
      </c>
      <c r="C3657" s="29" t="s">
        <v>3621</v>
      </c>
      <c r="D3657" s="29" t="s">
        <v>3782</v>
      </c>
      <c r="E3657" s="29" t="s">
        <v>3833</v>
      </c>
      <c r="F3657" s="62"/>
      <c r="G3657" s="20" t="str">
        <f t="shared" si="1"/>
        <v>Home &amp; Garden, Kitchen &amp; Dining, Kitchen Appliances, Ovens</v>
      </c>
    </row>
    <row r="3658">
      <c r="A3658" s="29">
        <v>755.0</v>
      </c>
      <c r="B3658" s="29" t="s">
        <v>3234</v>
      </c>
      <c r="C3658" s="29" t="s">
        <v>3621</v>
      </c>
      <c r="D3658" s="29" t="s">
        <v>3782</v>
      </c>
      <c r="E3658" s="29" t="s">
        <v>3834</v>
      </c>
      <c r="F3658" s="62"/>
      <c r="G3658" s="20" t="str">
        <f t="shared" si="1"/>
        <v>Home &amp; Garden, Kitchen &amp; Dining, Kitchen Appliances, Pasta Makers</v>
      </c>
    </row>
    <row r="3659">
      <c r="A3659" s="29">
        <v>756.0</v>
      </c>
      <c r="B3659" s="29" t="s">
        <v>3234</v>
      </c>
      <c r="C3659" s="29" t="s">
        <v>3621</v>
      </c>
      <c r="D3659" s="29" t="s">
        <v>3782</v>
      </c>
      <c r="E3659" s="29" t="s">
        <v>3835</v>
      </c>
      <c r="F3659" s="62"/>
      <c r="G3659" s="20" t="str">
        <f t="shared" si="1"/>
        <v>Home &amp; Garden, Kitchen &amp; Dining, Kitchen Appliances, Popcorn Makers</v>
      </c>
    </row>
    <row r="3660">
      <c r="A3660" s="29">
        <v>1015.0</v>
      </c>
      <c r="B3660" s="29" t="s">
        <v>3234</v>
      </c>
      <c r="C3660" s="29" t="s">
        <v>3621</v>
      </c>
      <c r="D3660" s="29" t="s">
        <v>3782</v>
      </c>
      <c r="E3660" s="29" t="s">
        <v>3836</v>
      </c>
      <c r="F3660" s="62"/>
      <c r="G3660" s="20" t="str">
        <f t="shared" si="1"/>
        <v>Home &amp; Garden, Kitchen &amp; Dining, Kitchen Appliances, Portable Cooking Stoves</v>
      </c>
    </row>
    <row r="3661">
      <c r="A3661" s="29">
        <v>684.0</v>
      </c>
      <c r="B3661" s="29" t="s">
        <v>3234</v>
      </c>
      <c r="C3661" s="29" t="s">
        <v>3621</v>
      </c>
      <c r="D3661" s="29" t="s">
        <v>3782</v>
      </c>
      <c r="E3661" s="29" t="s">
        <v>3837</v>
      </c>
      <c r="F3661" s="62"/>
      <c r="G3661" s="20" t="str">
        <f t="shared" si="1"/>
        <v>Home &amp; Garden, Kitchen &amp; Dining, Kitchen Appliances, Range Hoods</v>
      </c>
    </row>
    <row r="3662">
      <c r="A3662" s="29">
        <v>685.0</v>
      </c>
      <c r="B3662" s="29" t="s">
        <v>3234</v>
      </c>
      <c r="C3662" s="29" t="s">
        <v>3621</v>
      </c>
      <c r="D3662" s="29" t="s">
        <v>3782</v>
      </c>
      <c r="E3662" s="29" t="s">
        <v>3838</v>
      </c>
      <c r="F3662" s="62"/>
      <c r="G3662" s="20" t="str">
        <f t="shared" si="1"/>
        <v>Home &amp; Garden, Kitchen &amp; Dining, Kitchen Appliances, Ranges</v>
      </c>
    </row>
    <row r="3663">
      <c r="A3663" s="29">
        <v>686.0</v>
      </c>
      <c r="B3663" s="29" t="s">
        <v>3234</v>
      </c>
      <c r="C3663" s="29" t="s">
        <v>3621</v>
      </c>
      <c r="D3663" s="29" t="s">
        <v>3782</v>
      </c>
      <c r="E3663" s="29" t="s">
        <v>3839</v>
      </c>
      <c r="F3663" s="62"/>
      <c r="G3663" s="20" t="str">
        <f t="shared" si="1"/>
        <v>Home &amp; Garden, Kitchen &amp; Dining, Kitchen Appliances, Refrigerators</v>
      </c>
    </row>
    <row r="3664">
      <c r="A3664" s="29">
        <v>4495.0</v>
      </c>
      <c r="B3664" s="29" t="s">
        <v>3234</v>
      </c>
      <c r="C3664" s="29" t="s">
        <v>3621</v>
      </c>
      <c r="D3664" s="29" t="s">
        <v>3782</v>
      </c>
      <c r="E3664" s="29" t="s">
        <v>3840</v>
      </c>
      <c r="F3664" s="62"/>
      <c r="G3664" s="20" t="str">
        <f t="shared" si="1"/>
        <v>Home &amp; Garden, Kitchen &amp; Dining, Kitchen Appliances, Roaster Ovens &amp; Rotisseries</v>
      </c>
    </row>
    <row r="3665">
      <c r="A3665" s="29">
        <v>5577.0</v>
      </c>
      <c r="B3665" s="29" t="s">
        <v>3234</v>
      </c>
      <c r="C3665" s="29" t="s">
        <v>3621</v>
      </c>
      <c r="D3665" s="29" t="s">
        <v>3782</v>
      </c>
      <c r="E3665" s="29" t="s">
        <v>3841</v>
      </c>
      <c r="F3665" s="62"/>
      <c r="G3665" s="20" t="str">
        <f t="shared" si="1"/>
        <v>Home &amp; Garden, Kitchen &amp; Dining, Kitchen Appliances, Soda Makers</v>
      </c>
    </row>
    <row r="3666">
      <c r="A3666" s="29">
        <v>5057.0</v>
      </c>
      <c r="B3666" s="29" t="s">
        <v>3234</v>
      </c>
      <c r="C3666" s="29" t="s">
        <v>3621</v>
      </c>
      <c r="D3666" s="29" t="s">
        <v>3782</v>
      </c>
      <c r="E3666" s="29" t="s">
        <v>3842</v>
      </c>
      <c r="F3666" s="62"/>
      <c r="G3666" s="20" t="str">
        <f t="shared" si="1"/>
        <v>Home &amp; Garden, Kitchen &amp; Dining, Kitchen Appliances, Soy Milk Makers</v>
      </c>
    </row>
    <row r="3667">
      <c r="A3667" s="29">
        <v>4528.0</v>
      </c>
      <c r="B3667" s="29" t="s">
        <v>3234</v>
      </c>
      <c r="C3667" s="29" t="s">
        <v>3621</v>
      </c>
      <c r="D3667" s="29" t="s">
        <v>3782</v>
      </c>
      <c r="E3667" s="29" t="s">
        <v>3843</v>
      </c>
      <c r="F3667" s="62"/>
      <c r="G3667" s="20" t="str">
        <f t="shared" si="1"/>
        <v>Home &amp; Garden, Kitchen &amp; Dining, Kitchen Appliances, Tea Makers</v>
      </c>
    </row>
    <row r="3668">
      <c r="A3668" s="29">
        <v>5289.0</v>
      </c>
      <c r="B3668" s="29" t="s">
        <v>3234</v>
      </c>
      <c r="C3668" s="29" t="s">
        <v>3621</v>
      </c>
      <c r="D3668" s="29" t="s">
        <v>3782</v>
      </c>
      <c r="E3668" s="29" t="s">
        <v>3844</v>
      </c>
      <c r="F3668" s="62"/>
      <c r="G3668" s="20" t="str">
        <f t="shared" si="1"/>
        <v>Home &amp; Garden, Kitchen &amp; Dining, Kitchen Appliances, Toasters &amp; Grills</v>
      </c>
    </row>
    <row r="3669">
      <c r="A3669" s="29">
        <v>761.0</v>
      </c>
      <c r="B3669" s="29" t="s">
        <v>3234</v>
      </c>
      <c r="C3669" s="29" t="s">
        <v>3621</v>
      </c>
      <c r="D3669" s="29" t="s">
        <v>3782</v>
      </c>
      <c r="E3669" s="29" t="s">
        <v>3844</v>
      </c>
      <c r="F3669" s="29" t="s">
        <v>3845</v>
      </c>
      <c r="G3669" s="20" t="str">
        <f t="shared" si="1"/>
        <v>Home &amp; Garden, Kitchen &amp; Dining, Kitchen Appliances, Toasters &amp; GrillsCountertop &amp; Toaster Ovens</v>
      </c>
    </row>
    <row r="3670">
      <c r="A3670" s="29">
        <v>6819.0</v>
      </c>
      <c r="B3670" s="29" t="s">
        <v>3234</v>
      </c>
      <c r="C3670" s="29" t="s">
        <v>3621</v>
      </c>
      <c r="D3670" s="29" t="s">
        <v>3782</v>
      </c>
      <c r="E3670" s="29" t="s">
        <v>3844</v>
      </c>
      <c r="F3670" s="29" t="s">
        <v>3846</v>
      </c>
      <c r="G3670" s="20" t="str">
        <f t="shared" si="1"/>
        <v>Home &amp; Garden, Kitchen &amp; Dining, Kitchen Appliances, Toasters &amp; GrillsDonut Makers</v>
      </c>
    </row>
    <row r="3671">
      <c r="A3671" s="29">
        <v>5318.0</v>
      </c>
      <c r="B3671" s="29" t="s">
        <v>3234</v>
      </c>
      <c r="C3671" s="29" t="s">
        <v>3621</v>
      </c>
      <c r="D3671" s="29" t="s">
        <v>3782</v>
      </c>
      <c r="E3671" s="29" t="s">
        <v>3844</v>
      </c>
      <c r="F3671" s="29" t="s">
        <v>3847</v>
      </c>
      <c r="G3671" s="20" t="str">
        <f t="shared" si="1"/>
        <v>Home &amp; Garden, Kitchen &amp; Dining, Kitchen Appliances, Toasters &amp; GrillsMuffin &amp; Cupcake Makers</v>
      </c>
    </row>
    <row r="3672">
      <c r="A3672" s="29">
        <v>6278.0</v>
      </c>
      <c r="B3672" s="29" t="s">
        <v>3234</v>
      </c>
      <c r="C3672" s="29" t="s">
        <v>3621</v>
      </c>
      <c r="D3672" s="29" t="s">
        <v>3782</v>
      </c>
      <c r="E3672" s="29" t="s">
        <v>3844</v>
      </c>
      <c r="F3672" s="29" t="s">
        <v>3848</v>
      </c>
      <c r="G3672" s="20" t="str">
        <f t="shared" si="1"/>
        <v>Home &amp; Garden, Kitchen &amp; Dining, Kitchen Appliances, Toasters &amp; GrillsPizza Makers &amp; Ovens</v>
      </c>
    </row>
    <row r="3673">
      <c r="A3673" s="29">
        <v>5291.0</v>
      </c>
      <c r="B3673" s="29" t="s">
        <v>3234</v>
      </c>
      <c r="C3673" s="29" t="s">
        <v>3621</v>
      </c>
      <c r="D3673" s="29" t="s">
        <v>3782</v>
      </c>
      <c r="E3673" s="29" t="s">
        <v>3844</v>
      </c>
      <c r="F3673" s="29" t="s">
        <v>3849</v>
      </c>
      <c r="G3673" s="20" t="str">
        <f t="shared" si="1"/>
        <v>Home &amp; Garden, Kitchen &amp; Dining, Kitchen Appliances, Toasters &amp; GrillsPizzelle Makers</v>
      </c>
    </row>
    <row r="3674">
      <c r="A3674" s="29">
        <v>6516.0</v>
      </c>
      <c r="B3674" s="29" t="s">
        <v>3234</v>
      </c>
      <c r="C3674" s="29" t="s">
        <v>3621</v>
      </c>
      <c r="D3674" s="29" t="s">
        <v>3782</v>
      </c>
      <c r="E3674" s="29" t="s">
        <v>3844</v>
      </c>
      <c r="F3674" s="29" t="s">
        <v>3850</v>
      </c>
      <c r="G3674" s="20" t="str">
        <f t="shared" si="1"/>
        <v>Home &amp; Garden, Kitchen &amp; Dining, Kitchen Appliances, Toasters &amp; GrillsPretzel Makers</v>
      </c>
    </row>
    <row r="3675">
      <c r="A3675" s="29">
        <v>759.0</v>
      </c>
      <c r="B3675" s="29" t="s">
        <v>3234</v>
      </c>
      <c r="C3675" s="29" t="s">
        <v>3621</v>
      </c>
      <c r="D3675" s="29" t="s">
        <v>3782</v>
      </c>
      <c r="E3675" s="29" t="s">
        <v>3844</v>
      </c>
      <c r="F3675" s="29" t="s">
        <v>3851</v>
      </c>
      <c r="G3675" s="20" t="str">
        <f t="shared" si="1"/>
        <v>Home &amp; Garden, Kitchen &amp; Dining, Kitchen Appliances, Toasters &amp; GrillsSandwich Makers</v>
      </c>
    </row>
    <row r="3676">
      <c r="A3676" s="29">
        <v>762.0</v>
      </c>
      <c r="B3676" s="29" t="s">
        <v>3234</v>
      </c>
      <c r="C3676" s="29" t="s">
        <v>3621</v>
      </c>
      <c r="D3676" s="29" t="s">
        <v>3782</v>
      </c>
      <c r="E3676" s="29" t="s">
        <v>3844</v>
      </c>
      <c r="F3676" s="29" t="s">
        <v>3852</v>
      </c>
      <c r="G3676" s="20" t="str">
        <f t="shared" si="1"/>
        <v>Home &amp; Garden, Kitchen &amp; Dining, Kitchen Appliances, Toasters &amp; GrillsToasters</v>
      </c>
    </row>
    <row r="3677">
      <c r="A3677" s="29">
        <v>5292.0</v>
      </c>
      <c r="B3677" s="29" t="s">
        <v>3234</v>
      </c>
      <c r="C3677" s="29" t="s">
        <v>3621</v>
      </c>
      <c r="D3677" s="29" t="s">
        <v>3782</v>
      </c>
      <c r="E3677" s="29" t="s">
        <v>3844</v>
      </c>
      <c r="F3677" s="29" t="s">
        <v>3853</v>
      </c>
      <c r="G3677" s="20" t="str">
        <f t="shared" si="1"/>
        <v>Home &amp; Garden, Kitchen &amp; Dining, Kitchen Appliances, Toasters &amp; GrillsTortilla &amp; Flatbread Makers</v>
      </c>
    </row>
    <row r="3678">
      <c r="A3678" s="29">
        <v>764.0</v>
      </c>
      <c r="B3678" s="29" t="s">
        <v>3234</v>
      </c>
      <c r="C3678" s="29" t="s">
        <v>3621</v>
      </c>
      <c r="D3678" s="29" t="s">
        <v>3782</v>
      </c>
      <c r="E3678" s="29" t="s">
        <v>3844</v>
      </c>
      <c r="F3678" s="29" t="s">
        <v>3854</v>
      </c>
      <c r="G3678" s="20" t="str">
        <f t="shared" si="1"/>
        <v>Home &amp; Garden, Kitchen &amp; Dining, Kitchen Appliances, Toasters &amp; GrillsWaffle Irons</v>
      </c>
    </row>
    <row r="3679">
      <c r="A3679" s="29">
        <v>688.0</v>
      </c>
      <c r="B3679" s="29" t="s">
        <v>3234</v>
      </c>
      <c r="C3679" s="29" t="s">
        <v>3621</v>
      </c>
      <c r="D3679" s="29" t="s">
        <v>3782</v>
      </c>
      <c r="E3679" s="29" t="s">
        <v>3855</v>
      </c>
      <c r="F3679" s="62"/>
      <c r="G3679" s="20" t="str">
        <f t="shared" si="1"/>
        <v>Home &amp; Garden, Kitchen &amp; Dining, Kitchen Appliances, Trash Compactors</v>
      </c>
    </row>
    <row r="3680">
      <c r="A3680" s="29">
        <v>763.0</v>
      </c>
      <c r="B3680" s="29" t="s">
        <v>3234</v>
      </c>
      <c r="C3680" s="29" t="s">
        <v>3621</v>
      </c>
      <c r="D3680" s="29" t="s">
        <v>3782</v>
      </c>
      <c r="E3680" s="29" t="s">
        <v>3856</v>
      </c>
      <c r="F3680" s="62"/>
      <c r="G3680" s="20" t="str">
        <f t="shared" si="1"/>
        <v>Home &amp; Garden, Kitchen &amp; Dining, Kitchen Appliances, Vacuum Sealers</v>
      </c>
    </row>
    <row r="3681">
      <c r="A3681" s="29">
        <v>3293.0</v>
      </c>
      <c r="B3681" s="29" t="s">
        <v>3234</v>
      </c>
      <c r="C3681" s="29" t="s">
        <v>3621</v>
      </c>
      <c r="D3681" s="29" t="s">
        <v>3782</v>
      </c>
      <c r="E3681" s="29" t="s">
        <v>3857</v>
      </c>
      <c r="F3681" s="62"/>
      <c r="G3681" s="20" t="str">
        <f t="shared" si="1"/>
        <v>Home &amp; Garden, Kitchen &amp; Dining, Kitchen Appliances, Water Coolers</v>
      </c>
    </row>
    <row r="3682">
      <c r="A3682" s="29">
        <v>765.0</v>
      </c>
      <c r="B3682" s="29" t="s">
        <v>3234</v>
      </c>
      <c r="C3682" s="29" t="s">
        <v>3621</v>
      </c>
      <c r="D3682" s="29" t="s">
        <v>3782</v>
      </c>
      <c r="E3682" s="29" t="s">
        <v>3858</v>
      </c>
      <c r="F3682" s="62"/>
      <c r="G3682" s="20" t="str">
        <f t="shared" si="1"/>
        <v>Home &amp; Garden, Kitchen &amp; Dining, Kitchen Appliances, Water Filters</v>
      </c>
    </row>
    <row r="3683">
      <c r="A3683" s="29">
        <v>4539.0</v>
      </c>
      <c r="B3683" s="29" t="s">
        <v>3234</v>
      </c>
      <c r="C3683" s="29" t="s">
        <v>3621</v>
      </c>
      <c r="D3683" s="29" t="s">
        <v>3782</v>
      </c>
      <c r="E3683" s="29" t="s">
        <v>3859</v>
      </c>
      <c r="F3683" s="62"/>
      <c r="G3683" s="20" t="str">
        <f t="shared" si="1"/>
        <v>Home &amp; Garden, Kitchen &amp; Dining, Kitchen Appliances, Wine Fridges</v>
      </c>
    </row>
    <row r="3684">
      <c r="A3684" s="29">
        <v>766.0</v>
      </c>
      <c r="B3684" s="29" t="s">
        <v>3234</v>
      </c>
      <c r="C3684" s="29" t="s">
        <v>3621</v>
      </c>
      <c r="D3684" s="29" t="s">
        <v>3782</v>
      </c>
      <c r="E3684" s="29" t="s">
        <v>3860</v>
      </c>
      <c r="F3684" s="62"/>
      <c r="G3684" s="20" t="str">
        <f t="shared" si="1"/>
        <v>Home &amp; Garden, Kitchen &amp; Dining, Kitchen Appliances, Yogurt Makers</v>
      </c>
    </row>
    <row r="3685">
      <c r="A3685" s="29">
        <v>668.0</v>
      </c>
      <c r="B3685" s="29" t="s">
        <v>3234</v>
      </c>
      <c r="C3685" s="29" t="s">
        <v>3621</v>
      </c>
      <c r="D3685" s="29" t="s">
        <v>3861</v>
      </c>
      <c r="E3685" s="62"/>
      <c r="F3685" s="62"/>
      <c r="G3685" s="20" t="str">
        <f t="shared" si="1"/>
        <v>Home &amp; Garden, Kitchen &amp; Dining, Kitchen Tools &amp; Utensils, </v>
      </c>
    </row>
    <row r="3686">
      <c r="A3686" s="29">
        <v>639.0</v>
      </c>
      <c r="B3686" s="29" t="s">
        <v>3234</v>
      </c>
      <c r="C3686" s="29" t="s">
        <v>3621</v>
      </c>
      <c r="D3686" s="29" t="s">
        <v>3861</v>
      </c>
      <c r="E3686" s="29" t="s">
        <v>3862</v>
      </c>
      <c r="F3686" s="62"/>
      <c r="G3686" s="20" t="str">
        <f t="shared" si="1"/>
        <v>Home &amp; Garden, Kitchen &amp; Dining, Kitchen Tools &amp; Utensils, Aprons</v>
      </c>
    </row>
    <row r="3687">
      <c r="A3687" s="29">
        <v>3768.0</v>
      </c>
      <c r="B3687" s="29" t="s">
        <v>3234</v>
      </c>
      <c r="C3687" s="29" t="s">
        <v>3621</v>
      </c>
      <c r="D3687" s="29" t="s">
        <v>3861</v>
      </c>
      <c r="E3687" s="29" t="s">
        <v>3863</v>
      </c>
      <c r="F3687" s="62"/>
      <c r="G3687" s="20" t="str">
        <f t="shared" si="1"/>
        <v>Home &amp; Garden, Kitchen &amp; Dining, Kitchen Tools &amp; Utensils, Baking Peels</v>
      </c>
    </row>
    <row r="3688">
      <c r="A3688" s="29">
        <v>3347.0</v>
      </c>
      <c r="B3688" s="29" t="s">
        <v>3234</v>
      </c>
      <c r="C3688" s="29" t="s">
        <v>3621</v>
      </c>
      <c r="D3688" s="29" t="s">
        <v>3861</v>
      </c>
      <c r="E3688" s="29" t="s">
        <v>3864</v>
      </c>
      <c r="F3688" s="62"/>
      <c r="G3688" s="20" t="str">
        <f t="shared" si="1"/>
        <v>Home &amp; Garden, Kitchen &amp; Dining, Kitchen Tools &amp; Utensils, Basters</v>
      </c>
    </row>
    <row r="3689">
      <c r="A3689" s="29">
        <v>3430.0</v>
      </c>
      <c r="B3689" s="29" t="s">
        <v>3234</v>
      </c>
      <c r="C3689" s="29" t="s">
        <v>3621</v>
      </c>
      <c r="D3689" s="29" t="s">
        <v>3861</v>
      </c>
      <c r="E3689" s="29" t="s">
        <v>3865</v>
      </c>
      <c r="F3689" s="62"/>
      <c r="G3689" s="20" t="str">
        <f t="shared" si="1"/>
        <v>Home &amp; Garden, Kitchen &amp; Dining, Kitchen Tools &amp; Utensils, Basting Brushes</v>
      </c>
    </row>
    <row r="3690">
      <c r="A3690" s="29">
        <v>7149.0</v>
      </c>
      <c r="B3690" s="29" t="s">
        <v>3234</v>
      </c>
      <c r="C3690" s="29" t="s">
        <v>3621</v>
      </c>
      <c r="D3690" s="29" t="s">
        <v>3861</v>
      </c>
      <c r="E3690" s="29" t="s">
        <v>3866</v>
      </c>
      <c r="F3690" s="62"/>
      <c r="G3690" s="20" t="str">
        <f t="shared" si="1"/>
        <v>Home &amp; Garden, Kitchen &amp; Dining, Kitchen Tools &amp; Utensils, Beverage Dispensers</v>
      </c>
    </row>
    <row r="3691">
      <c r="A3691" s="29">
        <v>4630.0</v>
      </c>
      <c r="B3691" s="29" t="s">
        <v>3234</v>
      </c>
      <c r="C3691" s="29" t="s">
        <v>3621</v>
      </c>
      <c r="D3691" s="29" t="s">
        <v>3861</v>
      </c>
      <c r="E3691" s="29" t="s">
        <v>3867</v>
      </c>
      <c r="F3691" s="62"/>
      <c r="G3691" s="20" t="str">
        <f t="shared" si="1"/>
        <v>Home &amp; Garden, Kitchen &amp; Dining, Kitchen Tools &amp; Utensils, Cake Decorating Supplies</v>
      </c>
    </row>
    <row r="3692">
      <c r="A3692" s="29">
        <v>6408.0</v>
      </c>
      <c r="B3692" s="29" t="s">
        <v>3234</v>
      </c>
      <c r="C3692" s="29" t="s">
        <v>3621</v>
      </c>
      <c r="D3692" s="29" t="s">
        <v>3861</v>
      </c>
      <c r="E3692" s="29" t="s">
        <v>3868</v>
      </c>
      <c r="F3692" s="62"/>
      <c r="G3692" s="20" t="str">
        <f t="shared" si="1"/>
        <v>Home &amp; Garden, Kitchen &amp; Dining, Kitchen Tools &amp; Utensils, Cake Servers</v>
      </c>
    </row>
    <row r="3693">
      <c r="A3693" s="29">
        <v>4247.0</v>
      </c>
      <c r="B3693" s="29" t="s">
        <v>3234</v>
      </c>
      <c r="C3693" s="29" t="s">
        <v>3621</v>
      </c>
      <c r="D3693" s="29" t="s">
        <v>3861</v>
      </c>
      <c r="E3693" s="29" t="s">
        <v>3869</v>
      </c>
      <c r="F3693" s="62"/>
      <c r="G3693" s="20" t="str">
        <f t="shared" si="1"/>
        <v>Home &amp; Garden, Kitchen &amp; Dining, Kitchen Tools &amp; Utensils, Can Crushers</v>
      </c>
    </row>
    <row r="3694">
      <c r="A3694" s="29">
        <v>733.0</v>
      </c>
      <c r="B3694" s="29" t="s">
        <v>3234</v>
      </c>
      <c r="C3694" s="29" t="s">
        <v>3621</v>
      </c>
      <c r="D3694" s="29" t="s">
        <v>3861</v>
      </c>
      <c r="E3694" s="29" t="s">
        <v>3870</v>
      </c>
      <c r="F3694" s="62"/>
      <c r="G3694" s="20" t="str">
        <f t="shared" si="1"/>
        <v>Home &amp; Garden, Kitchen &amp; Dining, Kitchen Tools &amp; Utensils, Can Openers</v>
      </c>
    </row>
    <row r="3695">
      <c r="A3695" s="29">
        <v>5078.0</v>
      </c>
      <c r="B3695" s="29" t="s">
        <v>3234</v>
      </c>
      <c r="C3695" s="29" t="s">
        <v>3621</v>
      </c>
      <c r="D3695" s="29" t="s">
        <v>3861</v>
      </c>
      <c r="E3695" s="29" t="s">
        <v>3871</v>
      </c>
      <c r="F3695" s="62"/>
      <c r="G3695" s="20" t="str">
        <f t="shared" si="1"/>
        <v>Home &amp; Garden, Kitchen &amp; Dining, Kitchen Tools &amp; Utensils, Carving Forks</v>
      </c>
    </row>
    <row r="3696">
      <c r="A3696" s="29">
        <v>6522.0</v>
      </c>
      <c r="B3696" s="29" t="s">
        <v>3234</v>
      </c>
      <c r="C3696" s="29" t="s">
        <v>3621</v>
      </c>
      <c r="D3696" s="29" t="s">
        <v>3861</v>
      </c>
      <c r="E3696" s="29" t="s">
        <v>3872</v>
      </c>
      <c r="F3696" s="62"/>
      <c r="G3696" s="20" t="str">
        <f t="shared" si="1"/>
        <v>Home &amp; Garden, Kitchen &amp; Dining, Kitchen Tools &amp; Utensils, Channel Knives</v>
      </c>
    </row>
    <row r="3697">
      <c r="A3697" s="29">
        <v>653.0</v>
      </c>
      <c r="B3697" s="29" t="s">
        <v>3234</v>
      </c>
      <c r="C3697" s="29" t="s">
        <v>3621</v>
      </c>
      <c r="D3697" s="29" t="s">
        <v>3861</v>
      </c>
      <c r="E3697" s="29" t="s">
        <v>3873</v>
      </c>
      <c r="F3697" s="62"/>
      <c r="G3697" s="20" t="str">
        <f t="shared" si="1"/>
        <v>Home &amp; Garden, Kitchen &amp; Dining, Kitchen Tools &amp; Utensils, Colanders &amp; Strainers</v>
      </c>
    </row>
    <row r="3698">
      <c r="A3698" s="29">
        <v>4777.0</v>
      </c>
      <c r="B3698" s="29" t="s">
        <v>3234</v>
      </c>
      <c r="C3698" s="29" t="s">
        <v>3621</v>
      </c>
      <c r="D3698" s="29" t="s">
        <v>3861</v>
      </c>
      <c r="E3698" s="29" t="s">
        <v>3874</v>
      </c>
      <c r="F3698" s="62"/>
      <c r="G3698" s="20" t="str">
        <f t="shared" si="1"/>
        <v>Home &amp; Garden, Kitchen &amp; Dining, Kitchen Tools &amp; Utensils, Condiment Dispensers</v>
      </c>
    </row>
    <row r="3699">
      <c r="A3699" s="29">
        <v>3850.0</v>
      </c>
      <c r="B3699" s="29" t="s">
        <v>3234</v>
      </c>
      <c r="C3699" s="29" t="s">
        <v>3621</v>
      </c>
      <c r="D3699" s="29" t="s">
        <v>3861</v>
      </c>
      <c r="E3699" s="29" t="s">
        <v>3875</v>
      </c>
      <c r="F3699" s="62"/>
      <c r="G3699" s="20" t="str">
        <f t="shared" si="1"/>
        <v>Home &amp; Garden, Kitchen &amp; Dining, Kitchen Tools &amp; Utensils, Cookie Cutters</v>
      </c>
    </row>
    <row r="3700">
      <c r="A3700" s="29">
        <v>6342.0</v>
      </c>
      <c r="B3700" s="29" t="s">
        <v>3234</v>
      </c>
      <c r="C3700" s="29" t="s">
        <v>3621</v>
      </c>
      <c r="D3700" s="29" t="s">
        <v>3861</v>
      </c>
      <c r="E3700" s="29" t="s">
        <v>3876</v>
      </c>
      <c r="F3700" s="62"/>
      <c r="G3700" s="20" t="str">
        <f t="shared" si="1"/>
        <v>Home &amp; Garden, Kitchen &amp; Dining, Kitchen Tools &amp; Utensils, Cookie Presses</v>
      </c>
    </row>
    <row r="3701">
      <c r="A3701" s="29">
        <v>7331.0</v>
      </c>
      <c r="B3701" s="29" t="s">
        <v>3234</v>
      </c>
      <c r="C3701" s="29" t="s">
        <v>3621</v>
      </c>
      <c r="D3701" s="29" t="s">
        <v>3861</v>
      </c>
      <c r="E3701" s="29" t="s">
        <v>3877</v>
      </c>
      <c r="G3701" s="20" t="str">
        <f t="shared" si="1"/>
        <v>Home &amp; Garden, Kitchen &amp; Dining, Kitchen Tools &amp; Utensils, Cooking Thermometer Accessories</v>
      </c>
    </row>
    <row r="3702">
      <c r="A3702" s="29">
        <v>3091.0</v>
      </c>
      <c r="B3702" s="29" t="s">
        <v>3234</v>
      </c>
      <c r="C3702" s="29" t="s">
        <v>3621</v>
      </c>
      <c r="D3702" s="29" t="s">
        <v>3861</v>
      </c>
      <c r="E3702" s="29" t="s">
        <v>3878</v>
      </c>
      <c r="F3702" s="62"/>
      <c r="G3702" s="20" t="str">
        <f t="shared" si="1"/>
        <v>Home &amp; Garden, Kitchen &amp; Dining, Kitchen Tools &amp; Utensils, Cooking Thermometers</v>
      </c>
    </row>
    <row r="3703">
      <c r="A3703" s="29">
        <v>3713.0</v>
      </c>
      <c r="B3703" s="29" t="s">
        <v>3234</v>
      </c>
      <c r="C3703" s="29" t="s">
        <v>3621</v>
      </c>
      <c r="D3703" s="29" t="s">
        <v>3861</v>
      </c>
      <c r="E3703" s="29" t="s">
        <v>3879</v>
      </c>
      <c r="F3703" s="62"/>
      <c r="G3703" s="20" t="str">
        <f t="shared" si="1"/>
        <v>Home &amp; Garden, Kitchen &amp; Dining, Kitchen Tools &amp; Utensils, Cooking Timers</v>
      </c>
    </row>
    <row r="3704">
      <c r="A3704" s="29">
        <v>5928.0</v>
      </c>
      <c r="B3704" s="29" t="s">
        <v>3234</v>
      </c>
      <c r="C3704" s="29" t="s">
        <v>3621</v>
      </c>
      <c r="D3704" s="29" t="s">
        <v>3861</v>
      </c>
      <c r="E3704" s="29" t="s">
        <v>3880</v>
      </c>
      <c r="F3704" s="62"/>
      <c r="G3704" s="20" t="str">
        <f t="shared" si="1"/>
        <v>Home &amp; Garden, Kitchen &amp; Dining, Kitchen Tools &amp; Utensils, Cooking Torches</v>
      </c>
    </row>
    <row r="3705">
      <c r="A3705" s="29">
        <v>3835.0</v>
      </c>
      <c r="B3705" s="29" t="s">
        <v>3234</v>
      </c>
      <c r="C3705" s="29" t="s">
        <v>3621</v>
      </c>
      <c r="D3705" s="29" t="s">
        <v>3861</v>
      </c>
      <c r="E3705" s="29" t="s">
        <v>3881</v>
      </c>
      <c r="F3705" s="62"/>
      <c r="G3705" s="20" t="str">
        <f t="shared" si="1"/>
        <v>Home &amp; Garden, Kitchen &amp; Dining, Kitchen Tools &amp; Utensils, Cooling Racks</v>
      </c>
    </row>
    <row r="3706">
      <c r="A3706" s="29">
        <v>666.0</v>
      </c>
      <c r="B3706" s="29" t="s">
        <v>3234</v>
      </c>
      <c r="C3706" s="29" t="s">
        <v>3621</v>
      </c>
      <c r="D3706" s="29" t="s">
        <v>3861</v>
      </c>
      <c r="E3706" s="29" t="s">
        <v>114</v>
      </c>
      <c r="F3706" s="62"/>
      <c r="G3706" s="20" t="str">
        <f t="shared" si="1"/>
        <v>Home &amp; Garden, Kitchen &amp; Dining, Kitchen Tools &amp; Utensils, Cutting Boards</v>
      </c>
    </row>
    <row r="3707">
      <c r="A3707" s="29">
        <v>3268.0</v>
      </c>
      <c r="B3707" s="29" t="s">
        <v>3234</v>
      </c>
      <c r="C3707" s="29" t="s">
        <v>3621</v>
      </c>
      <c r="D3707" s="29" t="s">
        <v>3861</v>
      </c>
      <c r="E3707" s="29" t="s">
        <v>3882</v>
      </c>
      <c r="F3707" s="62"/>
      <c r="G3707" s="20" t="str">
        <f t="shared" si="1"/>
        <v>Home &amp; Garden, Kitchen &amp; Dining, Kitchen Tools &amp; Utensils, Dish Racks &amp; Drain Boards</v>
      </c>
    </row>
    <row r="3708">
      <c r="A3708" s="29">
        <v>6723.0</v>
      </c>
      <c r="B3708" s="29" t="s">
        <v>3234</v>
      </c>
      <c r="C3708" s="29" t="s">
        <v>3621</v>
      </c>
      <c r="D3708" s="29" t="s">
        <v>3861</v>
      </c>
      <c r="E3708" s="29" t="s">
        <v>3883</v>
      </c>
      <c r="F3708" s="62"/>
      <c r="G3708" s="20" t="str">
        <f t="shared" si="1"/>
        <v>Home &amp; Garden, Kitchen &amp; Dining, Kitchen Tools &amp; Utensils, Dough Wheels</v>
      </c>
    </row>
    <row r="3709">
      <c r="A3709" s="29">
        <v>6411.0</v>
      </c>
      <c r="B3709" s="29" t="s">
        <v>3234</v>
      </c>
      <c r="C3709" s="29" t="s">
        <v>3621</v>
      </c>
      <c r="D3709" s="29" t="s">
        <v>3861</v>
      </c>
      <c r="E3709" s="29" t="s">
        <v>3884</v>
      </c>
      <c r="F3709" s="62"/>
      <c r="G3709" s="20" t="str">
        <f t="shared" si="1"/>
        <v>Home &amp; Garden, Kitchen &amp; Dining, Kitchen Tools &amp; Utensils, Electric Knife Accessories</v>
      </c>
    </row>
    <row r="3710">
      <c r="A3710" s="29">
        <v>6412.0</v>
      </c>
      <c r="B3710" s="29" t="s">
        <v>3234</v>
      </c>
      <c r="C3710" s="29" t="s">
        <v>3621</v>
      </c>
      <c r="D3710" s="29" t="s">
        <v>3861</v>
      </c>
      <c r="E3710" s="29" t="s">
        <v>3884</v>
      </c>
      <c r="F3710" s="29" t="s">
        <v>3885</v>
      </c>
      <c r="G3710" s="20" t="str">
        <f t="shared" si="1"/>
        <v>Home &amp; Garden, Kitchen &amp; Dining, Kitchen Tools &amp; Utensils, Electric Knife AccessoriesElectric Knife Replacement Blades</v>
      </c>
    </row>
    <row r="3711">
      <c r="A3711" s="29">
        <v>741.0</v>
      </c>
      <c r="B3711" s="29" t="s">
        <v>3234</v>
      </c>
      <c r="C3711" s="29" t="s">
        <v>3621</v>
      </c>
      <c r="D3711" s="29" t="s">
        <v>3861</v>
      </c>
      <c r="E3711" s="29" t="s">
        <v>3886</v>
      </c>
      <c r="F3711" s="62"/>
      <c r="G3711" s="20" t="str">
        <f t="shared" si="1"/>
        <v>Home &amp; Garden, Kitchen &amp; Dining, Kitchen Tools &amp; Utensils, Electric Knives</v>
      </c>
    </row>
    <row r="3712">
      <c r="A3712" s="29">
        <v>5370.0</v>
      </c>
      <c r="B3712" s="29" t="s">
        <v>3234</v>
      </c>
      <c r="C3712" s="29" t="s">
        <v>3621</v>
      </c>
      <c r="D3712" s="29" t="s">
        <v>3861</v>
      </c>
      <c r="E3712" s="29" t="s">
        <v>3887</v>
      </c>
      <c r="F3712" s="62"/>
      <c r="G3712" s="20" t="str">
        <f t="shared" si="1"/>
        <v>Home &amp; Garden, Kitchen &amp; Dining, Kitchen Tools &amp; Utensils, Flour Sifters</v>
      </c>
    </row>
    <row r="3713">
      <c r="A3713" s="29">
        <v>505316.0</v>
      </c>
      <c r="B3713" s="29" t="s">
        <v>3234</v>
      </c>
      <c r="C3713" s="29" t="s">
        <v>3621</v>
      </c>
      <c r="D3713" s="29" t="s">
        <v>3861</v>
      </c>
      <c r="E3713" s="29" t="s">
        <v>3888</v>
      </c>
      <c r="F3713" s="62"/>
      <c r="G3713" s="20" t="str">
        <f t="shared" si="1"/>
        <v>Home &amp; Garden, Kitchen &amp; Dining, Kitchen Tools &amp; Utensils, Food &amp; Drink Stencils</v>
      </c>
    </row>
    <row r="3714">
      <c r="A3714" s="29">
        <v>3381.0</v>
      </c>
      <c r="B3714" s="29" t="s">
        <v>3234</v>
      </c>
      <c r="C3714" s="29" t="s">
        <v>3621</v>
      </c>
      <c r="D3714" s="29" t="s">
        <v>3861</v>
      </c>
      <c r="E3714" s="29" t="s">
        <v>3889</v>
      </c>
      <c r="F3714" s="62"/>
      <c r="G3714" s="20" t="str">
        <f t="shared" si="1"/>
        <v>Home &amp; Garden, Kitchen &amp; Dining, Kitchen Tools &amp; Utensils, Food Crackers</v>
      </c>
    </row>
    <row r="3715">
      <c r="A3715" s="29">
        <v>3586.0</v>
      </c>
      <c r="B3715" s="29" t="s">
        <v>3234</v>
      </c>
      <c r="C3715" s="29" t="s">
        <v>3621</v>
      </c>
      <c r="D3715" s="29" t="s">
        <v>3861</v>
      </c>
      <c r="E3715" s="29" t="s">
        <v>3889</v>
      </c>
      <c r="F3715" s="29" t="s">
        <v>3890</v>
      </c>
      <c r="G3715" s="20" t="str">
        <f t="shared" si="1"/>
        <v>Home &amp; Garden, Kitchen &amp; Dining, Kitchen Tools &amp; Utensils, Food CrackersLobster &amp; Crab Crackers</v>
      </c>
    </row>
    <row r="3716">
      <c r="A3716" s="29">
        <v>3685.0</v>
      </c>
      <c r="B3716" s="29" t="s">
        <v>3234</v>
      </c>
      <c r="C3716" s="29" t="s">
        <v>3621</v>
      </c>
      <c r="D3716" s="29" t="s">
        <v>3861</v>
      </c>
      <c r="E3716" s="29" t="s">
        <v>3889</v>
      </c>
      <c r="F3716" s="29" t="s">
        <v>3891</v>
      </c>
      <c r="G3716" s="20" t="str">
        <f t="shared" si="1"/>
        <v>Home &amp; Garden, Kitchen &amp; Dining, Kitchen Tools &amp; Utensils, Food CrackersNutcrackers</v>
      </c>
    </row>
    <row r="3717">
      <c r="A3717" s="29">
        <v>4214.0</v>
      </c>
      <c r="B3717" s="29" t="s">
        <v>3234</v>
      </c>
      <c r="C3717" s="29" t="s">
        <v>3621</v>
      </c>
      <c r="D3717" s="29" t="s">
        <v>3861</v>
      </c>
      <c r="E3717" s="29" t="s">
        <v>3889</v>
      </c>
      <c r="F3717" s="29" t="s">
        <v>3891</v>
      </c>
      <c r="G3717" s="20" t="str">
        <f t="shared" si="1"/>
        <v>Home &amp; Garden, Kitchen &amp; Dining, Kitchen Tools &amp; Utensils, Food CrackersNutcrackers</v>
      </c>
    </row>
    <row r="3718">
      <c r="A3718" s="29">
        <v>3723.0</v>
      </c>
      <c r="B3718" s="29" t="s">
        <v>3234</v>
      </c>
      <c r="C3718" s="29" t="s">
        <v>3621</v>
      </c>
      <c r="D3718" s="29" t="s">
        <v>3861</v>
      </c>
      <c r="E3718" s="29" t="s">
        <v>3892</v>
      </c>
      <c r="F3718" s="62"/>
      <c r="G3718" s="20" t="str">
        <f t="shared" si="1"/>
        <v>Home &amp; Garden, Kitchen &amp; Dining, Kitchen Tools &amp; Utensils, Food Dispensers</v>
      </c>
    </row>
    <row r="3719">
      <c r="A3719" s="29">
        <v>3156.0</v>
      </c>
      <c r="B3719" s="29" t="s">
        <v>3234</v>
      </c>
      <c r="C3719" s="29" t="s">
        <v>3621</v>
      </c>
      <c r="D3719" s="29" t="s">
        <v>3861</v>
      </c>
      <c r="E3719" s="29" t="s">
        <v>3893</v>
      </c>
      <c r="F3719" s="62"/>
      <c r="G3719" s="20" t="str">
        <f t="shared" si="1"/>
        <v>Home &amp; Garden, Kitchen &amp; Dining, Kitchen Tools &amp; Utensils, Food Graters &amp; Zesters</v>
      </c>
    </row>
    <row r="3720">
      <c r="A3720" s="29">
        <v>3521.0</v>
      </c>
      <c r="B3720" s="29" t="s">
        <v>3234</v>
      </c>
      <c r="C3720" s="29" t="s">
        <v>3621</v>
      </c>
      <c r="D3720" s="29" t="s">
        <v>3861</v>
      </c>
      <c r="E3720" s="29" t="s">
        <v>3894</v>
      </c>
      <c r="F3720" s="62"/>
      <c r="G3720" s="20" t="str">
        <f t="shared" si="1"/>
        <v>Home &amp; Garden, Kitchen &amp; Dining, Kitchen Tools &amp; Utensils, Food Peelers &amp; Corers</v>
      </c>
    </row>
    <row r="3721">
      <c r="A3721" s="29">
        <v>7329.0</v>
      </c>
      <c r="B3721" s="29" t="s">
        <v>3234</v>
      </c>
      <c r="C3721" s="29" t="s">
        <v>3621</v>
      </c>
      <c r="D3721" s="29" t="s">
        <v>3861</v>
      </c>
      <c r="E3721" s="29" t="s">
        <v>3895</v>
      </c>
      <c r="F3721" s="62"/>
      <c r="G3721" s="20" t="str">
        <f t="shared" si="1"/>
        <v>Home &amp; Garden, Kitchen &amp; Dining, Kitchen Tools &amp; Utensils, Food Steaming Bags</v>
      </c>
    </row>
    <row r="3722">
      <c r="A3722" s="29">
        <v>6554.0</v>
      </c>
      <c r="B3722" s="29" t="s">
        <v>3234</v>
      </c>
      <c r="C3722" s="29" t="s">
        <v>3621</v>
      </c>
      <c r="D3722" s="29" t="s">
        <v>3861</v>
      </c>
      <c r="E3722" s="29" t="s">
        <v>3896</v>
      </c>
      <c r="F3722" s="62"/>
      <c r="G3722" s="20" t="str">
        <f t="shared" si="1"/>
        <v>Home &amp; Garden, Kitchen &amp; Dining, Kitchen Tools &amp; Utensils, Food Sticks &amp; Skewers</v>
      </c>
    </row>
    <row r="3723">
      <c r="A3723" s="29">
        <v>503005.0</v>
      </c>
      <c r="B3723" s="29" t="s">
        <v>3234</v>
      </c>
      <c r="C3723" s="29" t="s">
        <v>3621</v>
      </c>
      <c r="D3723" s="29" t="s">
        <v>3861</v>
      </c>
      <c r="E3723" s="29" t="s">
        <v>3897</v>
      </c>
      <c r="F3723" s="62"/>
      <c r="G3723" s="20" t="str">
        <f t="shared" si="1"/>
        <v>Home &amp; Garden, Kitchen &amp; Dining, Kitchen Tools &amp; Utensils, Funnels</v>
      </c>
    </row>
    <row r="3724">
      <c r="A3724" s="29">
        <v>3385.0</v>
      </c>
      <c r="B3724" s="29" t="s">
        <v>3234</v>
      </c>
      <c r="C3724" s="29" t="s">
        <v>3621</v>
      </c>
      <c r="D3724" s="29" t="s">
        <v>3861</v>
      </c>
      <c r="E3724" s="29" t="s">
        <v>3898</v>
      </c>
      <c r="F3724" s="62"/>
      <c r="G3724" s="20" t="str">
        <f t="shared" si="1"/>
        <v>Home &amp; Garden, Kitchen &amp; Dining, Kitchen Tools &amp; Utensils, Garlic Presses</v>
      </c>
    </row>
    <row r="3725">
      <c r="A3725" s="29">
        <v>6787.0</v>
      </c>
      <c r="B3725" s="29" t="s">
        <v>3234</v>
      </c>
      <c r="C3725" s="29" t="s">
        <v>3621</v>
      </c>
      <c r="D3725" s="29" t="s">
        <v>3861</v>
      </c>
      <c r="E3725" s="29" t="s">
        <v>3899</v>
      </c>
      <c r="F3725" s="62"/>
      <c r="G3725" s="20" t="str">
        <f t="shared" si="1"/>
        <v>Home &amp; Garden, Kitchen &amp; Dining, Kitchen Tools &amp; Utensils, Gelatin Molds</v>
      </c>
    </row>
    <row r="3726">
      <c r="A3726" s="29">
        <v>4746.0</v>
      </c>
      <c r="B3726" s="29" t="s">
        <v>3234</v>
      </c>
      <c r="C3726" s="29" t="s">
        <v>3621</v>
      </c>
      <c r="D3726" s="29" t="s">
        <v>3861</v>
      </c>
      <c r="E3726" s="29" t="s">
        <v>3900</v>
      </c>
      <c r="F3726" s="62"/>
      <c r="G3726" s="20" t="str">
        <f t="shared" si="1"/>
        <v>Home &amp; Garden, Kitchen &amp; Dining, Kitchen Tools &amp; Utensils, Ice Cube Trays</v>
      </c>
    </row>
    <row r="3727">
      <c r="A3727" s="29">
        <v>7485.0</v>
      </c>
      <c r="B3727" s="29" t="s">
        <v>3234</v>
      </c>
      <c r="C3727" s="29" t="s">
        <v>3621</v>
      </c>
      <c r="D3727" s="29" t="s">
        <v>3861</v>
      </c>
      <c r="E3727" s="29" t="s">
        <v>3901</v>
      </c>
      <c r="F3727" s="62"/>
      <c r="G3727" s="20" t="str">
        <f t="shared" si="1"/>
        <v>Home &amp; Garden, Kitchen &amp; Dining, Kitchen Tools &amp; Utensils, Jerky Guns</v>
      </c>
    </row>
    <row r="3728">
      <c r="A3728" s="29">
        <v>665.0</v>
      </c>
      <c r="B3728" s="29" t="s">
        <v>3234</v>
      </c>
      <c r="C3728" s="29" t="s">
        <v>3621</v>
      </c>
      <c r="D3728" s="29" t="s">
        <v>3861</v>
      </c>
      <c r="E3728" s="29" t="s">
        <v>3902</v>
      </c>
      <c r="F3728" s="62"/>
      <c r="G3728" s="20" t="str">
        <f t="shared" si="1"/>
        <v>Home &amp; Garden, Kitchen &amp; Dining, Kitchen Tools &amp; Utensils, Kitchen Knives</v>
      </c>
    </row>
    <row r="3729">
      <c r="A3729" s="29">
        <v>8006.0</v>
      </c>
      <c r="B3729" s="29" t="s">
        <v>3234</v>
      </c>
      <c r="C3729" s="29" t="s">
        <v>3621</v>
      </c>
      <c r="D3729" s="29" t="s">
        <v>3861</v>
      </c>
      <c r="E3729" s="29" t="s">
        <v>3903</v>
      </c>
      <c r="F3729" s="62"/>
      <c r="G3729" s="20" t="str">
        <f t="shared" si="1"/>
        <v>Home &amp; Garden, Kitchen &amp; Dining, Kitchen Tools &amp; Utensils, Kitchen Molds</v>
      </c>
    </row>
    <row r="3730">
      <c r="A3730" s="29">
        <v>2948.0</v>
      </c>
      <c r="B3730" s="29" t="s">
        <v>3234</v>
      </c>
      <c r="C3730" s="29" t="s">
        <v>3621</v>
      </c>
      <c r="D3730" s="29" t="s">
        <v>3861</v>
      </c>
      <c r="E3730" s="29" t="s">
        <v>3904</v>
      </c>
      <c r="F3730" s="62"/>
      <c r="G3730" s="20" t="str">
        <f t="shared" si="1"/>
        <v>Home &amp; Garden, Kitchen &amp; Dining, Kitchen Tools &amp; Utensils, Kitchen Organizers</v>
      </c>
    </row>
    <row r="3731">
      <c r="A3731" s="29">
        <v>6480.0</v>
      </c>
      <c r="B3731" s="29" t="s">
        <v>3234</v>
      </c>
      <c r="C3731" s="29" t="s">
        <v>3621</v>
      </c>
      <c r="D3731" s="29" t="s">
        <v>3861</v>
      </c>
      <c r="E3731" s="29" t="s">
        <v>3904</v>
      </c>
      <c r="F3731" s="29" t="s">
        <v>3905</v>
      </c>
      <c r="G3731" s="20" t="str">
        <f t="shared" si="1"/>
        <v>Home &amp; Garden, Kitchen &amp; Dining, Kitchen Tools &amp; Utensils, Kitchen OrganizersCan Organizers</v>
      </c>
    </row>
    <row r="3732">
      <c r="A3732" s="29">
        <v>3479.0</v>
      </c>
      <c r="B3732" s="29" t="s">
        <v>3234</v>
      </c>
      <c r="C3732" s="29" t="s">
        <v>3621</v>
      </c>
      <c r="D3732" s="29" t="s">
        <v>3861</v>
      </c>
      <c r="E3732" s="29" t="s">
        <v>3904</v>
      </c>
      <c r="F3732" s="29" t="s">
        <v>3906</v>
      </c>
      <c r="G3732" s="20" t="str">
        <f t="shared" si="1"/>
        <v>Home &amp; Garden, Kitchen &amp; Dining, Kitchen Tools &amp; Utensils, Kitchen OrganizersDrinkware Holders</v>
      </c>
    </row>
    <row r="3733">
      <c r="A3733" s="29">
        <v>6487.0</v>
      </c>
      <c r="B3733" s="29" t="s">
        <v>3234</v>
      </c>
      <c r="C3733" s="29" t="s">
        <v>3621</v>
      </c>
      <c r="D3733" s="29" t="s">
        <v>3861</v>
      </c>
      <c r="E3733" s="29" t="s">
        <v>3904</v>
      </c>
      <c r="F3733" s="29" t="s">
        <v>3907</v>
      </c>
      <c r="G3733" s="20" t="str">
        <f t="shared" si="1"/>
        <v>Home &amp; Garden, Kitchen &amp; Dining, Kitchen Tools &amp; Utensils, Kitchen OrganizersKitchen Cabinet Organizers</v>
      </c>
    </row>
    <row r="3734">
      <c r="A3734" s="29">
        <v>3177.0</v>
      </c>
      <c r="B3734" s="29" t="s">
        <v>3234</v>
      </c>
      <c r="C3734" s="29" t="s">
        <v>3621</v>
      </c>
      <c r="D3734" s="29" t="s">
        <v>3861</v>
      </c>
      <c r="E3734" s="29" t="s">
        <v>3904</v>
      </c>
      <c r="F3734" s="29" t="s">
        <v>3908</v>
      </c>
      <c r="G3734" s="20" t="str">
        <f t="shared" si="1"/>
        <v>Home &amp; Garden, Kitchen &amp; Dining, Kitchen Tools &amp; Utensils, Kitchen OrganizersKitchen Counter &amp; Beverage Station Organizers</v>
      </c>
    </row>
    <row r="3735">
      <c r="A3735" s="29">
        <v>8012.0</v>
      </c>
      <c r="B3735" s="29" t="s">
        <v>3234</v>
      </c>
      <c r="C3735" s="29" t="s">
        <v>3621</v>
      </c>
      <c r="D3735" s="29" t="s">
        <v>3861</v>
      </c>
      <c r="E3735" s="29" t="s">
        <v>3904</v>
      </c>
      <c r="F3735" s="29" t="s">
        <v>3909</v>
      </c>
      <c r="G3735" s="20" t="str">
        <f t="shared" si="1"/>
        <v>Home &amp; Garden, Kitchen &amp; Dining, Kitchen Tools &amp; Utensils, Kitchen OrganizersKitchen Utensil Holders &amp; Racks</v>
      </c>
    </row>
    <row r="3736">
      <c r="A3736" s="29">
        <v>5157.0</v>
      </c>
      <c r="B3736" s="29" t="s">
        <v>3234</v>
      </c>
      <c r="C3736" s="29" t="s">
        <v>3621</v>
      </c>
      <c r="D3736" s="29" t="s">
        <v>3861</v>
      </c>
      <c r="E3736" s="29" t="s">
        <v>3904</v>
      </c>
      <c r="F3736" s="29" t="s">
        <v>3910</v>
      </c>
      <c r="G3736" s="20" t="str">
        <f t="shared" si="1"/>
        <v>Home &amp; Garden, Kitchen &amp; Dining, Kitchen Tools &amp; Utensils, Kitchen OrganizersKnife Blocks &amp; Holders</v>
      </c>
    </row>
    <row r="3737">
      <c r="A3737" s="29">
        <v>3072.0</v>
      </c>
      <c r="B3737" s="29" t="s">
        <v>3234</v>
      </c>
      <c r="C3737" s="29" t="s">
        <v>3621</v>
      </c>
      <c r="D3737" s="29" t="s">
        <v>3861</v>
      </c>
      <c r="E3737" s="29" t="s">
        <v>3904</v>
      </c>
      <c r="F3737" s="29" t="s">
        <v>3911</v>
      </c>
      <c r="G3737" s="20" t="str">
        <f t="shared" si="1"/>
        <v>Home &amp; Garden, Kitchen &amp; Dining, Kitchen Tools &amp; Utensils, Kitchen OrganizersNapkin Holders &amp; Dispensers</v>
      </c>
    </row>
    <row r="3738">
      <c r="A3738" s="29">
        <v>3061.0</v>
      </c>
      <c r="B3738" s="29" t="s">
        <v>3234</v>
      </c>
      <c r="C3738" s="29" t="s">
        <v>3621</v>
      </c>
      <c r="D3738" s="29" t="s">
        <v>3861</v>
      </c>
      <c r="E3738" s="29" t="s">
        <v>3904</v>
      </c>
      <c r="F3738" s="29" t="s">
        <v>3912</v>
      </c>
      <c r="G3738" s="20" t="str">
        <f t="shared" si="1"/>
        <v>Home &amp; Garden, Kitchen &amp; Dining, Kitchen Tools &amp; Utensils, Kitchen OrganizersPaper Towel Holders &amp; Dispensers</v>
      </c>
    </row>
    <row r="3739">
      <c r="A3739" s="29">
        <v>3845.0</v>
      </c>
      <c r="B3739" s="29" t="s">
        <v>3234</v>
      </c>
      <c r="C3739" s="29" t="s">
        <v>3621</v>
      </c>
      <c r="D3739" s="29" t="s">
        <v>3861</v>
      </c>
      <c r="E3739" s="29" t="s">
        <v>3904</v>
      </c>
      <c r="F3739" s="29" t="s">
        <v>3913</v>
      </c>
      <c r="G3739" s="20" t="str">
        <f t="shared" si="1"/>
        <v>Home &amp; Garden, Kitchen &amp; Dining, Kitchen Tools &amp; Utensils, Kitchen OrganizersPot Racks</v>
      </c>
    </row>
    <row r="3740">
      <c r="A3740" s="29">
        <v>2344.0</v>
      </c>
      <c r="B3740" s="29" t="s">
        <v>3234</v>
      </c>
      <c r="C3740" s="29" t="s">
        <v>3621</v>
      </c>
      <c r="D3740" s="29" t="s">
        <v>3861</v>
      </c>
      <c r="E3740" s="29" t="s">
        <v>3904</v>
      </c>
      <c r="F3740" s="29" t="s">
        <v>3914</v>
      </c>
      <c r="G3740" s="20" t="str">
        <f t="shared" si="1"/>
        <v>Home &amp; Garden, Kitchen &amp; Dining, Kitchen Tools &amp; Utensils, Kitchen OrganizersSpice Organizers</v>
      </c>
    </row>
    <row r="3741">
      <c r="A3741" s="29">
        <v>5059.0</v>
      </c>
      <c r="B3741" s="29" t="s">
        <v>3234</v>
      </c>
      <c r="C3741" s="29" t="s">
        <v>3621</v>
      </c>
      <c r="D3741" s="29" t="s">
        <v>3861</v>
      </c>
      <c r="E3741" s="29" t="s">
        <v>3904</v>
      </c>
      <c r="F3741" s="29" t="s">
        <v>3915</v>
      </c>
      <c r="G3741" s="20" t="str">
        <f t="shared" si="1"/>
        <v>Home &amp; Garden, Kitchen &amp; Dining, Kitchen Tools &amp; Utensils, Kitchen OrganizersStraw Holders &amp; Dispensers</v>
      </c>
    </row>
    <row r="3742">
      <c r="A3742" s="29">
        <v>6415.0</v>
      </c>
      <c r="B3742" s="29" t="s">
        <v>3234</v>
      </c>
      <c r="C3742" s="29" t="s">
        <v>3621</v>
      </c>
      <c r="D3742" s="29" t="s">
        <v>3861</v>
      </c>
      <c r="E3742" s="29" t="s">
        <v>3904</v>
      </c>
      <c r="F3742" s="29" t="s">
        <v>3916</v>
      </c>
      <c r="G3742" s="20" t="str">
        <f t="shared" si="1"/>
        <v>Home &amp; Garden, Kitchen &amp; Dining, Kitchen Tools &amp; Utensils, Kitchen OrganizersSugar Caddies</v>
      </c>
    </row>
    <row r="3743">
      <c r="A3743" s="29">
        <v>4322.0</v>
      </c>
      <c r="B3743" s="29" t="s">
        <v>3234</v>
      </c>
      <c r="C3743" s="29" t="s">
        <v>3621</v>
      </c>
      <c r="D3743" s="29" t="s">
        <v>3861</v>
      </c>
      <c r="E3743" s="29" t="s">
        <v>3904</v>
      </c>
      <c r="F3743" s="29" t="s">
        <v>3917</v>
      </c>
      <c r="G3743" s="20" t="str">
        <f t="shared" si="1"/>
        <v>Home &amp; Garden, Kitchen &amp; Dining, Kitchen Tools &amp; Utensils, Kitchen OrganizersToothpick Holders &amp; Dispensers</v>
      </c>
    </row>
    <row r="3744">
      <c r="A3744" s="29">
        <v>3831.0</v>
      </c>
      <c r="B3744" s="29" t="s">
        <v>3234</v>
      </c>
      <c r="C3744" s="29" t="s">
        <v>3621</v>
      </c>
      <c r="D3744" s="29" t="s">
        <v>3861</v>
      </c>
      <c r="E3744" s="29" t="s">
        <v>3904</v>
      </c>
      <c r="F3744" s="29" t="s">
        <v>3918</v>
      </c>
      <c r="G3744" s="20" t="str">
        <f t="shared" si="1"/>
        <v>Home &amp; Garden, Kitchen &amp; Dining, Kitchen Tools &amp; Utensils, Kitchen OrganizersUtensil &amp; Flatware Trays</v>
      </c>
    </row>
    <row r="3745">
      <c r="A3745" s="29">
        <v>3256.0</v>
      </c>
      <c r="B3745" s="29" t="s">
        <v>3234</v>
      </c>
      <c r="C3745" s="29" t="s">
        <v>3621</v>
      </c>
      <c r="D3745" s="29" t="s">
        <v>3861</v>
      </c>
      <c r="E3745" s="29" t="s">
        <v>3919</v>
      </c>
      <c r="F3745" s="62"/>
      <c r="G3745" s="20" t="str">
        <f t="shared" si="1"/>
        <v>Home &amp; Garden, Kitchen &amp; Dining, Kitchen Tools &amp; Utensils, Kitchen Scrapers</v>
      </c>
    </row>
    <row r="3746">
      <c r="A3746" s="29">
        <v>3419.0</v>
      </c>
      <c r="B3746" s="29" t="s">
        <v>3234</v>
      </c>
      <c r="C3746" s="29" t="s">
        <v>3621</v>
      </c>
      <c r="D3746" s="29" t="s">
        <v>3861</v>
      </c>
      <c r="E3746" s="29" t="s">
        <v>3919</v>
      </c>
      <c r="F3746" s="29" t="s">
        <v>3920</v>
      </c>
      <c r="G3746" s="20" t="str">
        <f t="shared" si="1"/>
        <v>Home &amp; Garden, Kitchen &amp; Dining, Kitchen Tools &amp; Utensils, Kitchen ScrapersBench Scrapers</v>
      </c>
    </row>
    <row r="3747">
      <c r="A3747" s="29">
        <v>3086.0</v>
      </c>
      <c r="B3747" s="29" t="s">
        <v>3234</v>
      </c>
      <c r="C3747" s="29" t="s">
        <v>3621</v>
      </c>
      <c r="D3747" s="29" t="s">
        <v>3861</v>
      </c>
      <c r="E3747" s="29" t="s">
        <v>3919</v>
      </c>
      <c r="F3747" s="29" t="s">
        <v>3921</v>
      </c>
      <c r="G3747" s="20" t="str">
        <f t="shared" si="1"/>
        <v>Home &amp; Garden, Kitchen &amp; Dining, Kitchen Tools &amp; Utensils, Kitchen ScrapersBowl Scrapers</v>
      </c>
    </row>
    <row r="3748">
      <c r="A3748" s="29">
        <v>3633.0</v>
      </c>
      <c r="B3748" s="29" t="s">
        <v>3234</v>
      </c>
      <c r="C3748" s="29" t="s">
        <v>3621</v>
      </c>
      <c r="D3748" s="29" t="s">
        <v>3861</v>
      </c>
      <c r="E3748" s="29" t="s">
        <v>3919</v>
      </c>
      <c r="F3748" s="29" t="s">
        <v>3922</v>
      </c>
      <c r="G3748" s="20" t="str">
        <f t="shared" si="1"/>
        <v>Home &amp; Garden, Kitchen &amp; Dining, Kitchen Tools &amp; Utensils, Kitchen ScrapersGrill Scrapers</v>
      </c>
    </row>
    <row r="3749">
      <c r="A3749" s="29">
        <v>5251.0</v>
      </c>
      <c r="B3749" s="29" t="s">
        <v>3234</v>
      </c>
      <c r="C3749" s="29" t="s">
        <v>3621</v>
      </c>
      <c r="D3749" s="29" t="s">
        <v>3861</v>
      </c>
      <c r="E3749" s="29" t="s">
        <v>3923</v>
      </c>
      <c r="F3749" s="62"/>
      <c r="G3749" s="20" t="str">
        <f t="shared" si="1"/>
        <v>Home &amp; Garden, Kitchen &amp; Dining, Kitchen Tools &amp; Utensils, Kitchen Shears</v>
      </c>
    </row>
    <row r="3750">
      <c r="A3750" s="29">
        <v>3206.0</v>
      </c>
      <c r="B3750" s="29" t="s">
        <v>3234</v>
      </c>
      <c r="C3750" s="29" t="s">
        <v>3621</v>
      </c>
      <c r="D3750" s="29" t="s">
        <v>3861</v>
      </c>
      <c r="E3750" s="29" t="s">
        <v>3924</v>
      </c>
      <c r="F3750" s="62"/>
      <c r="G3750" s="20" t="str">
        <f t="shared" si="1"/>
        <v>Home &amp; Garden, Kitchen &amp; Dining, Kitchen Tools &amp; Utensils, Kitchen Slicers</v>
      </c>
    </row>
    <row r="3751">
      <c r="A3751" s="29">
        <v>4765.0</v>
      </c>
      <c r="B3751" s="29" t="s">
        <v>3234</v>
      </c>
      <c r="C3751" s="29" t="s">
        <v>3621</v>
      </c>
      <c r="D3751" s="29" t="s">
        <v>3861</v>
      </c>
      <c r="E3751" s="29" t="s">
        <v>3925</v>
      </c>
      <c r="F3751" s="62"/>
      <c r="G3751" s="20" t="str">
        <f t="shared" si="1"/>
        <v>Home &amp; Garden, Kitchen &amp; Dining, Kitchen Tools &amp; Utensils, Kitchen Utensil Sets</v>
      </c>
    </row>
    <row r="3752">
      <c r="A3752" s="29">
        <v>3620.0</v>
      </c>
      <c r="B3752" s="29" t="s">
        <v>3234</v>
      </c>
      <c r="C3752" s="29" t="s">
        <v>3621</v>
      </c>
      <c r="D3752" s="29" t="s">
        <v>3861</v>
      </c>
      <c r="E3752" s="29" t="s">
        <v>3926</v>
      </c>
      <c r="F3752" s="62"/>
      <c r="G3752" s="20" t="str">
        <f t="shared" si="1"/>
        <v>Home &amp; Garden, Kitchen &amp; Dining, Kitchen Tools &amp; Utensils, Ladles</v>
      </c>
    </row>
    <row r="3753">
      <c r="A3753" s="29">
        <v>3294.0</v>
      </c>
      <c r="B3753" s="29" t="s">
        <v>3234</v>
      </c>
      <c r="C3753" s="29" t="s">
        <v>3621</v>
      </c>
      <c r="D3753" s="29" t="s">
        <v>3861</v>
      </c>
      <c r="E3753" s="29" t="s">
        <v>3927</v>
      </c>
      <c r="F3753" s="62"/>
      <c r="G3753" s="20" t="str">
        <f t="shared" si="1"/>
        <v>Home &amp; Garden, Kitchen &amp; Dining, Kitchen Tools &amp; Utensils, Mashers</v>
      </c>
    </row>
    <row r="3754">
      <c r="A3754" s="29">
        <v>3475.0</v>
      </c>
      <c r="B3754" s="29" t="s">
        <v>3234</v>
      </c>
      <c r="C3754" s="29" t="s">
        <v>3621</v>
      </c>
      <c r="D3754" s="29" t="s">
        <v>3861</v>
      </c>
      <c r="E3754" s="29" t="s">
        <v>3928</v>
      </c>
      <c r="F3754" s="62"/>
      <c r="G3754" s="20" t="str">
        <f t="shared" si="1"/>
        <v>Home &amp; Garden, Kitchen &amp; Dining, Kitchen Tools &amp; Utensils, Measuring Cups &amp; Spoons</v>
      </c>
    </row>
    <row r="3755">
      <c r="A3755" s="29">
        <v>3248.0</v>
      </c>
      <c r="B3755" s="29" t="s">
        <v>3234</v>
      </c>
      <c r="C3755" s="29" t="s">
        <v>3621</v>
      </c>
      <c r="D3755" s="29" t="s">
        <v>3861</v>
      </c>
      <c r="E3755" s="29" t="s">
        <v>3929</v>
      </c>
      <c r="F3755" s="62"/>
      <c r="G3755" s="20" t="str">
        <f t="shared" si="1"/>
        <v>Home &amp; Garden, Kitchen &amp; Dining, Kitchen Tools &amp; Utensils, Meat Tenderizers</v>
      </c>
    </row>
    <row r="3756">
      <c r="A3756" s="29">
        <v>4530.0</v>
      </c>
      <c r="B3756" s="29" t="s">
        <v>3234</v>
      </c>
      <c r="C3756" s="29" t="s">
        <v>3621</v>
      </c>
      <c r="D3756" s="29" t="s">
        <v>3861</v>
      </c>
      <c r="E3756" s="29" t="s">
        <v>3930</v>
      </c>
      <c r="F3756" s="62"/>
      <c r="G3756" s="20" t="str">
        <f t="shared" si="1"/>
        <v>Home &amp; Garden, Kitchen &amp; Dining, Kitchen Tools &amp; Utensils, Mixing Bowls</v>
      </c>
    </row>
    <row r="3757">
      <c r="A3757" s="29">
        <v>3999.0</v>
      </c>
      <c r="B3757" s="29" t="s">
        <v>3234</v>
      </c>
      <c r="C3757" s="29" t="s">
        <v>3621</v>
      </c>
      <c r="D3757" s="29" t="s">
        <v>3861</v>
      </c>
      <c r="E3757" s="29" t="s">
        <v>3931</v>
      </c>
      <c r="F3757" s="62"/>
      <c r="G3757" s="20" t="str">
        <f t="shared" si="1"/>
        <v>Home &amp; Garden, Kitchen &amp; Dining, Kitchen Tools &amp; Utensils, Mortars &amp; Pestles</v>
      </c>
    </row>
    <row r="3758">
      <c r="A3758" s="29">
        <v>6526.0</v>
      </c>
      <c r="B3758" s="29" t="s">
        <v>3234</v>
      </c>
      <c r="C3758" s="29" t="s">
        <v>3621</v>
      </c>
      <c r="D3758" s="29" t="s">
        <v>3861</v>
      </c>
      <c r="E3758" s="29" t="s">
        <v>3932</v>
      </c>
      <c r="F3758" s="62"/>
      <c r="G3758" s="20" t="str">
        <f t="shared" si="1"/>
        <v>Home &amp; Garden, Kitchen &amp; Dining, Kitchen Tools &amp; Utensils, Oil &amp; Vinegar Dispensers</v>
      </c>
    </row>
    <row r="3759">
      <c r="A3759" s="29">
        <v>4771.0</v>
      </c>
      <c r="B3759" s="29" t="s">
        <v>3234</v>
      </c>
      <c r="C3759" s="29" t="s">
        <v>3621</v>
      </c>
      <c r="D3759" s="29" t="s">
        <v>3861</v>
      </c>
      <c r="E3759" s="29" t="s">
        <v>3933</v>
      </c>
      <c r="F3759" s="62"/>
      <c r="G3759" s="20" t="str">
        <f t="shared" si="1"/>
        <v>Home &amp; Garden, Kitchen &amp; Dining, Kitchen Tools &amp; Utensils, Oven Bags</v>
      </c>
    </row>
    <row r="3760">
      <c r="A3760" s="29">
        <v>670.0</v>
      </c>
      <c r="B3760" s="29" t="s">
        <v>3234</v>
      </c>
      <c r="C3760" s="29" t="s">
        <v>3621</v>
      </c>
      <c r="D3760" s="29" t="s">
        <v>3861</v>
      </c>
      <c r="E3760" s="29" t="s">
        <v>3934</v>
      </c>
      <c r="F3760" s="62"/>
      <c r="G3760" s="20" t="str">
        <f t="shared" si="1"/>
        <v>Home &amp; Garden, Kitchen &amp; Dining, Kitchen Tools &amp; Utensils, Oven Mitts &amp; Pot Holders</v>
      </c>
    </row>
    <row r="3761">
      <c r="A3761" s="29">
        <v>6749.0</v>
      </c>
      <c r="B3761" s="29" t="s">
        <v>3234</v>
      </c>
      <c r="C3761" s="29" t="s">
        <v>3621</v>
      </c>
      <c r="D3761" s="29" t="s">
        <v>3861</v>
      </c>
      <c r="E3761" s="29" t="s">
        <v>3935</v>
      </c>
      <c r="F3761" s="62"/>
      <c r="G3761" s="20" t="str">
        <f t="shared" si="1"/>
        <v>Home &amp; Garden, Kitchen &amp; Dining, Kitchen Tools &amp; Utensils, Pasta Molds &amp; Stamps</v>
      </c>
    </row>
    <row r="3762">
      <c r="A3762" s="29">
        <v>4332.0</v>
      </c>
      <c r="B3762" s="29" t="s">
        <v>3234</v>
      </c>
      <c r="C3762" s="29" t="s">
        <v>3621</v>
      </c>
      <c r="D3762" s="29" t="s">
        <v>3861</v>
      </c>
      <c r="E3762" s="29" t="s">
        <v>3936</v>
      </c>
      <c r="F3762" s="62"/>
      <c r="G3762" s="20" t="str">
        <f t="shared" si="1"/>
        <v>Home &amp; Garden, Kitchen &amp; Dining, Kitchen Tools &amp; Utensils, Pastry Blenders</v>
      </c>
    </row>
    <row r="3763">
      <c r="A3763" s="29">
        <v>4708.0</v>
      </c>
      <c r="B3763" s="29" t="s">
        <v>3234</v>
      </c>
      <c r="C3763" s="29" t="s">
        <v>3621</v>
      </c>
      <c r="D3763" s="29" t="s">
        <v>3861</v>
      </c>
      <c r="E3763" s="29" t="s">
        <v>3937</v>
      </c>
      <c r="F3763" s="62"/>
      <c r="G3763" s="20" t="str">
        <f t="shared" si="1"/>
        <v>Home &amp; Garden, Kitchen &amp; Dining, Kitchen Tools &amp; Utensils, Pastry Cloths</v>
      </c>
    </row>
    <row r="3764">
      <c r="A3764" s="29">
        <v>7365.0</v>
      </c>
      <c r="B3764" s="29" t="s">
        <v>3234</v>
      </c>
      <c r="C3764" s="29" t="s">
        <v>3621</v>
      </c>
      <c r="D3764" s="29" t="s">
        <v>3861</v>
      </c>
      <c r="E3764" s="29" t="s">
        <v>3938</v>
      </c>
      <c r="F3764" s="62"/>
      <c r="G3764" s="20" t="str">
        <f t="shared" si="1"/>
        <v>Home &amp; Garden, Kitchen &amp; Dining, Kitchen Tools &amp; Utensils, Pizza Cutter Accessories</v>
      </c>
    </row>
    <row r="3765">
      <c r="A3765" s="29">
        <v>3421.0</v>
      </c>
      <c r="B3765" s="29" t="s">
        <v>3234</v>
      </c>
      <c r="C3765" s="29" t="s">
        <v>3621</v>
      </c>
      <c r="D3765" s="29" t="s">
        <v>3861</v>
      </c>
      <c r="E3765" s="29" t="s">
        <v>3939</v>
      </c>
      <c r="F3765" s="62"/>
      <c r="G3765" s="20" t="str">
        <f t="shared" si="1"/>
        <v>Home &amp; Garden, Kitchen &amp; Dining, Kitchen Tools &amp; Utensils, Pizza Cutters</v>
      </c>
    </row>
    <row r="3766">
      <c r="A3766" s="29">
        <v>5109.0</v>
      </c>
      <c r="B3766" s="29" t="s">
        <v>3234</v>
      </c>
      <c r="C3766" s="29" t="s">
        <v>3621</v>
      </c>
      <c r="D3766" s="29" t="s">
        <v>3861</v>
      </c>
      <c r="E3766" s="29" t="s">
        <v>3940</v>
      </c>
      <c r="F3766" s="62"/>
      <c r="G3766" s="20" t="str">
        <f t="shared" si="1"/>
        <v>Home &amp; Garden, Kitchen &amp; Dining, Kitchen Tools &amp; Utensils, Ricers</v>
      </c>
    </row>
    <row r="3767">
      <c r="A3767" s="29">
        <v>4705.0</v>
      </c>
      <c r="B3767" s="29" t="s">
        <v>3234</v>
      </c>
      <c r="C3767" s="29" t="s">
        <v>3621</v>
      </c>
      <c r="D3767" s="29" t="s">
        <v>3861</v>
      </c>
      <c r="E3767" s="29" t="s">
        <v>3941</v>
      </c>
      <c r="F3767" s="62"/>
      <c r="G3767" s="20" t="str">
        <f t="shared" si="1"/>
        <v>Home &amp; Garden, Kitchen &amp; Dining, Kitchen Tools &amp; Utensils, Rolling Pin Accessories</v>
      </c>
    </row>
    <row r="3768">
      <c r="A3768" s="29">
        <v>4706.0</v>
      </c>
      <c r="B3768" s="29" t="s">
        <v>3234</v>
      </c>
      <c r="C3768" s="29" t="s">
        <v>3621</v>
      </c>
      <c r="D3768" s="29" t="s">
        <v>3861</v>
      </c>
      <c r="E3768" s="29" t="s">
        <v>3941</v>
      </c>
      <c r="F3768" s="29" t="s">
        <v>3942</v>
      </c>
      <c r="G3768" s="20" t="str">
        <f t="shared" si="1"/>
        <v>Home &amp; Garden, Kitchen &amp; Dining, Kitchen Tools &amp; Utensils, Rolling Pin AccessoriesRolling Pin Covers &amp; Sleeves</v>
      </c>
    </row>
    <row r="3769">
      <c r="A3769" s="29">
        <v>4707.0</v>
      </c>
      <c r="B3769" s="29" t="s">
        <v>3234</v>
      </c>
      <c r="C3769" s="29" t="s">
        <v>3621</v>
      </c>
      <c r="D3769" s="29" t="s">
        <v>3861</v>
      </c>
      <c r="E3769" s="29" t="s">
        <v>3941</v>
      </c>
      <c r="F3769" s="29" t="s">
        <v>3943</v>
      </c>
      <c r="G3769" s="20" t="str">
        <f t="shared" si="1"/>
        <v>Home &amp; Garden, Kitchen &amp; Dining, Kitchen Tools &amp; Utensils, Rolling Pin AccessoriesRolling Pin Rings</v>
      </c>
    </row>
    <row r="3770">
      <c r="A3770" s="29">
        <v>3467.0</v>
      </c>
      <c r="B3770" s="29" t="s">
        <v>3234</v>
      </c>
      <c r="C3770" s="29" t="s">
        <v>3621</v>
      </c>
      <c r="D3770" s="29" t="s">
        <v>3861</v>
      </c>
      <c r="E3770" s="29" t="s">
        <v>3944</v>
      </c>
      <c r="F3770" s="62"/>
      <c r="G3770" s="20" t="str">
        <f t="shared" si="1"/>
        <v>Home &amp; Garden, Kitchen &amp; Dining, Kitchen Tools &amp; Utensils, Rolling Pins</v>
      </c>
    </row>
    <row r="3771">
      <c r="A3771" s="29">
        <v>6497.0</v>
      </c>
      <c r="B3771" s="29" t="s">
        <v>3234</v>
      </c>
      <c r="C3771" s="29" t="s">
        <v>3621</v>
      </c>
      <c r="D3771" s="29" t="s">
        <v>3861</v>
      </c>
      <c r="E3771" s="29" t="s">
        <v>3945</v>
      </c>
      <c r="F3771" s="62"/>
      <c r="G3771" s="20" t="str">
        <f t="shared" si="1"/>
        <v>Home &amp; Garden, Kitchen &amp; Dining, Kitchen Tools &amp; Utensils, Salad Dressing Mixers &amp; Shakers</v>
      </c>
    </row>
    <row r="3772">
      <c r="A3772" s="29">
        <v>3914.0</v>
      </c>
      <c r="B3772" s="29" t="s">
        <v>3234</v>
      </c>
      <c r="C3772" s="29" t="s">
        <v>3621</v>
      </c>
      <c r="D3772" s="29" t="s">
        <v>3861</v>
      </c>
      <c r="E3772" s="29" t="s">
        <v>3946</v>
      </c>
      <c r="F3772" s="62"/>
      <c r="G3772" s="20" t="str">
        <f t="shared" si="1"/>
        <v>Home &amp; Garden, Kitchen &amp; Dining, Kitchen Tools &amp; Utensils, Salad Spinners</v>
      </c>
    </row>
    <row r="3773">
      <c r="A3773" s="29">
        <v>3175.0</v>
      </c>
      <c r="B3773" s="29" t="s">
        <v>3234</v>
      </c>
      <c r="C3773" s="29" t="s">
        <v>3621</v>
      </c>
      <c r="D3773" s="29" t="s">
        <v>3861</v>
      </c>
      <c r="E3773" s="29" t="s">
        <v>3947</v>
      </c>
      <c r="F3773" s="62"/>
      <c r="G3773" s="20" t="str">
        <f t="shared" si="1"/>
        <v>Home &amp; Garden, Kitchen &amp; Dining, Kitchen Tools &amp; Utensils, Scoops</v>
      </c>
    </row>
    <row r="3774">
      <c r="A3774" s="29">
        <v>3202.0</v>
      </c>
      <c r="B3774" s="29" t="s">
        <v>3234</v>
      </c>
      <c r="C3774" s="29" t="s">
        <v>3621</v>
      </c>
      <c r="D3774" s="29" t="s">
        <v>3861</v>
      </c>
      <c r="E3774" s="29" t="s">
        <v>3947</v>
      </c>
      <c r="F3774" s="29" t="s">
        <v>3948</v>
      </c>
      <c r="G3774" s="20" t="str">
        <f t="shared" si="1"/>
        <v>Home &amp; Garden, Kitchen &amp; Dining, Kitchen Tools &amp; Utensils, ScoopsIce Cream Scoops</v>
      </c>
    </row>
    <row r="3775">
      <c r="A3775" s="29">
        <v>3708.0</v>
      </c>
      <c r="B3775" s="29" t="s">
        <v>3234</v>
      </c>
      <c r="C3775" s="29" t="s">
        <v>3621</v>
      </c>
      <c r="D3775" s="29" t="s">
        <v>3861</v>
      </c>
      <c r="E3775" s="29" t="s">
        <v>3947</v>
      </c>
      <c r="F3775" s="29" t="s">
        <v>3949</v>
      </c>
      <c r="G3775" s="20" t="str">
        <f t="shared" si="1"/>
        <v>Home &amp; Garden, Kitchen &amp; Dining, Kitchen Tools &amp; Utensils, ScoopsIce Scoops</v>
      </c>
    </row>
    <row r="3776">
      <c r="A3776" s="29">
        <v>3258.0</v>
      </c>
      <c r="B3776" s="29" t="s">
        <v>3234</v>
      </c>
      <c r="C3776" s="29" t="s">
        <v>3621</v>
      </c>
      <c r="D3776" s="29" t="s">
        <v>3861</v>
      </c>
      <c r="E3776" s="29" t="s">
        <v>3947</v>
      </c>
      <c r="F3776" s="29" t="s">
        <v>3950</v>
      </c>
      <c r="G3776" s="20" t="str">
        <f t="shared" si="1"/>
        <v>Home &amp; Garden, Kitchen &amp; Dining, Kitchen Tools &amp; Utensils, ScoopsMelon Ballers</v>
      </c>
    </row>
    <row r="3777">
      <c r="A3777" s="29">
        <v>502966.0</v>
      </c>
      <c r="B3777" s="29" t="s">
        <v>3234</v>
      </c>
      <c r="C3777" s="29" t="s">
        <v>3621</v>
      </c>
      <c r="D3777" s="29" t="s">
        <v>3861</v>
      </c>
      <c r="E3777" s="29" t="s">
        <v>3947</v>
      </c>
      <c r="F3777" s="29" t="s">
        <v>3951</v>
      </c>
      <c r="G3777" s="20" t="str">
        <f t="shared" si="1"/>
        <v>Home &amp; Garden, Kitchen &amp; Dining, Kitchen Tools &amp; Utensils, ScoopsPopcorn &amp; French Fry Scoops</v>
      </c>
    </row>
    <row r="3778">
      <c r="A3778" s="29">
        <v>6746.0</v>
      </c>
      <c r="B3778" s="29" t="s">
        <v>3234</v>
      </c>
      <c r="C3778" s="29" t="s">
        <v>3621</v>
      </c>
      <c r="D3778" s="29" t="s">
        <v>3861</v>
      </c>
      <c r="E3778" s="29" t="s">
        <v>3952</v>
      </c>
      <c r="F3778" s="62"/>
      <c r="G3778" s="20" t="str">
        <f t="shared" si="1"/>
        <v>Home &amp; Garden, Kitchen &amp; Dining, Kitchen Tools &amp; Utensils, Sink Caddies</v>
      </c>
    </row>
    <row r="3779">
      <c r="A3779" s="29">
        <v>5080.0</v>
      </c>
      <c r="B3779" s="29" t="s">
        <v>3234</v>
      </c>
      <c r="C3779" s="29" t="s">
        <v>3621</v>
      </c>
      <c r="D3779" s="29" t="s">
        <v>3861</v>
      </c>
      <c r="E3779" s="29" t="s">
        <v>3953</v>
      </c>
      <c r="F3779" s="62"/>
      <c r="G3779" s="20" t="str">
        <f t="shared" si="1"/>
        <v>Home &amp; Garden, Kitchen &amp; Dining, Kitchen Tools &amp; Utensils, Sink Mats &amp; Grids</v>
      </c>
    </row>
    <row r="3780">
      <c r="A3780" s="29">
        <v>6388.0</v>
      </c>
      <c r="B3780" s="29" t="s">
        <v>3234</v>
      </c>
      <c r="C3780" s="29" t="s">
        <v>3621</v>
      </c>
      <c r="D3780" s="29" t="s">
        <v>3861</v>
      </c>
      <c r="E3780" s="29" t="s">
        <v>3954</v>
      </c>
      <c r="F3780" s="62"/>
      <c r="G3780" s="20" t="str">
        <f t="shared" si="1"/>
        <v>Home &amp; Garden, Kitchen &amp; Dining, Kitchen Tools &amp; Utensils, Slotted Spoons</v>
      </c>
    </row>
    <row r="3781">
      <c r="A3781" s="29">
        <v>3196.0</v>
      </c>
      <c r="B3781" s="29" t="s">
        <v>3234</v>
      </c>
      <c r="C3781" s="29" t="s">
        <v>3621</v>
      </c>
      <c r="D3781" s="29" t="s">
        <v>3861</v>
      </c>
      <c r="E3781" s="29" t="s">
        <v>3955</v>
      </c>
      <c r="F3781" s="62"/>
      <c r="G3781" s="20" t="str">
        <f t="shared" si="1"/>
        <v>Home &amp; Garden, Kitchen &amp; Dining, Kitchen Tools &amp; Utensils, Spatulas</v>
      </c>
    </row>
    <row r="3782">
      <c r="A3782" s="29">
        <v>4788.0</v>
      </c>
      <c r="B3782" s="29" t="s">
        <v>3234</v>
      </c>
      <c r="C3782" s="29" t="s">
        <v>3621</v>
      </c>
      <c r="D3782" s="29" t="s">
        <v>3861</v>
      </c>
      <c r="E3782" s="29" t="s">
        <v>3956</v>
      </c>
      <c r="F3782" s="62"/>
      <c r="G3782" s="20" t="str">
        <f t="shared" si="1"/>
        <v>Home &amp; Garden, Kitchen &amp; Dining, Kitchen Tools &amp; Utensils, Spice Grinder Accessories</v>
      </c>
    </row>
    <row r="3783">
      <c r="A3783" s="29">
        <v>4762.0</v>
      </c>
      <c r="B3783" s="29" t="s">
        <v>3234</v>
      </c>
      <c r="C3783" s="29" t="s">
        <v>3621</v>
      </c>
      <c r="D3783" s="29" t="s">
        <v>3861</v>
      </c>
      <c r="E3783" s="29" t="s">
        <v>3957</v>
      </c>
      <c r="F3783" s="62"/>
      <c r="G3783" s="20" t="str">
        <f t="shared" si="1"/>
        <v>Home &amp; Garden, Kitchen &amp; Dining, Kitchen Tools &amp; Utensils, Spice Grinders</v>
      </c>
    </row>
    <row r="3784">
      <c r="A3784" s="29">
        <v>4334.0</v>
      </c>
      <c r="B3784" s="29" t="s">
        <v>3234</v>
      </c>
      <c r="C3784" s="29" t="s">
        <v>3621</v>
      </c>
      <c r="D3784" s="29" t="s">
        <v>3861</v>
      </c>
      <c r="E3784" s="29" t="s">
        <v>3958</v>
      </c>
      <c r="F3784" s="62"/>
      <c r="G3784" s="20" t="str">
        <f t="shared" si="1"/>
        <v>Home &amp; Garden, Kitchen &amp; Dining, Kitchen Tools &amp; Utensils, Spoon Rests</v>
      </c>
    </row>
    <row r="3785">
      <c r="A3785" s="29">
        <v>6974.0</v>
      </c>
      <c r="B3785" s="29" t="s">
        <v>3234</v>
      </c>
      <c r="C3785" s="29" t="s">
        <v>3621</v>
      </c>
      <c r="D3785" s="29" t="s">
        <v>3861</v>
      </c>
      <c r="E3785" s="29" t="s">
        <v>3959</v>
      </c>
      <c r="F3785" s="62"/>
      <c r="G3785" s="20" t="str">
        <f t="shared" si="1"/>
        <v>Home &amp; Garden, Kitchen &amp; Dining, Kitchen Tools &amp; Utensils, Sugar Dispensers</v>
      </c>
    </row>
    <row r="3786">
      <c r="A3786" s="29">
        <v>7247.0</v>
      </c>
      <c r="B3786" s="29" t="s">
        <v>3234</v>
      </c>
      <c r="C3786" s="29" t="s">
        <v>3621</v>
      </c>
      <c r="D3786" s="29" t="s">
        <v>3861</v>
      </c>
      <c r="E3786" s="29" t="s">
        <v>3960</v>
      </c>
      <c r="F3786" s="62"/>
      <c r="G3786" s="20" t="str">
        <f t="shared" si="1"/>
        <v>Home &amp; Garden, Kitchen &amp; Dining, Kitchen Tools &amp; Utensils, Sushi Mats</v>
      </c>
    </row>
    <row r="3787">
      <c r="A3787" s="29">
        <v>4559.0</v>
      </c>
      <c r="B3787" s="29" t="s">
        <v>3234</v>
      </c>
      <c r="C3787" s="29" t="s">
        <v>3621</v>
      </c>
      <c r="D3787" s="29" t="s">
        <v>3861</v>
      </c>
      <c r="E3787" s="29" t="s">
        <v>3961</v>
      </c>
      <c r="F3787" s="62"/>
      <c r="G3787" s="20" t="str">
        <f t="shared" si="1"/>
        <v>Home &amp; Garden, Kitchen &amp; Dining, Kitchen Tools &amp; Utensils, Tea Strainers</v>
      </c>
    </row>
    <row r="3788">
      <c r="A3788" s="29">
        <v>4005.0</v>
      </c>
      <c r="B3788" s="29" t="s">
        <v>3234</v>
      </c>
      <c r="C3788" s="29" t="s">
        <v>3621</v>
      </c>
      <c r="D3788" s="29" t="s">
        <v>3861</v>
      </c>
      <c r="E3788" s="29" t="s">
        <v>3962</v>
      </c>
      <c r="F3788" s="62"/>
      <c r="G3788" s="20" t="str">
        <f t="shared" si="1"/>
        <v>Home &amp; Garden, Kitchen &amp; Dining, Kitchen Tools &amp; Utensils, Tongs</v>
      </c>
    </row>
    <row r="3789">
      <c r="A3789" s="29">
        <v>3597.0</v>
      </c>
      <c r="B3789" s="29" t="s">
        <v>3234</v>
      </c>
      <c r="C3789" s="29" t="s">
        <v>3621</v>
      </c>
      <c r="D3789" s="29" t="s">
        <v>3861</v>
      </c>
      <c r="E3789" s="29" t="s">
        <v>3963</v>
      </c>
      <c r="F3789" s="62"/>
      <c r="G3789" s="20" t="str">
        <f t="shared" si="1"/>
        <v>Home &amp; Garden, Kitchen &amp; Dining, Kitchen Tools &amp; Utensils, Whisks</v>
      </c>
    </row>
    <row r="3790">
      <c r="A3790" s="29">
        <v>8161.0</v>
      </c>
      <c r="B3790" s="29" t="s">
        <v>3234</v>
      </c>
      <c r="C3790" s="29" t="s">
        <v>3621</v>
      </c>
      <c r="D3790" s="29" t="s">
        <v>3964</v>
      </c>
      <c r="F3790" s="62"/>
      <c r="G3790" s="20" t="str">
        <f t="shared" si="1"/>
        <v>Home &amp; Garden, Kitchen &amp; Dining, Prefabricated Kitchens &amp; Kitchenettes, </v>
      </c>
    </row>
    <row r="3791">
      <c r="A3791" s="29">
        <v>672.0</v>
      </c>
      <c r="B3791" s="29" t="s">
        <v>3234</v>
      </c>
      <c r="C3791" s="29" t="s">
        <v>3621</v>
      </c>
      <c r="D3791" s="29" t="s">
        <v>3965</v>
      </c>
      <c r="E3791" s="62"/>
      <c r="F3791" s="62"/>
      <c r="G3791" s="20" t="str">
        <f t="shared" si="1"/>
        <v>Home &amp; Garden, Kitchen &amp; Dining, Tableware, </v>
      </c>
    </row>
    <row r="3792">
      <c r="A3792" s="29">
        <v>6740.0</v>
      </c>
      <c r="B3792" s="29" t="s">
        <v>3234</v>
      </c>
      <c r="C3792" s="29" t="s">
        <v>3621</v>
      </c>
      <c r="D3792" s="29" t="s">
        <v>3965</v>
      </c>
      <c r="E3792" s="29" t="s">
        <v>3966</v>
      </c>
      <c r="F3792" s="62"/>
      <c r="G3792" s="20" t="str">
        <f t="shared" si="1"/>
        <v>Home &amp; Garden, Kitchen &amp; Dining, Tableware, Coffee &amp; Tea Sets</v>
      </c>
    </row>
    <row r="3793">
      <c r="A3793" s="29">
        <v>652.0</v>
      </c>
      <c r="B3793" s="29" t="s">
        <v>3234</v>
      </c>
      <c r="C3793" s="29" t="s">
        <v>3621</v>
      </c>
      <c r="D3793" s="29" t="s">
        <v>3965</v>
      </c>
      <c r="E3793" s="29" t="s">
        <v>3967</v>
      </c>
      <c r="F3793" s="62"/>
      <c r="G3793" s="20" t="str">
        <f t="shared" si="1"/>
        <v>Home &amp; Garden, Kitchen &amp; Dining, Tableware, Coffee Servers &amp; Tea Pots</v>
      </c>
    </row>
    <row r="3794">
      <c r="A3794" s="29">
        <v>673.0</v>
      </c>
      <c r="B3794" s="29" t="s">
        <v>3234</v>
      </c>
      <c r="C3794" s="29" t="s">
        <v>3621</v>
      </c>
      <c r="D3794" s="29" t="s">
        <v>3965</v>
      </c>
      <c r="E3794" s="29" t="s">
        <v>3968</v>
      </c>
      <c r="F3794" s="62"/>
      <c r="G3794" s="20" t="str">
        <f t="shared" si="1"/>
        <v>Home &amp; Garden, Kitchen &amp; Dining, Tableware, Dinnerware</v>
      </c>
    </row>
    <row r="3795">
      <c r="A3795" s="29">
        <v>3498.0</v>
      </c>
      <c r="B3795" s="29" t="s">
        <v>3234</v>
      </c>
      <c r="C3795" s="29" t="s">
        <v>3621</v>
      </c>
      <c r="D3795" s="29" t="s">
        <v>3965</v>
      </c>
      <c r="E3795" s="29" t="s">
        <v>3968</v>
      </c>
      <c r="F3795" s="29" t="s">
        <v>3969</v>
      </c>
      <c r="G3795" s="20" t="str">
        <f t="shared" si="1"/>
        <v>Home &amp; Garden, Kitchen &amp; Dining, Tableware, DinnerwareBowls</v>
      </c>
    </row>
    <row r="3796">
      <c r="A3796" s="29">
        <v>5537.0</v>
      </c>
      <c r="B3796" s="29" t="s">
        <v>3234</v>
      </c>
      <c r="C3796" s="29" t="s">
        <v>3621</v>
      </c>
      <c r="D3796" s="29" t="s">
        <v>3965</v>
      </c>
      <c r="E3796" s="29" t="s">
        <v>3968</v>
      </c>
      <c r="F3796" s="29" t="s">
        <v>3970</v>
      </c>
      <c r="G3796" s="20" t="str">
        <f t="shared" si="1"/>
        <v>Home &amp; Garden, Kitchen &amp; Dining, Tableware, DinnerwareDinnerware Sets</v>
      </c>
    </row>
    <row r="3797">
      <c r="A3797" s="29">
        <v>3553.0</v>
      </c>
      <c r="B3797" s="29" t="s">
        <v>3234</v>
      </c>
      <c r="C3797" s="29" t="s">
        <v>3621</v>
      </c>
      <c r="D3797" s="29" t="s">
        <v>3965</v>
      </c>
      <c r="E3797" s="29" t="s">
        <v>3968</v>
      </c>
      <c r="F3797" s="29" t="s">
        <v>3971</v>
      </c>
      <c r="G3797" s="20" t="str">
        <f t="shared" si="1"/>
        <v>Home &amp; Garden, Kitchen &amp; Dining, Tableware, DinnerwarePlates</v>
      </c>
    </row>
    <row r="3798">
      <c r="A3798" s="29">
        <v>674.0</v>
      </c>
      <c r="B3798" s="29" t="s">
        <v>3234</v>
      </c>
      <c r="C3798" s="29" t="s">
        <v>3621</v>
      </c>
      <c r="D3798" s="29" t="s">
        <v>3965</v>
      </c>
      <c r="E3798" s="29" t="s">
        <v>3972</v>
      </c>
      <c r="F3798" s="62"/>
      <c r="G3798" s="20" t="str">
        <f t="shared" si="1"/>
        <v>Home &amp; Garden, Kitchen &amp; Dining, Tableware, Drinkware</v>
      </c>
    </row>
    <row r="3799">
      <c r="A3799" s="29">
        <v>7568.0</v>
      </c>
      <c r="B3799" s="29" t="s">
        <v>3234</v>
      </c>
      <c r="C3799" s="29" t="s">
        <v>3621</v>
      </c>
      <c r="D3799" s="29" t="s">
        <v>3965</v>
      </c>
      <c r="E3799" s="29" t="s">
        <v>3972</v>
      </c>
      <c r="F3799" s="29" t="s">
        <v>3973</v>
      </c>
      <c r="G3799" s="20" t="str">
        <f t="shared" si="1"/>
        <v>Home &amp; Garden, Kitchen &amp; Dining, Tableware, DrinkwareBeer Glasses</v>
      </c>
    </row>
    <row r="3800">
      <c r="A3800" s="29">
        <v>6049.0</v>
      </c>
      <c r="B3800" s="29" t="s">
        <v>3234</v>
      </c>
      <c r="C3800" s="29" t="s">
        <v>3621</v>
      </c>
      <c r="D3800" s="29" t="s">
        <v>3965</v>
      </c>
      <c r="E3800" s="29" t="s">
        <v>3972</v>
      </c>
      <c r="F3800" s="29" t="s">
        <v>3974</v>
      </c>
      <c r="G3800" s="20" t="str">
        <f t="shared" si="1"/>
        <v>Home &amp; Garden, Kitchen &amp; Dining, Tableware, DrinkwareCoffee &amp; Tea Cups</v>
      </c>
    </row>
    <row r="3801">
      <c r="A3801" s="29">
        <v>6051.0</v>
      </c>
      <c r="B3801" s="29" t="s">
        <v>3234</v>
      </c>
      <c r="C3801" s="29" t="s">
        <v>3621</v>
      </c>
      <c r="D3801" s="29" t="s">
        <v>3965</v>
      </c>
      <c r="E3801" s="29" t="s">
        <v>3972</v>
      </c>
      <c r="F3801" s="29" t="s">
        <v>3975</v>
      </c>
      <c r="G3801" s="20" t="str">
        <f t="shared" si="1"/>
        <v>Home &amp; Garden, Kitchen &amp; Dining, Tableware, DrinkwareCoffee &amp; Tea Saucers</v>
      </c>
    </row>
    <row r="3802">
      <c r="A3802" s="29">
        <v>6958.0</v>
      </c>
      <c r="B3802" s="29" t="s">
        <v>3234</v>
      </c>
      <c r="C3802" s="29" t="s">
        <v>3621</v>
      </c>
      <c r="D3802" s="29" t="s">
        <v>3965</v>
      </c>
      <c r="E3802" s="29" t="s">
        <v>3972</v>
      </c>
      <c r="F3802" s="29" t="s">
        <v>3976</v>
      </c>
      <c r="G3802" s="20" t="str">
        <f t="shared" si="1"/>
        <v>Home &amp; Garden, Kitchen &amp; Dining, Tableware, DrinkwareDrinkware Sets</v>
      </c>
    </row>
    <row r="3803">
      <c r="A3803" s="29">
        <v>2169.0</v>
      </c>
      <c r="B3803" s="29" t="s">
        <v>3234</v>
      </c>
      <c r="C3803" s="29" t="s">
        <v>3621</v>
      </c>
      <c r="D3803" s="29" t="s">
        <v>3965</v>
      </c>
      <c r="E3803" s="29" t="s">
        <v>3972</v>
      </c>
      <c r="F3803" s="29" t="s">
        <v>3977</v>
      </c>
      <c r="G3803" s="20" t="str">
        <f t="shared" si="1"/>
        <v>Home &amp; Garden, Kitchen &amp; Dining, Tableware, DrinkwareMugs</v>
      </c>
    </row>
    <row r="3804">
      <c r="A3804" s="29">
        <v>2694.0</v>
      </c>
      <c r="B3804" s="29" t="s">
        <v>3234</v>
      </c>
      <c r="C3804" s="29" t="s">
        <v>3621</v>
      </c>
      <c r="D3804" s="29" t="s">
        <v>3965</v>
      </c>
      <c r="E3804" s="29" t="s">
        <v>3972</v>
      </c>
      <c r="F3804" s="29" t="s">
        <v>3978</v>
      </c>
      <c r="G3804" s="20" t="str">
        <f t="shared" si="1"/>
        <v>Home &amp; Garden, Kitchen &amp; Dining, Tableware, DrinkwareShot Glasses</v>
      </c>
    </row>
    <row r="3805">
      <c r="A3805" s="29">
        <v>2712.0</v>
      </c>
      <c r="B3805" s="29" t="s">
        <v>3234</v>
      </c>
      <c r="C3805" s="29" t="s">
        <v>3621</v>
      </c>
      <c r="D3805" s="29" t="s">
        <v>3965</v>
      </c>
      <c r="E3805" s="29" t="s">
        <v>3972</v>
      </c>
      <c r="F3805" s="29" t="s">
        <v>3979</v>
      </c>
      <c r="G3805" s="20" t="str">
        <f t="shared" si="1"/>
        <v>Home &amp; Garden, Kitchen &amp; Dining, Tableware, DrinkwareStemware</v>
      </c>
    </row>
    <row r="3806">
      <c r="A3806" s="29">
        <v>2951.0</v>
      </c>
      <c r="B3806" s="29" t="s">
        <v>3234</v>
      </c>
      <c r="C3806" s="29" t="s">
        <v>3621</v>
      </c>
      <c r="D3806" s="29" t="s">
        <v>3965</v>
      </c>
      <c r="E3806" s="29" t="s">
        <v>3972</v>
      </c>
      <c r="F3806" s="29" t="s">
        <v>3980</v>
      </c>
      <c r="G3806" s="20" t="str">
        <f t="shared" si="1"/>
        <v>Home &amp; Garden, Kitchen &amp; Dining, Tableware, DrinkwareTumblers</v>
      </c>
    </row>
    <row r="3807">
      <c r="A3807" s="29">
        <v>675.0</v>
      </c>
      <c r="B3807" s="29" t="s">
        <v>3234</v>
      </c>
      <c r="C3807" s="29" t="s">
        <v>3621</v>
      </c>
      <c r="D3807" s="29" t="s">
        <v>3965</v>
      </c>
      <c r="E3807" s="29" t="s">
        <v>3981</v>
      </c>
      <c r="F3807" s="62"/>
      <c r="G3807" s="20" t="str">
        <f t="shared" si="1"/>
        <v>Home &amp; Garden, Kitchen &amp; Dining, Tableware, Flatware</v>
      </c>
    </row>
    <row r="3808">
      <c r="A3808" s="29">
        <v>6439.0</v>
      </c>
      <c r="B3808" s="29" t="s">
        <v>3234</v>
      </c>
      <c r="C3808" s="29" t="s">
        <v>3621</v>
      </c>
      <c r="D3808" s="29" t="s">
        <v>3965</v>
      </c>
      <c r="E3808" s="29" t="s">
        <v>3981</v>
      </c>
      <c r="F3808" s="29" t="s">
        <v>3982</v>
      </c>
      <c r="G3808" s="20" t="str">
        <f t="shared" si="1"/>
        <v>Home &amp; Garden, Kitchen &amp; Dining, Tableware, FlatwareChopstick Accessories</v>
      </c>
    </row>
    <row r="3809">
      <c r="A3809" s="29">
        <v>3699.0</v>
      </c>
      <c r="B3809" s="29" t="s">
        <v>3234</v>
      </c>
      <c r="C3809" s="29" t="s">
        <v>3621</v>
      </c>
      <c r="D3809" s="29" t="s">
        <v>3965</v>
      </c>
      <c r="E3809" s="29" t="s">
        <v>3981</v>
      </c>
      <c r="F3809" s="29" t="s">
        <v>3983</v>
      </c>
      <c r="G3809" s="20" t="str">
        <f t="shared" si="1"/>
        <v>Home &amp; Garden, Kitchen &amp; Dining, Tableware, FlatwareChopsticks</v>
      </c>
    </row>
    <row r="3810">
      <c r="A3810" s="29">
        <v>5647.0</v>
      </c>
      <c r="B3810" s="29" t="s">
        <v>3234</v>
      </c>
      <c r="C3810" s="29" t="s">
        <v>3621</v>
      </c>
      <c r="D3810" s="29" t="s">
        <v>3965</v>
      </c>
      <c r="E3810" s="29" t="s">
        <v>3981</v>
      </c>
      <c r="F3810" s="29" t="s">
        <v>3984</v>
      </c>
      <c r="G3810" s="20" t="str">
        <f t="shared" si="1"/>
        <v>Home &amp; Garden, Kitchen &amp; Dining, Tableware, FlatwareFlatware Sets</v>
      </c>
    </row>
    <row r="3811">
      <c r="A3811" s="29">
        <v>4015.0</v>
      </c>
      <c r="B3811" s="29" t="s">
        <v>3234</v>
      </c>
      <c r="C3811" s="29" t="s">
        <v>3621</v>
      </c>
      <c r="D3811" s="29" t="s">
        <v>3965</v>
      </c>
      <c r="E3811" s="29" t="s">
        <v>3981</v>
      </c>
      <c r="F3811" s="29" t="s">
        <v>3985</v>
      </c>
      <c r="G3811" s="20" t="str">
        <f t="shared" si="1"/>
        <v>Home &amp; Garden, Kitchen &amp; Dining, Tableware, FlatwareForks</v>
      </c>
    </row>
    <row r="3812">
      <c r="A3812" s="29">
        <v>3939.0</v>
      </c>
      <c r="B3812" s="29" t="s">
        <v>3234</v>
      </c>
      <c r="C3812" s="29" t="s">
        <v>3621</v>
      </c>
      <c r="D3812" s="29" t="s">
        <v>3965</v>
      </c>
      <c r="E3812" s="29" t="s">
        <v>3981</v>
      </c>
      <c r="F3812" s="29" t="s">
        <v>3986</v>
      </c>
      <c r="G3812" s="20" t="str">
        <f t="shared" si="1"/>
        <v>Home &amp; Garden, Kitchen &amp; Dining, Tableware, FlatwareSpoons</v>
      </c>
    </row>
    <row r="3813">
      <c r="A3813" s="29">
        <v>3844.0</v>
      </c>
      <c r="B3813" s="29" t="s">
        <v>3234</v>
      </c>
      <c r="C3813" s="29" t="s">
        <v>3621</v>
      </c>
      <c r="D3813" s="29" t="s">
        <v>3965</v>
      </c>
      <c r="E3813" s="29" t="s">
        <v>3981</v>
      </c>
      <c r="F3813" s="29" t="s">
        <v>3987</v>
      </c>
      <c r="G3813" s="20" t="str">
        <f t="shared" si="1"/>
        <v>Home &amp; Garden, Kitchen &amp; Dining, Tableware, FlatwareTable Knives</v>
      </c>
    </row>
    <row r="3814">
      <c r="A3814" s="29">
        <v>676.0</v>
      </c>
      <c r="B3814" s="29" t="s">
        <v>3234</v>
      </c>
      <c r="C3814" s="29" t="s">
        <v>3621</v>
      </c>
      <c r="D3814" s="29" t="s">
        <v>3965</v>
      </c>
      <c r="E3814" s="29" t="s">
        <v>3988</v>
      </c>
      <c r="F3814" s="62"/>
      <c r="G3814" s="20" t="str">
        <f t="shared" si="1"/>
        <v>Home &amp; Garden, Kitchen &amp; Dining, Tableware, Salt &amp; Pepper Shakers</v>
      </c>
    </row>
    <row r="3815">
      <c r="A3815" s="29">
        <v>4026.0</v>
      </c>
      <c r="B3815" s="29" t="s">
        <v>3234</v>
      </c>
      <c r="C3815" s="29" t="s">
        <v>3621</v>
      </c>
      <c r="D3815" s="29" t="s">
        <v>3965</v>
      </c>
      <c r="E3815" s="29" t="s">
        <v>3989</v>
      </c>
      <c r="F3815" s="62"/>
      <c r="G3815" s="20" t="str">
        <f t="shared" si="1"/>
        <v>Home &amp; Garden, Kitchen &amp; Dining, Tableware, Serveware</v>
      </c>
    </row>
    <row r="3816">
      <c r="A3816" s="29">
        <v>6086.0</v>
      </c>
      <c r="B3816" s="29" t="s">
        <v>3234</v>
      </c>
      <c r="C3816" s="29" t="s">
        <v>3621</v>
      </c>
      <c r="D3816" s="29" t="s">
        <v>3965</v>
      </c>
      <c r="E3816" s="29" t="s">
        <v>3989</v>
      </c>
      <c r="F3816" s="29" t="s">
        <v>3990</v>
      </c>
      <c r="G3816" s="20" t="str">
        <f t="shared" si="1"/>
        <v>Home &amp; Garden, Kitchen &amp; Dining, Tableware, ServewareButter Dishes</v>
      </c>
    </row>
    <row r="3817">
      <c r="A3817" s="29">
        <v>5135.0</v>
      </c>
      <c r="B3817" s="29" t="s">
        <v>3234</v>
      </c>
      <c r="C3817" s="29" t="s">
        <v>3621</v>
      </c>
      <c r="D3817" s="29" t="s">
        <v>3965</v>
      </c>
      <c r="E3817" s="29" t="s">
        <v>3989</v>
      </c>
      <c r="F3817" s="29" t="s">
        <v>3991</v>
      </c>
      <c r="G3817" s="20" t="str">
        <f t="shared" si="1"/>
        <v>Home &amp; Garden, Kitchen &amp; Dining, Tableware, ServewareCake Boards</v>
      </c>
    </row>
    <row r="3818">
      <c r="A3818" s="29">
        <v>4372.0</v>
      </c>
      <c r="B3818" s="29" t="s">
        <v>3234</v>
      </c>
      <c r="C3818" s="29" t="s">
        <v>3621</v>
      </c>
      <c r="D3818" s="29" t="s">
        <v>3965</v>
      </c>
      <c r="E3818" s="29" t="s">
        <v>3989</v>
      </c>
      <c r="F3818" s="29" t="s">
        <v>3992</v>
      </c>
      <c r="G3818" s="20" t="str">
        <f t="shared" si="1"/>
        <v>Home &amp; Garden, Kitchen &amp; Dining, Tableware, ServewareCake Stands</v>
      </c>
    </row>
    <row r="3819">
      <c r="A3819" s="29">
        <v>7550.0</v>
      </c>
      <c r="B3819" s="29" t="s">
        <v>3234</v>
      </c>
      <c r="C3819" s="29" t="s">
        <v>3621</v>
      </c>
      <c r="D3819" s="29" t="s">
        <v>3965</v>
      </c>
      <c r="E3819" s="29" t="s">
        <v>3989</v>
      </c>
      <c r="F3819" s="29" t="s">
        <v>3993</v>
      </c>
      <c r="G3819" s="20" t="str">
        <f t="shared" si="1"/>
        <v>Home &amp; Garden, Kitchen &amp; Dining, Tableware, ServewareEgg Cups</v>
      </c>
    </row>
    <row r="3820">
      <c r="A3820" s="29">
        <v>3703.0</v>
      </c>
      <c r="B3820" s="29" t="s">
        <v>3234</v>
      </c>
      <c r="C3820" s="29" t="s">
        <v>3621</v>
      </c>
      <c r="D3820" s="29" t="s">
        <v>3965</v>
      </c>
      <c r="E3820" s="29" t="s">
        <v>3989</v>
      </c>
      <c r="F3820" s="29" t="s">
        <v>3994</v>
      </c>
      <c r="G3820" s="20" t="str">
        <f t="shared" si="1"/>
        <v>Home &amp; Garden, Kitchen &amp; Dining, Tableware, ServewareGravy Boats</v>
      </c>
    </row>
    <row r="3821">
      <c r="A3821" s="29">
        <v>4735.0</v>
      </c>
      <c r="B3821" s="29" t="s">
        <v>3234</v>
      </c>
      <c r="C3821" s="29" t="s">
        <v>3621</v>
      </c>
      <c r="D3821" s="29" t="s">
        <v>3965</v>
      </c>
      <c r="E3821" s="29" t="s">
        <v>3989</v>
      </c>
      <c r="F3821" s="29" t="s">
        <v>3995</v>
      </c>
      <c r="G3821" s="20" t="str">
        <f t="shared" si="1"/>
        <v>Home &amp; Garden, Kitchen &amp; Dining, Tableware, ServewarePunch Bowls</v>
      </c>
    </row>
    <row r="3822">
      <c r="A3822" s="29">
        <v>3330.0</v>
      </c>
      <c r="B3822" s="29" t="s">
        <v>3234</v>
      </c>
      <c r="C3822" s="29" t="s">
        <v>3621</v>
      </c>
      <c r="D3822" s="29" t="s">
        <v>3965</v>
      </c>
      <c r="E3822" s="29" t="s">
        <v>3989</v>
      </c>
      <c r="F3822" s="29" t="s">
        <v>3996</v>
      </c>
      <c r="G3822" s="20" t="str">
        <f t="shared" si="1"/>
        <v>Home &amp; Garden, Kitchen &amp; Dining, Tableware, ServewareServing Pitchers &amp; Carafes</v>
      </c>
    </row>
    <row r="3823">
      <c r="A3823" s="29">
        <v>3802.0</v>
      </c>
      <c r="B3823" s="29" t="s">
        <v>3234</v>
      </c>
      <c r="C3823" s="29" t="s">
        <v>3621</v>
      </c>
      <c r="D3823" s="29" t="s">
        <v>3965</v>
      </c>
      <c r="E3823" s="29" t="s">
        <v>3989</v>
      </c>
      <c r="F3823" s="29" t="s">
        <v>3997</v>
      </c>
      <c r="G3823" s="20" t="str">
        <f t="shared" si="1"/>
        <v>Home &amp; Garden, Kitchen &amp; Dining, Tableware, ServewareServing Platters</v>
      </c>
    </row>
    <row r="3824">
      <c r="A3824" s="29">
        <v>4009.0</v>
      </c>
      <c r="B3824" s="29" t="s">
        <v>3234</v>
      </c>
      <c r="C3824" s="29" t="s">
        <v>3621</v>
      </c>
      <c r="D3824" s="29" t="s">
        <v>3965</v>
      </c>
      <c r="E3824" s="29" t="s">
        <v>3989</v>
      </c>
      <c r="F3824" s="29" t="s">
        <v>3998</v>
      </c>
      <c r="G3824" s="20" t="str">
        <f t="shared" si="1"/>
        <v>Home &amp; Garden, Kitchen &amp; Dining, Tableware, ServewareServing Trays</v>
      </c>
    </row>
    <row r="3825">
      <c r="A3825" s="29">
        <v>3373.0</v>
      </c>
      <c r="B3825" s="29" t="s">
        <v>3234</v>
      </c>
      <c r="C3825" s="29" t="s">
        <v>3621</v>
      </c>
      <c r="D3825" s="29" t="s">
        <v>3965</v>
      </c>
      <c r="E3825" s="29" t="s">
        <v>3989</v>
      </c>
      <c r="F3825" s="29" t="s">
        <v>3999</v>
      </c>
      <c r="G3825" s="20" t="str">
        <f t="shared" si="1"/>
        <v>Home &amp; Garden, Kitchen &amp; Dining, Tableware, ServewareSugar Bowls &amp; Creamers</v>
      </c>
    </row>
    <row r="3826">
      <c r="A3826" s="29">
        <v>3941.0</v>
      </c>
      <c r="B3826" s="29" t="s">
        <v>3234</v>
      </c>
      <c r="C3826" s="29" t="s">
        <v>3621</v>
      </c>
      <c r="D3826" s="29" t="s">
        <v>3965</v>
      </c>
      <c r="E3826" s="29" t="s">
        <v>3989</v>
      </c>
      <c r="F3826" s="29" t="s">
        <v>4000</v>
      </c>
      <c r="G3826" s="20" t="str">
        <f t="shared" si="1"/>
        <v>Home &amp; Garden, Kitchen &amp; Dining, Tableware, ServewareTureens</v>
      </c>
    </row>
    <row r="3827">
      <c r="A3827" s="29">
        <v>6425.0</v>
      </c>
      <c r="B3827" s="29" t="s">
        <v>3234</v>
      </c>
      <c r="C3827" s="29" t="s">
        <v>3621</v>
      </c>
      <c r="D3827" s="29" t="s">
        <v>3965</v>
      </c>
      <c r="E3827" s="29" t="s">
        <v>4001</v>
      </c>
      <c r="F3827" s="62"/>
      <c r="G3827" s="20" t="str">
        <f t="shared" si="1"/>
        <v>Home &amp; Garden, Kitchen &amp; Dining, Tableware, Serveware Accessories</v>
      </c>
    </row>
    <row r="3828">
      <c r="A3828" s="29">
        <v>6434.0</v>
      </c>
      <c r="B3828" s="29" t="s">
        <v>3234</v>
      </c>
      <c r="C3828" s="29" t="s">
        <v>3621</v>
      </c>
      <c r="D3828" s="29" t="s">
        <v>3965</v>
      </c>
      <c r="E3828" s="29" t="s">
        <v>4001</v>
      </c>
      <c r="F3828" s="29" t="s">
        <v>4002</v>
      </c>
      <c r="G3828" s="20" t="str">
        <f t="shared" si="1"/>
        <v>Home &amp; Garden, Kitchen &amp; Dining, Tableware, Serveware AccessoriesPunch Bowl Stands</v>
      </c>
    </row>
    <row r="3829">
      <c r="A3829" s="29">
        <v>6427.0</v>
      </c>
      <c r="B3829" s="29" t="s">
        <v>3234</v>
      </c>
      <c r="C3829" s="29" t="s">
        <v>3621</v>
      </c>
      <c r="D3829" s="29" t="s">
        <v>3965</v>
      </c>
      <c r="E3829" s="29" t="s">
        <v>4001</v>
      </c>
      <c r="F3829" s="29" t="s">
        <v>4003</v>
      </c>
      <c r="G3829" s="20" t="str">
        <f t="shared" si="1"/>
        <v>Home &amp; Garden, Kitchen &amp; Dining, Tableware, Serveware AccessoriesTureen Lids</v>
      </c>
    </row>
    <row r="3830">
      <c r="A3830" s="29">
        <v>6426.0</v>
      </c>
      <c r="B3830" s="29" t="s">
        <v>3234</v>
      </c>
      <c r="C3830" s="29" t="s">
        <v>3621</v>
      </c>
      <c r="D3830" s="29" t="s">
        <v>3965</v>
      </c>
      <c r="E3830" s="29" t="s">
        <v>4001</v>
      </c>
      <c r="F3830" s="29" t="s">
        <v>4004</v>
      </c>
      <c r="G3830" s="20" t="str">
        <f t="shared" si="1"/>
        <v>Home &amp; Garden, Kitchen &amp; Dining, Tableware, Serveware AccessoriesTureen Stands</v>
      </c>
    </row>
    <row r="3831">
      <c r="A3831" s="29">
        <v>8046.0</v>
      </c>
      <c r="B3831" s="29" t="s">
        <v>3234</v>
      </c>
      <c r="C3831" s="29" t="s">
        <v>3621</v>
      </c>
      <c r="D3831" s="29" t="s">
        <v>3965</v>
      </c>
      <c r="E3831" s="29" t="s">
        <v>4005</v>
      </c>
      <c r="F3831" s="62"/>
      <c r="G3831" s="20" t="str">
        <f t="shared" si="1"/>
        <v>Home &amp; Garden, Kitchen &amp; Dining, Tableware, Tablecloth Clips &amp; Weights</v>
      </c>
    </row>
    <row r="3832">
      <c r="A3832" s="29">
        <v>677.0</v>
      </c>
      <c r="B3832" s="29" t="s">
        <v>3234</v>
      </c>
      <c r="C3832" s="29" t="s">
        <v>3621</v>
      </c>
      <c r="D3832" s="29" t="s">
        <v>3965</v>
      </c>
      <c r="E3832" s="29" t="s">
        <v>4006</v>
      </c>
      <c r="F3832" s="62"/>
      <c r="G3832" s="20" t="str">
        <f t="shared" si="1"/>
        <v>Home &amp; Garden, Kitchen &amp; Dining, Tableware, Trivets</v>
      </c>
    </row>
    <row r="3833">
      <c r="A3833" s="29">
        <v>689.0</v>
      </c>
      <c r="B3833" s="29" t="s">
        <v>3234</v>
      </c>
      <c r="C3833" s="29" t="s">
        <v>4007</v>
      </c>
      <c r="D3833" s="62"/>
      <c r="E3833" s="62"/>
      <c r="F3833" s="62"/>
      <c r="G3833" s="20" t="str">
        <f t="shared" si="1"/>
        <v>Home &amp; Garden, Lawn &amp; Garden, , </v>
      </c>
    </row>
    <row r="3834">
      <c r="A3834" s="29">
        <v>2962.0</v>
      </c>
      <c r="B3834" s="29" t="s">
        <v>3234</v>
      </c>
      <c r="C3834" s="29" t="s">
        <v>4007</v>
      </c>
      <c r="D3834" s="29" t="s">
        <v>4008</v>
      </c>
      <c r="E3834" s="62"/>
      <c r="F3834" s="62"/>
      <c r="G3834" s="20" t="str">
        <f t="shared" si="1"/>
        <v>Home &amp; Garden, Lawn &amp; Garden, Gardening, </v>
      </c>
    </row>
    <row r="3835">
      <c r="A3835" s="29">
        <v>4085.0</v>
      </c>
      <c r="B3835" s="29" t="s">
        <v>3234</v>
      </c>
      <c r="C3835" s="29" t="s">
        <v>4007</v>
      </c>
      <c r="D3835" s="29" t="s">
        <v>4008</v>
      </c>
      <c r="E3835" s="29" t="s">
        <v>4009</v>
      </c>
      <c r="F3835" s="62"/>
      <c r="G3835" s="20" t="str">
        <f t="shared" si="1"/>
        <v>Home &amp; Garden, Lawn &amp; Garden, Gardening, Composting</v>
      </c>
    </row>
    <row r="3836">
      <c r="A3836" s="29">
        <v>690.0</v>
      </c>
      <c r="B3836" s="29" t="s">
        <v>3234</v>
      </c>
      <c r="C3836" s="29" t="s">
        <v>4007</v>
      </c>
      <c r="D3836" s="29" t="s">
        <v>4008</v>
      </c>
      <c r="E3836" s="29" t="s">
        <v>4009</v>
      </c>
      <c r="F3836" s="29" t="s">
        <v>4010</v>
      </c>
      <c r="G3836" s="20" t="str">
        <f t="shared" si="1"/>
        <v>Home &amp; Garden, Lawn &amp; Garden, Gardening, CompostingCompost</v>
      </c>
    </row>
    <row r="3837">
      <c r="A3837" s="29">
        <v>6840.0</v>
      </c>
      <c r="B3837" s="29" t="s">
        <v>3234</v>
      </c>
      <c r="C3837" s="29" t="s">
        <v>4007</v>
      </c>
      <c r="D3837" s="29" t="s">
        <v>4008</v>
      </c>
      <c r="E3837" s="29" t="s">
        <v>4009</v>
      </c>
      <c r="F3837" s="29" t="s">
        <v>4011</v>
      </c>
      <c r="G3837" s="20" t="str">
        <f t="shared" si="1"/>
        <v>Home &amp; Garden, Lawn &amp; Garden, Gardening, CompostingCompost Aerators</v>
      </c>
    </row>
    <row r="3838">
      <c r="A3838" s="29">
        <v>6436.0</v>
      </c>
      <c r="B3838" s="29" t="s">
        <v>3234</v>
      </c>
      <c r="C3838" s="29" t="s">
        <v>4007</v>
      </c>
      <c r="D3838" s="29" t="s">
        <v>4008</v>
      </c>
      <c r="E3838" s="29" t="s">
        <v>4009</v>
      </c>
      <c r="F3838" s="29" t="s">
        <v>4012</v>
      </c>
      <c r="G3838" s="20" t="str">
        <f t="shared" si="1"/>
        <v>Home &amp; Garden, Lawn &amp; Garden, Gardening, CompostingComposters</v>
      </c>
    </row>
    <row r="3839">
      <c r="A3839" s="29">
        <v>691.0</v>
      </c>
      <c r="B3839" s="29" t="s">
        <v>3234</v>
      </c>
      <c r="C3839" s="29" t="s">
        <v>4007</v>
      </c>
      <c r="D3839" s="29" t="s">
        <v>4008</v>
      </c>
      <c r="E3839" s="29" t="s">
        <v>4013</v>
      </c>
      <c r="F3839" s="62"/>
      <c r="G3839" s="20" t="str">
        <f t="shared" si="1"/>
        <v>Home &amp; Garden, Lawn &amp; Garden, Gardening, Disease Control</v>
      </c>
    </row>
    <row r="3840">
      <c r="A3840" s="29">
        <v>113.0</v>
      </c>
      <c r="B3840" s="29" t="s">
        <v>3234</v>
      </c>
      <c r="C3840" s="29" t="s">
        <v>4007</v>
      </c>
      <c r="D3840" s="29" t="s">
        <v>4008</v>
      </c>
      <c r="E3840" s="29" t="s">
        <v>4014</v>
      </c>
      <c r="F3840" s="62"/>
      <c r="G3840" s="20" t="str">
        <f t="shared" si="1"/>
        <v>Home &amp; Garden, Lawn &amp; Garden, Gardening, Fertilizers</v>
      </c>
    </row>
    <row r="3841">
      <c r="A3841" s="29">
        <v>500033.0</v>
      </c>
      <c r="B3841" s="29" t="s">
        <v>3234</v>
      </c>
      <c r="C3841" s="29" t="s">
        <v>4007</v>
      </c>
      <c r="D3841" s="29" t="s">
        <v>4008</v>
      </c>
      <c r="E3841" s="29" t="s">
        <v>4015</v>
      </c>
      <c r="F3841" s="62"/>
      <c r="G3841" s="20" t="str">
        <f t="shared" si="1"/>
        <v>Home &amp; Garden, Lawn &amp; Garden, Gardening, Garden Pot Saucers &amp; Trays</v>
      </c>
    </row>
    <row r="3842">
      <c r="A3842" s="29">
        <v>5632.0</v>
      </c>
      <c r="B3842" s="29" t="s">
        <v>3234</v>
      </c>
      <c r="C3842" s="29" t="s">
        <v>4007</v>
      </c>
      <c r="D3842" s="29" t="s">
        <v>4008</v>
      </c>
      <c r="E3842" s="29" t="s">
        <v>4016</v>
      </c>
      <c r="F3842" s="62"/>
      <c r="G3842" s="20" t="str">
        <f t="shared" si="1"/>
        <v>Home &amp; Garden, Lawn &amp; Garden, Gardening, Gardening Accessories</v>
      </c>
    </row>
    <row r="3843">
      <c r="A3843" s="29">
        <v>503756.0</v>
      </c>
      <c r="B3843" s="29" t="s">
        <v>3234</v>
      </c>
      <c r="C3843" s="29" t="s">
        <v>4007</v>
      </c>
      <c r="D3843" s="29" t="s">
        <v>4008</v>
      </c>
      <c r="E3843" s="29" t="s">
        <v>4016</v>
      </c>
      <c r="F3843" s="29" t="s">
        <v>4017</v>
      </c>
      <c r="G3843" s="20" t="str">
        <f t="shared" si="1"/>
        <v>Home &amp; Garden, Lawn &amp; Garden, Gardening, Gardening AccessoriesGardening Scooters, Seats &amp; Kneelers</v>
      </c>
    </row>
    <row r="3844">
      <c r="A3844" s="29">
        <v>5633.0</v>
      </c>
      <c r="B3844" s="29" t="s">
        <v>3234</v>
      </c>
      <c r="C3844" s="29" t="s">
        <v>4007</v>
      </c>
      <c r="D3844" s="29" t="s">
        <v>4008</v>
      </c>
      <c r="E3844" s="29" t="s">
        <v>4016</v>
      </c>
      <c r="F3844" s="29" t="s">
        <v>4018</v>
      </c>
      <c r="G3844" s="20" t="str">
        <f t="shared" si="1"/>
        <v>Home &amp; Garden, Lawn &amp; Garden, Gardening, Gardening AccessoriesGardening Totes</v>
      </c>
    </row>
    <row r="3845">
      <c r="A3845" s="29">
        <v>7184.0</v>
      </c>
      <c r="B3845" s="29" t="s">
        <v>3234</v>
      </c>
      <c r="C3845" s="29" t="s">
        <v>4007</v>
      </c>
      <c r="D3845" s="29" t="s">
        <v>4008</v>
      </c>
      <c r="E3845" s="29" t="s">
        <v>4016</v>
      </c>
      <c r="F3845" s="29" t="s">
        <v>4019</v>
      </c>
      <c r="G3845" s="20" t="str">
        <f t="shared" si="1"/>
        <v>Home &amp; Garden, Lawn &amp; Garden, Gardening, Gardening AccessoriesPotting Benches</v>
      </c>
    </row>
    <row r="3846">
      <c r="A3846" s="29">
        <v>505326.0</v>
      </c>
      <c r="B3846" s="29" t="s">
        <v>3234</v>
      </c>
      <c r="C3846" s="29" t="s">
        <v>4007</v>
      </c>
      <c r="D3846" s="29" t="s">
        <v>4008</v>
      </c>
      <c r="E3846" s="29" t="s">
        <v>4020</v>
      </c>
      <c r="F3846" s="62"/>
      <c r="G3846" s="20" t="str">
        <f t="shared" si="1"/>
        <v>Home &amp; Garden, Lawn &amp; Garden, Gardening, Gardening Tool Accessories</v>
      </c>
    </row>
    <row r="3847">
      <c r="A3847" s="29">
        <v>505322.0</v>
      </c>
      <c r="B3847" s="29" t="s">
        <v>3234</v>
      </c>
      <c r="C3847" s="29" t="s">
        <v>4007</v>
      </c>
      <c r="D3847" s="29" t="s">
        <v>4008</v>
      </c>
      <c r="E3847" s="29" t="s">
        <v>4020</v>
      </c>
      <c r="F3847" s="29" t="s">
        <v>4021</v>
      </c>
      <c r="G3847" s="20" t="str">
        <f t="shared" si="1"/>
        <v>Home &amp; Garden, Lawn &amp; Garden, Gardening, Gardening Tool AccessoriesGardening Tool Handles</v>
      </c>
    </row>
    <row r="3848">
      <c r="A3848" s="29">
        <v>505321.0</v>
      </c>
      <c r="B3848" s="29" t="s">
        <v>3234</v>
      </c>
      <c r="C3848" s="29" t="s">
        <v>4007</v>
      </c>
      <c r="D3848" s="29" t="s">
        <v>4008</v>
      </c>
      <c r="E3848" s="29" t="s">
        <v>4020</v>
      </c>
      <c r="F3848" s="29" t="s">
        <v>4022</v>
      </c>
      <c r="G3848" s="20" t="str">
        <f t="shared" si="1"/>
        <v>Home &amp; Garden, Lawn &amp; Garden, Gardening, Gardening Tool AccessoriesGardening Tool Heads</v>
      </c>
    </row>
    <row r="3849">
      <c r="A3849" s="29">
        <v>4972.0</v>
      </c>
      <c r="B3849" s="29" t="s">
        <v>3234</v>
      </c>
      <c r="C3849" s="29" t="s">
        <v>4007</v>
      </c>
      <c r="D3849" s="29" t="s">
        <v>4008</v>
      </c>
      <c r="E3849" s="29" t="s">
        <v>4020</v>
      </c>
      <c r="F3849" s="29" t="s">
        <v>4023</v>
      </c>
      <c r="G3849" s="20" t="str">
        <f t="shared" si="1"/>
        <v>Home &amp; Garden, Lawn &amp; Garden, Gardening, Gardening Tool AccessoriesWheelbarrow Parts</v>
      </c>
    </row>
    <row r="3850">
      <c r="A3850" s="29">
        <v>3173.0</v>
      </c>
      <c r="B3850" s="29" t="s">
        <v>3234</v>
      </c>
      <c r="C3850" s="29" t="s">
        <v>4007</v>
      </c>
      <c r="D3850" s="29" t="s">
        <v>4008</v>
      </c>
      <c r="E3850" s="29" t="s">
        <v>4024</v>
      </c>
      <c r="F3850" s="62"/>
      <c r="G3850" s="20" t="str">
        <f t="shared" si="1"/>
        <v>Home &amp; Garden, Lawn &amp; Garden, Gardening, Gardening Tools</v>
      </c>
    </row>
    <row r="3851">
      <c r="A3851" s="29">
        <v>7537.0</v>
      </c>
      <c r="B3851" s="29" t="s">
        <v>3234</v>
      </c>
      <c r="C3851" s="29" t="s">
        <v>4007</v>
      </c>
      <c r="D3851" s="29" t="s">
        <v>4008</v>
      </c>
      <c r="E3851" s="29" t="s">
        <v>4024</v>
      </c>
      <c r="F3851" s="29" t="s">
        <v>4025</v>
      </c>
      <c r="G3851" s="20" t="str">
        <f t="shared" si="1"/>
        <v>Home &amp; Garden, Lawn &amp; Garden, Gardening, Gardening ToolsBulb Planting Tools</v>
      </c>
    </row>
    <row r="3852">
      <c r="A3852" s="29">
        <v>4000.0</v>
      </c>
      <c r="B3852" s="29" t="s">
        <v>3234</v>
      </c>
      <c r="C3852" s="29" t="s">
        <v>4007</v>
      </c>
      <c r="D3852" s="29" t="s">
        <v>4008</v>
      </c>
      <c r="E3852" s="29" t="s">
        <v>4024</v>
      </c>
      <c r="F3852" s="29" t="s">
        <v>4026</v>
      </c>
      <c r="G3852" s="20" t="str">
        <f t="shared" si="1"/>
        <v>Home &amp; Garden, Lawn &amp; Garden, Gardening, Gardening ToolsCultivating Tools</v>
      </c>
    </row>
    <row r="3853">
      <c r="A3853" s="29">
        <v>3071.0</v>
      </c>
      <c r="B3853" s="29" t="s">
        <v>3234</v>
      </c>
      <c r="C3853" s="29" t="s">
        <v>4007</v>
      </c>
      <c r="D3853" s="29" t="s">
        <v>4008</v>
      </c>
      <c r="E3853" s="29" t="s">
        <v>4024</v>
      </c>
      <c r="F3853" s="29" t="s">
        <v>4027</v>
      </c>
      <c r="G3853" s="20" t="str">
        <f t="shared" si="1"/>
        <v>Home &amp; Garden, Lawn &amp; Garden, Gardening, Gardening ToolsGardening Forks</v>
      </c>
    </row>
    <row r="3854">
      <c r="A3854" s="29">
        <v>505292.0</v>
      </c>
      <c r="B3854" s="29" t="s">
        <v>3234</v>
      </c>
      <c r="C3854" s="29" t="s">
        <v>4007</v>
      </c>
      <c r="D3854" s="29" t="s">
        <v>4008</v>
      </c>
      <c r="E3854" s="29" t="s">
        <v>4024</v>
      </c>
      <c r="F3854" s="29" t="s">
        <v>4028</v>
      </c>
      <c r="G3854" s="20" t="str">
        <f t="shared" si="1"/>
        <v>Home &amp; Garden, Lawn &amp; Garden, Gardening, Gardening ToolsGardening Sickles &amp; Machetes</v>
      </c>
    </row>
    <row r="3855">
      <c r="A3855" s="29">
        <v>3644.0</v>
      </c>
      <c r="B3855" s="29" t="s">
        <v>3234</v>
      </c>
      <c r="C3855" s="29" t="s">
        <v>4007</v>
      </c>
      <c r="D3855" s="29" t="s">
        <v>4008</v>
      </c>
      <c r="E3855" s="29" t="s">
        <v>4024</v>
      </c>
      <c r="F3855" s="29" t="s">
        <v>4029</v>
      </c>
      <c r="G3855" s="20" t="str">
        <f t="shared" si="1"/>
        <v>Home &amp; Garden, Lawn &amp; Garden, Gardening, Gardening ToolsGardening Trowels</v>
      </c>
    </row>
    <row r="3856">
      <c r="A3856" s="29">
        <v>1967.0</v>
      </c>
      <c r="B3856" s="29" t="s">
        <v>3234</v>
      </c>
      <c r="C3856" s="29" t="s">
        <v>4007</v>
      </c>
      <c r="D3856" s="29" t="s">
        <v>4008</v>
      </c>
      <c r="E3856" s="29" t="s">
        <v>4024</v>
      </c>
      <c r="F3856" s="29" t="s">
        <v>4030</v>
      </c>
      <c r="G3856" s="20" t="str">
        <f t="shared" si="1"/>
        <v>Home &amp; Garden, Lawn &amp; Garden, Gardening, Gardening ToolsLawn &amp; Garden Sprayers</v>
      </c>
    </row>
    <row r="3857">
      <c r="A3857" s="29">
        <v>499922.0</v>
      </c>
      <c r="B3857" s="29" t="s">
        <v>3234</v>
      </c>
      <c r="C3857" s="29" t="s">
        <v>4007</v>
      </c>
      <c r="D3857" s="29" t="s">
        <v>4008</v>
      </c>
      <c r="E3857" s="29" t="s">
        <v>4024</v>
      </c>
      <c r="F3857" s="29" t="s">
        <v>4031</v>
      </c>
      <c r="G3857" s="20" t="str">
        <f t="shared" si="1"/>
        <v>Home &amp; Garden, Lawn &amp; Garden, Gardening, Gardening ToolsLawn Rollers</v>
      </c>
    </row>
    <row r="3858">
      <c r="A3858" s="29">
        <v>6967.0</v>
      </c>
      <c r="B3858" s="29" t="s">
        <v>3234</v>
      </c>
      <c r="C3858" s="29" t="s">
        <v>4007</v>
      </c>
      <c r="D3858" s="29" t="s">
        <v>4008</v>
      </c>
      <c r="E3858" s="29" t="s">
        <v>4024</v>
      </c>
      <c r="F3858" s="29" t="s">
        <v>4032</v>
      </c>
      <c r="G3858" s="20" t="str">
        <f t="shared" si="1"/>
        <v>Home &amp; Garden, Lawn &amp; Garden, Gardening, Gardening ToolsPruning Saws</v>
      </c>
    </row>
    <row r="3859">
      <c r="A3859" s="29">
        <v>3841.0</v>
      </c>
      <c r="B3859" s="29" t="s">
        <v>3234</v>
      </c>
      <c r="C3859" s="29" t="s">
        <v>4007</v>
      </c>
      <c r="D3859" s="29" t="s">
        <v>4008</v>
      </c>
      <c r="E3859" s="29" t="s">
        <v>4024</v>
      </c>
      <c r="F3859" s="29" t="s">
        <v>4033</v>
      </c>
      <c r="G3859" s="20" t="str">
        <f t="shared" si="1"/>
        <v>Home &amp; Garden, Lawn &amp; Garden, Gardening, Gardening ToolsPruning Shears</v>
      </c>
    </row>
    <row r="3860">
      <c r="A3860" s="29">
        <v>3388.0</v>
      </c>
      <c r="B3860" s="29" t="s">
        <v>3234</v>
      </c>
      <c r="C3860" s="29" t="s">
        <v>4007</v>
      </c>
      <c r="D3860" s="29" t="s">
        <v>4008</v>
      </c>
      <c r="E3860" s="29" t="s">
        <v>4024</v>
      </c>
      <c r="F3860" s="29" t="s">
        <v>4034</v>
      </c>
      <c r="G3860" s="20" t="str">
        <f t="shared" si="1"/>
        <v>Home &amp; Garden, Lawn &amp; Garden, Gardening, Gardening ToolsRakes</v>
      </c>
    </row>
    <row r="3861">
      <c r="A3861" s="29">
        <v>2147.0</v>
      </c>
      <c r="B3861" s="29" t="s">
        <v>3234</v>
      </c>
      <c r="C3861" s="29" t="s">
        <v>4007</v>
      </c>
      <c r="D3861" s="29" t="s">
        <v>4008</v>
      </c>
      <c r="E3861" s="29" t="s">
        <v>4024</v>
      </c>
      <c r="F3861" s="29" t="s">
        <v>4035</v>
      </c>
      <c r="G3861" s="20" t="str">
        <f t="shared" si="1"/>
        <v>Home &amp; Garden, Lawn &amp; Garden, Gardening, Gardening ToolsShovels &amp; Spades</v>
      </c>
    </row>
    <row r="3862">
      <c r="A3862" s="29">
        <v>3828.0</v>
      </c>
      <c r="B3862" s="29" t="s">
        <v>3234</v>
      </c>
      <c r="C3862" s="29" t="s">
        <v>4007</v>
      </c>
      <c r="D3862" s="29" t="s">
        <v>4008</v>
      </c>
      <c r="E3862" s="29" t="s">
        <v>4024</v>
      </c>
      <c r="F3862" s="29" t="s">
        <v>4036</v>
      </c>
      <c r="G3862" s="20" t="str">
        <f t="shared" si="1"/>
        <v>Home &amp; Garden, Lawn &amp; Garden, Gardening, Gardening ToolsSpreaders</v>
      </c>
    </row>
    <row r="3863">
      <c r="A3863" s="29">
        <v>3616.0</v>
      </c>
      <c r="B3863" s="29" t="s">
        <v>3234</v>
      </c>
      <c r="C3863" s="29" t="s">
        <v>4007</v>
      </c>
      <c r="D3863" s="29" t="s">
        <v>4008</v>
      </c>
      <c r="E3863" s="29" t="s">
        <v>4024</v>
      </c>
      <c r="F3863" s="29" t="s">
        <v>4037</v>
      </c>
      <c r="G3863" s="20" t="str">
        <f t="shared" si="1"/>
        <v>Home &amp; Garden, Lawn &amp; Garden, Gardening, Gardening ToolsWheelbarrows</v>
      </c>
    </row>
    <row r="3864">
      <c r="A3864" s="29">
        <v>693.0</v>
      </c>
      <c r="B3864" s="29" t="s">
        <v>3234</v>
      </c>
      <c r="C3864" s="29" t="s">
        <v>4007</v>
      </c>
      <c r="D3864" s="29" t="s">
        <v>4008</v>
      </c>
      <c r="E3864" s="29" t="s">
        <v>4038</v>
      </c>
      <c r="F3864" s="62"/>
      <c r="G3864" s="20" t="str">
        <f t="shared" si="1"/>
        <v>Home &amp; Garden, Lawn &amp; Garden, Gardening, Greenhouses</v>
      </c>
    </row>
    <row r="3865">
      <c r="A3865" s="29">
        <v>3103.0</v>
      </c>
      <c r="B3865" s="29" t="s">
        <v>3234</v>
      </c>
      <c r="C3865" s="29" t="s">
        <v>4007</v>
      </c>
      <c r="D3865" s="29" t="s">
        <v>4008</v>
      </c>
      <c r="E3865" s="29" t="s">
        <v>4039</v>
      </c>
      <c r="F3865" s="62"/>
      <c r="G3865" s="20" t="str">
        <f t="shared" si="1"/>
        <v>Home &amp; Garden, Lawn &amp; Garden, Gardening, Herbicides</v>
      </c>
    </row>
    <row r="3866">
      <c r="A3866" s="29">
        <v>6381.0</v>
      </c>
      <c r="B3866" s="29" t="s">
        <v>3234</v>
      </c>
      <c r="C3866" s="29" t="s">
        <v>4007</v>
      </c>
      <c r="D3866" s="29" t="s">
        <v>4008</v>
      </c>
      <c r="E3866" s="29" t="s">
        <v>4040</v>
      </c>
      <c r="F3866" s="62"/>
      <c r="G3866" s="20" t="str">
        <f t="shared" si="1"/>
        <v>Home &amp; Garden, Lawn &amp; Garden, Gardening, Landscape Fabric</v>
      </c>
    </row>
    <row r="3867">
      <c r="A3867" s="29">
        <v>6413.0</v>
      </c>
      <c r="B3867" s="29" t="s">
        <v>3234</v>
      </c>
      <c r="C3867" s="29" t="s">
        <v>4007</v>
      </c>
      <c r="D3867" s="29" t="s">
        <v>4008</v>
      </c>
      <c r="E3867" s="29" t="s">
        <v>4041</v>
      </c>
      <c r="F3867" s="62"/>
      <c r="G3867" s="20" t="str">
        <f t="shared" si="1"/>
        <v>Home &amp; Garden, Lawn &amp; Garden, Gardening, Landscape Fabric Accessories</v>
      </c>
    </row>
    <row r="3868">
      <c r="A3868" s="29">
        <v>6422.0</v>
      </c>
      <c r="B3868" s="29" t="s">
        <v>3234</v>
      </c>
      <c r="C3868" s="29" t="s">
        <v>4007</v>
      </c>
      <c r="D3868" s="29" t="s">
        <v>4008</v>
      </c>
      <c r="E3868" s="29" t="s">
        <v>4041</v>
      </c>
      <c r="F3868" s="29" t="s">
        <v>4042</v>
      </c>
      <c r="G3868" s="20" t="str">
        <f t="shared" si="1"/>
        <v>Home &amp; Garden, Lawn &amp; Garden, Gardening, Landscape Fabric AccessoriesLandscape Fabric Staples &amp; Pins</v>
      </c>
    </row>
    <row r="3869">
      <c r="A3869" s="29">
        <v>6421.0</v>
      </c>
      <c r="B3869" s="29" t="s">
        <v>3234</v>
      </c>
      <c r="C3869" s="29" t="s">
        <v>4007</v>
      </c>
      <c r="D3869" s="29" t="s">
        <v>4008</v>
      </c>
      <c r="E3869" s="29" t="s">
        <v>4041</v>
      </c>
      <c r="F3869" s="29" t="s">
        <v>4043</v>
      </c>
      <c r="G3869" s="20" t="str">
        <f t="shared" si="1"/>
        <v>Home &amp; Garden, Lawn &amp; Garden, Gardening, Landscape Fabric AccessoriesLandscape Fabric Tape</v>
      </c>
    </row>
    <row r="3870">
      <c r="A3870" s="29">
        <v>2988.0</v>
      </c>
      <c r="B3870" s="29" t="s">
        <v>3234</v>
      </c>
      <c r="C3870" s="29" t="s">
        <v>4007</v>
      </c>
      <c r="D3870" s="29" t="s">
        <v>4008</v>
      </c>
      <c r="E3870" s="29" t="s">
        <v>4044</v>
      </c>
      <c r="F3870" s="62"/>
      <c r="G3870" s="20" t="str">
        <f t="shared" si="1"/>
        <v>Home &amp; Garden, Lawn &amp; Garden, Gardening, Mulch</v>
      </c>
    </row>
    <row r="3871">
      <c r="A3871" s="29">
        <v>499894.0</v>
      </c>
      <c r="B3871" s="29" t="s">
        <v>3234</v>
      </c>
      <c r="C3871" s="29" t="s">
        <v>4007</v>
      </c>
      <c r="D3871" s="29" t="s">
        <v>4008</v>
      </c>
      <c r="E3871" s="29" t="s">
        <v>4045</v>
      </c>
      <c r="F3871" s="62"/>
      <c r="G3871" s="20" t="str">
        <f t="shared" si="1"/>
        <v>Home &amp; Garden, Lawn &amp; Garden, Gardening, Plant Cages &amp; Supports</v>
      </c>
    </row>
    <row r="3872">
      <c r="A3872" s="29">
        <v>6428.0</v>
      </c>
      <c r="B3872" s="29" t="s">
        <v>3234</v>
      </c>
      <c r="C3872" s="29" t="s">
        <v>4007</v>
      </c>
      <c r="D3872" s="29" t="s">
        <v>4008</v>
      </c>
      <c r="E3872" s="29" t="s">
        <v>4046</v>
      </c>
      <c r="F3872" s="62"/>
      <c r="G3872" s="20" t="str">
        <f t="shared" si="1"/>
        <v>Home &amp; Garden, Lawn &amp; Garden, Gardening, Plant Stands</v>
      </c>
    </row>
    <row r="3873">
      <c r="A3873" s="29">
        <v>499962.0</v>
      </c>
      <c r="B3873" s="29" t="s">
        <v>3234</v>
      </c>
      <c r="C3873" s="29" t="s">
        <v>4007</v>
      </c>
      <c r="D3873" s="29" t="s">
        <v>4008</v>
      </c>
      <c r="E3873" s="29" t="s">
        <v>4047</v>
      </c>
      <c r="F3873" s="62"/>
      <c r="G3873" s="20" t="str">
        <f t="shared" si="1"/>
        <v>Home &amp; Garden, Lawn &amp; Garden, Gardening, Pot &amp; Planter Liners</v>
      </c>
    </row>
    <row r="3874">
      <c r="A3874" s="29">
        <v>721.0</v>
      </c>
      <c r="B3874" s="29" t="s">
        <v>3234</v>
      </c>
      <c r="C3874" s="29" t="s">
        <v>4007</v>
      </c>
      <c r="D3874" s="29" t="s">
        <v>4008</v>
      </c>
      <c r="E3874" s="29" t="s">
        <v>4048</v>
      </c>
      <c r="F3874" s="62"/>
      <c r="G3874" s="20" t="str">
        <f t="shared" si="1"/>
        <v>Home &amp; Garden, Lawn &amp; Garden, Gardening, Pots &amp; Planters</v>
      </c>
    </row>
    <row r="3875">
      <c r="A3875" s="29">
        <v>6834.0</v>
      </c>
      <c r="B3875" s="29" t="s">
        <v>3234</v>
      </c>
      <c r="C3875" s="29" t="s">
        <v>4007</v>
      </c>
      <c r="D3875" s="29" t="s">
        <v>4008</v>
      </c>
      <c r="E3875" s="29" t="s">
        <v>4049</v>
      </c>
      <c r="F3875" s="62"/>
      <c r="G3875" s="20" t="str">
        <f t="shared" si="1"/>
        <v>Home &amp; Garden, Lawn &amp; Garden, Gardening, Rain Barrels</v>
      </c>
    </row>
    <row r="3876">
      <c r="A3876" s="29">
        <v>1794.0</v>
      </c>
      <c r="B3876" s="29" t="s">
        <v>3234</v>
      </c>
      <c r="C3876" s="29" t="s">
        <v>4007</v>
      </c>
      <c r="D3876" s="29" t="s">
        <v>4008</v>
      </c>
      <c r="E3876" s="29" t="s">
        <v>4050</v>
      </c>
      <c r="F3876" s="62"/>
      <c r="G3876" s="20" t="str">
        <f t="shared" si="1"/>
        <v>Home &amp; Garden, Lawn &amp; Garden, Gardening, Sands &amp; Soils</v>
      </c>
    </row>
    <row r="3877">
      <c r="A3877" s="29">
        <v>543677.0</v>
      </c>
      <c r="B3877" s="29" t="s">
        <v>3234</v>
      </c>
      <c r="C3877" s="29" t="s">
        <v>4007</v>
      </c>
      <c r="D3877" s="29" t="s">
        <v>4008</v>
      </c>
      <c r="E3877" s="29" t="s">
        <v>4050</v>
      </c>
      <c r="F3877" s="29" t="s">
        <v>4051</v>
      </c>
      <c r="G3877" s="20" t="str">
        <f t="shared" si="1"/>
        <v>Home &amp; Garden, Lawn &amp; Garden, Gardening, Sands &amp; SoilsSand</v>
      </c>
    </row>
    <row r="3878">
      <c r="A3878" s="29">
        <v>543678.0</v>
      </c>
      <c r="B3878" s="29" t="s">
        <v>3234</v>
      </c>
      <c r="C3878" s="29" t="s">
        <v>4007</v>
      </c>
      <c r="D3878" s="29" t="s">
        <v>4008</v>
      </c>
      <c r="E3878" s="29" t="s">
        <v>4050</v>
      </c>
      <c r="F3878" s="29" t="s">
        <v>4052</v>
      </c>
      <c r="G3878" s="20" t="str">
        <f t="shared" si="1"/>
        <v>Home &amp; Garden, Lawn &amp; Garden, Gardening, Sands &amp; SoilsSoil</v>
      </c>
    </row>
    <row r="3879">
      <c r="A3879" s="29">
        <v>2918.0</v>
      </c>
      <c r="B3879" s="29" t="s">
        <v>3234</v>
      </c>
      <c r="C3879" s="29" t="s">
        <v>4007</v>
      </c>
      <c r="D3879" s="29" t="s">
        <v>4053</v>
      </c>
      <c r="E3879" s="62"/>
      <c r="F3879" s="62"/>
      <c r="G3879" s="20" t="str">
        <f t="shared" si="1"/>
        <v>Home &amp; Garden, Lawn &amp; Garden, Outdoor Living, </v>
      </c>
    </row>
    <row r="3880">
      <c r="A3880" s="29">
        <v>499908.0</v>
      </c>
      <c r="B3880" s="29" t="s">
        <v>3234</v>
      </c>
      <c r="C3880" s="29" t="s">
        <v>4007</v>
      </c>
      <c r="D3880" s="29" t="s">
        <v>4053</v>
      </c>
      <c r="E3880" s="29" t="s">
        <v>4054</v>
      </c>
      <c r="F3880" s="62"/>
      <c r="G3880" s="20" t="str">
        <f t="shared" si="1"/>
        <v>Home &amp; Garden, Lawn &amp; Garden, Outdoor Living, Awning Accessories</v>
      </c>
    </row>
    <row r="3881">
      <c r="A3881" s="29">
        <v>499907.0</v>
      </c>
      <c r="B3881" s="29" t="s">
        <v>3234</v>
      </c>
      <c r="C3881" s="29" t="s">
        <v>4007</v>
      </c>
      <c r="D3881" s="29" t="s">
        <v>4053</v>
      </c>
      <c r="E3881" s="29" t="s">
        <v>4055</v>
      </c>
      <c r="F3881" s="62"/>
      <c r="G3881" s="20" t="str">
        <f t="shared" si="1"/>
        <v>Home &amp; Garden, Lawn &amp; Garden, Outdoor Living, Awnings</v>
      </c>
    </row>
    <row r="3882">
      <c r="A3882" s="29">
        <v>6737.0</v>
      </c>
      <c r="B3882" s="29" t="s">
        <v>3234</v>
      </c>
      <c r="C3882" s="29" t="s">
        <v>4007</v>
      </c>
      <c r="D3882" s="29" t="s">
        <v>4053</v>
      </c>
      <c r="E3882" s="29" t="s">
        <v>4056</v>
      </c>
      <c r="F3882" s="62"/>
      <c r="G3882" s="20" t="str">
        <f t="shared" si="1"/>
        <v>Home &amp; Garden, Lawn &amp; Garden, Outdoor Living, Hammock Parts &amp; Accessories</v>
      </c>
    </row>
    <row r="3883">
      <c r="A3883" s="29">
        <v>717.0</v>
      </c>
      <c r="B3883" s="29" t="s">
        <v>3234</v>
      </c>
      <c r="C3883" s="29" t="s">
        <v>4007</v>
      </c>
      <c r="D3883" s="29" t="s">
        <v>4053</v>
      </c>
      <c r="E3883" s="29" t="s">
        <v>4057</v>
      </c>
      <c r="F3883" s="62"/>
      <c r="G3883" s="20" t="str">
        <f t="shared" si="1"/>
        <v>Home &amp; Garden, Lawn &amp; Garden, Outdoor Living, Hammocks</v>
      </c>
    </row>
    <row r="3884">
      <c r="A3884" s="29">
        <v>5910.0</v>
      </c>
      <c r="B3884" s="29" t="s">
        <v>3234</v>
      </c>
      <c r="C3884" s="29" t="s">
        <v>4007</v>
      </c>
      <c r="D3884" s="29" t="s">
        <v>4053</v>
      </c>
      <c r="E3884" s="29" t="s">
        <v>4058</v>
      </c>
      <c r="F3884" s="62"/>
      <c r="G3884" s="20" t="str">
        <f t="shared" si="1"/>
        <v>Home &amp; Garden, Lawn &amp; Garden, Outdoor Living, Outdoor Blankets</v>
      </c>
    </row>
    <row r="3885">
      <c r="A3885" s="29">
        <v>5911.0</v>
      </c>
      <c r="B3885" s="29" t="s">
        <v>3234</v>
      </c>
      <c r="C3885" s="29" t="s">
        <v>4007</v>
      </c>
      <c r="D3885" s="29" t="s">
        <v>4053</v>
      </c>
      <c r="E3885" s="29" t="s">
        <v>4058</v>
      </c>
      <c r="F3885" s="29" t="s">
        <v>4059</v>
      </c>
      <c r="G3885" s="20" t="str">
        <f t="shared" si="1"/>
        <v>Home &amp; Garden, Lawn &amp; Garden, Outdoor Living, Outdoor BlanketsBeach Mats</v>
      </c>
    </row>
    <row r="3886">
      <c r="A3886" s="29">
        <v>5913.0</v>
      </c>
      <c r="B3886" s="29" t="s">
        <v>3234</v>
      </c>
      <c r="C3886" s="29" t="s">
        <v>4007</v>
      </c>
      <c r="D3886" s="29" t="s">
        <v>4053</v>
      </c>
      <c r="E3886" s="29" t="s">
        <v>4058</v>
      </c>
      <c r="F3886" s="29" t="s">
        <v>4060</v>
      </c>
      <c r="G3886" s="20" t="str">
        <f t="shared" si="1"/>
        <v>Home &amp; Garden, Lawn &amp; Garden, Outdoor Living, Outdoor BlanketsPicnic Blankets</v>
      </c>
    </row>
    <row r="3887">
      <c r="A3887" s="29">
        <v>5912.0</v>
      </c>
      <c r="B3887" s="29" t="s">
        <v>3234</v>
      </c>
      <c r="C3887" s="29" t="s">
        <v>4007</v>
      </c>
      <c r="D3887" s="29" t="s">
        <v>4053</v>
      </c>
      <c r="E3887" s="29" t="s">
        <v>4058</v>
      </c>
      <c r="F3887" s="29" t="s">
        <v>4061</v>
      </c>
      <c r="G3887" s="20" t="str">
        <f t="shared" si="1"/>
        <v>Home &amp; Garden, Lawn &amp; Garden, Outdoor Living, Outdoor BlanketsPoncho Liners</v>
      </c>
    </row>
    <row r="3888">
      <c r="A3888" s="29">
        <v>2613.0</v>
      </c>
      <c r="B3888" s="29" t="s">
        <v>3234</v>
      </c>
      <c r="C3888" s="29" t="s">
        <v>4007</v>
      </c>
      <c r="D3888" s="29" t="s">
        <v>4053</v>
      </c>
      <c r="E3888" s="29" t="s">
        <v>4062</v>
      </c>
      <c r="F3888" s="62"/>
      <c r="G3888" s="20" t="str">
        <f t="shared" si="1"/>
        <v>Home &amp; Garden, Lawn &amp; Garden, Outdoor Living, Outdoor Structures</v>
      </c>
    </row>
    <row r="3889">
      <c r="A3889" s="29">
        <v>716.0</v>
      </c>
      <c r="B3889" s="29" t="s">
        <v>3234</v>
      </c>
      <c r="C3889" s="29" t="s">
        <v>4007</v>
      </c>
      <c r="D3889" s="29" t="s">
        <v>4053</v>
      </c>
      <c r="E3889" s="29" t="s">
        <v>4062</v>
      </c>
      <c r="F3889" s="29" t="s">
        <v>4063</v>
      </c>
      <c r="G3889" s="20" t="str">
        <f t="shared" si="1"/>
        <v>Home &amp; Garden, Lawn &amp; Garden, Outdoor Living, Outdoor StructuresCanopies &amp; Gazebos</v>
      </c>
    </row>
    <row r="3890">
      <c r="A3890" s="29">
        <v>6105.0</v>
      </c>
      <c r="B3890" s="29" t="s">
        <v>3234</v>
      </c>
      <c r="C3890" s="29" t="s">
        <v>4007</v>
      </c>
      <c r="D3890" s="29" t="s">
        <v>4053</v>
      </c>
      <c r="E3890" s="29" t="s">
        <v>4062</v>
      </c>
      <c r="F3890" s="29" t="s">
        <v>4064</v>
      </c>
      <c r="G3890" s="20" t="str">
        <f t="shared" si="1"/>
        <v>Home &amp; Garden, Lawn &amp; Garden, Outdoor Living, Outdoor StructuresCanopy &amp; Gazebo Accessories</v>
      </c>
    </row>
    <row r="3891">
      <c r="A3891" s="29">
        <v>6107.0</v>
      </c>
      <c r="B3891" s="29" t="s">
        <v>3234</v>
      </c>
      <c r="C3891" s="29" t="s">
        <v>4007</v>
      </c>
      <c r="D3891" s="29" t="s">
        <v>4053</v>
      </c>
      <c r="E3891" s="29" t="s">
        <v>4062</v>
      </c>
      <c r="F3891" s="29" t="s">
        <v>4064</v>
      </c>
      <c r="G3891" s="20" t="str">
        <f t="shared" si="1"/>
        <v>Home &amp; Garden, Lawn &amp; Garden, Outdoor Living, Outdoor StructuresCanopy &amp; Gazebo Accessories</v>
      </c>
    </row>
    <row r="3892">
      <c r="A3892" s="29">
        <v>6106.0</v>
      </c>
      <c r="B3892" s="29" t="s">
        <v>3234</v>
      </c>
      <c r="C3892" s="29" t="s">
        <v>4007</v>
      </c>
      <c r="D3892" s="29" t="s">
        <v>4053</v>
      </c>
      <c r="E3892" s="29" t="s">
        <v>4062</v>
      </c>
      <c r="F3892" s="29" t="s">
        <v>4064</v>
      </c>
      <c r="G3892" s="20" t="str">
        <f t="shared" si="1"/>
        <v>Home &amp; Garden, Lawn &amp; Garden, Outdoor Living, Outdoor StructuresCanopy &amp; Gazebo Accessories</v>
      </c>
    </row>
    <row r="3893">
      <c r="A3893" s="29">
        <v>6108.0</v>
      </c>
      <c r="B3893" s="29" t="s">
        <v>3234</v>
      </c>
      <c r="C3893" s="29" t="s">
        <v>4007</v>
      </c>
      <c r="D3893" s="29" t="s">
        <v>4053</v>
      </c>
      <c r="E3893" s="29" t="s">
        <v>4062</v>
      </c>
      <c r="F3893" s="29" t="s">
        <v>4064</v>
      </c>
      <c r="G3893" s="20" t="str">
        <f t="shared" si="1"/>
        <v>Home &amp; Garden, Lawn &amp; Garden, Outdoor Living, Outdoor StructuresCanopy &amp; Gazebo Accessories</v>
      </c>
    </row>
    <row r="3894">
      <c r="A3894" s="29">
        <v>7423.0</v>
      </c>
      <c r="B3894" s="29" t="s">
        <v>3234</v>
      </c>
      <c r="C3894" s="29" t="s">
        <v>4007</v>
      </c>
      <c r="D3894" s="29" t="s">
        <v>4053</v>
      </c>
      <c r="E3894" s="29" t="s">
        <v>4062</v>
      </c>
      <c r="F3894" s="29" t="s">
        <v>4064</v>
      </c>
      <c r="G3894" s="20" t="str">
        <f t="shared" si="1"/>
        <v>Home &amp; Garden, Lawn &amp; Garden, Outdoor Living, Outdoor StructuresCanopy &amp; Gazebo Accessories</v>
      </c>
    </row>
    <row r="3895">
      <c r="A3895" s="29">
        <v>7424.0</v>
      </c>
      <c r="B3895" s="29" t="s">
        <v>3234</v>
      </c>
      <c r="C3895" s="29" t="s">
        <v>4007</v>
      </c>
      <c r="D3895" s="29" t="s">
        <v>4053</v>
      </c>
      <c r="E3895" s="29" t="s">
        <v>4062</v>
      </c>
      <c r="F3895" s="29" t="s">
        <v>4064</v>
      </c>
      <c r="G3895" s="20" t="str">
        <f t="shared" si="1"/>
        <v>Home &amp; Garden, Lawn &amp; Garden, Outdoor Living, Outdoor StructuresCanopy &amp; Gazebo Accessories</v>
      </c>
    </row>
    <row r="3896">
      <c r="A3896" s="29">
        <v>703.0</v>
      </c>
      <c r="B3896" s="29" t="s">
        <v>3234</v>
      </c>
      <c r="C3896" s="29" t="s">
        <v>4007</v>
      </c>
      <c r="D3896" s="29" t="s">
        <v>4053</v>
      </c>
      <c r="E3896" s="29" t="s">
        <v>4062</v>
      </c>
      <c r="F3896" s="29" t="s">
        <v>4065</v>
      </c>
      <c r="G3896" s="20" t="str">
        <f t="shared" si="1"/>
        <v>Home &amp; Garden, Lawn &amp; Garden, Outdoor Living, Outdoor StructuresGarden Arches, Trellises, Arbors &amp; Pergolas</v>
      </c>
    </row>
    <row r="3897">
      <c r="A3897" s="29">
        <v>700.0</v>
      </c>
      <c r="B3897" s="29" t="s">
        <v>3234</v>
      </c>
      <c r="C3897" s="29" t="s">
        <v>4007</v>
      </c>
      <c r="D3897" s="29" t="s">
        <v>4053</v>
      </c>
      <c r="E3897" s="29" t="s">
        <v>4062</v>
      </c>
      <c r="F3897" s="29" t="s">
        <v>4066</v>
      </c>
      <c r="G3897" s="20" t="str">
        <f t="shared" si="1"/>
        <v>Home &amp; Garden, Lawn &amp; Garden, Outdoor Living, Outdoor StructuresGarden Bridges</v>
      </c>
    </row>
    <row r="3898">
      <c r="A3898" s="29">
        <v>720.0</v>
      </c>
      <c r="B3898" s="29" t="s">
        <v>3234</v>
      </c>
      <c r="C3898" s="29" t="s">
        <v>4007</v>
      </c>
      <c r="D3898" s="29" t="s">
        <v>4053</v>
      </c>
      <c r="E3898" s="29" t="s">
        <v>4062</v>
      </c>
      <c r="F3898" s="29" t="s">
        <v>4067</v>
      </c>
      <c r="G3898" s="20" t="str">
        <f t="shared" si="1"/>
        <v>Home &amp; Garden, Lawn &amp; Garden, Outdoor Living, Outdoor StructuresSheds, Garages &amp; Carports</v>
      </c>
    </row>
    <row r="3899">
      <c r="A3899" s="29">
        <v>6751.0</v>
      </c>
      <c r="B3899" s="29" t="s">
        <v>3234</v>
      </c>
      <c r="C3899" s="29" t="s">
        <v>4007</v>
      </c>
      <c r="D3899" s="29" t="s">
        <v>4053</v>
      </c>
      <c r="E3899" s="29" t="s">
        <v>4068</v>
      </c>
      <c r="G3899" s="20" t="str">
        <f t="shared" si="1"/>
        <v>Home &amp; Garden, Lawn &amp; Garden, Outdoor Living, Outdoor Umbrella &amp; Sunshade Accessories</v>
      </c>
    </row>
    <row r="3900">
      <c r="A3900" s="29">
        <v>7108.0</v>
      </c>
      <c r="B3900" s="29" t="s">
        <v>3234</v>
      </c>
      <c r="C3900" s="29" t="s">
        <v>4007</v>
      </c>
      <c r="D3900" s="29" t="s">
        <v>4053</v>
      </c>
      <c r="E3900" s="29" t="s">
        <v>4068</v>
      </c>
      <c r="F3900" s="29" t="s">
        <v>4069</v>
      </c>
      <c r="G3900" s="20" t="str">
        <f t="shared" si="1"/>
        <v>Home &amp; Garden, Lawn &amp; Garden, Outdoor Living, Outdoor Umbrella &amp; Sunshade AccessoriesOutdoor Umbrella &amp; Sunshade Fabric</v>
      </c>
    </row>
    <row r="3901">
      <c r="A3901" s="29">
        <v>5493.0</v>
      </c>
      <c r="B3901" s="29" t="s">
        <v>3234</v>
      </c>
      <c r="C3901" s="29" t="s">
        <v>4007</v>
      </c>
      <c r="D3901" s="29" t="s">
        <v>4053</v>
      </c>
      <c r="E3901" s="29" t="s">
        <v>4068</v>
      </c>
      <c r="F3901" s="29" t="s">
        <v>4070</v>
      </c>
      <c r="G3901" s="20" t="str">
        <f t="shared" si="1"/>
        <v>Home &amp; Garden, Lawn &amp; Garden, Outdoor Living, Outdoor Umbrella &amp; Sunshade AccessoriesOutdoor Umbrella Bases</v>
      </c>
    </row>
    <row r="3902">
      <c r="A3902" s="29">
        <v>7107.0</v>
      </c>
      <c r="B3902" s="29" t="s">
        <v>3234</v>
      </c>
      <c r="C3902" s="29" t="s">
        <v>4007</v>
      </c>
      <c r="D3902" s="29" t="s">
        <v>4053</v>
      </c>
      <c r="E3902" s="29" t="s">
        <v>4068</v>
      </c>
      <c r="F3902" s="29" t="s">
        <v>4071</v>
      </c>
      <c r="G3902" s="20" t="str">
        <f t="shared" si="1"/>
        <v>Home &amp; Garden, Lawn &amp; Garden, Outdoor Living, Outdoor Umbrella &amp; Sunshade AccessoriesOutdoor Umbrella Covers</v>
      </c>
    </row>
    <row r="3903">
      <c r="A3903" s="29">
        <v>499948.0</v>
      </c>
      <c r="B3903" s="29" t="s">
        <v>3234</v>
      </c>
      <c r="C3903" s="29" t="s">
        <v>4007</v>
      </c>
      <c r="D3903" s="29" t="s">
        <v>4053</v>
      </c>
      <c r="E3903" s="29" t="s">
        <v>4068</v>
      </c>
      <c r="F3903" s="29" t="s">
        <v>4072</v>
      </c>
      <c r="G3903" s="20" t="str">
        <f t="shared" si="1"/>
        <v>Home &amp; Garden, Lawn &amp; Garden, Outdoor Living, Outdoor Umbrella &amp; Sunshade AccessoriesOutdoor Umbrella Enclosure Kits</v>
      </c>
    </row>
    <row r="3904">
      <c r="A3904" s="29">
        <v>8020.0</v>
      </c>
      <c r="B3904" s="29" t="s">
        <v>3234</v>
      </c>
      <c r="C3904" s="29" t="s">
        <v>4007</v>
      </c>
      <c r="D3904" s="29" t="s">
        <v>4053</v>
      </c>
      <c r="E3904" s="29" t="s">
        <v>4068</v>
      </c>
      <c r="F3904" s="29" t="s">
        <v>4073</v>
      </c>
      <c r="G3904" s="20" t="str">
        <f t="shared" si="1"/>
        <v>Home &amp; Garden, Lawn &amp; Garden, Outdoor Living, Outdoor Umbrella &amp; Sunshade AccessoriesOutdoor Umbrella Lights</v>
      </c>
    </row>
    <row r="3905">
      <c r="A3905" s="29">
        <v>719.0</v>
      </c>
      <c r="B3905" s="29" t="s">
        <v>3234</v>
      </c>
      <c r="C3905" s="29" t="s">
        <v>4007</v>
      </c>
      <c r="D3905" s="29" t="s">
        <v>4053</v>
      </c>
      <c r="E3905" s="29" t="s">
        <v>4074</v>
      </c>
      <c r="F3905" s="62"/>
      <c r="G3905" s="20" t="str">
        <f t="shared" si="1"/>
        <v>Home &amp; Garden, Lawn &amp; Garden, Outdoor Living, Outdoor Umbrellas &amp; Sunshades</v>
      </c>
    </row>
    <row r="3906">
      <c r="A3906" s="29">
        <v>499955.0</v>
      </c>
      <c r="B3906" s="29" t="s">
        <v>3234</v>
      </c>
      <c r="C3906" s="29" t="s">
        <v>4007</v>
      </c>
      <c r="D3906" s="29" t="s">
        <v>4053</v>
      </c>
      <c r="E3906" s="29" t="s">
        <v>4075</v>
      </c>
      <c r="F3906" s="62"/>
      <c r="G3906" s="20" t="str">
        <f t="shared" si="1"/>
        <v>Home &amp; Garden, Lawn &amp; Garden, Outdoor Living, Porch Swing Accessories</v>
      </c>
    </row>
    <row r="3907">
      <c r="A3907" s="29">
        <v>718.0</v>
      </c>
      <c r="B3907" s="29" t="s">
        <v>3234</v>
      </c>
      <c r="C3907" s="29" t="s">
        <v>4007</v>
      </c>
      <c r="D3907" s="29" t="s">
        <v>4053</v>
      </c>
      <c r="E3907" s="29" t="s">
        <v>4076</v>
      </c>
      <c r="F3907" s="62"/>
      <c r="G3907" s="20" t="str">
        <f t="shared" si="1"/>
        <v>Home &amp; Garden, Lawn &amp; Garden, Outdoor Living, Porch Swings</v>
      </c>
    </row>
    <row r="3908">
      <c r="A3908" s="29">
        <v>3798.0</v>
      </c>
      <c r="B3908" s="29" t="s">
        <v>3234</v>
      </c>
      <c r="C3908" s="29" t="s">
        <v>4007</v>
      </c>
      <c r="D3908" s="29" t="s">
        <v>4077</v>
      </c>
      <c r="F3908" s="62"/>
      <c r="G3908" s="20" t="str">
        <f t="shared" si="1"/>
        <v>Home &amp; Garden, Lawn &amp; Garden, Outdoor Power Equipment, </v>
      </c>
    </row>
    <row r="3909">
      <c r="A3909" s="29">
        <v>3610.0</v>
      </c>
      <c r="B3909" s="29" t="s">
        <v>3234</v>
      </c>
      <c r="C3909" s="29" t="s">
        <v>4007</v>
      </c>
      <c r="D3909" s="29" t="s">
        <v>4077</v>
      </c>
      <c r="E3909" s="29" t="s">
        <v>4078</v>
      </c>
      <c r="F3909" s="62"/>
      <c r="G3909" s="20" t="str">
        <f t="shared" si="1"/>
        <v>Home &amp; Garden, Lawn &amp; Garden, Outdoor Power Equipment, Chainsaws</v>
      </c>
    </row>
    <row r="3910">
      <c r="A3910" s="29">
        <v>2218.0</v>
      </c>
      <c r="B3910" s="29" t="s">
        <v>3234</v>
      </c>
      <c r="C3910" s="29" t="s">
        <v>4007</v>
      </c>
      <c r="D3910" s="29" t="s">
        <v>4077</v>
      </c>
      <c r="E3910" s="29" t="s">
        <v>4079</v>
      </c>
      <c r="F3910" s="62"/>
      <c r="G3910" s="20" t="str">
        <f t="shared" si="1"/>
        <v>Home &amp; Garden, Lawn &amp; Garden, Outdoor Power Equipment, Grass Edgers</v>
      </c>
    </row>
    <row r="3911">
      <c r="A3911" s="29">
        <v>3120.0</v>
      </c>
      <c r="B3911" s="29" t="s">
        <v>3234</v>
      </c>
      <c r="C3911" s="29" t="s">
        <v>4007</v>
      </c>
      <c r="D3911" s="29" t="s">
        <v>4077</v>
      </c>
      <c r="E3911" s="29" t="s">
        <v>4080</v>
      </c>
      <c r="F3911" s="62"/>
      <c r="G3911" s="20" t="str">
        <f t="shared" si="1"/>
        <v>Home &amp; Garden, Lawn &amp; Garden, Outdoor Power Equipment, Hedge Trimmers</v>
      </c>
    </row>
    <row r="3912">
      <c r="A3912" s="29">
        <v>500034.0</v>
      </c>
      <c r="B3912" s="29" t="s">
        <v>3234</v>
      </c>
      <c r="C3912" s="29" t="s">
        <v>4007</v>
      </c>
      <c r="D3912" s="29" t="s">
        <v>4077</v>
      </c>
      <c r="E3912" s="29" t="s">
        <v>4081</v>
      </c>
      <c r="F3912" s="62"/>
      <c r="G3912" s="20" t="str">
        <f t="shared" si="1"/>
        <v>Home &amp; Garden, Lawn &amp; Garden, Outdoor Power Equipment, Lawn Aerators &amp; Dethatchers</v>
      </c>
    </row>
    <row r="3913">
      <c r="A3913" s="29">
        <v>694.0</v>
      </c>
      <c r="B3913" s="29" t="s">
        <v>3234</v>
      </c>
      <c r="C3913" s="29" t="s">
        <v>4007</v>
      </c>
      <c r="D3913" s="29" t="s">
        <v>4077</v>
      </c>
      <c r="E3913" s="29" t="s">
        <v>4082</v>
      </c>
      <c r="F3913" s="62"/>
      <c r="G3913" s="20" t="str">
        <f t="shared" si="1"/>
        <v>Home &amp; Garden, Lawn &amp; Garden, Outdoor Power Equipment, Lawn Mowers</v>
      </c>
    </row>
    <row r="3914">
      <c r="A3914" s="29">
        <v>3311.0</v>
      </c>
      <c r="B3914" s="29" t="s">
        <v>3234</v>
      </c>
      <c r="C3914" s="29" t="s">
        <v>4007</v>
      </c>
      <c r="D3914" s="29" t="s">
        <v>4077</v>
      </c>
      <c r="E3914" s="29" t="s">
        <v>4082</v>
      </c>
      <c r="F3914" s="29" t="s">
        <v>4083</v>
      </c>
      <c r="G3914" s="20" t="str">
        <f t="shared" si="1"/>
        <v>Home &amp; Garden, Lawn &amp; Garden, Outdoor Power Equipment, Lawn MowersRiding Mowers</v>
      </c>
    </row>
    <row r="3915">
      <c r="A3915" s="29">
        <v>6788.0</v>
      </c>
      <c r="B3915" s="29" t="s">
        <v>3234</v>
      </c>
      <c r="C3915" s="29" t="s">
        <v>4007</v>
      </c>
      <c r="D3915" s="29" t="s">
        <v>4077</v>
      </c>
      <c r="E3915" s="29" t="s">
        <v>4082</v>
      </c>
      <c r="F3915" s="29" t="s">
        <v>4084</v>
      </c>
      <c r="G3915" s="20" t="str">
        <f t="shared" si="1"/>
        <v>Home &amp; Garden, Lawn &amp; Garden, Outdoor Power Equipment, Lawn MowersRobotic Mowers</v>
      </c>
    </row>
    <row r="3916">
      <c r="A3916" s="29">
        <v>6258.0</v>
      </c>
      <c r="B3916" s="29" t="s">
        <v>3234</v>
      </c>
      <c r="C3916" s="29" t="s">
        <v>4007</v>
      </c>
      <c r="D3916" s="29" t="s">
        <v>4077</v>
      </c>
      <c r="E3916" s="29" t="s">
        <v>4082</v>
      </c>
      <c r="F3916" s="29" t="s">
        <v>4085</v>
      </c>
      <c r="G3916" s="20" t="str">
        <f t="shared" si="1"/>
        <v>Home &amp; Garden, Lawn &amp; Garden, Outdoor Power Equipment, Lawn MowersTow-Behind Mowers</v>
      </c>
    </row>
    <row r="3917">
      <c r="A3917" s="29">
        <v>3730.0</v>
      </c>
      <c r="B3917" s="29" t="s">
        <v>3234</v>
      </c>
      <c r="C3917" s="29" t="s">
        <v>4007</v>
      </c>
      <c r="D3917" s="29" t="s">
        <v>4077</v>
      </c>
      <c r="E3917" s="29" t="s">
        <v>4082</v>
      </c>
      <c r="F3917" s="29" t="s">
        <v>4086</v>
      </c>
      <c r="G3917" s="20" t="str">
        <f t="shared" si="1"/>
        <v>Home &amp; Garden, Lawn &amp; Garden, Outdoor Power Equipment, Lawn MowersWalk-Behind Mowers</v>
      </c>
    </row>
    <row r="3918">
      <c r="A3918" s="29">
        <v>6789.0</v>
      </c>
      <c r="B3918" s="29" t="s">
        <v>3234</v>
      </c>
      <c r="C3918" s="29" t="s">
        <v>4007</v>
      </c>
      <c r="D3918" s="29" t="s">
        <v>4077</v>
      </c>
      <c r="E3918" s="29" t="s">
        <v>4087</v>
      </c>
      <c r="F3918" s="62"/>
      <c r="G3918" s="20" t="str">
        <f t="shared" si="1"/>
        <v>Home &amp; Garden, Lawn &amp; Garden, Outdoor Power Equipment, Lawn Vacuums</v>
      </c>
    </row>
    <row r="3919">
      <c r="A3919" s="29">
        <v>3340.0</v>
      </c>
      <c r="B3919" s="29" t="s">
        <v>3234</v>
      </c>
      <c r="C3919" s="29" t="s">
        <v>4007</v>
      </c>
      <c r="D3919" s="29" t="s">
        <v>4077</v>
      </c>
      <c r="E3919" s="29" t="s">
        <v>4088</v>
      </c>
      <c r="F3919" s="62"/>
      <c r="G3919" s="20" t="str">
        <f t="shared" si="1"/>
        <v>Home &amp; Garden, Lawn &amp; Garden, Outdoor Power Equipment, Leaf Blowers</v>
      </c>
    </row>
    <row r="3920">
      <c r="A3920" s="29">
        <v>7332.0</v>
      </c>
      <c r="B3920" s="29" t="s">
        <v>3234</v>
      </c>
      <c r="C3920" s="29" t="s">
        <v>4007</v>
      </c>
      <c r="D3920" s="29" t="s">
        <v>4077</v>
      </c>
      <c r="E3920" s="29" t="s">
        <v>4089</v>
      </c>
      <c r="G3920" s="20" t="str">
        <f t="shared" si="1"/>
        <v>Home &amp; Garden, Lawn &amp; Garden, Outdoor Power Equipment, Outdoor Power Equipment Base Units</v>
      </c>
    </row>
    <row r="3921">
      <c r="A3921" s="29">
        <v>7245.0</v>
      </c>
      <c r="B3921" s="29" t="s">
        <v>3234</v>
      </c>
      <c r="C3921" s="29" t="s">
        <v>4007</v>
      </c>
      <c r="D3921" s="29" t="s">
        <v>4077</v>
      </c>
      <c r="E3921" s="29" t="s">
        <v>4090</v>
      </c>
      <c r="F3921" s="62"/>
      <c r="G3921" s="20" t="str">
        <f t="shared" si="1"/>
        <v>Home &amp; Garden, Lawn &amp; Garden, Outdoor Power Equipment, Outdoor Power Equipment Sets</v>
      </c>
    </row>
    <row r="3922">
      <c r="A3922" s="29">
        <v>500016.0</v>
      </c>
      <c r="B3922" s="29" t="s">
        <v>3234</v>
      </c>
      <c r="C3922" s="29" t="s">
        <v>4007</v>
      </c>
      <c r="D3922" s="29" t="s">
        <v>4077</v>
      </c>
      <c r="E3922" s="29" t="s">
        <v>4091</v>
      </c>
      <c r="F3922" s="62"/>
      <c r="G3922" s="20" t="str">
        <f t="shared" si="1"/>
        <v>Home &amp; Garden, Lawn &amp; Garden, Outdoor Power Equipment, Power Sweepers</v>
      </c>
    </row>
    <row r="3923">
      <c r="A3923" s="29">
        <v>2204.0</v>
      </c>
      <c r="B3923" s="29" t="s">
        <v>3234</v>
      </c>
      <c r="C3923" s="29" t="s">
        <v>4007</v>
      </c>
      <c r="D3923" s="29" t="s">
        <v>4077</v>
      </c>
      <c r="E3923" s="29" t="s">
        <v>4092</v>
      </c>
      <c r="F3923" s="62"/>
      <c r="G3923" s="20" t="str">
        <f t="shared" si="1"/>
        <v>Home &amp; Garden, Lawn &amp; Garden, Outdoor Power Equipment, Power Tillers &amp; Cultivators</v>
      </c>
    </row>
    <row r="3924">
      <c r="A3924" s="29">
        <v>1226.0</v>
      </c>
      <c r="B3924" s="29" t="s">
        <v>3234</v>
      </c>
      <c r="C3924" s="29" t="s">
        <v>4007</v>
      </c>
      <c r="D3924" s="29" t="s">
        <v>4077</v>
      </c>
      <c r="E3924" s="29" t="s">
        <v>4093</v>
      </c>
      <c r="F3924" s="62"/>
      <c r="G3924" s="20" t="str">
        <f t="shared" si="1"/>
        <v>Home &amp; Garden, Lawn &amp; Garden, Outdoor Power Equipment, Pressure Washers</v>
      </c>
    </row>
    <row r="3925">
      <c r="A3925" s="29">
        <v>1541.0</v>
      </c>
      <c r="B3925" s="29" t="s">
        <v>3234</v>
      </c>
      <c r="C3925" s="29" t="s">
        <v>4007</v>
      </c>
      <c r="D3925" s="29" t="s">
        <v>4077</v>
      </c>
      <c r="E3925" s="29" t="s">
        <v>4094</v>
      </c>
      <c r="F3925" s="62"/>
      <c r="G3925" s="20" t="str">
        <f t="shared" si="1"/>
        <v>Home &amp; Garden, Lawn &amp; Garden, Outdoor Power Equipment, Snow Blowers</v>
      </c>
    </row>
    <row r="3926">
      <c r="A3926" s="29">
        <v>5866.0</v>
      </c>
      <c r="B3926" s="29" t="s">
        <v>3234</v>
      </c>
      <c r="C3926" s="29" t="s">
        <v>4007</v>
      </c>
      <c r="D3926" s="29" t="s">
        <v>4077</v>
      </c>
      <c r="E3926" s="29" t="s">
        <v>4095</v>
      </c>
      <c r="F3926" s="62"/>
      <c r="G3926" s="20" t="str">
        <f t="shared" si="1"/>
        <v>Home &amp; Garden, Lawn &amp; Garden, Outdoor Power Equipment, Tractors</v>
      </c>
    </row>
    <row r="3927">
      <c r="A3927" s="29">
        <v>1223.0</v>
      </c>
      <c r="B3927" s="29" t="s">
        <v>3234</v>
      </c>
      <c r="C3927" s="29" t="s">
        <v>4007</v>
      </c>
      <c r="D3927" s="29" t="s">
        <v>4077</v>
      </c>
      <c r="E3927" s="29" t="s">
        <v>4096</v>
      </c>
      <c r="F3927" s="62"/>
      <c r="G3927" s="20" t="str">
        <f t="shared" si="1"/>
        <v>Home &amp; Garden, Lawn &amp; Garden, Outdoor Power Equipment, Weed Trimmers</v>
      </c>
    </row>
    <row r="3928">
      <c r="A3928" s="29">
        <v>4564.0</v>
      </c>
      <c r="B3928" s="29" t="s">
        <v>3234</v>
      </c>
      <c r="C3928" s="29" t="s">
        <v>4007</v>
      </c>
      <c r="D3928" s="29" t="s">
        <v>4097</v>
      </c>
      <c r="F3928" s="62"/>
      <c r="G3928" s="20" t="str">
        <f t="shared" si="1"/>
        <v>Home &amp; Garden, Lawn &amp; Garden, Outdoor Power Equipment Accessories, </v>
      </c>
    </row>
    <row r="3929">
      <c r="A3929" s="29">
        <v>4565.0</v>
      </c>
      <c r="B3929" s="29" t="s">
        <v>3234</v>
      </c>
      <c r="C3929" s="29" t="s">
        <v>4007</v>
      </c>
      <c r="D3929" s="29" t="s">
        <v>4097</v>
      </c>
      <c r="E3929" s="29" t="s">
        <v>4098</v>
      </c>
      <c r="F3929" s="62"/>
      <c r="G3929" s="20" t="str">
        <f t="shared" si="1"/>
        <v>Home &amp; Garden, Lawn &amp; Garden, Outdoor Power Equipment Accessories, Chainsaw Accessories</v>
      </c>
    </row>
    <row r="3930">
      <c r="A3930" s="29">
        <v>4647.0</v>
      </c>
      <c r="B3930" s="29" t="s">
        <v>3234</v>
      </c>
      <c r="C3930" s="29" t="s">
        <v>4007</v>
      </c>
      <c r="D3930" s="29" t="s">
        <v>4097</v>
      </c>
      <c r="E3930" s="29" t="s">
        <v>4098</v>
      </c>
      <c r="F3930" s="29" t="s">
        <v>4099</v>
      </c>
      <c r="G3930" s="20" t="str">
        <f t="shared" si="1"/>
        <v>Home &amp; Garden, Lawn &amp; Garden, Outdoor Power Equipment Accessories, Chainsaw AccessoriesChainsaw Bars</v>
      </c>
    </row>
    <row r="3931">
      <c r="A3931" s="29">
        <v>4646.0</v>
      </c>
      <c r="B3931" s="29" t="s">
        <v>3234</v>
      </c>
      <c r="C3931" s="29" t="s">
        <v>4007</v>
      </c>
      <c r="D3931" s="29" t="s">
        <v>4097</v>
      </c>
      <c r="E3931" s="29" t="s">
        <v>4098</v>
      </c>
      <c r="F3931" s="29" t="s">
        <v>4100</v>
      </c>
      <c r="G3931" s="20" t="str">
        <f t="shared" si="1"/>
        <v>Home &amp; Garden, Lawn &amp; Garden, Outdoor Power Equipment Accessories, Chainsaw AccessoriesChainsaw Chains</v>
      </c>
    </row>
    <row r="3932">
      <c r="A3932" s="29">
        <v>7563.0</v>
      </c>
      <c r="B3932" s="29" t="s">
        <v>3234</v>
      </c>
      <c r="C3932" s="29" t="s">
        <v>4007</v>
      </c>
      <c r="D3932" s="29" t="s">
        <v>4097</v>
      </c>
      <c r="E3932" s="29" t="s">
        <v>4101</v>
      </c>
      <c r="F3932" s="62"/>
      <c r="G3932" s="20" t="str">
        <f t="shared" si="1"/>
        <v>Home &amp; Garden, Lawn &amp; Garden, Outdoor Power Equipment Accessories, Grass Edger Accessories</v>
      </c>
    </row>
    <row r="3933">
      <c r="A3933" s="29">
        <v>7265.0</v>
      </c>
      <c r="B3933" s="29" t="s">
        <v>3234</v>
      </c>
      <c r="C3933" s="29" t="s">
        <v>4007</v>
      </c>
      <c r="D3933" s="29" t="s">
        <v>4097</v>
      </c>
      <c r="E3933" s="29" t="s">
        <v>4102</v>
      </c>
      <c r="F3933" s="62"/>
      <c r="G3933" s="20" t="str">
        <f t="shared" si="1"/>
        <v>Home &amp; Garden, Lawn &amp; Garden, Outdoor Power Equipment Accessories, Hedge Trimmer Accessories</v>
      </c>
    </row>
    <row r="3934">
      <c r="A3934" s="29">
        <v>4566.0</v>
      </c>
      <c r="B3934" s="29" t="s">
        <v>3234</v>
      </c>
      <c r="C3934" s="29" t="s">
        <v>4007</v>
      </c>
      <c r="D3934" s="29" t="s">
        <v>4097</v>
      </c>
      <c r="E3934" s="29" t="s">
        <v>4103</v>
      </c>
      <c r="F3934" s="62"/>
      <c r="G3934" s="20" t="str">
        <f t="shared" si="1"/>
        <v>Home &amp; Garden, Lawn &amp; Garden, Outdoor Power Equipment Accessories, Lawn Mower Accessories</v>
      </c>
    </row>
    <row r="3935">
      <c r="A3935" s="29">
        <v>6542.0</v>
      </c>
      <c r="B3935" s="29" t="s">
        <v>3234</v>
      </c>
      <c r="C3935" s="29" t="s">
        <v>4007</v>
      </c>
      <c r="D3935" s="29" t="s">
        <v>4097</v>
      </c>
      <c r="E3935" s="29" t="s">
        <v>4103</v>
      </c>
      <c r="F3935" s="29" t="s">
        <v>4104</v>
      </c>
      <c r="G3935" s="20" t="str">
        <f t="shared" si="1"/>
        <v>Home &amp; Garden, Lawn &amp; Garden, Outdoor Power Equipment Accessories, Lawn Mower AccessoriesBrush Mower Attachments</v>
      </c>
    </row>
    <row r="3936">
      <c r="A3936" s="29">
        <v>4645.0</v>
      </c>
      <c r="B3936" s="29" t="s">
        <v>3234</v>
      </c>
      <c r="C3936" s="29" t="s">
        <v>4007</v>
      </c>
      <c r="D3936" s="29" t="s">
        <v>4097</v>
      </c>
      <c r="E3936" s="29" t="s">
        <v>4103</v>
      </c>
      <c r="F3936" s="29" t="s">
        <v>4105</v>
      </c>
      <c r="G3936" s="20" t="str">
        <f t="shared" si="1"/>
        <v>Home &amp; Garden, Lawn &amp; Garden, Outdoor Power Equipment Accessories, Lawn Mower AccessoriesLawn Mower Bags</v>
      </c>
    </row>
    <row r="3937">
      <c r="A3937" s="29">
        <v>4643.0</v>
      </c>
      <c r="B3937" s="29" t="s">
        <v>3234</v>
      </c>
      <c r="C3937" s="29" t="s">
        <v>4007</v>
      </c>
      <c r="D3937" s="29" t="s">
        <v>4097</v>
      </c>
      <c r="E3937" s="29" t="s">
        <v>4103</v>
      </c>
      <c r="F3937" s="29" t="s">
        <v>4106</v>
      </c>
      <c r="G3937" s="20" t="str">
        <f t="shared" si="1"/>
        <v>Home &amp; Garden, Lawn &amp; Garden, Outdoor Power Equipment Accessories, Lawn Mower AccessoriesLawn Mower Belts</v>
      </c>
    </row>
    <row r="3938">
      <c r="A3938" s="29">
        <v>4641.0</v>
      </c>
      <c r="B3938" s="29" t="s">
        <v>3234</v>
      </c>
      <c r="C3938" s="29" t="s">
        <v>4007</v>
      </c>
      <c r="D3938" s="29" t="s">
        <v>4097</v>
      </c>
      <c r="E3938" s="29" t="s">
        <v>4103</v>
      </c>
      <c r="F3938" s="29" t="s">
        <v>4107</v>
      </c>
      <c r="G3938" s="20" t="str">
        <f t="shared" si="1"/>
        <v>Home &amp; Garden, Lawn &amp; Garden, Outdoor Power Equipment Accessories, Lawn Mower AccessoriesLawn Mower Blades</v>
      </c>
    </row>
    <row r="3939">
      <c r="A3939" s="29">
        <v>4642.0</v>
      </c>
      <c r="B3939" s="29" t="s">
        <v>3234</v>
      </c>
      <c r="C3939" s="29" t="s">
        <v>4007</v>
      </c>
      <c r="D3939" s="29" t="s">
        <v>4097</v>
      </c>
      <c r="E3939" s="29" t="s">
        <v>4103</v>
      </c>
      <c r="F3939" s="29" t="s">
        <v>4108</v>
      </c>
      <c r="G3939" s="20" t="str">
        <f t="shared" si="1"/>
        <v>Home &amp; Garden, Lawn &amp; Garden, Outdoor Power Equipment Accessories, Lawn Mower AccessoriesLawn Mower Covers</v>
      </c>
    </row>
    <row r="3940">
      <c r="A3940" s="29">
        <v>499923.0</v>
      </c>
      <c r="B3940" s="29" t="s">
        <v>3234</v>
      </c>
      <c r="C3940" s="29" t="s">
        <v>4007</v>
      </c>
      <c r="D3940" s="29" t="s">
        <v>4097</v>
      </c>
      <c r="E3940" s="29" t="s">
        <v>4103</v>
      </c>
      <c r="F3940" s="29" t="s">
        <v>4109</v>
      </c>
      <c r="G3940" s="20" t="str">
        <f t="shared" si="1"/>
        <v>Home &amp; Garden, Lawn &amp; Garden, Outdoor Power Equipment Accessories, Lawn Mower AccessoriesLawn Mower Mulch Kits</v>
      </c>
    </row>
    <row r="3941">
      <c r="A3941" s="29">
        <v>499960.0</v>
      </c>
      <c r="B3941" s="29" t="s">
        <v>3234</v>
      </c>
      <c r="C3941" s="29" t="s">
        <v>4007</v>
      </c>
      <c r="D3941" s="29" t="s">
        <v>4097</v>
      </c>
      <c r="E3941" s="29" t="s">
        <v>4103</v>
      </c>
      <c r="F3941" s="29" t="s">
        <v>4110</v>
      </c>
      <c r="G3941" s="20" t="str">
        <f t="shared" si="1"/>
        <v>Home &amp; Garden, Lawn &amp; Garden, Outdoor Power Equipment Accessories, Lawn Mower AccessoriesLawn Mower Mulch Plugs &amp; Plates</v>
      </c>
    </row>
    <row r="3942">
      <c r="A3942" s="29">
        <v>4644.0</v>
      </c>
      <c r="B3942" s="29" t="s">
        <v>3234</v>
      </c>
      <c r="C3942" s="29" t="s">
        <v>4007</v>
      </c>
      <c r="D3942" s="29" t="s">
        <v>4097</v>
      </c>
      <c r="E3942" s="29" t="s">
        <v>4103</v>
      </c>
      <c r="F3942" s="29" t="s">
        <v>4111</v>
      </c>
      <c r="G3942" s="20" t="str">
        <f t="shared" si="1"/>
        <v>Home &amp; Garden, Lawn &amp; Garden, Outdoor Power Equipment Accessories, Lawn Mower AccessoriesLawn Mower Pulleys &amp; Idlers</v>
      </c>
    </row>
    <row r="3943">
      <c r="A3943" s="29">
        <v>499872.0</v>
      </c>
      <c r="B3943" s="29" t="s">
        <v>3234</v>
      </c>
      <c r="C3943" s="29" t="s">
        <v>4007</v>
      </c>
      <c r="D3943" s="29" t="s">
        <v>4097</v>
      </c>
      <c r="E3943" s="29" t="s">
        <v>4103</v>
      </c>
      <c r="F3943" s="29" t="s">
        <v>4112</v>
      </c>
      <c r="G3943" s="20" t="str">
        <f t="shared" si="1"/>
        <v>Home &amp; Garden, Lawn &amp; Garden, Outdoor Power Equipment Accessories, Lawn Mower AccessoriesLawn Mower Tire Tubes</v>
      </c>
    </row>
    <row r="3944">
      <c r="A3944" s="29">
        <v>6095.0</v>
      </c>
      <c r="B3944" s="29" t="s">
        <v>3234</v>
      </c>
      <c r="C3944" s="29" t="s">
        <v>4007</v>
      </c>
      <c r="D3944" s="29" t="s">
        <v>4097</v>
      </c>
      <c r="E3944" s="29" t="s">
        <v>4103</v>
      </c>
      <c r="F3944" s="29" t="s">
        <v>4113</v>
      </c>
      <c r="G3944" s="20" t="str">
        <f t="shared" si="1"/>
        <v>Home &amp; Garden, Lawn &amp; Garden, Outdoor Power Equipment Accessories, Lawn Mower AccessoriesLawn Mower Tires</v>
      </c>
    </row>
    <row r="3945">
      <c r="A3945" s="29">
        <v>6094.0</v>
      </c>
      <c r="B3945" s="29" t="s">
        <v>3234</v>
      </c>
      <c r="C3945" s="29" t="s">
        <v>4007</v>
      </c>
      <c r="D3945" s="29" t="s">
        <v>4097</v>
      </c>
      <c r="E3945" s="29" t="s">
        <v>4103</v>
      </c>
      <c r="F3945" s="29" t="s">
        <v>4114</v>
      </c>
      <c r="G3945" s="20" t="str">
        <f t="shared" si="1"/>
        <v>Home &amp; Garden, Lawn &amp; Garden, Outdoor Power Equipment Accessories, Lawn Mower AccessoriesLawn Mower Wheels</v>
      </c>
    </row>
    <row r="3946">
      <c r="A3946" s="29">
        <v>499921.0</v>
      </c>
      <c r="B3946" s="29" t="s">
        <v>3234</v>
      </c>
      <c r="C3946" s="29" t="s">
        <v>4007</v>
      </c>
      <c r="D3946" s="29" t="s">
        <v>4097</v>
      </c>
      <c r="E3946" s="29" t="s">
        <v>4103</v>
      </c>
      <c r="F3946" s="29" t="s">
        <v>4115</v>
      </c>
      <c r="G3946" s="20" t="str">
        <f t="shared" si="1"/>
        <v>Home &amp; Garden, Lawn &amp; Garden, Outdoor Power Equipment Accessories, Lawn Mower AccessoriesLawn Striping Kits</v>
      </c>
    </row>
    <row r="3947">
      <c r="A3947" s="29">
        <v>6541.0</v>
      </c>
      <c r="B3947" s="29" t="s">
        <v>3234</v>
      </c>
      <c r="C3947" s="29" t="s">
        <v>4007</v>
      </c>
      <c r="D3947" s="29" t="s">
        <v>4097</v>
      </c>
      <c r="E3947" s="29" t="s">
        <v>4103</v>
      </c>
      <c r="F3947" s="29" t="s">
        <v>4116</v>
      </c>
      <c r="G3947" s="20" t="str">
        <f t="shared" si="1"/>
        <v>Home &amp; Garden, Lawn &amp; Garden, Outdoor Power Equipment Accessories, Lawn Mower AccessoriesLawn Sweepers</v>
      </c>
    </row>
    <row r="3948">
      <c r="A3948" s="29">
        <v>7168.0</v>
      </c>
      <c r="B3948" s="29" t="s">
        <v>3234</v>
      </c>
      <c r="C3948" s="29" t="s">
        <v>4007</v>
      </c>
      <c r="D3948" s="29" t="s">
        <v>4097</v>
      </c>
      <c r="E3948" s="29" t="s">
        <v>4117</v>
      </c>
      <c r="F3948" s="62"/>
      <c r="G3948" s="20" t="str">
        <f t="shared" si="1"/>
        <v>Home &amp; Garden, Lawn &amp; Garden, Outdoor Power Equipment Accessories, Leaf Blower Accessories</v>
      </c>
    </row>
    <row r="3949">
      <c r="A3949" s="29">
        <v>7171.0</v>
      </c>
      <c r="B3949" s="29" t="s">
        <v>3234</v>
      </c>
      <c r="C3949" s="29" t="s">
        <v>4007</v>
      </c>
      <c r="D3949" s="29" t="s">
        <v>4097</v>
      </c>
      <c r="E3949" s="29" t="s">
        <v>4117</v>
      </c>
      <c r="F3949" s="29" t="s">
        <v>4118</v>
      </c>
      <c r="G3949" s="20" t="str">
        <f t="shared" si="1"/>
        <v>Home &amp; Garden, Lawn &amp; Garden, Outdoor Power Equipment Accessories, Leaf Blower AccessoriesLeaf Blower Tubes</v>
      </c>
    </row>
    <row r="3950">
      <c r="A3950" s="29">
        <v>8485.0</v>
      </c>
      <c r="B3950" s="29" t="s">
        <v>3234</v>
      </c>
      <c r="C3950" s="29" t="s">
        <v>4007</v>
      </c>
      <c r="D3950" s="29" t="s">
        <v>4097</v>
      </c>
      <c r="E3950" s="29" t="s">
        <v>4119</v>
      </c>
      <c r="G3950" s="20" t="str">
        <f t="shared" si="1"/>
        <v>Home &amp; Garden, Lawn &amp; Garden, Outdoor Power Equipment Accessories, Multifunction Outdoor Power Equipment Attachments</v>
      </c>
    </row>
    <row r="3951">
      <c r="A3951" s="29">
        <v>7564.0</v>
      </c>
      <c r="B3951" s="29" t="s">
        <v>3234</v>
      </c>
      <c r="C3951" s="29" t="s">
        <v>4007</v>
      </c>
      <c r="D3951" s="29" t="s">
        <v>4097</v>
      </c>
      <c r="E3951" s="29" t="s">
        <v>4119</v>
      </c>
      <c r="F3951" s="29" t="s">
        <v>4120</v>
      </c>
      <c r="G3951" s="20" t="str">
        <f t="shared" si="1"/>
        <v>Home &amp; Garden, Lawn &amp; Garden, Outdoor Power Equipment Accessories, Multifunction Outdoor Power Equipment AttachmentsGrass Edger Attachments</v>
      </c>
    </row>
    <row r="3952">
      <c r="A3952" s="29">
        <v>8487.0</v>
      </c>
      <c r="B3952" s="29" t="s">
        <v>3234</v>
      </c>
      <c r="C3952" s="29" t="s">
        <v>4007</v>
      </c>
      <c r="D3952" s="29" t="s">
        <v>4097</v>
      </c>
      <c r="E3952" s="29" t="s">
        <v>4119</v>
      </c>
      <c r="F3952" s="29" t="s">
        <v>4121</v>
      </c>
      <c r="G3952" s="20" t="str">
        <f t="shared" si="1"/>
        <v>Home &amp; Garden, Lawn &amp; Garden, Outdoor Power Equipment Accessories, Multifunction Outdoor Power Equipment AttachmentsGround &amp; Leaf Blower Attachments</v>
      </c>
    </row>
    <row r="3953">
      <c r="A3953" s="29">
        <v>7334.0</v>
      </c>
      <c r="B3953" s="29" t="s">
        <v>3234</v>
      </c>
      <c r="C3953" s="29" t="s">
        <v>4007</v>
      </c>
      <c r="D3953" s="29" t="s">
        <v>4097</v>
      </c>
      <c r="E3953" s="29" t="s">
        <v>4119</v>
      </c>
      <c r="F3953" s="29" t="s">
        <v>4122</v>
      </c>
      <c r="G3953" s="20" t="str">
        <f t="shared" si="1"/>
        <v>Home &amp; Garden, Lawn &amp; Garden, Outdoor Power Equipment Accessories, Multifunction Outdoor Power Equipment AttachmentsHedge Trimmer Attachments</v>
      </c>
    </row>
    <row r="3954">
      <c r="A3954" s="29">
        <v>8489.0</v>
      </c>
      <c r="B3954" s="29" t="s">
        <v>3234</v>
      </c>
      <c r="C3954" s="29" t="s">
        <v>4007</v>
      </c>
      <c r="D3954" s="29" t="s">
        <v>4097</v>
      </c>
      <c r="E3954" s="29" t="s">
        <v>4119</v>
      </c>
      <c r="F3954" s="29" t="s">
        <v>4123</v>
      </c>
      <c r="G3954" s="20" t="str">
        <f t="shared" si="1"/>
        <v>Home &amp; Garden, Lawn &amp; Garden, Outdoor Power Equipment Accessories, Multifunction Outdoor Power Equipment AttachmentsPole Saw Attachments</v>
      </c>
    </row>
    <row r="3955">
      <c r="A3955" s="29">
        <v>8488.0</v>
      </c>
      <c r="B3955" s="29" t="s">
        <v>3234</v>
      </c>
      <c r="C3955" s="29" t="s">
        <v>4007</v>
      </c>
      <c r="D3955" s="29" t="s">
        <v>4097</v>
      </c>
      <c r="E3955" s="29" t="s">
        <v>4119</v>
      </c>
      <c r="F3955" s="29" t="s">
        <v>4124</v>
      </c>
      <c r="G3955" s="20" t="str">
        <f t="shared" si="1"/>
        <v>Home &amp; Garden, Lawn &amp; Garden, Outdoor Power Equipment Accessories, Multifunction Outdoor Power Equipment AttachmentsTiller &amp; Cultivator Attachments</v>
      </c>
    </row>
    <row r="3956">
      <c r="A3956" s="29">
        <v>7335.0</v>
      </c>
      <c r="B3956" s="29" t="s">
        <v>3234</v>
      </c>
      <c r="C3956" s="29" t="s">
        <v>4007</v>
      </c>
      <c r="D3956" s="29" t="s">
        <v>4097</v>
      </c>
      <c r="E3956" s="29" t="s">
        <v>4119</v>
      </c>
      <c r="F3956" s="29" t="s">
        <v>4125</v>
      </c>
      <c r="G3956" s="20" t="str">
        <f t="shared" si="1"/>
        <v>Home &amp; Garden, Lawn &amp; Garden, Outdoor Power Equipment Accessories, Multifunction Outdoor Power Equipment AttachmentsWeed Trimmer Attachments</v>
      </c>
    </row>
    <row r="3957">
      <c r="A3957" s="29">
        <v>7333.0</v>
      </c>
      <c r="B3957" s="29" t="s">
        <v>3234</v>
      </c>
      <c r="C3957" s="29" t="s">
        <v>4007</v>
      </c>
      <c r="D3957" s="29" t="s">
        <v>4097</v>
      </c>
      <c r="E3957" s="29" t="s">
        <v>4126</v>
      </c>
      <c r="G3957" s="20" t="str">
        <f t="shared" si="1"/>
        <v>Home &amp; Garden, Lawn &amp; Garden, Outdoor Power Equipment Accessories, Outdoor Power Equipment Batteries</v>
      </c>
    </row>
    <row r="3958">
      <c r="A3958" s="29">
        <v>6328.0</v>
      </c>
      <c r="B3958" s="29" t="s">
        <v>3234</v>
      </c>
      <c r="C3958" s="29" t="s">
        <v>4007</v>
      </c>
      <c r="D3958" s="29" t="s">
        <v>4097</v>
      </c>
      <c r="E3958" s="29" t="s">
        <v>4127</v>
      </c>
      <c r="F3958" s="62"/>
      <c r="G3958" s="20" t="str">
        <f t="shared" si="1"/>
        <v>Home &amp; Garden, Lawn &amp; Garden, Outdoor Power Equipment Accessories, Pressure Washer Accessories</v>
      </c>
    </row>
    <row r="3959">
      <c r="A3959" s="29">
        <v>4567.0</v>
      </c>
      <c r="B3959" s="29" t="s">
        <v>3234</v>
      </c>
      <c r="C3959" s="29" t="s">
        <v>4007</v>
      </c>
      <c r="D3959" s="29" t="s">
        <v>4097</v>
      </c>
      <c r="E3959" s="29" t="s">
        <v>4128</v>
      </c>
      <c r="F3959" s="62"/>
      <c r="G3959" s="20" t="str">
        <f t="shared" si="1"/>
        <v>Home &amp; Garden, Lawn &amp; Garden, Outdoor Power Equipment Accessories, Snow Blower Accessories</v>
      </c>
    </row>
    <row r="3960">
      <c r="A3960" s="29">
        <v>5867.0</v>
      </c>
      <c r="B3960" s="29" t="s">
        <v>3234</v>
      </c>
      <c r="C3960" s="29" t="s">
        <v>4007</v>
      </c>
      <c r="D3960" s="29" t="s">
        <v>4097</v>
      </c>
      <c r="E3960" s="29" t="s">
        <v>4129</v>
      </c>
      <c r="F3960" s="62"/>
      <c r="G3960" s="20" t="str">
        <f t="shared" si="1"/>
        <v>Home &amp; Garden, Lawn &amp; Garden, Outdoor Power Equipment Accessories, Tractor Parts &amp; Accessories</v>
      </c>
    </row>
    <row r="3961">
      <c r="A3961" s="29">
        <v>499880.0</v>
      </c>
      <c r="B3961" s="29" t="s">
        <v>3234</v>
      </c>
      <c r="C3961" s="29" t="s">
        <v>4007</v>
      </c>
      <c r="D3961" s="29" t="s">
        <v>4097</v>
      </c>
      <c r="E3961" s="29" t="s">
        <v>4129</v>
      </c>
      <c r="F3961" s="29" t="s">
        <v>4130</v>
      </c>
      <c r="G3961" s="20" t="str">
        <f t="shared" si="1"/>
        <v>Home &amp; Garden, Lawn &amp; Garden, Outdoor Power Equipment Accessories, Tractor Parts &amp; AccessoriesTractor Tires</v>
      </c>
    </row>
    <row r="3962">
      <c r="A3962" s="29">
        <v>499881.0</v>
      </c>
      <c r="B3962" s="29" t="s">
        <v>3234</v>
      </c>
      <c r="C3962" s="29" t="s">
        <v>4007</v>
      </c>
      <c r="D3962" s="29" t="s">
        <v>4097</v>
      </c>
      <c r="E3962" s="29" t="s">
        <v>4129</v>
      </c>
      <c r="F3962" s="29" t="s">
        <v>4131</v>
      </c>
      <c r="G3962" s="20" t="str">
        <f t="shared" si="1"/>
        <v>Home &amp; Garden, Lawn &amp; Garden, Outdoor Power Equipment Accessories, Tractor Parts &amp; AccessoriesTractor Wheels</v>
      </c>
    </row>
    <row r="3963">
      <c r="A3963" s="29">
        <v>7169.0</v>
      </c>
      <c r="B3963" s="29" t="s">
        <v>3234</v>
      </c>
      <c r="C3963" s="29" t="s">
        <v>4007</v>
      </c>
      <c r="D3963" s="29" t="s">
        <v>4097</v>
      </c>
      <c r="E3963" s="29" t="s">
        <v>4132</v>
      </c>
      <c r="F3963" s="62"/>
      <c r="G3963" s="20" t="str">
        <f t="shared" si="1"/>
        <v>Home &amp; Garden, Lawn &amp; Garden, Outdoor Power Equipment Accessories, Weed Trimmer Accessories</v>
      </c>
    </row>
    <row r="3964">
      <c r="A3964" s="29">
        <v>7170.0</v>
      </c>
      <c r="B3964" s="29" t="s">
        <v>3234</v>
      </c>
      <c r="C3964" s="29" t="s">
        <v>4007</v>
      </c>
      <c r="D3964" s="29" t="s">
        <v>4097</v>
      </c>
      <c r="E3964" s="29" t="s">
        <v>4132</v>
      </c>
      <c r="F3964" s="29" t="s">
        <v>4133</v>
      </c>
      <c r="G3964" s="20" t="str">
        <f t="shared" si="1"/>
        <v>Home &amp; Garden, Lawn &amp; Garden, Outdoor Power Equipment Accessories, Weed Trimmer AccessoriesWeed Trimmer Blades &amp; Spools</v>
      </c>
    </row>
    <row r="3965">
      <c r="A3965" s="29">
        <v>8034.0</v>
      </c>
      <c r="B3965" s="29" t="s">
        <v>3234</v>
      </c>
      <c r="C3965" s="29" t="s">
        <v>4007</v>
      </c>
      <c r="D3965" s="29" t="s">
        <v>4097</v>
      </c>
      <c r="E3965" s="29" t="s">
        <v>4132</v>
      </c>
      <c r="F3965" s="29" t="s">
        <v>4134</v>
      </c>
      <c r="G3965" s="20" t="str">
        <f t="shared" si="1"/>
        <v>Home &amp; Garden, Lawn &amp; Garden, Outdoor Power Equipment Accessories, Weed Trimmer AccessoriesWeed Trimmer Spool Covers</v>
      </c>
    </row>
    <row r="3966">
      <c r="A3966" s="29">
        <v>5362.0</v>
      </c>
      <c r="B3966" s="29" t="s">
        <v>3234</v>
      </c>
      <c r="C3966" s="29" t="s">
        <v>4007</v>
      </c>
      <c r="D3966" s="29" t="s">
        <v>4135</v>
      </c>
      <c r="E3966" s="62"/>
      <c r="F3966" s="62"/>
      <c r="G3966" s="20" t="str">
        <f t="shared" si="1"/>
        <v>Home &amp; Garden, Lawn &amp; Garden, Snow Removal, </v>
      </c>
    </row>
    <row r="3967">
      <c r="A3967" s="29">
        <v>5364.0</v>
      </c>
      <c r="B3967" s="29" t="s">
        <v>3234</v>
      </c>
      <c r="C3967" s="29" t="s">
        <v>4007</v>
      </c>
      <c r="D3967" s="29" t="s">
        <v>4135</v>
      </c>
      <c r="E3967" s="29" t="s">
        <v>4136</v>
      </c>
      <c r="F3967" s="62"/>
      <c r="G3967" s="20" t="str">
        <f t="shared" si="1"/>
        <v>Home &amp; Garden, Lawn &amp; Garden, Snow Removal, Ice Scrapers &amp; Snow Brushes</v>
      </c>
    </row>
    <row r="3968">
      <c r="A3968" s="29">
        <v>5363.0</v>
      </c>
      <c r="B3968" s="29" t="s">
        <v>3234</v>
      </c>
      <c r="C3968" s="29" t="s">
        <v>4007</v>
      </c>
      <c r="D3968" s="29" t="s">
        <v>4135</v>
      </c>
      <c r="E3968" s="29" t="s">
        <v>4137</v>
      </c>
      <c r="F3968" s="62"/>
      <c r="G3968" s="20" t="str">
        <f t="shared" si="1"/>
        <v>Home &amp; Garden, Lawn &amp; Garden, Snow Removal, Snow Shovels</v>
      </c>
    </row>
    <row r="3969">
      <c r="A3969" s="29">
        <v>3568.0</v>
      </c>
      <c r="B3969" s="29" t="s">
        <v>3234</v>
      </c>
      <c r="C3969" s="29" t="s">
        <v>4007</v>
      </c>
      <c r="D3969" s="29" t="s">
        <v>4138</v>
      </c>
      <c r="E3969" s="62"/>
      <c r="F3969" s="62"/>
      <c r="G3969" s="20" t="str">
        <f t="shared" si="1"/>
        <v>Home &amp; Garden, Lawn &amp; Garden, Watering &amp; Irrigation, </v>
      </c>
    </row>
    <row r="3970">
      <c r="A3970" s="29">
        <v>4718.0</v>
      </c>
      <c r="B3970" s="29" t="s">
        <v>3234</v>
      </c>
      <c r="C3970" s="29" t="s">
        <v>4007</v>
      </c>
      <c r="D3970" s="29" t="s">
        <v>4138</v>
      </c>
      <c r="E3970" s="29" t="s">
        <v>4139</v>
      </c>
      <c r="F3970" s="62"/>
      <c r="G3970" s="20" t="str">
        <f t="shared" si="1"/>
        <v>Home &amp; Garden, Lawn &amp; Garden, Watering &amp; Irrigation, Garden Hose Fittings &amp; Valves</v>
      </c>
    </row>
    <row r="3971">
      <c r="A3971" s="29">
        <v>4201.0</v>
      </c>
      <c r="B3971" s="29" t="s">
        <v>3234</v>
      </c>
      <c r="C3971" s="29" t="s">
        <v>4007</v>
      </c>
      <c r="D3971" s="29" t="s">
        <v>4138</v>
      </c>
      <c r="E3971" s="29" t="s">
        <v>4140</v>
      </c>
      <c r="F3971" s="62"/>
      <c r="G3971" s="20" t="str">
        <f t="shared" si="1"/>
        <v>Home &amp; Garden, Lawn &amp; Garden, Watering &amp; Irrigation, Garden Hose Spray Nozzles</v>
      </c>
    </row>
    <row r="3972">
      <c r="A3972" s="29">
        <v>2313.0</v>
      </c>
      <c r="B3972" s="29" t="s">
        <v>3234</v>
      </c>
      <c r="C3972" s="29" t="s">
        <v>4007</v>
      </c>
      <c r="D3972" s="29" t="s">
        <v>4138</v>
      </c>
      <c r="E3972" s="29" t="s">
        <v>4141</v>
      </c>
      <c r="F3972" s="62"/>
      <c r="G3972" s="20" t="str">
        <f t="shared" si="1"/>
        <v>Home &amp; Garden, Lawn &amp; Garden, Watering &amp; Irrigation, Garden Hoses</v>
      </c>
    </row>
    <row r="3973">
      <c r="A3973" s="29">
        <v>3780.0</v>
      </c>
      <c r="B3973" s="29" t="s">
        <v>3234</v>
      </c>
      <c r="C3973" s="29" t="s">
        <v>4007</v>
      </c>
      <c r="D3973" s="29" t="s">
        <v>4138</v>
      </c>
      <c r="E3973" s="29" t="s">
        <v>4142</v>
      </c>
      <c r="F3973" s="62"/>
      <c r="G3973" s="20" t="str">
        <f t="shared" si="1"/>
        <v>Home &amp; Garden, Lawn &amp; Garden, Watering &amp; Irrigation, Sprinkler Accessories</v>
      </c>
    </row>
    <row r="3974">
      <c r="A3974" s="29">
        <v>1302.0</v>
      </c>
      <c r="B3974" s="29" t="s">
        <v>3234</v>
      </c>
      <c r="C3974" s="29" t="s">
        <v>4007</v>
      </c>
      <c r="D3974" s="29" t="s">
        <v>4138</v>
      </c>
      <c r="E3974" s="29" t="s">
        <v>4142</v>
      </c>
      <c r="F3974" s="29" t="s">
        <v>4143</v>
      </c>
      <c r="G3974" s="20" t="str">
        <f t="shared" si="1"/>
        <v>Home &amp; Garden, Lawn &amp; Garden, Watering &amp; Irrigation, Sprinkler AccessoriesSprinkler Controls</v>
      </c>
    </row>
    <row r="3975">
      <c r="A3975" s="29">
        <v>3491.0</v>
      </c>
      <c r="B3975" s="29" t="s">
        <v>3234</v>
      </c>
      <c r="C3975" s="29" t="s">
        <v>4007</v>
      </c>
      <c r="D3975" s="29" t="s">
        <v>4138</v>
      </c>
      <c r="E3975" s="29" t="s">
        <v>4142</v>
      </c>
      <c r="F3975" s="29" t="s">
        <v>4144</v>
      </c>
      <c r="G3975" s="20" t="str">
        <f t="shared" si="1"/>
        <v>Home &amp; Garden, Lawn &amp; Garden, Watering &amp; Irrigation, Sprinkler AccessoriesSprinkler Valves</v>
      </c>
    </row>
    <row r="3976">
      <c r="A3976" s="29">
        <v>7561.0</v>
      </c>
      <c r="B3976" s="29" t="s">
        <v>3234</v>
      </c>
      <c r="C3976" s="29" t="s">
        <v>4007</v>
      </c>
      <c r="D3976" s="29" t="s">
        <v>4138</v>
      </c>
      <c r="E3976" s="29" t="s">
        <v>4145</v>
      </c>
      <c r="F3976" s="62"/>
      <c r="G3976" s="20" t="str">
        <f t="shared" si="1"/>
        <v>Home &amp; Garden, Lawn &amp; Garden, Watering &amp; Irrigation, Sprinklers &amp; Sprinkler Heads</v>
      </c>
    </row>
    <row r="3977">
      <c r="A3977" s="29">
        <v>505814.0</v>
      </c>
      <c r="B3977" s="29" t="s">
        <v>3234</v>
      </c>
      <c r="C3977" s="29" t="s">
        <v>4007</v>
      </c>
      <c r="D3977" s="29" t="s">
        <v>4138</v>
      </c>
      <c r="E3977" s="29" t="s">
        <v>4146</v>
      </c>
      <c r="F3977" s="62"/>
      <c r="G3977" s="20" t="str">
        <f t="shared" si="1"/>
        <v>Home &amp; Garden, Lawn &amp; Garden, Watering &amp; Irrigation, Watering Can Accesssories</v>
      </c>
    </row>
    <row r="3978">
      <c r="A3978" s="29">
        <v>6318.0</v>
      </c>
      <c r="B3978" s="29" t="s">
        <v>3234</v>
      </c>
      <c r="C3978" s="29" t="s">
        <v>4007</v>
      </c>
      <c r="D3978" s="29" t="s">
        <v>4138</v>
      </c>
      <c r="E3978" s="29" t="s">
        <v>4147</v>
      </c>
      <c r="F3978" s="62"/>
      <c r="G3978" s="20" t="str">
        <f t="shared" si="1"/>
        <v>Home &amp; Garden, Lawn &amp; Garden, Watering &amp; Irrigation, Watering Cans</v>
      </c>
    </row>
    <row r="3979">
      <c r="A3979" s="29">
        <v>230912.0</v>
      </c>
      <c r="B3979" s="29" t="s">
        <v>3234</v>
      </c>
      <c r="C3979" s="29" t="s">
        <v>4007</v>
      </c>
      <c r="D3979" s="29" t="s">
        <v>4138</v>
      </c>
      <c r="E3979" s="29" t="s">
        <v>4148</v>
      </c>
      <c r="F3979" s="62"/>
      <c r="G3979" s="20" t="str">
        <f t="shared" si="1"/>
        <v>Home &amp; Garden, Lawn &amp; Garden, Watering &amp; Irrigation, Watering Globes &amp; Spikes</v>
      </c>
    </row>
    <row r="3980">
      <c r="A3980" s="29">
        <v>594.0</v>
      </c>
      <c r="B3980" s="29" t="s">
        <v>3234</v>
      </c>
      <c r="C3980" s="29" t="s">
        <v>4149</v>
      </c>
      <c r="D3980" s="62"/>
      <c r="E3980" s="62"/>
      <c r="F3980" s="62"/>
      <c r="G3980" s="20" t="str">
        <f t="shared" si="1"/>
        <v>Home &amp; Garden, Lighting, , </v>
      </c>
    </row>
    <row r="3981">
      <c r="A3981" s="29">
        <v>1436.0</v>
      </c>
      <c r="B3981" s="29" t="s">
        <v>3234</v>
      </c>
      <c r="C3981" s="29" t="s">
        <v>4149</v>
      </c>
      <c r="D3981" s="29" t="s">
        <v>4150</v>
      </c>
      <c r="E3981" s="62"/>
      <c r="F3981" s="62"/>
      <c r="G3981" s="20" t="str">
        <f t="shared" si="1"/>
        <v>Home &amp; Garden, Lighting, Emergency Lighting, </v>
      </c>
    </row>
    <row r="3982">
      <c r="A3982" s="29">
        <v>500003.0</v>
      </c>
      <c r="B3982" s="29" t="s">
        <v>3234</v>
      </c>
      <c r="C3982" s="29" t="s">
        <v>4149</v>
      </c>
      <c r="D3982" s="29" t="s">
        <v>4151</v>
      </c>
      <c r="F3982" s="62"/>
      <c r="G3982" s="20" t="str">
        <f t="shared" si="1"/>
        <v>Home &amp; Garden, Lighting, Floating &amp; Submersible Lights, </v>
      </c>
    </row>
    <row r="3983">
      <c r="A3983" s="29">
        <v>1546.0</v>
      </c>
      <c r="B3983" s="29" t="s">
        <v>3234</v>
      </c>
      <c r="C3983" s="29" t="s">
        <v>4149</v>
      </c>
      <c r="D3983" s="29" t="s">
        <v>4152</v>
      </c>
      <c r="E3983" s="62"/>
      <c r="F3983" s="62"/>
      <c r="G3983" s="20" t="str">
        <f t="shared" si="1"/>
        <v>Home &amp; Garden, Lighting, Flood &amp; Spot Lights, </v>
      </c>
    </row>
    <row r="3984">
      <c r="A3984" s="29">
        <v>7401.0</v>
      </c>
      <c r="B3984" s="29" t="s">
        <v>3234</v>
      </c>
      <c r="C3984" s="29" t="s">
        <v>4149</v>
      </c>
      <c r="D3984" s="29" t="s">
        <v>4153</v>
      </c>
      <c r="E3984" s="62"/>
      <c r="F3984" s="62"/>
      <c r="G3984" s="20" t="str">
        <f t="shared" si="1"/>
        <v>Home &amp; Garden, Lighting, In-Ground Lights, </v>
      </c>
    </row>
    <row r="3985">
      <c r="A3985" s="29">
        <v>4636.0</v>
      </c>
      <c r="B3985" s="29" t="s">
        <v>3234</v>
      </c>
      <c r="C3985" s="29" t="s">
        <v>4149</v>
      </c>
      <c r="D3985" s="29" t="s">
        <v>4154</v>
      </c>
      <c r="E3985" s="62"/>
      <c r="F3985" s="62"/>
      <c r="G3985" s="20" t="str">
        <f t="shared" si="1"/>
        <v>Home &amp; Garden, Lighting, Lamps, </v>
      </c>
    </row>
    <row r="3986">
      <c r="A3986" s="29">
        <v>7400.0</v>
      </c>
      <c r="B3986" s="29" t="s">
        <v>3234</v>
      </c>
      <c r="C3986" s="29" t="s">
        <v>4149</v>
      </c>
      <c r="D3986" s="29" t="s">
        <v>4155</v>
      </c>
      <c r="F3986" s="62"/>
      <c r="G3986" s="20" t="str">
        <f t="shared" si="1"/>
        <v>Home &amp; Garden, Lighting, Landscape Pathway Lighting, </v>
      </c>
    </row>
    <row r="3987">
      <c r="A3987" s="29">
        <v>2425.0</v>
      </c>
      <c r="B3987" s="29" t="s">
        <v>3234</v>
      </c>
      <c r="C3987" s="29" t="s">
        <v>4149</v>
      </c>
      <c r="D3987" s="29" t="s">
        <v>4156</v>
      </c>
      <c r="E3987" s="62"/>
      <c r="F3987" s="62"/>
      <c r="G3987" s="20" t="str">
        <f t="shared" si="1"/>
        <v>Home &amp; Garden, Lighting, Light Bulbs, </v>
      </c>
    </row>
    <row r="3988">
      <c r="A3988" s="29">
        <v>2947.0</v>
      </c>
      <c r="B3988" s="29" t="s">
        <v>3234</v>
      </c>
      <c r="C3988" s="29" t="s">
        <v>4149</v>
      </c>
      <c r="D3988" s="29" t="s">
        <v>4156</v>
      </c>
      <c r="E3988" s="29" t="s">
        <v>4157</v>
      </c>
      <c r="F3988" s="62"/>
      <c r="G3988" s="20" t="str">
        <f t="shared" si="1"/>
        <v>Home &amp; Garden, Lighting, Light Bulbs, Compact Fluorescent Lamps</v>
      </c>
    </row>
    <row r="3989">
      <c r="A3989" s="29">
        <v>2690.0</v>
      </c>
      <c r="B3989" s="29" t="s">
        <v>3234</v>
      </c>
      <c r="C3989" s="29" t="s">
        <v>4149</v>
      </c>
      <c r="D3989" s="29" t="s">
        <v>4156</v>
      </c>
      <c r="E3989" s="29" t="s">
        <v>4158</v>
      </c>
      <c r="F3989" s="62"/>
      <c r="G3989" s="20" t="str">
        <f t="shared" si="1"/>
        <v>Home &amp; Garden, Lighting, Light Bulbs, Fluorescent Tubes</v>
      </c>
    </row>
    <row r="3990">
      <c r="A3990" s="29">
        <v>2944.0</v>
      </c>
      <c r="B3990" s="29" t="s">
        <v>3234</v>
      </c>
      <c r="C3990" s="29" t="s">
        <v>4149</v>
      </c>
      <c r="D3990" s="29" t="s">
        <v>4156</v>
      </c>
      <c r="E3990" s="29" t="s">
        <v>4159</v>
      </c>
      <c r="F3990" s="62"/>
      <c r="G3990" s="20" t="str">
        <f t="shared" si="1"/>
        <v>Home &amp; Garden, Lighting, Light Bulbs, Incandescent Light Bulbs</v>
      </c>
    </row>
    <row r="3991">
      <c r="A3991" s="29">
        <v>3329.0</v>
      </c>
      <c r="B3991" s="29" t="s">
        <v>3234</v>
      </c>
      <c r="C3991" s="29" t="s">
        <v>4149</v>
      </c>
      <c r="D3991" s="29" t="s">
        <v>4156</v>
      </c>
      <c r="E3991" s="29" t="s">
        <v>4160</v>
      </c>
      <c r="F3991" s="62"/>
      <c r="G3991" s="20" t="str">
        <f t="shared" si="1"/>
        <v>Home &amp; Garden, Lighting, Light Bulbs, LED Light Bulbs</v>
      </c>
    </row>
    <row r="3992">
      <c r="A3992" s="29">
        <v>2608.0</v>
      </c>
      <c r="B3992" s="29" t="s">
        <v>3234</v>
      </c>
      <c r="C3992" s="29" t="s">
        <v>4149</v>
      </c>
      <c r="D3992" s="29" t="s">
        <v>4161</v>
      </c>
      <c r="E3992" s="62"/>
      <c r="F3992" s="62"/>
      <c r="G3992" s="20" t="str">
        <f t="shared" si="1"/>
        <v>Home &amp; Garden, Lighting, Light Ropes &amp; Strings, </v>
      </c>
    </row>
    <row r="3993">
      <c r="A3993" s="29">
        <v>3006.0</v>
      </c>
      <c r="B3993" s="29" t="s">
        <v>3234</v>
      </c>
      <c r="C3993" s="29" t="s">
        <v>4149</v>
      </c>
      <c r="D3993" s="29" t="s">
        <v>4162</v>
      </c>
      <c r="E3993" s="62"/>
      <c r="F3993" s="62"/>
      <c r="G3993" s="20" t="str">
        <f t="shared" si="1"/>
        <v>Home &amp; Garden, Lighting, Lighting Fixtures, </v>
      </c>
    </row>
    <row r="3994">
      <c r="A3994" s="29">
        <v>2809.0</v>
      </c>
      <c r="B3994" s="29" t="s">
        <v>3234</v>
      </c>
      <c r="C3994" s="29" t="s">
        <v>4149</v>
      </c>
      <c r="D3994" s="29" t="s">
        <v>4162</v>
      </c>
      <c r="E3994" s="29" t="s">
        <v>4163</v>
      </c>
      <c r="F3994" s="62"/>
      <c r="G3994" s="20" t="str">
        <f t="shared" si="1"/>
        <v>Home &amp; Garden, Lighting, Lighting Fixtures, Cabinet Light Fixtures</v>
      </c>
    </row>
    <row r="3995">
      <c r="A3995" s="29">
        <v>2524.0</v>
      </c>
      <c r="B3995" s="29" t="s">
        <v>3234</v>
      </c>
      <c r="C3995" s="29" t="s">
        <v>4149</v>
      </c>
      <c r="D3995" s="29" t="s">
        <v>4162</v>
      </c>
      <c r="E3995" s="29" t="s">
        <v>4164</v>
      </c>
      <c r="F3995" s="62"/>
      <c r="G3995" s="20" t="str">
        <f t="shared" si="1"/>
        <v>Home &amp; Garden, Lighting, Lighting Fixtures, Ceiling Light Fixtures</v>
      </c>
    </row>
    <row r="3996">
      <c r="A3996" s="29">
        <v>2249.0</v>
      </c>
      <c r="B3996" s="29" t="s">
        <v>3234</v>
      </c>
      <c r="C3996" s="29" t="s">
        <v>4149</v>
      </c>
      <c r="D3996" s="29" t="s">
        <v>4162</v>
      </c>
      <c r="E3996" s="29" t="s">
        <v>4165</v>
      </c>
      <c r="F3996" s="62"/>
      <c r="G3996" s="20" t="str">
        <f t="shared" si="1"/>
        <v>Home &amp; Garden, Lighting, Lighting Fixtures, Chandeliers</v>
      </c>
    </row>
    <row r="3997">
      <c r="A3997" s="29">
        <v>6073.0</v>
      </c>
      <c r="B3997" s="29" t="s">
        <v>3234</v>
      </c>
      <c r="C3997" s="29" t="s">
        <v>4149</v>
      </c>
      <c r="D3997" s="29" t="s">
        <v>4162</v>
      </c>
      <c r="E3997" s="29" t="s">
        <v>4166</v>
      </c>
      <c r="F3997" s="62"/>
      <c r="G3997" s="20" t="str">
        <f t="shared" si="1"/>
        <v>Home &amp; Garden, Lighting, Lighting Fixtures, Wall Light Fixtures</v>
      </c>
    </row>
    <row r="3998">
      <c r="A3998" s="29">
        <v>505826.0</v>
      </c>
      <c r="B3998" s="29" t="s">
        <v>3234</v>
      </c>
      <c r="C3998" s="29" t="s">
        <v>4149</v>
      </c>
      <c r="D3998" s="29" t="s">
        <v>4167</v>
      </c>
      <c r="F3998" s="62"/>
      <c r="G3998" s="20" t="str">
        <f t="shared" si="1"/>
        <v>Home &amp; Garden, Lighting, Night Lights &amp; Ambient Lighting, </v>
      </c>
    </row>
    <row r="3999">
      <c r="A3999" s="29">
        <v>2370.0</v>
      </c>
      <c r="B3999" s="29" t="s">
        <v>3234</v>
      </c>
      <c r="C3999" s="29" t="s">
        <v>4149</v>
      </c>
      <c r="D3999" s="29" t="s">
        <v>4168</v>
      </c>
      <c r="E3999" s="62"/>
      <c r="F3999" s="62"/>
      <c r="G3999" s="20" t="str">
        <f t="shared" si="1"/>
        <v>Home &amp; Garden, Lighting, Picture Lights, </v>
      </c>
    </row>
    <row r="4000">
      <c r="A4000" s="29">
        <v>7399.0</v>
      </c>
      <c r="B4000" s="29" t="s">
        <v>3234</v>
      </c>
      <c r="C4000" s="29" t="s">
        <v>4149</v>
      </c>
      <c r="D4000" s="29" t="s">
        <v>4169</v>
      </c>
      <c r="E4000" s="62"/>
      <c r="F4000" s="62"/>
      <c r="G4000" s="20" t="str">
        <f t="shared" si="1"/>
        <v>Home &amp; Garden, Lighting, Tiki Torches &amp; Oil Lamps, </v>
      </c>
    </row>
    <row r="4001">
      <c r="A4001" s="29">
        <v>6274.0</v>
      </c>
      <c r="B4001" s="29" t="s">
        <v>3234</v>
      </c>
      <c r="C4001" s="29" t="s">
        <v>4149</v>
      </c>
      <c r="D4001" s="29" t="s">
        <v>4170</v>
      </c>
      <c r="E4001" s="62"/>
      <c r="F4001" s="62"/>
      <c r="G4001" s="20" t="str">
        <f t="shared" si="1"/>
        <v>Home &amp; Garden, Lighting, Track Lighting, </v>
      </c>
    </row>
    <row r="4002">
      <c r="A4002" s="29">
        <v>6272.0</v>
      </c>
      <c r="B4002" s="29" t="s">
        <v>3234</v>
      </c>
      <c r="C4002" s="29" t="s">
        <v>4149</v>
      </c>
      <c r="D4002" s="29" t="s">
        <v>4170</v>
      </c>
      <c r="E4002" s="29" t="s">
        <v>4171</v>
      </c>
      <c r="F4002" s="62"/>
      <c r="G4002" s="20" t="str">
        <f t="shared" si="1"/>
        <v>Home &amp; Garden, Lighting, Track Lighting, Track Lighting Accessories</v>
      </c>
    </row>
    <row r="4003">
      <c r="A4003" s="29">
        <v>4932.0</v>
      </c>
      <c r="B4003" s="29" t="s">
        <v>3234</v>
      </c>
      <c r="C4003" s="29" t="s">
        <v>4149</v>
      </c>
      <c r="D4003" s="29" t="s">
        <v>4170</v>
      </c>
      <c r="E4003" s="29" t="s">
        <v>4172</v>
      </c>
      <c r="F4003" s="62"/>
      <c r="G4003" s="20" t="str">
        <f t="shared" si="1"/>
        <v>Home &amp; Garden, Lighting, Track Lighting, Track Lighting Fixtures</v>
      </c>
    </row>
    <row r="4004">
      <c r="A4004" s="29">
        <v>6273.0</v>
      </c>
      <c r="B4004" s="29" t="s">
        <v>3234</v>
      </c>
      <c r="C4004" s="29" t="s">
        <v>4149</v>
      </c>
      <c r="D4004" s="29" t="s">
        <v>4170</v>
      </c>
      <c r="E4004" s="29" t="s">
        <v>4173</v>
      </c>
      <c r="F4004" s="62"/>
      <c r="G4004" s="20" t="str">
        <f t="shared" si="1"/>
        <v>Home &amp; Garden, Lighting, Track Lighting, Track Lighting Rails</v>
      </c>
    </row>
    <row r="4005">
      <c r="A4005" s="29">
        <v>2956.0</v>
      </c>
      <c r="B4005" s="29" t="s">
        <v>3234</v>
      </c>
      <c r="C4005" s="29" t="s">
        <v>4174</v>
      </c>
      <c r="D4005" s="62"/>
      <c r="E4005" s="62"/>
      <c r="F4005" s="62"/>
      <c r="G4005" s="20" t="str">
        <f t="shared" si="1"/>
        <v>Home &amp; Garden, Lighting Accessories, , </v>
      </c>
    </row>
    <row r="4006">
      <c r="A4006" s="29">
        <v>7338.0</v>
      </c>
      <c r="B4006" s="29" t="s">
        <v>3234</v>
      </c>
      <c r="C4006" s="29" t="s">
        <v>4174</v>
      </c>
      <c r="D4006" s="29" t="s">
        <v>4175</v>
      </c>
      <c r="E4006" s="62"/>
      <c r="F4006" s="62"/>
      <c r="G4006" s="20" t="str">
        <f t="shared" si="1"/>
        <v>Home &amp; Garden, Lighting Accessories, Lamp Post Bases, </v>
      </c>
    </row>
    <row r="4007">
      <c r="A4007" s="29">
        <v>7447.0</v>
      </c>
      <c r="B4007" s="29" t="s">
        <v>3234</v>
      </c>
      <c r="C4007" s="29" t="s">
        <v>4174</v>
      </c>
      <c r="D4007" s="29" t="s">
        <v>4176</v>
      </c>
      <c r="E4007" s="62"/>
      <c r="F4007" s="62"/>
      <c r="G4007" s="20" t="str">
        <f t="shared" si="1"/>
        <v>Home &amp; Garden, Lighting Accessories, Lamp Post Mounts, </v>
      </c>
    </row>
    <row r="4008">
      <c r="A4008" s="29">
        <v>3185.0</v>
      </c>
      <c r="B4008" s="29" t="s">
        <v>3234</v>
      </c>
      <c r="C4008" s="29" t="s">
        <v>4174</v>
      </c>
      <c r="D4008" s="29" t="s">
        <v>4177</v>
      </c>
      <c r="E4008" s="62"/>
      <c r="F4008" s="62"/>
      <c r="G4008" s="20" t="str">
        <f t="shared" si="1"/>
        <v>Home &amp; Garden, Lighting Accessories, Lamp Shades, </v>
      </c>
    </row>
    <row r="4009">
      <c r="A4009" s="29">
        <v>3522.0</v>
      </c>
      <c r="B4009" s="29" t="s">
        <v>3234</v>
      </c>
      <c r="C4009" s="29" t="s">
        <v>4174</v>
      </c>
      <c r="D4009" s="29" t="s">
        <v>4178</v>
      </c>
      <c r="E4009" s="62"/>
      <c r="F4009" s="62"/>
      <c r="G4009" s="20" t="str">
        <f t="shared" si="1"/>
        <v>Home &amp; Garden, Lighting Accessories, Lighting Timers, </v>
      </c>
    </row>
    <row r="4010">
      <c r="A4010" s="29">
        <v>505312.0</v>
      </c>
      <c r="B4010" s="29" t="s">
        <v>3234</v>
      </c>
      <c r="C4010" s="29" t="s">
        <v>4174</v>
      </c>
      <c r="D4010" s="29" t="s">
        <v>4179</v>
      </c>
      <c r="E4010" s="62"/>
      <c r="F4010" s="62"/>
      <c r="G4010" s="20" t="str">
        <f t="shared" si="1"/>
        <v>Home &amp; Garden, Lighting Accessories, Oil Lamp Fuel, </v>
      </c>
    </row>
    <row r="4011">
      <c r="A4011" s="29">
        <v>4171.0</v>
      </c>
      <c r="B4011" s="29" t="s">
        <v>3234</v>
      </c>
      <c r="C4011" s="29" t="s">
        <v>4180</v>
      </c>
      <c r="D4011" s="62"/>
      <c r="E4011" s="62"/>
      <c r="F4011" s="62"/>
      <c r="G4011" s="20" t="str">
        <f t="shared" si="1"/>
        <v>Home &amp; Garden, Linens &amp; Bedding, , </v>
      </c>
    </row>
    <row r="4012">
      <c r="A4012" s="29">
        <v>569.0</v>
      </c>
      <c r="B4012" s="29" t="s">
        <v>3234</v>
      </c>
      <c r="C4012" s="29" t="s">
        <v>4180</v>
      </c>
      <c r="D4012" s="29" t="s">
        <v>4181</v>
      </c>
      <c r="E4012" s="62"/>
      <c r="F4012" s="62"/>
      <c r="G4012" s="20" t="str">
        <f t="shared" si="1"/>
        <v>Home &amp; Garden, Linens &amp; Bedding, Bedding, </v>
      </c>
    </row>
    <row r="4013">
      <c r="A4013" s="29">
        <v>505803.0</v>
      </c>
      <c r="B4013" s="29" t="s">
        <v>3234</v>
      </c>
      <c r="C4013" s="29" t="s">
        <v>4180</v>
      </c>
      <c r="D4013" s="29" t="s">
        <v>4181</v>
      </c>
      <c r="E4013" s="29" t="s">
        <v>4182</v>
      </c>
      <c r="F4013" s="62"/>
      <c r="G4013" s="20" t="str">
        <f t="shared" si="1"/>
        <v>Home &amp; Garden, Linens &amp; Bedding, Bedding, Bed Canopies</v>
      </c>
    </row>
    <row r="4014">
      <c r="A4014" s="29">
        <v>2314.0</v>
      </c>
      <c r="B4014" s="29" t="s">
        <v>3234</v>
      </c>
      <c r="C4014" s="29" t="s">
        <v>4180</v>
      </c>
      <c r="D4014" s="29" t="s">
        <v>4181</v>
      </c>
      <c r="E4014" s="29" t="s">
        <v>4183</v>
      </c>
      <c r="F4014" s="62"/>
      <c r="G4014" s="20" t="str">
        <f t="shared" si="1"/>
        <v>Home &amp; Garden, Linens &amp; Bedding, Bedding, Bed Sheets</v>
      </c>
    </row>
    <row r="4015">
      <c r="A4015" s="29">
        <v>2974.0</v>
      </c>
      <c r="B4015" s="29" t="s">
        <v>3234</v>
      </c>
      <c r="C4015" s="29" t="s">
        <v>4180</v>
      </c>
      <c r="D4015" s="29" t="s">
        <v>4181</v>
      </c>
      <c r="E4015" s="29" t="s">
        <v>4184</v>
      </c>
      <c r="F4015" s="62"/>
      <c r="G4015" s="20" t="str">
        <f t="shared" si="1"/>
        <v>Home &amp; Garden, Linens &amp; Bedding, Bedding, Bedskirts</v>
      </c>
    </row>
    <row r="4016">
      <c r="A4016" s="29">
        <v>1985.0</v>
      </c>
      <c r="B4016" s="29" t="s">
        <v>3234</v>
      </c>
      <c r="C4016" s="29" t="s">
        <v>4180</v>
      </c>
      <c r="D4016" s="29" t="s">
        <v>4181</v>
      </c>
      <c r="E4016" s="29" t="s">
        <v>4185</v>
      </c>
      <c r="F4016" s="62"/>
      <c r="G4016" s="20" t="str">
        <f t="shared" si="1"/>
        <v>Home &amp; Garden, Linens &amp; Bedding, Bedding, Blankets</v>
      </c>
    </row>
    <row r="4017">
      <c r="A4017" s="29">
        <v>2541.0</v>
      </c>
      <c r="B4017" s="29" t="s">
        <v>3234</v>
      </c>
      <c r="C4017" s="29" t="s">
        <v>4180</v>
      </c>
      <c r="D4017" s="29" t="s">
        <v>4181</v>
      </c>
      <c r="E4017" s="29" t="s">
        <v>4186</v>
      </c>
      <c r="F4017" s="62"/>
      <c r="G4017" s="20" t="str">
        <f t="shared" si="1"/>
        <v>Home &amp; Garden, Linens &amp; Bedding, Bedding, Duvet Covers</v>
      </c>
    </row>
    <row r="4018">
      <c r="A4018" s="29">
        <v>4452.0</v>
      </c>
      <c r="B4018" s="29" t="s">
        <v>3234</v>
      </c>
      <c r="C4018" s="29" t="s">
        <v>4180</v>
      </c>
      <c r="D4018" s="29" t="s">
        <v>4181</v>
      </c>
      <c r="E4018" s="29" t="s">
        <v>4187</v>
      </c>
      <c r="F4018" s="62"/>
      <c r="G4018" s="20" t="str">
        <f t="shared" si="1"/>
        <v>Home &amp; Garden, Linens &amp; Bedding, Bedding, Mattress Protectors</v>
      </c>
    </row>
    <row r="4019">
      <c r="A4019" s="29">
        <v>4420.0</v>
      </c>
      <c r="B4019" s="29" t="s">
        <v>3234</v>
      </c>
      <c r="C4019" s="29" t="s">
        <v>4180</v>
      </c>
      <c r="D4019" s="29" t="s">
        <v>4181</v>
      </c>
      <c r="E4019" s="29" t="s">
        <v>4187</v>
      </c>
      <c r="F4019" s="29" t="s">
        <v>4188</v>
      </c>
      <c r="G4019" s="20" t="str">
        <f t="shared" si="1"/>
        <v>Home &amp; Garden, Linens &amp; Bedding, Bedding, Mattress ProtectorsMattress Encasements</v>
      </c>
    </row>
    <row r="4020">
      <c r="A4020" s="29">
        <v>2991.0</v>
      </c>
      <c r="B4020" s="29" t="s">
        <v>3234</v>
      </c>
      <c r="C4020" s="29" t="s">
        <v>4180</v>
      </c>
      <c r="D4020" s="29" t="s">
        <v>4181</v>
      </c>
      <c r="E4020" s="29" t="s">
        <v>4187</v>
      </c>
      <c r="F4020" s="29" t="s">
        <v>4189</v>
      </c>
      <c r="G4020" s="20" t="str">
        <f t="shared" si="1"/>
        <v>Home &amp; Garden, Linens &amp; Bedding, Bedding, Mattress ProtectorsMattress Pads</v>
      </c>
    </row>
    <row r="4021">
      <c r="A4021" s="29">
        <v>1599.0</v>
      </c>
      <c r="B4021" s="29" t="s">
        <v>3234</v>
      </c>
      <c r="C4021" s="29" t="s">
        <v>4180</v>
      </c>
      <c r="D4021" s="29" t="s">
        <v>4181</v>
      </c>
      <c r="E4021" s="29" t="s">
        <v>4190</v>
      </c>
      <c r="F4021" s="62"/>
      <c r="G4021" s="20" t="str">
        <f t="shared" si="1"/>
        <v>Home &amp; Garden, Linens &amp; Bedding, Bedding, Nap Mats</v>
      </c>
    </row>
    <row r="4022">
      <c r="A4022" s="29">
        <v>2927.0</v>
      </c>
      <c r="B4022" s="29" t="s">
        <v>3234</v>
      </c>
      <c r="C4022" s="29" t="s">
        <v>4180</v>
      </c>
      <c r="D4022" s="29" t="s">
        <v>4181</v>
      </c>
      <c r="E4022" s="29" t="s">
        <v>4191</v>
      </c>
      <c r="F4022" s="62"/>
      <c r="G4022" s="20" t="str">
        <f t="shared" si="1"/>
        <v>Home &amp; Garden, Linens &amp; Bedding, Bedding, Pillowcases &amp; Shams</v>
      </c>
    </row>
    <row r="4023">
      <c r="A4023" s="29">
        <v>2700.0</v>
      </c>
      <c r="B4023" s="29" t="s">
        <v>3234</v>
      </c>
      <c r="C4023" s="29" t="s">
        <v>4180</v>
      </c>
      <c r="D4023" s="29" t="s">
        <v>4181</v>
      </c>
      <c r="E4023" s="29" t="s">
        <v>446</v>
      </c>
      <c r="F4023" s="62"/>
      <c r="G4023" s="20" t="str">
        <f t="shared" si="1"/>
        <v>Home &amp; Garden, Linens &amp; Bedding, Bedding, Pillows</v>
      </c>
    </row>
    <row r="4024">
      <c r="A4024" s="29">
        <v>505287.0</v>
      </c>
      <c r="B4024" s="29" t="s">
        <v>3234</v>
      </c>
      <c r="C4024" s="29" t="s">
        <v>4180</v>
      </c>
      <c r="D4024" s="29" t="s">
        <v>4181</v>
      </c>
      <c r="E4024" s="29" t="s">
        <v>4192</v>
      </c>
      <c r="F4024" s="62"/>
      <c r="G4024" s="20" t="str">
        <f t="shared" si="1"/>
        <v>Home &amp; Garden, Linens &amp; Bedding, Bedding, Quilts &amp; Comforters</v>
      </c>
    </row>
    <row r="4025">
      <c r="A4025" s="29">
        <v>505832.0</v>
      </c>
      <c r="B4025" s="29" t="s">
        <v>3234</v>
      </c>
      <c r="C4025" s="29" t="s">
        <v>4180</v>
      </c>
      <c r="D4025" s="29" t="s">
        <v>4193</v>
      </c>
      <c r="E4025" s="62"/>
      <c r="F4025" s="62"/>
      <c r="G4025" s="20" t="str">
        <f t="shared" si="1"/>
        <v>Home &amp; Garden, Linens &amp; Bedding, Kitchen Linens Sets, </v>
      </c>
    </row>
    <row r="4026">
      <c r="A4026" s="29">
        <v>601.0</v>
      </c>
      <c r="B4026" s="29" t="s">
        <v>3234</v>
      </c>
      <c r="C4026" s="29" t="s">
        <v>4180</v>
      </c>
      <c r="D4026" s="29" t="s">
        <v>4194</v>
      </c>
      <c r="E4026" s="62"/>
      <c r="F4026" s="62"/>
      <c r="G4026" s="20" t="str">
        <f t="shared" si="1"/>
        <v>Home &amp; Garden, Linens &amp; Bedding, Table Linens, </v>
      </c>
    </row>
    <row r="4027">
      <c r="A4027" s="29">
        <v>4203.0</v>
      </c>
      <c r="B4027" s="29" t="s">
        <v>3234</v>
      </c>
      <c r="C4027" s="29" t="s">
        <v>4180</v>
      </c>
      <c r="D4027" s="29" t="s">
        <v>4194</v>
      </c>
      <c r="E4027" s="29" t="s">
        <v>4195</v>
      </c>
      <c r="F4027" s="62"/>
      <c r="G4027" s="20" t="str">
        <f t="shared" si="1"/>
        <v>Home &amp; Garden, Linens &amp; Bedding, Table Linens, Cloth Napkins</v>
      </c>
    </row>
    <row r="4028">
      <c r="A4028" s="29">
        <v>4343.0</v>
      </c>
      <c r="B4028" s="29" t="s">
        <v>3234</v>
      </c>
      <c r="C4028" s="29" t="s">
        <v>4180</v>
      </c>
      <c r="D4028" s="29" t="s">
        <v>4194</v>
      </c>
      <c r="E4028" s="29" t="s">
        <v>4196</v>
      </c>
      <c r="F4028" s="62"/>
      <c r="G4028" s="20" t="str">
        <f t="shared" si="1"/>
        <v>Home &amp; Garden, Linens &amp; Bedding, Table Linens, Doilies</v>
      </c>
    </row>
    <row r="4029">
      <c r="A4029" s="29">
        <v>2547.0</v>
      </c>
      <c r="B4029" s="29" t="s">
        <v>3234</v>
      </c>
      <c r="C4029" s="29" t="s">
        <v>4180</v>
      </c>
      <c r="D4029" s="29" t="s">
        <v>4194</v>
      </c>
      <c r="E4029" s="29" t="s">
        <v>4197</v>
      </c>
      <c r="F4029" s="62"/>
      <c r="G4029" s="20" t="str">
        <f t="shared" si="1"/>
        <v>Home &amp; Garden, Linens &amp; Bedding, Table Linens, Placemats</v>
      </c>
    </row>
    <row r="4030">
      <c r="A4030" s="29">
        <v>6325.0</v>
      </c>
      <c r="B4030" s="29" t="s">
        <v>3234</v>
      </c>
      <c r="C4030" s="29" t="s">
        <v>4180</v>
      </c>
      <c r="D4030" s="29" t="s">
        <v>4194</v>
      </c>
      <c r="E4030" s="29" t="s">
        <v>4198</v>
      </c>
      <c r="F4030" s="62"/>
      <c r="G4030" s="20" t="str">
        <f t="shared" si="1"/>
        <v>Home &amp; Garden, Linens &amp; Bedding, Table Linens, Table Runners</v>
      </c>
    </row>
    <row r="4031">
      <c r="A4031" s="29">
        <v>6322.0</v>
      </c>
      <c r="B4031" s="29" t="s">
        <v>3234</v>
      </c>
      <c r="C4031" s="29" t="s">
        <v>4180</v>
      </c>
      <c r="D4031" s="29" t="s">
        <v>4194</v>
      </c>
      <c r="E4031" s="29" t="s">
        <v>4199</v>
      </c>
      <c r="F4031" s="62"/>
      <c r="G4031" s="20" t="str">
        <f t="shared" si="1"/>
        <v>Home &amp; Garden, Linens &amp; Bedding, Table Linens, Table Skirts</v>
      </c>
    </row>
    <row r="4032">
      <c r="A4032" s="29">
        <v>4143.0</v>
      </c>
      <c r="B4032" s="29" t="s">
        <v>3234</v>
      </c>
      <c r="C4032" s="29" t="s">
        <v>4180</v>
      </c>
      <c r="D4032" s="29" t="s">
        <v>4194</v>
      </c>
      <c r="E4032" s="29" t="s">
        <v>4200</v>
      </c>
      <c r="F4032" s="62"/>
      <c r="G4032" s="20" t="str">
        <f t="shared" si="1"/>
        <v>Home &amp; Garden, Linens &amp; Bedding, Table Linens, Tablecloths</v>
      </c>
    </row>
    <row r="4033">
      <c r="A4033" s="29">
        <v>4077.0</v>
      </c>
      <c r="B4033" s="29" t="s">
        <v>3234</v>
      </c>
      <c r="C4033" s="29" t="s">
        <v>4180</v>
      </c>
      <c r="D4033" s="29" t="s">
        <v>4201</v>
      </c>
      <c r="E4033" s="62"/>
      <c r="F4033" s="62"/>
      <c r="G4033" s="20" t="str">
        <f t="shared" si="1"/>
        <v>Home &amp; Garden, Linens &amp; Bedding, Towels, </v>
      </c>
    </row>
    <row r="4034">
      <c r="A4034" s="29">
        <v>576.0</v>
      </c>
      <c r="B4034" s="29" t="s">
        <v>3234</v>
      </c>
      <c r="C4034" s="29" t="s">
        <v>4180</v>
      </c>
      <c r="D4034" s="29" t="s">
        <v>4201</v>
      </c>
      <c r="E4034" s="29" t="s">
        <v>4202</v>
      </c>
      <c r="F4034" s="62"/>
      <c r="G4034" s="20" t="str">
        <f t="shared" si="1"/>
        <v>Home &amp; Garden, Linens &amp; Bedding, Towels, Bath Towels &amp; Washcloths</v>
      </c>
    </row>
    <row r="4035">
      <c r="A4035" s="29">
        <v>4126.0</v>
      </c>
      <c r="B4035" s="29" t="s">
        <v>3234</v>
      </c>
      <c r="C4035" s="29" t="s">
        <v>4180</v>
      </c>
      <c r="D4035" s="29" t="s">
        <v>4201</v>
      </c>
      <c r="E4035" s="29" t="s">
        <v>4203</v>
      </c>
      <c r="F4035" s="62"/>
      <c r="G4035" s="20" t="str">
        <f t="shared" si="1"/>
        <v>Home &amp; Garden, Linens &amp; Bedding, Towels, Beach Towels</v>
      </c>
    </row>
    <row r="4036">
      <c r="A4036" s="29">
        <v>4257.0</v>
      </c>
      <c r="B4036" s="29" t="s">
        <v>3234</v>
      </c>
      <c r="C4036" s="29" t="s">
        <v>4180</v>
      </c>
      <c r="D4036" s="29" t="s">
        <v>4201</v>
      </c>
      <c r="E4036" s="29" t="s">
        <v>4204</v>
      </c>
      <c r="F4036" s="62"/>
      <c r="G4036" s="20" t="str">
        <f t="shared" si="1"/>
        <v>Home &amp; Garden, Linens &amp; Bedding, Towels, Kitchen Towels</v>
      </c>
    </row>
    <row r="4037">
      <c r="A4037" s="29">
        <v>4358.0</v>
      </c>
      <c r="B4037" s="29" t="s">
        <v>3234</v>
      </c>
      <c r="C4037" s="29" t="s">
        <v>4205</v>
      </c>
      <c r="D4037" s="62"/>
      <c r="E4037" s="62"/>
      <c r="F4037" s="62"/>
      <c r="G4037" s="20" t="str">
        <f t="shared" si="1"/>
        <v>Home &amp; Garden, Parasols &amp; Rain Umbrellas, , </v>
      </c>
    </row>
    <row r="4038">
      <c r="A4038" s="29">
        <v>985.0</v>
      </c>
      <c r="B4038" s="29" t="s">
        <v>3234</v>
      </c>
      <c r="C4038" s="29" t="s">
        <v>4206</v>
      </c>
      <c r="D4038" s="62"/>
      <c r="E4038" s="62"/>
      <c r="F4038" s="62"/>
      <c r="G4038" s="20" t="str">
        <f t="shared" si="1"/>
        <v>Home &amp; Garden, Plants, , </v>
      </c>
    </row>
    <row r="4039">
      <c r="A4039" s="29">
        <v>5590.0</v>
      </c>
      <c r="B4039" s="29" t="s">
        <v>3234</v>
      </c>
      <c r="C4039" s="29" t="s">
        <v>4206</v>
      </c>
      <c r="D4039" s="29" t="s">
        <v>4207</v>
      </c>
      <c r="E4039" s="62"/>
      <c r="F4039" s="62"/>
      <c r="G4039" s="20" t="str">
        <f t="shared" si="1"/>
        <v>Home &amp; Garden, Plants, Aquatic Plants, </v>
      </c>
    </row>
    <row r="4040">
      <c r="A4040" s="29">
        <v>984.0</v>
      </c>
      <c r="B4040" s="29" t="s">
        <v>3234</v>
      </c>
      <c r="C4040" s="29" t="s">
        <v>4206</v>
      </c>
      <c r="D4040" s="29" t="s">
        <v>4208</v>
      </c>
      <c r="E4040" s="62"/>
      <c r="F4040" s="62"/>
      <c r="G4040" s="20" t="str">
        <f t="shared" si="1"/>
        <v>Home &amp; Garden, Plants, Flowers, </v>
      </c>
    </row>
    <row r="4041">
      <c r="A4041" s="29">
        <v>6762.0</v>
      </c>
      <c r="B4041" s="29" t="s">
        <v>3234</v>
      </c>
      <c r="C4041" s="29" t="s">
        <v>4206</v>
      </c>
      <c r="D4041" s="29" t="s">
        <v>4209</v>
      </c>
      <c r="E4041" s="62"/>
      <c r="F4041" s="62"/>
      <c r="G4041" s="20" t="str">
        <f t="shared" si="1"/>
        <v>Home &amp; Garden, Plants, Indoor &amp; Outdoor Plants, </v>
      </c>
    </row>
    <row r="4042">
      <c r="A4042" s="29">
        <v>543559.0</v>
      </c>
      <c r="B4042" s="29" t="s">
        <v>3234</v>
      </c>
      <c r="C4042" s="29" t="s">
        <v>4206</v>
      </c>
      <c r="D4042" s="29" t="s">
        <v>4209</v>
      </c>
      <c r="E4042" s="29" t="s">
        <v>4210</v>
      </c>
      <c r="F4042" s="62"/>
      <c r="G4042" s="20" t="str">
        <f t="shared" si="1"/>
        <v>Home &amp; Garden, Plants, Indoor &amp; Outdoor Plants, Bushes &amp; Shrubs</v>
      </c>
    </row>
    <row r="4043">
      <c r="A4043" s="29">
        <v>543560.0</v>
      </c>
      <c r="B4043" s="29" t="s">
        <v>3234</v>
      </c>
      <c r="C4043" s="29" t="s">
        <v>4206</v>
      </c>
      <c r="D4043" s="29" t="s">
        <v>4209</v>
      </c>
      <c r="E4043" s="29" t="s">
        <v>4211</v>
      </c>
      <c r="F4043" s="62"/>
      <c r="G4043" s="20" t="str">
        <f t="shared" si="1"/>
        <v>Home &amp; Garden, Plants, Indoor &amp; Outdoor Plants, Landscaping &amp; Garden Plants</v>
      </c>
    </row>
    <row r="4044">
      <c r="A4044" s="29">
        <v>543558.0</v>
      </c>
      <c r="B4044" s="29" t="s">
        <v>3234</v>
      </c>
      <c r="C4044" s="29" t="s">
        <v>4206</v>
      </c>
      <c r="D4044" s="29" t="s">
        <v>4209</v>
      </c>
      <c r="E4044" s="29" t="s">
        <v>4212</v>
      </c>
      <c r="F4044" s="62"/>
      <c r="G4044" s="20" t="str">
        <f t="shared" si="1"/>
        <v>Home &amp; Garden, Plants, Indoor &amp; Outdoor Plants, Potted Houseplants</v>
      </c>
    </row>
    <row r="4045">
      <c r="A4045" s="29">
        <v>505285.0</v>
      </c>
      <c r="B4045" s="29" t="s">
        <v>3234</v>
      </c>
      <c r="C4045" s="29" t="s">
        <v>4206</v>
      </c>
      <c r="D4045" s="29" t="s">
        <v>4213</v>
      </c>
      <c r="F4045" s="62"/>
      <c r="G4045" s="20" t="str">
        <f t="shared" si="1"/>
        <v>Home &amp; Garden, Plants, Plant &amp; Herb Growing Kits, </v>
      </c>
    </row>
    <row r="4046">
      <c r="A4046" s="29">
        <v>2802.0</v>
      </c>
      <c r="B4046" s="29" t="s">
        <v>3234</v>
      </c>
      <c r="C4046" s="29" t="s">
        <v>4206</v>
      </c>
      <c r="D4046" s="29" t="s">
        <v>4214</v>
      </c>
      <c r="E4046" s="62"/>
      <c r="F4046" s="62"/>
      <c r="G4046" s="20" t="str">
        <f t="shared" si="1"/>
        <v>Home &amp; Garden, Plants, Seeds, </v>
      </c>
    </row>
    <row r="4047">
      <c r="A4047" s="29">
        <v>543561.0</v>
      </c>
      <c r="B4047" s="29" t="s">
        <v>3234</v>
      </c>
      <c r="C4047" s="29" t="s">
        <v>4206</v>
      </c>
      <c r="D4047" s="29" t="s">
        <v>4214</v>
      </c>
      <c r="E4047" s="29" t="s">
        <v>4215</v>
      </c>
      <c r="F4047" s="62"/>
      <c r="G4047" s="20" t="str">
        <f t="shared" si="1"/>
        <v>Home &amp; Garden, Plants, Seeds, Plant &amp; Flower Bulbs</v>
      </c>
    </row>
    <row r="4048">
      <c r="A4048" s="29">
        <v>543562.0</v>
      </c>
      <c r="B4048" s="29" t="s">
        <v>3234</v>
      </c>
      <c r="C4048" s="29" t="s">
        <v>4206</v>
      </c>
      <c r="D4048" s="29" t="s">
        <v>4214</v>
      </c>
      <c r="E4048" s="29" t="s">
        <v>4216</v>
      </c>
      <c r="F4048" s="62"/>
      <c r="G4048" s="20" t="str">
        <f t="shared" si="1"/>
        <v>Home &amp; Garden, Plants, Seeds, Seeds &amp; Seed Tape</v>
      </c>
    </row>
    <row r="4049">
      <c r="A4049" s="29">
        <v>1684.0</v>
      </c>
      <c r="B4049" s="29" t="s">
        <v>3234</v>
      </c>
      <c r="C4049" s="29" t="s">
        <v>4206</v>
      </c>
      <c r="D4049" s="29" t="s">
        <v>4217</v>
      </c>
      <c r="E4049" s="62"/>
      <c r="F4049" s="62"/>
      <c r="G4049" s="20" t="str">
        <f t="shared" si="1"/>
        <v>Home &amp; Garden, Plants, Trees, </v>
      </c>
    </row>
    <row r="4050">
      <c r="A4050" s="29">
        <v>729.0</v>
      </c>
      <c r="B4050" s="29" t="s">
        <v>3234</v>
      </c>
      <c r="C4050" s="29" t="s">
        <v>4218</v>
      </c>
      <c r="D4050" s="62"/>
      <c r="E4050" s="62"/>
      <c r="F4050" s="62"/>
      <c r="G4050" s="20" t="str">
        <f t="shared" si="1"/>
        <v>Home &amp; Garden, Pool &amp; Spa, , </v>
      </c>
    </row>
    <row r="4051">
      <c r="A4051" s="29">
        <v>2832.0</v>
      </c>
      <c r="B4051" s="29" t="s">
        <v>3234</v>
      </c>
      <c r="C4051" s="29" t="s">
        <v>4218</v>
      </c>
      <c r="D4051" s="29" t="s">
        <v>4219</v>
      </c>
      <c r="E4051" s="62"/>
      <c r="F4051" s="62"/>
      <c r="G4051" s="20" t="str">
        <f t="shared" si="1"/>
        <v>Home &amp; Garden, Pool &amp; Spa, Pool &amp; Spa Accessories, </v>
      </c>
    </row>
    <row r="4052">
      <c r="A4052" s="29">
        <v>2939.0</v>
      </c>
      <c r="B4052" s="29" t="s">
        <v>3234</v>
      </c>
      <c r="C4052" s="29" t="s">
        <v>4218</v>
      </c>
      <c r="D4052" s="29" t="s">
        <v>4219</v>
      </c>
      <c r="E4052" s="29" t="s">
        <v>4220</v>
      </c>
      <c r="F4052" s="62"/>
      <c r="G4052" s="20" t="str">
        <f t="shared" si="1"/>
        <v>Home &amp; Garden, Pool &amp; Spa, Pool &amp; Spa Accessories, Diving Boards</v>
      </c>
    </row>
    <row r="4053">
      <c r="A4053" s="29">
        <v>500042.0</v>
      </c>
      <c r="B4053" s="29" t="s">
        <v>3234</v>
      </c>
      <c r="C4053" s="29" t="s">
        <v>4218</v>
      </c>
      <c r="D4053" s="29" t="s">
        <v>4219</v>
      </c>
      <c r="E4053" s="29" t="s">
        <v>4221</v>
      </c>
      <c r="F4053" s="62"/>
      <c r="G4053" s="20" t="str">
        <f t="shared" si="1"/>
        <v>Home &amp; Garden, Pool &amp; Spa, Pool &amp; Spa Accessories, Pool &amp; Spa Chlorine Generators</v>
      </c>
    </row>
    <row r="4054">
      <c r="A4054" s="29">
        <v>2981.0</v>
      </c>
      <c r="B4054" s="29" t="s">
        <v>3234</v>
      </c>
      <c r="C4054" s="29" t="s">
        <v>4218</v>
      </c>
      <c r="D4054" s="29" t="s">
        <v>4219</v>
      </c>
      <c r="E4054" s="29" t="s">
        <v>4222</v>
      </c>
      <c r="F4054" s="62"/>
      <c r="G4054" s="20" t="str">
        <f t="shared" si="1"/>
        <v>Home &amp; Garden, Pool &amp; Spa, Pool &amp; Spa Accessories, Pool &amp; Spa Filters</v>
      </c>
    </row>
    <row r="4055">
      <c r="A4055" s="29">
        <v>505815.0</v>
      </c>
      <c r="B4055" s="29" t="s">
        <v>3234</v>
      </c>
      <c r="C4055" s="29" t="s">
        <v>4218</v>
      </c>
      <c r="D4055" s="29" t="s">
        <v>4219</v>
      </c>
      <c r="E4055" s="29" t="s">
        <v>4223</v>
      </c>
      <c r="F4055" s="62"/>
      <c r="G4055" s="20" t="str">
        <f t="shared" si="1"/>
        <v>Home &amp; Garden, Pool &amp; Spa, Pool &amp; Spa Accessories, Pool &amp; Spa Maintenance Kits</v>
      </c>
    </row>
    <row r="4056">
      <c r="A4056" s="29">
        <v>6996.0</v>
      </c>
      <c r="B4056" s="29" t="s">
        <v>3234</v>
      </c>
      <c r="C4056" s="29" t="s">
        <v>4218</v>
      </c>
      <c r="D4056" s="29" t="s">
        <v>4219</v>
      </c>
      <c r="E4056" s="29" t="s">
        <v>4224</v>
      </c>
      <c r="F4056" s="62"/>
      <c r="G4056" s="20" t="str">
        <f t="shared" si="1"/>
        <v>Home &amp; Garden, Pool &amp; Spa, Pool &amp; Spa Accessories, Pool Brushes &amp; Brooms</v>
      </c>
    </row>
    <row r="4057">
      <c r="A4057" s="29">
        <v>6771.0</v>
      </c>
      <c r="B4057" s="29" t="s">
        <v>3234</v>
      </c>
      <c r="C4057" s="29" t="s">
        <v>4218</v>
      </c>
      <c r="D4057" s="29" t="s">
        <v>4219</v>
      </c>
      <c r="E4057" s="29" t="s">
        <v>4225</v>
      </c>
      <c r="F4057" s="62"/>
      <c r="G4057" s="20" t="str">
        <f t="shared" si="1"/>
        <v>Home &amp; Garden, Pool &amp; Spa, Pool &amp; Spa Accessories, Pool Cleaner Hoses</v>
      </c>
    </row>
    <row r="4058">
      <c r="A4058" s="29">
        <v>3017.0</v>
      </c>
      <c r="B4058" s="29" t="s">
        <v>3234</v>
      </c>
      <c r="C4058" s="29" t="s">
        <v>4218</v>
      </c>
      <c r="D4058" s="29" t="s">
        <v>4219</v>
      </c>
      <c r="E4058" s="29" t="s">
        <v>4226</v>
      </c>
      <c r="F4058" s="62"/>
      <c r="G4058" s="20" t="str">
        <f t="shared" si="1"/>
        <v>Home &amp; Garden, Pool &amp; Spa, Pool &amp; Spa Accessories, Pool Cleaners &amp; Chemicals</v>
      </c>
    </row>
    <row r="4059">
      <c r="A4059" s="29">
        <v>500050.0</v>
      </c>
      <c r="B4059" s="29" t="s">
        <v>3234</v>
      </c>
      <c r="C4059" s="29" t="s">
        <v>4218</v>
      </c>
      <c r="D4059" s="29" t="s">
        <v>4219</v>
      </c>
      <c r="E4059" s="29" t="s">
        <v>4227</v>
      </c>
      <c r="F4059" s="62"/>
      <c r="G4059" s="20" t="str">
        <f t="shared" si="1"/>
        <v>Home &amp; Garden, Pool &amp; Spa, Pool &amp; Spa Accessories, Pool Cover Accessories</v>
      </c>
    </row>
    <row r="4060">
      <c r="A4060" s="29">
        <v>2994.0</v>
      </c>
      <c r="B4060" s="29" t="s">
        <v>3234</v>
      </c>
      <c r="C4060" s="29" t="s">
        <v>4218</v>
      </c>
      <c r="D4060" s="29" t="s">
        <v>4219</v>
      </c>
      <c r="E4060" s="29" t="s">
        <v>4228</v>
      </c>
      <c r="F4060" s="62"/>
      <c r="G4060" s="20" t="str">
        <f t="shared" si="1"/>
        <v>Home &amp; Garden, Pool &amp; Spa, Pool &amp; Spa Accessories, Pool Covers &amp; Ground Cloths</v>
      </c>
    </row>
    <row r="4061">
      <c r="A4061" s="29">
        <v>7496.0</v>
      </c>
      <c r="B4061" s="29" t="s">
        <v>3234</v>
      </c>
      <c r="C4061" s="29" t="s">
        <v>4218</v>
      </c>
      <c r="D4061" s="29" t="s">
        <v>4219</v>
      </c>
      <c r="E4061" s="29" t="s">
        <v>4229</v>
      </c>
      <c r="F4061" s="62"/>
      <c r="G4061" s="20" t="str">
        <f t="shared" si="1"/>
        <v>Home &amp; Garden, Pool &amp; Spa, Pool &amp; Spa Accessories, Pool Deck Kits</v>
      </c>
    </row>
    <row r="4062">
      <c r="A4062" s="29">
        <v>2860.0</v>
      </c>
      <c r="B4062" s="29" t="s">
        <v>3234</v>
      </c>
      <c r="C4062" s="29" t="s">
        <v>4218</v>
      </c>
      <c r="D4062" s="29" t="s">
        <v>4219</v>
      </c>
      <c r="E4062" s="29" t="s">
        <v>4230</v>
      </c>
      <c r="F4062" s="62"/>
      <c r="G4062" s="20" t="str">
        <f t="shared" si="1"/>
        <v>Home &amp; Garden, Pool &amp; Spa, Pool &amp; Spa Accessories, Pool Floats &amp; Loungers</v>
      </c>
    </row>
    <row r="4063">
      <c r="A4063" s="29">
        <v>5654.0</v>
      </c>
      <c r="B4063" s="29" t="s">
        <v>3234</v>
      </c>
      <c r="C4063" s="29" t="s">
        <v>4218</v>
      </c>
      <c r="D4063" s="29" t="s">
        <v>4219</v>
      </c>
      <c r="E4063" s="29" t="s">
        <v>4231</v>
      </c>
      <c r="F4063" s="62"/>
      <c r="G4063" s="20" t="str">
        <f t="shared" si="1"/>
        <v>Home &amp; Garden, Pool &amp; Spa, Pool &amp; Spa Accessories, Pool Heaters</v>
      </c>
    </row>
    <row r="4064">
      <c r="A4064" s="29">
        <v>6766.0</v>
      </c>
      <c r="B4064" s="29" t="s">
        <v>3234</v>
      </c>
      <c r="C4064" s="29" t="s">
        <v>4218</v>
      </c>
      <c r="D4064" s="29" t="s">
        <v>4219</v>
      </c>
      <c r="E4064" s="29" t="s">
        <v>4232</v>
      </c>
      <c r="F4064" s="62"/>
      <c r="G4064" s="20" t="str">
        <f t="shared" si="1"/>
        <v>Home &amp; Garden, Pool &amp; Spa, Pool &amp; Spa Accessories, Pool Ladders, Steps &amp; Ramps</v>
      </c>
    </row>
    <row r="4065">
      <c r="A4065" s="29">
        <v>503751.0</v>
      </c>
      <c r="B4065" s="29" t="s">
        <v>3234</v>
      </c>
      <c r="C4065" s="29" t="s">
        <v>4218</v>
      </c>
      <c r="D4065" s="29" t="s">
        <v>4219</v>
      </c>
      <c r="E4065" s="29" t="s">
        <v>4233</v>
      </c>
      <c r="F4065" s="62"/>
      <c r="G4065" s="20" t="str">
        <f t="shared" si="1"/>
        <v>Home &amp; Garden, Pool &amp; Spa, Pool &amp; Spa Accessories, Pool Liners</v>
      </c>
    </row>
    <row r="4066">
      <c r="A4066" s="29">
        <v>2755.0</v>
      </c>
      <c r="B4066" s="29" t="s">
        <v>3234</v>
      </c>
      <c r="C4066" s="29" t="s">
        <v>4218</v>
      </c>
      <c r="D4066" s="29" t="s">
        <v>4219</v>
      </c>
      <c r="E4066" s="29" t="s">
        <v>4234</v>
      </c>
      <c r="F4066" s="62"/>
      <c r="G4066" s="20" t="str">
        <f t="shared" si="1"/>
        <v>Home &amp; Garden, Pool &amp; Spa, Pool &amp; Spa Accessories, Pool Skimmers</v>
      </c>
    </row>
    <row r="4067">
      <c r="A4067" s="29">
        <v>2997.0</v>
      </c>
      <c r="B4067" s="29" t="s">
        <v>3234</v>
      </c>
      <c r="C4067" s="29" t="s">
        <v>4218</v>
      </c>
      <c r="D4067" s="29" t="s">
        <v>4219</v>
      </c>
      <c r="E4067" s="29" t="s">
        <v>4235</v>
      </c>
      <c r="F4067" s="62"/>
      <c r="G4067" s="20" t="str">
        <f t="shared" si="1"/>
        <v>Home &amp; Garden, Pool &amp; Spa, Pool &amp; Spa Accessories, Pool Sweeps &amp; Vacuums</v>
      </c>
    </row>
    <row r="4068">
      <c r="A4068" s="29">
        <v>2672.0</v>
      </c>
      <c r="B4068" s="29" t="s">
        <v>3234</v>
      </c>
      <c r="C4068" s="29" t="s">
        <v>4218</v>
      </c>
      <c r="D4068" s="29" t="s">
        <v>4219</v>
      </c>
      <c r="E4068" s="29" t="s">
        <v>4236</v>
      </c>
      <c r="F4068" s="62"/>
      <c r="G4068" s="20" t="str">
        <f t="shared" si="1"/>
        <v>Home &amp; Garden, Pool &amp; Spa, Pool &amp; Spa Accessories, Pool Toys</v>
      </c>
    </row>
    <row r="4069">
      <c r="A4069" s="29">
        <v>5546.0</v>
      </c>
      <c r="B4069" s="29" t="s">
        <v>3234</v>
      </c>
      <c r="C4069" s="29" t="s">
        <v>4218</v>
      </c>
      <c r="D4069" s="29" t="s">
        <v>4219</v>
      </c>
      <c r="E4069" s="29" t="s">
        <v>4237</v>
      </c>
      <c r="F4069" s="62"/>
      <c r="G4069" s="20" t="str">
        <f t="shared" si="1"/>
        <v>Home &amp; Garden, Pool &amp; Spa, Pool &amp; Spa Accessories, Pool Water Slides</v>
      </c>
    </row>
    <row r="4070">
      <c r="A4070" s="29">
        <v>543687.0</v>
      </c>
      <c r="B4070" s="29" t="s">
        <v>3234</v>
      </c>
      <c r="C4070" s="29" t="s">
        <v>4218</v>
      </c>
      <c r="D4070" s="29" t="s">
        <v>4238</v>
      </c>
      <c r="E4070" s="62"/>
      <c r="F4070" s="62"/>
      <c r="G4070" s="20" t="str">
        <f t="shared" si="1"/>
        <v>Home &amp; Garden, Pool &amp; Spa, Sauna Accessories, </v>
      </c>
    </row>
    <row r="4071">
      <c r="A4071" s="29">
        <v>543633.0</v>
      </c>
      <c r="B4071" s="29" t="s">
        <v>3234</v>
      </c>
      <c r="C4071" s="29" t="s">
        <v>4218</v>
      </c>
      <c r="D4071" s="29" t="s">
        <v>4238</v>
      </c>
      <c r="E4071" s="29" t="s">
        <v>4239</v>
      </c>
      <c r="F4071" s="62"/>
      <c r="G4071" s="20" t="str">
        <f t="shared" si="1"/>
        <v>Home &amp; Garden, Pool &amp; Spa, Sauna Accessories, Sauna Buckets &amp; Ladles</v>
      </c>
    </row>
    <row r="4072">
      <c r="A4072" s="29">
        <v>543632.0</v>
      </c>
      <c r="B4072" s="29" t="s">
        <v>3234</v>
      </c>
      <c r="C4072" s="29" t="s">
        <v>4218</v>
      </c>
      <c r="D4072" s="29" t="s">
        <v>4238</v>
      </c>
      <c r="E4072" s="29" t="s">
        <v>4240</v>
      </c>
      <c r="F4072" s="62"/>
      <c r="G4072" s="20" t="str">
        <f t="shared" si="1"/>
        <v>Home &amp; Garden, Pool &amp; Spa, Sauna Accessories, Sauna Heaters</v>
      </c>
    </row>
    <row r="4073">
      <c r="A4073" s="29">
        <v>543631.0</v>
      </c>
      <c r="B4073" s="29" t="s">
        <v>3234</v>
      </c>
      <c r="C4073" s="29" t="s">
        <v>4218</v>
      </c>
      <c r="D4073" s="29" t="s">
        <v>4238</v>
      </c>
      <c r="E4073" s="29" t="s">
        <v>4241</v>
      </c>
      <c r="F4073" s="62"/>
      <c r="G4073" s="20" t="str">
        <f t="shared" si="1"/>
        <v>Home &amp; Garden, Pool &amp; Spa, Sauna Accessories, Sauna Kits</v>
      </c>
    </row>
    <row r="4074">
      <c r="A4074" s="29">
        <v>3992.0</v>
      </c>
      <c r="B4074" s="29" t="s">
        <v>3234</v>
      </c>
      <c r="C4074" s="29" t="s">
        <v>4218</v>
      </c>
      <c r="D4074" s="29" t="s">
        <v>4242</v>
      </c>
      <c r="E4074" s="62"/>
      <c r="F4074" s="62"/>
      <c r="G4074" s="20" t="str">
        <f t="shared" si="1"/>
        <v>Home &amp; Garden, Pool &amp; Spa, Saunas, </v>
      </c>
    </row>
    <row r="4075">
      <c r="A4075" s="29">
        <v>2982.0</v>
      </c>
      <c r="B4075" s="29" t="s">
        <v>3234</v>
      </c>
      <c r="C4075" s="29" t="s">
        <v>4218</v>
      </c>
      <c r="D4075" s="29" t="s">
        <v>4243</v>
      </c>
      <c r="E4075" s="62"/>
      <c r="F4075" s="62"/>
      <c r="G4075" s="20" t="str">
        <f t="shared" si="1"/>
        <v>Home &amp; Garden, Pool &amp; Spa, Spas, </v>
      </c>
    </row>
    <row r="4076">
      <c r="A4076" s="29">
        <v>2810.0</v>
      </c>
      <c r="B4076" s="29" t="s">
        <v>3234</v>
      </c>
      <c r="C4076" s="29" t="s">
        <v>4218</v>
      </c>
      <c r="D4076" s="29" t="s">
        <v>4244</v>
      </c>
      <c r="E4076" s="62"/>
      <c r="F4076" s="62"/>
      <c r="G4076" s="20" t="str">
        <f t="shared" si="1"/>
        <v>Home &amp; Garden, Pool &amp; Spa, Swimming Pools, </v>
      </c>
    </row>
    <row r="4077">
      <c r="A4077" s="29">
        <v>600.0</v>
      </c>
      <c r="B4077" s="29" t="s">
        <v>3234</v>
      </c>
      <c r="C4077" s="29" t="s">
        <v>4245</v>
      </c>
      <c r="D4077" s="62"/>
      <c r="E4077" s="62"/>
      <c r="F4077" s="62"/>
      <c r="G4077" s="20" t="str">
        <f t="shared" si="1"/>
        <v>Home &amp; Garden, Smoking Accessories, , </v>
      </c>
    </row>
    <row r="4078">
      <c r="A4078" s="29">
        <v>4082.0</v>
      </c>
      <c r="B4078" s="29" t="s">
        <v>3234</v>
      </c>
      <c r="C4078" s="29" t="s">
        <v>4245</v>
      </c>
      <c r="D4078" s="29" t="s">
        <v>4246</v>
      </c>
      <c r="E4078" s="62"/>
      <c r="F4078" s="62"/>
      <c r="G4078" s="20" t="str">
        <f t="shared" si="1"/>
        <v>Home &amp; Garden, Smoking Accessories, Ashtrays, </v>
      </c>
    </row>
    <row r="4079">
      <c r="A4079" s="29">
        <v>6882.0</v>
      </c>
      <c r="B4079" s="29" t="s">
        <v>3234</v>
      </c>
      <c r="C4079" s="29" t="s">
        <v>4245</v>
      </c>
      <c r="D4079" s="29" t="s">
        <v>4247</v>
      </c>
      <c r="E4079" s="62"/>
      <c r="F4079" s="62"/>
      <c r="G4079" s="20" t="str">
        <f t="shared" si="1"/>
        <v>Home &amp; Garden, Smoking Accessories, Cigar Cases, </v>
      </c>
    </row>
    <row r="4080">
      <c r="A4080" s="29">
        <v>6879.0</v>
      </c>
      <c r="B4080" s="29" t="s">
        <v>3234</v>
      </c>
      <c r="C4080" s="29" t="s">
        <v>4245</v>
      </c>
      <c r="D4080" s="29" t="s">
        <v>4248</v>
      </c>
      <c r="E4080" s="62"/>
      <c r="F4080" s="62"/>
      <c r="G4080" s="20" t="str">
        <f t="shared" si="1"/>
        <v>Home &amp; Garden, Smoking Accessories, Cigar Cutters &amp; Punches, </v>
      </c>
    </row>
    <row r="4081">
      <c r="A4081" s="29">
        <v>6881.0</v>
      </c>
      <c r="B4081" s="29" t="s">
        <v>3234</v>
      </c>
      <c r="C4081" s="29" t="s">
        <v>4245</v>
      </c>
      <c r="D4081" s="29" t="s">
        <v>4249</v>
      </c>
      <c r="E4081" s="62"/>
      <c r="F4081" s="62"/>
      <c r="G4081" s="20" t="str">
        <f t="shared" si="1"/>
        <v>Home &amp; Garden, Smoking Accessories, Cigarette Cases, </v>
      </c>
    </row>
    <row r="4082">
      <c r="A4082" s="29">
        <v>500007.0</v>
      </c>
      <c r="B4082" s="29" t="s">
        <v>3234</v>
      </c>
      <c r="C4082" s="29" t="s">
        <v>4245</v>
      </c>
      <c r="D4082" s="29" t="s">
        <v>4250</v>
      </c>
      <c r="E4082" s="62"/>
      <c r="F4082" s="62"/>
      <c r="G4082" s="20" t="str">
        <f t="shared" si="1"/>
        <v>Home &amp; Garden, Smoking Accessories, Cigarette Holders, </v>
      </c>
    </row>
    <row r="4083">
      <c r="A4083" s="29">
        <v>6880.0</v>
      </c>
      <c r="B4083" s="29" t="s">
        <v>3234</v>
      </c>
      <c r="C4083" s="29" t="s">
        <v>4245</v>
      </c>
      <c r="D4083" s="29" t="s">
        <v>4251</v>
      </c>
      <c r="E4083" s="62"/>
      <c r="F4083" s="62"/>
      <c r="G4083" s="20" t="str">
        <f t="shared" si="1"/>
        <v>Home &amp; Garden, Smoking Accessories, Humidor Accessories, </v>
      </c>
    </row>
    <row r="4084">
      <c r="A4084" s="29">
        <v>6878.0</v>
      </c>
      <c r="B4084" s="29" t="s">
        <v>3234</v>
      </c>
      <c r="C4084" s="29" t="s">
        <v>4245</v>
      </c>
      <c r="D4084" s="29" t="s">
        <v>4252</v>
      </c>
      <c r="E4084" s="62"/>
      <c r="F4084" s="62"/>
      <c r="G4084" s="20" t="str">
        <f t="shared" si="1"/>
        <v>Home &amp; Garden, Smoking Accessories, Humidors, </v>
      </c>
    </row>
    <row r="4085">
      <c r="A4085" s="29">
        <v>6173.0</v>
      </c>
      <c r="B4085" s="29" t="s">
        <v>3234</v>
      </c>
      <c r="C4085" s="29" t="s">
        <v>4253</v>
      </c>
      <c r="D4085" s="62"/>
      <c r="E4085" s="62"/>
      <c r="F4085" s="62"/>
      <c r="G4085" s="20" t="str">
        <f t="shared" si="1"/>
        <v>Home &amp; Garden, Umbrella Sleeves &amp; Cases, , </v>
      </c>
    </row>
    <row r="4086">
      <c r="A4086" s="29">
        <v>2639.0</v>
      </c>
      <c r="B4086" s="29" t="s">
        <v>3234</v>
      </c>
      <c r="C4086" s="29" t="s">
        <v>4254</v>
      </c>
      <c r="D4086" s="62"/>
      <c r="E4086" s="62"/>
      <c r="F4086" s="62"/>
      <c r="G4086" s="20" t="str">
        <f t="shared" si="1"/>
        <v>Home &amp; Garden, Wood Stoves, , </v>
      </c>
    </row>
    <row r="4087">
      <c r="A4087" s="29">
        <v>5181.0</v>
      </c>
      <c r="B4087" s="29" t="s">
        <v>4255</v>
      </c>
      <c r="C4087" s="62"/>
      <c r="D4087" s="62"/>
      <c r="E4087" s="62"/>
      <c r="F4087" s="62"/>
      <c r="G4087" s="20" t="str">
        <f t="shared" si="1"/>
        <v>Luggage &amp; Bags, , , </v>
      </c>
    </row>
    <row r="4088">
      <c r="A4088" s="29">
        <v>100.0</v>
      </c>
      <c r="B4088" s="29" t="s">
        <v>4255</v>
      </c>
      <c r="C4088" s="29" t="s">
        <v>4256</v>
      </c>
      <c r="D4088" s="62"/>
      <c r="E4088" s="62"/>
      <c r="F4088" s="62"/>
      <c r="G4088" s="20" t="str">
        <f t="shared" si="1"/>
        <v>Luggage &amp; Bags, Backpacks, , </v>
      </c>
    </row>
    <row r="4089">
      <c r="A4089" s="29">
        <v>101.0</v>
      </c>
      <c r="B4089" s="29" t="s">
        <v>4255</v>
      </c>
      <c r="C4089" s="29" t="s">
        <v>4257</v>
      </c>
      <c r="D4089" s="62"/>
      <c r="E4089" s="62"/>
      <c r="F4089" s="62"/>
      <c r="G4089" s="20" t="str">
        <f t="shared" si="1"/>
        <v>Luggage &amp; Bags, Briefcases, , </v>
      </c>
    </row>
    <row r="4090">
      <c r="A4090" s="29">
        <v>108.0</v>
      </c>
      <c r="B4090" s="29" t="s">
        <v>4255</v>
      </c>
      <c r="C4090" s="29" t="s">
        <v>4258</v>
      </c>
      <c r="D4090" s="62"/>
      <c r="E4090" s="62"/>
      <c r="F4090" s="62"/>
      <c r="G4090" s="20" t="str">
        <f t="shared" si="1"/>
        <v>Luggage &amp; Bags, Cosmetic &amp; Toiletry Bags, , </v>
      </c>
    </row>
    <row r="4091">
      <c r="A4091" s="29">
        <v>549.0</v>
      </c>
      <c r="B4091" s="29" t="s">
        <v>4255</v>
      </c>
      <c r="C4091" s="29" t="s">
        <v>4259</v>
      </c>
      <c r="D4091" s="62"/>
      <c r="E4091" s="62"/>
      <c r="F4091" s="62"/>
      <c r="G4091" s="20" t="str">
        <f t="shared" si="1"/>
        <v>Luggage &amp; Bags, Diaper Bags, , </v>
      </c>
    </row>
    <row r="4092">
      <c r="A4092" s="29">
        <v>502974.0</v>
      </c>
      <c r="B4092" s="29" t="s">
        <v>4255</v>
      </c>
      <c r="C4092" s="29" t="s">
        <v>4260</v>
      </c>
      <c r="D4092" s="62"/>
      <c r="E4092" s="62"/>
      <c r="F4092" s="62"/>
      <c r="G4092" s="20" t="str">
        <f t="shared" si="1"/>
        <v>Luggage &amp; Bags, Dry Boxes, , </v>
      </c>
    </row>
    <row r="4093">
      <c r="A4093" s="29">
        <v>103.0</v>
      </c>
      <c r="B4093" s="29" t="s">
        <v>4255</v>
      </c>
      <c r="C4093" s="29" t="s">
        <v>4261</v>
      </c>
      <c r="D4093" s="62"/>
      <c r="E4093" s="62"/>
      <c r="F4093" s="62"/>
      <c r="G4093" s="20" t="str">
        <f t="shared" si="1"/>
        <v>Luggage &amp; Bags, Duffel Bags, , </v>
      </c>
    </row>
    <row r="4094">
      <c r="A4094" s="29">
        <v>104.0</v>
      </c>
      <c r="B4094" s="29" t="s">
        <v>4255</v>
      </c>
      <c r="C4094" s="29" t="s">
        <v>4262</v>
      </c>
      <c r="D4094" s="62"/>
      <c r="E4094" s="62"/>
      <c r="F4094" s="62"/>
      <c r="G4094" s="20" t="str">
        <f t="shared" si="1"/>
        <v>Luggage &amp; Bags, Fanny Packs, , </v>
      </c>
    </row>
    <row r="4095">
      <c r="A4095" s="29">
        <v>105.0</v>
      </c>
      <c r="B4095" s="29" t="s">
        <v>4255</v>
      </c>
      <c r="C4095" s="29" t="s">
        <v>4263</v>
      </c>
      <c r="D4095" s="62"/>
      <c r="E4095" s="62"/>
      <c r="F4095" s="62"/>
      <c r="G4095" s="20" t="str">
        <f t="shared" si="1"/>
        <v>Luggage &amp; Bags, Garment Bags, , </v>
      </c>
    </row>
    <row r="4096">
      <c r="A4096" s="29">
        <v>110.0</v>
      </c>
      <c r="B4096" s="29" t="s">
        <v>4255</v>
      </c>
      <c r="C4096" s="29" t="s">
        <v>4264</v>
      </c>
      <c r="D4096" s="62"/>
      <c r="E4096" s="62"/>
      <c r="F4096" s="62"/>
      <c r="G4096" s="20" t="str">
        <f t="shared" si="1"/>
        <v>Luggage &amp; Bags, Luggage Accessories, , </v>
      </c>
    </row>
    <row r="4097">
      <c r="A4097" s="29">
        <v>503014.0</v>
      </c>
      <c r="B4097" s="29" t="s">
        <v>4255</v>
      </c>
      <c r="C4097" s="29" t="s">
        <v>4264</v>
      </c>
      <c r="D4097" s="29" t="s">
        <v>4265</v>
      </c>
      <c r="E4097" s="62"/>
      <c r="F4097" s="62"/>
      <c r="G4097" s="20" t="str">
        <f t="shared" si="1"/>
        <v>Luggage &amp; Bags, Luggage Accessories, Dry Box Liners &amp; Inserts, </v>
      </c>
    </row>
    <row r="4098">
      <c r="A4098" s="29">
        <v>7521.0</v>
      </c>
      <c r="B4098" s="29" t="s">
        <v>4255</v>
      </c>
      <c r="C4098" s="29" t="s">
        <v>4264</v>
      </c>
      <c r="D4098" s="29" t="s">
        <v>4266</v>
      </c>
      <c r="E4098" s="62"/>
      <c r="F4098" s="62"/>
      <c r="G4098" s="20" t="str">
        <f t="shared" si="1"/>
        <v>Luggage &amp; Bags, Luggage Accessories, Luggage Covers, </v>
      </c>
    </row>
    <row r="4099">
      <c r="A4099" s="29">
        <v>499691.0</v>
      </c>
      <c r="B4099" s="29" t="s">
        <v>4255</v>
      </c>
      <c r="C4099" s="29" t="s">
        <v>4264</v>
      </c>
      <c r="D4099" s="29" t="s">
        <v>4267</v>
      </c>
      <c r="E4099" s="62"/>
      <c r="F4099" s="62"/>
      <c r="G4099" s="20" t="str">
        <f t="shared" si="1"/>
        <v>Luggage &amp; Bags, Luggage Accessories, Luggage Racks &amp; Stands, </v>
      </c>
    </row>
    <row r="4100">
      <c r="A4100" s="29">
        <v>5652.0</v>
      </c>
      <c r="B4100" s="29" t="s">
        <v>4255</v>
      </c>
      <c r="C4100" s="29" t="s">
        <v>4264</v>
      </c>
      <c r="D4100" s="29" t="s">
        <v>4268</v>
      </c>
      <c r="E4100" s="62"/>
      <c r="F4100" s="62"/>
      <c r="G4100" s="20" t="str">
        <f t="shared" si="1"/>
        <v>Luggage &amp; Bags, Luggage Accessories, Luggage Straps, </v>
      </c>
    </row>
    <row r="4101">
      <c r="A4101" s="29">
        <v>5651.0</v>
      </c>
      <c r="B4101" s="29" t="s">
        <v>4255</v>
      </c>
      <c r="C4101" s="29" t="s">
        <v>4264</v>
      </c>
      <c r="D4101" s="29" t="s">
        <v>4269</v>
      </c>
      <c r="E4101" s="62"/>
      <c r="F4101" s="62"/>
      <c r="G4101" s="20" t="str">
        <f t="shared" si="1"/>
        <v>Luggage &amp; Bags, Luggage Accessories, Luggage Tags, </v>
      </c>
    </row>
    <row r="4102">
      <c r="A4102" s="29">
        <v>5620.0</v>
      </c>
      <c r="B4102" s="29" t="s">
        <v>4255</v>
      </c>
      <c r="C4102" s="29" t="s">
        <v>4264</v>
      </c>
      <c r="D4102" s="29" t="s">
        <v>4270</v>
      </c>
      <c r="E4102" s="62"/>
      <c r="F4102" s="62"/>
      <c r="G4102" s="20" t="str">
        <f t="shared" si="1"/>
        <v>Luggage &amp; Bags, Luggage Accessories, Packing Organizers, </v>
      </c>
    </row>
    <row r="4103">
      <c r="A4103" s="29">
        <v>6919.0</v>
      </c>
      <c r="B4103" s="29" t="s">
        <v>4255</v>
      </c>
      <c r="C4103" s="29" t="s">
        <v>4264</v>
      </c>
      <c r="D4103" s="29" t="s">
        <v>4271</v>
      </c>
      <c r="F4103" s="62"/>
      <c r="G4103" s="20" t="str">
        <f t="shared" si="1"/>
        <v>Luggage &amp; Bags, Luggage Accessories, Travel Bottles &amp; Containers, </v>
      </c>
    </row>
    <row r="4104">
      <c r="A4104" s="29">
        <v>5650.0</v>
      </c>
      <c r="B4104" s="29" t="s">
        <v>4255</v>
      </c>
      <c r="C4104" s="29" t="s">
        <v>4264</v>
      </c>
      <c r="D4104" s="29" t="s">
        <v>4272</v>
      </c>
      <c r="E4104" s="62"/>
      <c r="F4104" s="62"/>
      <c r="G4104" s="20" t="str">
        <f t="shared" si="1"/>
        <v>Luggage &amp; Bags, Luggage Accessories, Travel Pouches, </v>
      </c>
    </row>
    <row r="4105">
      <c r="A4105" s="29">
        <v>106.0</v>
      </c>
      <c r="B4105" s="29" t="s">
        <v>4255</v>
      </c>
      <c r="C4105" s="29" t="s">
        <v>4273</v>
      </c>
      <c r="D4105" s="62"/>
      <c r="E4105" s="62"/>
      <c r="F4105" s="62"/>
      <c r="G4105" s="20" t="str">
        <f t="shared" si="1"/>
        <v>Luggage &amp; Bags, Messenger Bags, , </v>
      </c>
    </row>
    <row r="4106">
      <c r="A4106" s="29">
        <v>5608.0</v>
      </c>
      <c r="B4106" s="29" t="s">
        <v>4255</v>
      </c>
      <c r="C4106" s="29" t="s">
        <v>4274</v>
      </c>
      <c r="D4106" s="62"/>
      <c r="E4106" s="62"/>
      <c r="F4106" s="62"/>
      <c r="G4106" s="20" t="str">
        <f t="shared" si="1"/>
        <v>Luggage &amp; Bags, Shopping Totes, , </v>
      </c>
    </row>
    <row r="4107">
      <c r="A4107" s="29">
        <v>107.0</v>
      </c>
      <c r="B4107" s="29" t="s">
        <v>4255</v>
      </c>
      <c r="C4107" s="29" t="s">
        <v>4275</v>
      </c>
      <c r="D4107" s="62"/>
      <c r="E4107" s="62"/>
      <c r="F4107" s="62"/>
      <c r="G4107" s="20" t="str">
        <f t="shared" si="1"/>
        <v>Luggage &amp; Bags, Suitcases, , </v>
      </c>
    </row>
    <row r="4108">
      <c r="A4108" s="29">
        <v>6553.0</v>
      </c>
      <c r="B4108" s="29" t="s">
        <v>4255</v>
      </c>
      <c r="C4108" s="29" t="s">
        <v>4276</v>
      </c>
      <c r="D4108" s="62"/>
      <c r="E4108" s="62"/>
      <c r="F4108" s="62"/>
      <c r="G4108" s="20" t="str">
        <f t="shared" si="1"/>
        <v>Luggage &amp; Bags, Train Cases, , </v>
      </c>
    </row>
    <row r="4109">
      <c r="A4109" s="29">
        <v>772.0</v>
      </c>
      <c r="B4109" s="29" t="s">
        <v>4277</v>
      </c>
      <c r="C4109" s="62"/>
      <c r="D4109" s="62"/>
      <c r="E4109" s="62"/>
      <c r="F4109" s="62"/>
      <c r="G4109" s="20" t="str">
        <f t="shared" si="1"/>
        <v>Mature, , , </v>
      </c>
    </row>
    <row r="4110">
      <c r="A4110" s="29">
        <v>773.0</v>
      </c>
      <c r="B4110" s="29" t="s">
        <v>4277</v>
      </c>
      <c r="C4110" s="29" t="s">
        <v>4278</v>
      </c>
      <c r="D4110" s="62"/>
      <c r="E4110" s="62"/>
      <c r="F4110" s="62"/>
      <c r="G4110" s="20" t="str">
        <f t="shared" si="1"/>
        <v>Mature, Erotic, , </v>
      </c>
    </row>
    <row r="4111">
      <c r="A4111" s="29">
        <v>779.0</v>
      </c>
      <c r="B4111" s="29" t="s">
        <v>4277</v>
      </c>
      <c r="C4111" s="29" t="s">
        <v>4278</v>
      </c>
      <c r="D4111" s="29" t="s">
        <v>4279</v>
      </c>
      <c r="E4111" s="62"/>
      <c r="F4111" s="62"/>
      <c r="G4111" s="20" t="str">
        <f t="shared" si="1"/>
        <v>Mature, Erotic, Erotic Books, </v>
      </c>
    </row>
    <row r="4112">
      <c r="A4112" s="29">
        <v>774.0</v>
      </c>
      <c r="B4112" s="29" t="s">
        <v>4277</v>
      </c>
      <c r="C4112" s="29" t="s">
        <v>4278</v>
      </c>
      <c r="D4112" s="29" t="s">
        <v>4280</v>
      </c>
      <c r="E4112" s="62"/>
      <c r="F4112" s="62"/>
      <c r="G4112" s="20" t="str">
        <f t="shared" si="1"/>
        <v>Mature, Erotic, Erotic Clothing, </v>
      </c>
    </row>
    <row r="4113">
      <c r="A4113" s="29">
        <v>776.0</v>
      </c>
      <c r="B4113" s="29" t="s">
        <v>4277</v>
      </c>
      <c r="C4113" s="29" t="s">
        <v>4278</v>
      </c>
      <c r="D4113" s="29" t="s">
        <v>4281</v>
      </c>
      <c r="E4113" s="62"/>
      <c r="F4113" s="62"/>
      <c r="G4113" s="20" t="str">
        <f t="shared" si="1"/>
        <v>Mature, Erotic, Erotic DVDs &amp; Videos, </v>
      </c>
    </row>
    <row r="4114">
      <c r="A4114" s="29">
        <v>5055.0</v>
      </c>
      <c r="B4114" s="29" t="s">
        <v>4277</v>
      </c>
      <c r="C4114" s="29" t="s">
        <v>4278</v>
      </c>
      <c r="D4114" s="29" t="s">
        <v>4282</v>
      </c>
      <c r="E4114" s="62"/>
      <c r="F4114" s="62"/>
      <c r="G4114" s="20" t="str">
        <f t="shared" si="1"/>
        <v>Mature, Erotic, Erotic Food &amp; Edibles, </v>
      </c>
    </row>
    <row r="4115">
      <c r="A4115" s="29">
        <v>6040.0</v>
      </c>
      <c r="B4115" s="29" t="s">
        <v>4277</v>
      </c>
      <c r="C4115" s="29" t="s">
        <v>4278</v>
      </c>
      <c r="D4115" s="29" t="s">
        <v>4283</v>
      </c>
      <c r="E4115" s="62"/>
      <c r="F4115" s="62"/>
      <c r="G4115" s="20" t="str">
        <f t="shared" si="1"/>
        <v>Mature, Erotic, Erotic Games, </v>
      </c>
    </row>
    <row r="4116">
      <c r="A4116" s="29">
        <v>4060.0</v>
      </c>
      <c r="B4116" s="29" t="s">
        <v>4277</v>
      </c>
      <c r="C4116" s="29" t="s">
        <v>4278</v>
      </c>
      <c r="D4116" s="29" t="s">
        <v>4284</v>
      </c>
      <c r="E4116" s="62"/>
      <c r="F4116" s="62"/>
      <c r="G4116" s="20" t="str">
        <f t="shared" si="1"/>
        <v>Mature, Erotic, Erotic Magazines, </v>
      </c>
    </row>
    <row r="4117">
      <c r="A4117" s="29">
        <v>6536.0</v>
      </c>
      <c r="B4117" s="29" t="s">
        <v>4277</v>
      </c>
      <c r="C4117" s="29" t="s">
        <v>4278</v>
      </c>
      <c r="D4117" s="29" t="s">
        <v>4285</v>
      </c>
      <c r="E4117" s="62"/>
      <c r="F4117" s="62"/>
      <c r="G4117" s="20" t="str">
        <f t="shared" si="1"/>
        <v>Mature, Erotic, Pole Dancing Kits, </v>
      </c>
    </row>
    <row r="4118">
      <c r="A4118" s="29">
        <v>778.0</v>
      </c>
      <c r="B4118" s="29" t="s">
        <v>4277</v>
      </c>
      <c r="C4118" s="29" t="s">
        <v>4278</v>
      </c>
      <c r="D4118" s="29" t="s">
        <v>4286</v>
      </c>
      <c r="E4118" s="62"/>
      <c r="F4118" s="62"/>
      <c r="G4118" s="20" t="str">
        <f t="shared" si="1"/>
        <v>Mature, Erotic, Sex Toys, </v>
      </c>
    </row>
    <row r="4119">
      <c r="A4119" s="29">
        <v>780.0</v>
      </c>
      <c r="B4119" s="29" t="s">
        <v>4277</v>
      </c>
      <c r="C4119" s="29" t="s">
        <v>4287</v>
      </c>
      <c r="D4119" s="62"/>
      <c r="E4119" s="62"/>
      <c r="F4119" s="62"/>
      <c r="G4119" s="20" t="str">
        <f t="shared" si="1"/>
        <v>Mature, Weapons, , </v>
      </c>
    </row>
    <row r="4120">
      <c r="A4120" s="29">
        <v>3833.0</v>
      </c>
      <c r="B4120" s="29" t="s">
        <v>4277</v>
      </c>
      <c r="C4120" s="29" t="s">
        <v>4287</v>
      </c>
      <c r="D4120" s="29" t="s">
        <v>4288</v>
      </c>
      <c r="E4120" s="62"/>
      <c r="F4120" s="62"/>
      <c r="G4120" s="20" t="str">
        <f t="shared" si="1"/>
        <v>Mature, Weapons, Brass Knuckles, </v>
      </c>
    </row>
    <row r="4121">
      <c r="A4121" s="29">
        <v>7567.0</v>
      </c>
      <c r="B4121" s="29" t="s">
        <v>4277</v>
      </c>
      <c r="C4121" s="29" t="s">
        <v>4287</v>
      </c>
      <c r="D4121" s="29" t="s">
        <v>4289</v>
      </c>
      <c r="E4121" s="62"/>
      <c r="F4121" s="62"/>
      <c r="G4121" s="20" t="str">
        <f t="shared" si="1"/>
        <v>Mature, Weapons, Clubs &amp; Batons, </v>
      </c>
    </row>
    <row r="4122">
      <c r="A4122" s="29">
        <v>6109.0</v>
      </c>
      <c r="B4122" s="29" t="s">
        <v>4277</v>
      </c>
      <c r="C4122" s="29" t="s">
        <v>4287</v>
      </c>
      <c r="D4122" s="29" t="s">
        <v>4290</v>
      </c>
      <c r="E4122" s="62"/>
      <c r="F4122" s="62"/>
      <c r="G4122" s="20" t="str">
        <f t="shared" si="1"/>
        <v>Mature, Weapons, Combat Knives, </v>
      </c>
    </row>
    <row r="4123">
      <c r="A4123" s="29">
        <v>2214.0</v>
      </c>
      <c r="B4123" s="29" t="s">
        <v>4277</v>
      </c>
      <c r="C4123" s="29" t="s">
        <v>4287</v>
      </c>
      <c r="D4123" s="29" t="s">
        <v>4291</v>
      </c>
      <c r="E4123" s="62"/>
      <c r="F4123" s="62"/>
      <c r="G4123" s="20" t="str">
        <f t="shared" si="1"/>
        <v>Mature, Weapons, Gun Care &amp; Accessories, </v>
      </c>
    </row>
    <row r="4124">
      <c r="A4124" s="29">
        <v>781.0</v>
      </c>
      <c r="B4124" s="29" t="s">
        <v>4277</v>
      </c>
      <c r="C4124" s="29" t="s">
        <v>4287</v>
      </c>
      <c r="D4124" s="29" t="s">
        <v>4291</v>
      </c>
      <c r="E4124" s="29" t="s">
        <v>4292</v>
      </c>
      <c r="F4124" s="62"/>
      <c r="G4124" s="20" t="str">
        <f t="shared" si="1"/>
        <v>Mature, Weapons, Gun Care &amp; Accessories, Ammunition</v>
      </c>
    </row>
    <row r="4125">
      <c r="A4125" s="29">
        <v>505762.0</v>
      </c>
      <c r="B4125" s="29" t="s">
        <v>4277</v>
      </c>
      <c r="C4125" s="29" t="s">
        <v>4287</v>
      </c>
      <c r="D4125" s="29" t="s">
        <v>4291</v>
      </c>
      <c r="E4125" s="29" t="s">
        <v>4293</v>
      </c>
      <c r="F4125" s="62"/>
      <c r="G4125" s="20" t="str">
        <f t="shared" si="1"/>
        <v>Mature, Weapons, Gun Care &amp; Accessories, Ammunition Cases &amp; Holders</v>
      </c>
    </row>
    <row r="4126">
      <c r="A4126" s="29">
        <v>500048.0</v>
      </c>
      <c r="B4126" s="29" t="s">
        <v>4277</v>
      </c>
      <c r="C4126" s="29" t="s">
        <v>4287</v>
      </c>
      <c r="D4126" s="29" t="s">
        <v>4291</v>
      </c>
      <c r="E4126" s="29" t="s">
        <v>4294</v>
      </c>
      <c r="F4126" s="62"/>
      <c r="G4126" s="20" t="str">
        <f t="shared" si="1"/>
        <v>Mature, Weapons, Gun Care &amp; Accessories, Gun Cases &amp; Range Bags</v>
      </c>
    </row>
    <row r="4127">
      <c r="A4127" s="29">
        <v>503021.0</v>
      </c>
      <c r="B4127" s="29" t="s">
        <v>4277</v>
      </c>
      <c r="C4127" s="29" t="s">
        <v>4287</v>
      </c>
      <c r="D4127" s="29" t="s">
        <v>4291</v>
      </c>
      <c r="E4127" s="29" t="s">
        <v>4295</v>
      </c>
      <c r="F4127" s="62"/>
      <c r="G4127" s="20" t="str">
        <f t="shared" si="1"/>
        <v>Mature, Weapons, Gun Care &amp; Accessories, Gun Cleaning</v>
      </c>
    </row>
    <row r="4128">
      <c r="A4128" s="29">
        <v>499855.0</v>
      </c>
      <c r="B4128" s="29" t="s">
        <v>4277</v>
      </c>
      <c r="C4128" s="29" t="s">
        <v>4287</v>
      </c>
      <c r="D4128" s="29" t="s">
        <v>4291</v>
      </c>
      <c r="E4128" s="29" t="s">
        <v>4295</v>
      </c>
      <c r="F4128" s="29" t="s">
        <v>4296</v>
      </c>
      <c r="G4128" s="20" t="str">
        <f t="shared" si="1"/>
        <v>Mature, Weapons, Gun Care &amp; Accessories, Gun CleaningGun Cleaning Cloths &amp; Swabs</v>
      </c>
    </row>
    <row r="4129">
      <c r="A4129" s="29">
        <v>499856.0</v>
      </c>
      <c r="B4129" s="29" t="s">
        <v>4277</v>
      </c>
      <c r="C4129" s="29" t="s">
        <v>4287</v>
      </c>
      <c r="D4129" s="29" t="s">
        <v>4291</v>
      </c>
      <c r="E4129" s="29" t="s">
        <v>4295</v>
      </c>
      <c r="F4129" s="29" t="s">
        <v>4297</v>
      </c>
      <c r="G4129" s="20" t="str">
        <f t="shared" si="1"/>
        <v>Mature, Weapons, Gun Care &amp; Accessories, Gun CleaningGun Cleaning Patches</v>
      </c>
    </row>
    <row r="4130">
      <c r="A4130" s="29">
        <v>499854.0</v>
      </c>
      <c r="B4130" s="29" t="s">
        <v>4277</v>
      </c>
      <c r="C4130" s="29" t="s">
        <v>4287</v>
      </c>
      <c r="D4130" s="29" t="s">
        <v>4291</v>
      </c>
      <c r="E4130" s="29" t="s">
        <v>4295</v>
      </c>
      <c r="F4130" s="29" t="s">
        <v>4298</v>
      </c>
      <c r="G4130" s="20" t="str">
        <f t="shared" si="1"/>
        <v>Mature, Weapons, Gun Care &amp; Accessories, Gun CleaningGun Cleaning Solvents</v>
      </c>
    </row>
    <row r="4131">
      <c r="A4131" s="29">
        <v>1806.0</v>
      </c>
      <c r="B4131" s="29" t="s">
        <v>4277</v>
      </c>
      <c r="C4131" s="29" t="s">
        <v>4287</v>
      </c>
      <c r="D4131" s="29" t="s">
        <v>4291</v>
      </c>
      <c r="E4131" s="29" t="s">
        <v>4299</v>
      </c>
      <c r="F4131" s="62"/>
      <c r="G4131" s="20" t="str">
        <f t="shared" si="1"/>
        <v>Mature, Weapons, Gun Care &amp; Accessories, Gun Grips</v>
      </c>
    </row>
    <row r="4132">
      <c r="A4132" s="29">
        <v>1783.0</v>
      </c>
      <c r="B4132" s="29" t="s">
        <v>4277</v>
      </c>
      <c r="C4132" s="29" t="s">
        <v>4287</v>
      </c>
      <c r="D4132" s="29" t="s">
        <v>4291</v>
      </c>
      <c r="E4132" s="29" t="s">
        <v>4300</v>
      </c>
      <c r="F4132" s="62"/>
      <c r="G4132" s="20" t="str">
        <f t="shared" si="1"/>
        <v>Mature, Weapons, Gun Care &amp; Accessories, Gun Holsters</v>
      </c>
    </row>
    <row r="4133">
      <c r="A4133" s="29">
        <v>5067.0</v>
      </c>
      <c r="B4133" s="29" t="s">
        <v>4277</v>
      </c>
      <c r="C4133" s="29" t="s">
        <v>4287</v>
      </c>
      <c r="D4133" s="29" t="s">
        <v>4291</v>
      </c>
      <c r="E4133" s="29" t="s">
        <v>4301</v>
      </c>
      <c r="F4133" s="62"/>
      <c r="G4133" s="20" t="str">
        <f t="shared" si="1"/>
        <v>Mature, Weapons, Gun Care &amp; Accessories, Gun Lights</v>
      </c>
    </row>
    <row r="4134">
      <c r="A4134" s="29">
        <v>1822.0</v>
      </c>
      <c r="B4134" s="29" t="s">
        <v>4277</v>
      </c>
      <c r="C4134" s="29" t="s">
        <v>4287</v>
      </c>
      <c r="D4134" s="29" t="s">
        <v>4291</v>
      </c>
      <c r="E4134" s="29" t="s">
        <v>4302</v>
      </c>
      <c r="F4134" s="62"/>
      <c r="G4134" s="20" t="str">
        <f t="shared" si="1"/>
        <v>Mature, Weapons, Gun Care &amp; Accessories, Gun Rails</v>
      </c>
    </row>
    <row r="4135">
      <c r="A4135" s="29">
        <v>499853.0</v>
      </c>
      <c r="B4135" s="29" t="s">
        <v>4277</v>
      </c>
      <c r="C4135" s="29" t="s">
        <v>4287</v>
      </c>
      <c r="D4135" s="29" t="s">
        <v>4291</v>
      </c>
      <c r="E4135" s="29" t="s">
        <v>4303</v>
      </c>
      <c r="F4135" s="62"/>
      <c r="G4135" s="20" t="str">
        <f t="shared" si="1"/>
        <v>Mature, Weapons, Gun Care &amp; Accessories, Gun Slings</v>
      </c>
    </row>
    <row r="4136">
      <c r="A4136" s="29">
        <v>503026.0</v>
      </c>
      <c r="B4136" s="29" t="s">
        <v>4277</v>
      </c>
      <c r="C4136" s="29" t="s">
        <v>4287</v>
      </c>
      <c r="D4136" s="29" t="s">
        <v>4291</v>
      </c>
      <c r="E4136" s="29" t="s">
        <v>4304</v>
      </c>
      <c r="F4136" s="62"/>
      <c r="G4136" s="20" t="str">
        <f t="shared" si="1"/>
        <v>Mature, Weapons, Gun Care &amp; Accessories, Reloading Supplies &amp; Equipment</v>
      </c>
    </row>
    <row r="4137">
      <c r="A4137" s="29">
        <v>499857.0</v>
      </c>
      <c r="B4137" s="29" t="s">
        <v>4277</v>
      </c>
      <c r="C4137" s="29" t="s">
        <v>4287</v>
      </c>
      <c r="D4137" s="29" t="s">
        <v>4291</v>
      </c>
      <c r="E4137" s="29" t="s">
        <v>4304</v>
      </c>
      <c r="F4137" s="29" t="s">
        <v>4305</v>
      </c>
      <c r="G4137" s="20" t="str">
        <f t="shared" si="1"/>
        <v>Mature, Weapons, Gun Care &amp; Accessories, Reloading Supplies &amp; EquipmentAmmunition Reloading Presses</v>
      </c>
    </row>
    <row r="4138">
      <c r="A4138" s="29">
        <v>782.0</v>
      </c>
      <c r="B4138" s="29" t="s">
        <v>4277</v>
      </c>
      <c r="C4138" s="29" t="s">
        <v>4287</v>
      </c>
      <c r="D4138" s="29" t="s">
        <v>4306</v>
      </c>
      <c r="E4138" s="62"/>
      <c r="F4138" s="62"/>
      <c r="G4138" s="20" t="str">
        <f t="shared" si="1"/>
        <v>Mature, Weapons, Guns, </v>
      </c>
    </row>
    <row r="4139">
      <c r="A4139" s="29">
        <v>726.0</v>
      </c>
      <c r="B4139" s="29" t="s">
        <v>4277</v>
      </c>
      <c r="C4139" s="29" t="s">
        <v>4287</v>
      </c>
      <c r="D4139" s="29" t="s">
        <v>4307</v>
      </c>
      <c r="E4139" s="62"/>
      <c r="F4139" s="62"/>
      <c r="G4139" s="20" t="str">
        <f t="shared" si="1"/>
        <v>Mature, Weapons, Mace &amp; Pepper Spray, </v>
      </c>
    </row>
    <row r="4140">
      <c r="A4140" s="29">
        <v>3092.0</v>
      </c>
      <c r="B4140" s="29" t="s">
        <v>4277</v>
      </c>
      <c r="C4140" s="29" t="s">
        <v>4287</v>
      </c>
      <c r="D4140" s="29" t="s">
        <v>4308</v>
      </c>
      <c r="E4140" s="62"/>
      <c r="F4140" s="62"/>
      <c r="G4140" s="20" t="str">
        <f t="shared" si="1"/>
        <v>Mature, Weapons, Nunchucks, </v>
      </c>
    </row>
    <row r="4141">
      <c r="A4141" s="29">
        <v>7175.0</v>
      </c>
      <c r="B4141" s="29" t="s">
        <v>4277</v>
      </c>
      <c r="C4141" s="29" t="s">
        <v>4287</v>
      </c>
      <c r="D4141" s="29" t="s">
        <v>4309</v>
      </c>
      <c r="E4141" s="62"/>
      <c r="F4141" s="62"/>
      <c r="G4141" s="20" t="str">
        <f t="shared" si="1"/>
        <v>Mature, Weapons, Spears, </v>
      </c>
    </row>
    <row r="4142">
      <c r="A4142" s="29">
        <v>3924.0</v>
      </c>
      <c r="B4142" s="29" t="s">
        <v>4277</v>
      </c>
      <c r="C4142" s="29" t="s">
        <v>4287</v>
      </c>
      <c r="D4142" s="29" t="s">
        <v>4310</v>
      </c>
      <c r="E4142" s="62"/>
      <c r="F4142" s="62"/>
      <c r="G4142" s="20" t="str">
        <f t="shared" si="1"/>
        <v>Mature, Weapons, Staff &amp; Stick Weapons, </v>
      </c>
    </row>
    <row r="4143">
      <c r="A4143" s="29">
        <v>727.0</v>
      </c>
      <c r="B4143" s="29" t="s">
        <v>4277</v>
      </c>
      <c r="C4143" s="29" t="s">
        <v>4287</v>
      </c>
      <c r="D4143" s="29" t="s">
        <v>4311</v>
      </c>
      <c r="E4143" s="62"/>
      <c r="F4143" s="62"/>
      <c r="G4143" s="20" t="str">
        <f t="shared" si="1"/>
        <v>Mature, Weapons, Stun Guns &amp; Tasers, </v>
      </c>
    </row>
    <row r="4144">
      <c r="A4144" s="29">
        <v>3666.0</v>
      </c>
      <c r="B4144" s="29" t="s">
        <v>4277</v>
      </c>
      <c r="C4144" s="29" t="s">
        <v>4287</v>
      </c>
      <c r="D4144" s="29" t="s">
        <v>4312</v>
      </c>
      <c r="E4144" s="62"/>
      <c r="F4144" s="62"/>
      <c r="G4144" s="20" t="str">
        <f t="shared" si="1"/>
        <v>Mature, Weapons, Swords, </v>
      </c>
    </row>
    <row r="4145">
      <c r="A4145" s="29">
        <v>3694.0</v>
      </c>
      <c r="B4145" s="29" t="s">
        <v>4277</v>
      </c>
      <c r="C4145" s="29" t="s">
        <v>4287</v>
      </c>
      <c r="D4145" s="29" t="s">
        <v>4313</v>
      </c>
      <c r="E4145" s="62"/>
      <c r="F4145" s="62"/>
      <c r="G4145" s="20" t="str">
        <f t="shared" si="1"/>
        <v>Mature, Weapons, Throwing Stars, </v>
      </c>
    </row>
    <row r="4146">
      <c r="A4146" s="29">
        <v>3437.0</v>
      </c>
      <c r="B4146" s="29" t="s">
        <v>4277</v>
      </c>
      <c r="C4146" s="29" t="s">
        <v>4287</v>
      </c>
      <c r="D4146" s="29" t="s">
        <v>4314</v>
      </c>
      <c r="E4146" s="62"/>
      <c r="F4146" s="62"/>
      <c r="G4146" s="20" t="str">
        <f t="shared" si="1"/>
        <v>Mature, Weapons, Whips, </v>
      </c>
    </row>
    <row r="4147">
      <c r="A4147" s="29">
        <v>783.0</v>
      </c>
      <c r="B4147" s="29" t="s">
        <v>4315</v>
      </c>
      <c r="C4147" s="62"/>
      <c r="D4147" s="62"/>
      <c r="E4147" s="62"/>
      <c r="F4147" s="62"/>
      <c r="G4147" s="20" t="str">
        <f t="shared" si="1"/>
        <v>Media, , , </v>
      </c>
    </row>
    <row r="4148">
      <c r="A4148" s="29">
        <v>784.0</v>
      </c>
      <c r="B4148" s="29" t="s">
        <v>4315</v>
      </c>
      <c r="C4148" s="29" t="s">
        <v>4316</v>
      </c>
      <c r="D4148" s="62"/>
      <c r="E4148" s="62"/>
      <c r="F4148" s="62"/>
      <c r="G4148" s="20" t="str">
        <f t="shared" si="1"/>
        <v>Media, Books, , </v>
      </c>
    </row>
    <row r="4149">
      <c r="A4149" s="29">
        <v>543541.0</v>
      </c>
      <c r="B4149" s="29" t="s">
        <v>4315</v>
      </c>
      <c r="C4149" s="29" t="s">
        <v>4316</v>
      </c>
      <c r="D4149" s="29" t="s">
        <v>4317</v>
      </c>
      <c r="E4149" s="62"/>
      <c r="F4149" s="62"/>
      <c r="G4149" s="20" t="str">
        <f t="shared" si="1"/>
        <v>Media, Books, Audiobooks, </v>
      </c>
    </row>
    <row r="4150">
      <c r="A4150" s="29">
        <v>543542.0</v>
      </c>
      <c r="B4150" s="29" t="s">
        <v>4315</v>
      </c>
      <c r="C4150" s="29" t="s">
        <v>4316</v>
      </c>
      <c r="D4150" s="29" t="s">
        <v>4318</v>
      </c>
      <c r="E4150" s="62"/>
      <c r="F4150" s="62"/>
      <c r="G4150" s="20" t="str">
        <f t="shared" si="1"/>
        <v>Media, Books, E-books, </v>
      </c>
    </row>
    <row r="4151">
      <c r="A4151" s="29">
        <v>543543.0</v>
      </c>
      <c r="B4151" s="29" t="s">
        <v>4315</v>
      </c>
      <c r="C4151" s="29" t="s">
        <v>4316</v>
      </c>
      <c r="D4151" s="29" t="s">
        <v>4319</v>
      </c>
      <c r="E4151" s="62"/>
      <c r="F4151" s="62"/>
      <c r="G4151" s="20" t="str">
        <f t="shared" si="1"/>
        <v>Media, Books, Print Books, </v>
      </c>
    </row>
    <row r="4152">
      <c r="A4152" s="29">
        <v>499995.0</v>
      </c>
      <c r="B4152" s="29" t="s">
        <v>4315</v>
      </c>
      <c r="C4152" s="29" t="s">
        <v>4320</v>
      </c>
      <c r="D4152" s="62"/>
      <c r="E4152" s="62"/>
      <c r="F4152" s="62"/>
      <c r="G4152" s="20" t="str">
        <f t="shared" si="1"/>
        <v>Media, Carpentry &amp; Woodworking Project Plans, , </v>
      </c>
    </row>
    <row r="4153">
      <c r="A4153" s="29">
        <v>839.0</v>
      </c>
      <c r="B4153" s="29" t="s">
        <v>4315</v>
      </c>
      <c r="C4153" s="29" t="s">
        <v>4321</v>
      </c>
      <c r="D4153" s="62"/>
      <c r="E4153" s="62"/>
      <c r="F4153" s="62"/>
      <c r="G4153" s="20" t="str">
        <f t="shared" si="1"/>
        <v>Media, DVDs &amp; Videos, , </v>
      </c>
    </row>
    <row r="4154">
      <c r="A4154" s="29">
        <v>543527.0</v>
      </c>
      <c r="B4154" s="29" t="s">
        <v>4315</v>
      </c>
      <c r="C4154" s="29" t="s">
        <v>4321</v>
      </c>
      <c r="D4154" s="29" t="s">
        <v>4322</v>
      </c>
      <c r="E4154" s="62"/>
      <c r="F4154" s="62"/>
      <c r="G4154" s="20" t="str">
        <f t="shared" si="1"/>
        <v>Media, DVDs &amp; Videos, Film &amp; Television DVDs, </v>
      </c>
    </row>
    <row r="4155">
      <c r="A4155" s="29">
        <v>543529.0</v>
      </c>
      <c r="B4155" s="29" t="s">
        <v>4315</v>
      </c>
      <c r="C4155" s="29" t="s">
        <v>4321</v>
      </c>
      <c r="D4155" s="29" t="s">
        <v>4323</v>
      </c>
      <c r="F4155" s="62"/>
      <c r="G4155" s="20" t="str">
        <f t="shared" si="1"/>
        <v>Media, DVDs &amp; Videos, Film &amp; Television Digital Downloads, </v>
      </c>
    </row>
    <row r="4156">
      <c r="A4156" s="29">
        <v>543528.0</v>
      </c>
      <c r="B4156" s="29" t="s">
        <v>4315</v>
      </c>
      <c r="C4156" s="29" t="s">
        <v>4321</v>
      </c>
      <c r="D4156" s="29" t="s">
        <v>4324</v>
      </c>
      <c r="F4156" s="62"/>
      <c r="G4156" s="20" t="str">
        <f t="shared" si="1"/>
        <v>Media, DVDs &amp; Videos, Film &amp; Television VHS Tapes, </v>
      </c>
    </row>
    <row r="4157">
      <c r="A4157" s="29">
        <v>886.0</v>
      </c>
      <c r="B4157" s="29" t="s">
        <v>4315</v>
      </c>
      <c r="C4157" s="29" t="s">
        <v>4325</v>
      </c>
      <c r="D4157" s="62"/>
      <c r="E4157" s="62"/>
      <c r="F4157" s="62"/>
      <c r="G4157" s="20" t="str">
        <f t="shared" si="1"/>
        <v>Media, Magazines &amp; Newspapers, , </v>
      </c>
    </row>
    <row r="4158">
      <c r="A4158" s="29">
        <v>543539.0</v>
      </c>
      <c r="B4158" s="29" t="s">
        <v>4315</v>
      </c>
      <c r="C4158" s="29" t="s">
        <v>4325</v>
      </c>
      <c r="D4158" s="29" t="s">
        <v>4326</v>
      </c>
      <c r="E4158" s="62"/>
      <c r="F4158" s="62"/>
      <c r="G4158" s="20" t="str">
        <f t="shared" si="1"/>
        <v>Media, Magazines &amp; Newspapers, Magazines, </v>
      </c>
    </row>
    <row r="4159">
      <c r="A4159" s="29">
        <v>543540.0</v>
      </c>
      <c r="B4159" s="29" t="s">
        <v>4315</v>
      </c>
      <c r="C4159" s="29" t="s">
        <v>4325</v>
      </c>
      <c r="D4159" s="29" t="s">
        <v>4327</v>
      </c>
      <c r="E4159" s="62"/>
      <c r="F4159" s="62"/>
      <c r="G4159" s="20" t="str">
        <f t="shared" si="1"/>
        <v>Media, Magazines &amp; Newspapers, Newspapers, </v>
      </c>
    </row>
    <row r="4160">
      <c r="A4160" s="29">
        <v>855.0</v>
      </c>
      <c r="B4160" s="29" t="s">
        <v>4315</v>
      </c>
      <c r="C4160" s="29" t="s">
        <v>4328</v>
      </c>
      <c r="D4160" s="62"/>
      <c r="E4160" s="62"/>
      <c r="F4160" s="62"/>
      <c r="G4160" s="20" t="str">
        <f t="shared" si="1"/>
        <v>Media, Music &amp; Sound Recordings, , </v>
      </c>
    </row>
    <row r="4161">
      <c r="A4161" s="29">
        <v>543526.0</v>
      </c>
      <c r="B4161" s="29" t="s">
        <v>4315</v>
      </c>
      <c r="C4161" s="29" t="s">
        <v>4328</v>
      </c>
      <c r="D4161" s="29" t="s">
        <v>4329</v>
      </c>
      <c r="E4161" s="62"/>
      <c r="F4161" s="62"/>
      <c r="G4161" s="20" t="str">
        <f t="shared" si="1"/>
        <v>Media, Music &amp; Sound Recordings, Digital Music Downloads, </v>
      </c>
    </row>
    <row r="4162">
      <c r="A4162" s="29">
        <v>543522.0</v>
      </c>
      <c r="B4162" s="29" t="s">
        <v>4315</v>
      </c>
      <c r="C4162" s="29" t="s">
        <v>4328</v>
      </c>
      <c r="D4162" s="29" t="s">
        <v>4330</v>
      </c>
      <c r="E4162" s="62"/>
      <c r="F4162" s="62"/>
      <c r="G4162" s="20" t="str">
        <f t="shared" si="1"/>
        <v>Media, Music &amp; Sound Recordings, Music CDs, </v>
      </c>
    </row>
    <row r="4163">
      <c r="A4163" s="29">
        <v>543524.0</v>
      </c>
      <c r="B4163" s="29" t="s">
        <v>4315</v>
      </c>
      <c r="C4163" s="29" t="s">
        <v>4328</v>
      </c>
      <c r="D4163" s="29" t="s">
        <v>4331</v>
      </c>
      <c r="E4163" s="62"/>
      <c r="F4163" s="62"/>
      <c r="G4163" s="20" t="str">
        <f t="shared" si="1"/>
        <v>Media, Music &amp; Sound Recordings, Music Cassette Tapes, </v>
      </c>
    </row>
    <row r="4164">
      <c r="A4164" s="29">
        <v>543523.0</v>
      </c>
      <c r="B4164" s="29" t="s">
        <v>4315</v>
      </c>
      <c r="C4164" s="29" t="s">
        <v>4328</v>
      </c>
      <c r="D4164" s="29" t="s">
        <v>4332</v>
      </c>
      <c r="E4164" s="62"/>
      <c r="F4164" s="62"/>
      <c r="G4164" s="20" t="str">
        <f t="shared" si="1"/>
        <v>Media, Music &amp; Sound Recordings, Records &amp; LPs, </v>
      </c>
    </row>
    <row r="4165">
      <c r="A4165" s="29">
        <v>543525.0</v>
      </c>
      <c r="B4165" s="29" t="s">
        <v>4315</v>
      </c>
      <c r="C4165" s="29" t="s">
        <v>4328</v>
      </c>
      <c r="D4165" s="29" t="s">
        <v>4333</v>
      </c>
      <c r="F4165" s="62"/>
      <c r="G4165" s="20" t="str">
        <f t="shared" si="1"/>
        <v>Media, Music &amp; Sound Recordings, Spoken Word &amp; Field Recordings, </v>
      </c>
    </row>
    <row r="4166">
      <c r="A4166" s="29">
        <v>5037.0</v>
      </c>
      <c r="B4166" s="29" t="s">
        <v>4315</v>
      </c>
      <c r="C4166" s="29" t="s">
        <v>4334</v>
      </c>
      <c r="D4166" s="62"/>
      <c r="E4166" s="62"/>
      <c r="F4166" s="62"/>
      <c r="G4166" s="20" t="str">
        <f t="shared" si="1"/>
        <v>Media, Product Manuals, , </v>
      </c>
    </row>
    <row r="4167">
      <c r="A4167" s="29">
        <v>499821.0</v>
      </c>
      <c r="B4167" s="29" t="s">
        <v>4315</v>
      </c>
      <c r="C4167" s="29" t="s">
        <v>4334</v>
      </c>
      <c r="D4167" s="29" t="s">
        <v>4335</v>
      </c>
      <c r="F4167" s="62"/>
      <c r="G4167" s="20" t="str">
        <f t="shared" si="1"/>
        <v>Media, Product Manuals, Camera &amp; Optics Manuals, </v>
      </c>
    </row>
    <row r="4168">
      <c r="A4168" s="29">
        <v>5038.0</v>
      </c>
      <c r="B4168" s="29" t="s">
        <v>4315</v>
      </c>
      <c r="C4168" s="29" t="s">
        <v>4334</v>
      </c>
      <c r="D4168" s="29" t="s">
        <v>4336</v>
      </c>
      <c r="E4168" s="62"/>
      <c r="F4168" s="62"/>
      <c r="G4168" s="20" t="str">
        <f t="shared" si="1"/>
        <v>Media, Product Manuals, Electronics Manuals, </v>
      </c>
    </row>
    <row r="4169">
      <c r="A4169" s="29">
        <v>5861.0</v>
      </c>
      <c r="B4169" s="29" t="s">
        <v>4315</v>
      </c>
      <c r="C4169" s="29" t="s">
        <v>4334</v>
      </c>
      <c r="D4169" s="29" t="s">
        <v>4337</v>
      </c>
      <c r="F4169" s="62"/>
      <c r="G4169" s="20" t="str">
        <f t="shared" si="1"/>
        <v>Media, Product Manuals, Exercise &amp; Fitness Equipment Manuals, </v>
      </c>
    </row>
    <row r="4170">
      <c r="A4170" s="29">
        <v>5039.0</v>
      </c>
      <c r="B4170" s="29" t="s">
        <v>4315</v>
      </c>
      <c r="C4170" s="29" t="s">
        <v>4334</v>
      </c>
      <c r="D4170" s="29" t="s">
        <v>4338</v>
      </c>
      <c r="F4170" s="62"/>
      <c r="G4170" s="20" t="str">
        <f t="shared" si="1"/>
        <v>Media, Product Manuals, Household Appliance Manuals, </v>
      </c>
    </row>
    <row r="4171">
      <c r="A4171" s="29">
        <v>5040.0</v>
      </c>
      <c r="B4171" s="29" t="s">
        <v>4315</v>
      </c>
      <c r="C4171" s="29" t="s">
        <v>4334</v>
      </c>
      <c r="D4171" s="29" t="s">
        <v>4339</v>
      </c>
      <c r="F4171" s="62"/>
      <c r="G4171" s="20" t="str">
        <f t="shared" si="1"/>
        <v>Media, Product Manuals, Kitchen Appliance Manuals, </v>
      </c>
    </row>
    <row r="4172">
      <c r="A4172" s="29">
        <v>5860.0</v>
      </c>
      <c r="B4172" s="29" t="s">
        <v>4315</v>
      </c>
      <c r="C4172" s="29" t="s">
        <v>4334</v>
      </c>
      <c r="D4172" s="29" t="s">
        <v>4340</v>
      </c>
      <c r="E4172" s="62"/>
      <c r="F4172" s="62"/>
      <c r="G4172" s="20" t="str">
        <f t="shared" si="1"/>
        <v>Media, Product Manuals, Model &amp; Toys Manuals, </v>
      </c>
    </row>
    <row r="4173">
      <c r="A4173" s="29">
        <v>499866.0</v>
      </c>
      <c r="B4173" s="29" t="s">
        <v>4315</v>
      </c>
      <c r="C4173" s="29" t="s">
        <v>4334</v>
      </c>
      <c r="D4173" s="29" t="s">
        <v>4341</v>
      </c>
      <c r="E4173" s="62"/>
      <c r="F4173" s="62"/>
      <c r="G4173" s="20" t="str">
        <f t="shared" si="1"/>
        <v>Media, Product Manuals, Office Supply Manuals, </v>
      </c>
    </row>
    <row r="4174">
      <c r="A4174" s="29">
        <v>7516.0</v>
      </c>
      <c r="B4174" s="29" t="s">
        <v>4315</v>
      </c>
      <c r="C4174" s="29" t="s">
        <v>4334</v>
      </c>
      <c r="D4174" s="29" t="s">
        <v>4342</v>
      </c>
      <c r="F4174" s="62"/>
      <c r="G4174" s="20" t="str">
        <f t="shared" si="1"/>
        <v>Media, Product Manuals, Power Tool &amp; Equipment Manuals, </v>
      </c>
    </row>
    <row r="4175">
      <c r="A4175" s="29">
        <v>5041.0</v>
      </c>
      <c r="B4175" s="29" t="s">
        <v>4315</v>
      </c>
      <c r="C4175" s="29" t="s">
        <v>4334</v>
      </c>
      <c r="D4175" s="29" t="s">
        <v>4343</v>
      </c>
      <c r="E4175" s="62"/>
      <c r="F4175" s="62"/>
      <c r="G4175" s="20" t="str">
        <f t="shared" si="1"/>
        <v>Media, Product Manuals, Vehicle Service Manuals, </v>
      </c>
    </row>
    <row r="4176">
      <c r="A4176" s="29">
        <v>887.0</v>
      </c>
      <c r="B4176" s="29" t="s">
        <v>4315</v>
      </c>
      <c r="C4176" s="29" t="s">
        <v>4344</v>
      </c>
      <c r="D4176" s="62"/>
      <c r="E4176" s="62"/>
      <c r="F4176" s="62"/>
      <c r="G4176" s="20" t="str">
        <f t="shared" si="1"/>
        <v>Media, Sheet Music, , </v>
      </c>
    </row>
    <row r="4177">
      <c r="A4177" s="29">
        <v>922.0</v>
      </c>
      <c r="B4177" s="29" t="s">
        <v>4345</v>
      </c>
      <c r="C4177" s="62"/>
      <c r="D4177" s="62"/>
      <c r="E4177" s="62"/>
      <c r="F4177" s="62"/>
      <c r="G4177" s="20" t="str">
        <f t="shared" si="1"/>
        <v>Office Supplies, , , </v>
      </c>
    </row>
    <row r="4178">
      <c r="A4178" s="29">
        <v>6174.0</v>
      </c>
      <c r="B4178" s="29" t="s">
        <v>4345</v>
      </c>
      <c r="C4178" s="29" t="s">
        <v>4346</v>
      </c>
      <c r="D4178" s="62"/>
      <c r="E4178" s="62"/>
      <c r="F4178" s="62"/>
      <c r="G4178" s="20" t="str">
        <f t="shared" si="1"/>
        <v>Office Supplies, Book Accessories, , </v>
      </c>
    </row>
    <row r="4179">
      <c r="A4179" s="29">
        <v>6176.0</v>
      </c>
      <c r="B4179" s="29" t="s">
        <v>4345</v>
      </c>
      <c r="C4179" s="29" t="s">
        <v>4346</v>
      </c>
      <c r="D4179" s="29" t="s">
        <v>4347</v>
      </c>
      <c r="E4179" s="62"/>
      <c r="F4179" s="62"/>
      <c r="G4179" s="20" t="str">
        <f t="shared" si="1"/>
        <v>Office Supplies, Book Accessories, Book Covers, </v>
      </c>
    </row>
    <row r="4180">
      <c r="A4180" s="29">
        <v>4941.0</v>
      </c>
      <c r="B4180" s="29" t="s">
        <v>4345</v>
      </c>
      <c r="C4180" s="29" t="s">
        <v>4346</v>
      </c>
      <c r="D4180" s="29" t="s">
        <v>4348</v>
      </c>
      <c r="E4180" s="62"/>
      <c r="F4180" s="62"/>
      <c r="G4180" s="20" t="str">
        <f t="shared" si="1"/>
        <v>Office Supplies, Book Accessories, Book Lights, </v>
      </c>
    </row>
    <row r="4181">
      <c r="A4181" s="29">
        <v>6175.0</v>
      </c>
      <c r="B4181" s="29" t="s">
        <v>4345</v>
      </c>
      <c r="C4181" s="29" t="s">
        <v>4346</v>
      </c>
      <c r="D4181" s="29" t="s">
        <v>4349</v>
      </c>
      <c r="E4181" s="62"/>
      <c r="F4181" s="62"/>
      <c r="G4181" s="20" t="str">
        <f t="shared" si="1"/>
        <v>Office Supplies, Book Accessories, Book Stands &amp; Rests, </v>
      </c>
    </row>
    <row r="4182">
      <c r="A4182" s="29">
        <v>93.0</v>
      </c>
      <c r="B4182" s="29" t="s">
        <v>4345</v>
      </c>
      <c r="C4182" s="29" t="s">
        <v>4346</v>
      </c>
      <c r="D4182" s="29" t="s">
        <v>4350</v>
      </c>
      <c r="E4182" s="62"/>
      <c r="F4182" s="62"/>
      <c r="G4182" s="20" t="str">
        <f t="shared" si="1"/>
        <v>Office Supplies, Book Accessories, Bookmarks, </v>
      </c>
    </row>
    <row r="4183">
      <c r="A4183" s="29">
        <v>8078.0</v>
      </c>
      <c r="B4183" s="29" t="s">
        <v>4345</v>
      </c>
      <c r="C4183" s="29" t="s">
        <v>4351</v>
      </c>
      <c r="D4183" s="62"/>
      <c r="E4183" s="62"/>
      <c r="F4183" s="62"/>
      <c r="G4183" s="20" t="str">
        <f t="shared" si="1"/>
        <v>Office Supplies, Desk Pads &amp; Blotters, , </v>
      </c>
    </row>
    <row r="4184">
      <c r="A4184" s="29">
        <v>923.0</v>
      </c>
      <c r="B4184" s="29" t="s">
        <v>4345</v>
      </c>
      <c r="C4184" s="29" t="s">
        <v>4352</v>
      </c>
      <c r="D4184" s="62"/>
      <c r="E4184" s="62"/>
      <c r="F4184" s="62"/>
      <c r="G4184" s="20" t="str">
        <f t="shared" si="1"/>
        <v>Office Supplies, Filing &amp; Organization, , </v>
      </c>
    </row>
    <row r="4185">
      <c r="A4185" s="29">
        <v>5997.0</v>
      </c>
      <c r="B4185" s="29" t="s">
        <v>4345</v>
      </c>
      <c r="C4185" s="29" t="s">
        <v>4352</v>
      </c>
      <c r="D4185" s="29" t="s">
        <v>4353</v>
      </c>
      <c r="E4185" s="62"/>
      <c r="F4185" s="62"/>
      <c r="G4185" s="20" t="str">
        <f t="shared" si="1"/>
        <v>Office Supplies, Filing &amp; Organization, Address Books, </v>
      </c>
    </row>
    <row r="4186">
      <c r="A4186" s="29">
        <v>4312.0</v>
      </c>
      <c r="B4186" s="29" t="s">
        <v>4345</v>
      </c>
      <c r="C4186" s="29" t="s">
        <v>4352</v>
      </c>
      <c r="D4186" s="29" t="s">
        <v>4354</v>
      </c>
      <c r="E4186" s="62"/>
      <c r="F4186" s="62"/>
      <c r="G4186" s="20" t="str">
        <f t="shared" si="1"/>
        <v>Office Supplies, Filing &amp; Organization, Binding Supplies, </v>
      </c>
    </row>
    <row r="4187">
      <c r="A4187" s="29">
        <v>4086.0</v>
      </c>
      <c r="B4187" s="29" t="s">
        <v>4345</v>
      </c>
      <c r="C4187" s="29" t="s">
        <v>4352</v>
      </c>
      <c r="D4187" s="29" t="s">
        <v>4354</v>
      </c>
      <c r="E4187" s="29" t="s">
        <v>4355</v>
      </c>
      <c r="F4187" s="62"/>
      <c r="G4187" s="20" t="str">
        <f t="shared" si="1"/>
        <v>Office Supplies, Filing &amp; Organization, Binding Supplies, Binder Accessories</v>
      </c>
    </row>
    <row r="4188">
      <c r="A4188" s="29">
        <v>4212.0</v>
      </c>
      <c r="B4188" s="29" t="s">
        <v>4345</v>
      </c>
      <c r="C4188" s="29" t="s">
        <v>4352</v>
      </c>
      <c r="D4188" s="29" t="s">
        <v>4354</v>
      </c>
      <c r="E4188" s="29" t="s">
        <v>4355</v>
      </c>
      <c r="F4188" s="29" t="s">
        <v>4356</v>
      </c>
      <c r="G4188" s="20" t="str">
        <f t="shared" si="1"/>
        <v>Office Supplies, Filing &amp; Organization, Binding Supplies, Binder AccessoriesBinder Rings</v>
      </c>
    </row>
    <row r="4189">
      <c r="A4189" s="29">
        <v>4183.0</v>
      </c>
      <c r="B4189" s="29" t="s">
        <v>4345</v>
      </c>
      <c r="C4189" s="29" t="s">
        <v>4352</v>
      </c>
      <c r="D4189" s="29" t="s">
        <v>4354</v>
      </c>
      <c r="E4189" s="29" t="s">
        <v>4355</v>
      </c>
      <c r="F4189" s="29" t="s">
        <v>4357</v>
      </c>
      <c r="G4189" s="20" t="str">
        <f t="shared" si="1"/>
        <v>Office Supplies, Filing &amp; Organization, Binding Supplies, Binder AccessoriesIndex Dividers</v>
      </c>
    </row>
    <row r="4190">
      <c r="A4190" s="29">
        <v>2139.0</v>
      </c>
      <c r="B4190" s="29" t="s">
        <v>4345</v>
      </c>
      <c r="C4190" s="29" t="s">
        <v>4352</v>
      </c>
      <c r="D4190" s="29" t="s">
        <v>4354</v>
      </c>
      <c r="E4190" s="29" t="s">
        <v>4355</v>
      </c>
      <c r="F4190" s="29" t="s">
        <v>4358</v>
      </c>
      <c r="G4190" s="20" t="str">
        <f t="shared" si="1"/>
        <v>Office Supplies, Filing &amp; Organization, Binding Supplies, Binder AccessoriesSheet Protectors</v>
      </c>
    </row>
    <row r="4191">
      <c r="A4191" s="29">
        <v>4303.0</v>
      </c>
      <c r="B4191" s="29" t="s">
        <v>4345</v>
      </c>
      <c r="C4191" s="29" t="s">
        <v>4352</v>
      </c>
      <c r="D4191" s="29" t="s">
        <v>4354</v>
      </c>
      <c r="E4191" s="29" t="s">
        <v>4359</v>
      </c>
      <c r="F4191" s="62"/>
      <c r="G4191" s="20" t="str">
        <f t="shared" si="1"/>
        <v>Office Supplies, Filing &amp; Organization, Binding Supplies, Binders</v>
      </c>
    </row>
    <row r="4192">
      <c r="A4192" s="29">
        <v>4182.0</v>
      </c>
      <c r="B4192" s="29" t="s">
        <v>4345</v>
      </c>
      <c r="C4192" s="29" t="s">
        <v>4352</v>
      </c>
      <c r="D4192" s="29" t="s">
        <v>4354</v>
      </c>
      <c r="E4192" s="29" t="s">
        <v>4360</v>
      </c>
      <c r="F4192" s="62"/>
      <c r="G4192" s="20" t="str">
        <f t="shared" si="1"/>
        <v>Office Supplies, Filing &amp; Organization, Binding Supplies, Binding Combs &amp; Spines</v>
      </c>
    </row>
    <row r="4193">
      <c r="A4193" s="29">
        <v>7080.0</v>
      </c>
      <c r="B4193" s="29" t="s">
        <v>4345</v>
      </c>
      <c r="C4193" s="29" t="s">
        <v>4352</v>
      </c>
      <c r="D4193" s="29" t="s">
        <v>4354</v>
      </c>
      <c r="E4193" s="29" t="s">
        <v>4361</v>
      </c>
      <c r="F4193" s="62"/>
      <c r="G4193" s="20" t="str">
        <f t="shared" si="1"/>
        <v>Office Supplies, Filing &amp; Organization, Binding Supplies, Binding Machines</v>
      </c>
    </row>
    <row r="4194">
      <c r="A4194" s="29">
        <v>6190.0</v>
      </c>
      <c r="B4194" s="29" t="s">
        <v>4345</v>
      </c>
      <c r="C4194" s="29" t="s">
        <v>4352</v>
      </c>
      <c r="D4194" s="29" t="s">
        <v>4362</v>
      </c>
      <c r="E4194" s="62"/>
      <c r="F4194" s="62"/>
      <c r="G4194" s="20" t="str">
        <f t="shared" si="1"/>
        <v>Office Supplies, Filing &amp; Organization, Business Card Books, </v>
      </c>
    </row>
    <row r="4195">
      <c r="A4195" s="29">
        <v>6171.0</v>
      </c>
      <c r="B4195" s="29" t="s">
        <v>4345</v>
      </c>
      <c r="C4195" s="29" t="s">
        <v>4352</v>
      </c>
      <c r="D4195" s="29" t="s">
        <v>4363</v>
      </c>
      <c r="E4195" s="62"/>
      <c r="F4195" s="62"/>
      <c r="G4195" s="20" t="str">
        <f t="shared" si="1"/>
        <v>Office Supplies, Filing &amp; Organization, Business Card Stands, </v>
      </c>
    </row>
    <row r="4196">
      <c r="A4196" s="29">
        <v>926.0</v>
      </c>
      <c r="B4196" s="29" t="s">
        <v>4345</v>
      </c>
      <c r="C4196" s="29" t="s">
        <v>4352</v>
      </c>
      <c r="D4196" s="29" t="s">
        <v>4364</v>
      </c>
      <c r="F4196" s="62"/>
      <c r="G4196" s="20" t="str">
        <f t="shared" si="1"/>
        <v>Office Supplies, Filing &amp; Organization, CD/DVD Cases &amp; Organizers, </v>
      </c>
    </row>
    <row r="4197">
      <c r="A4197" s="29">
        <v>927.0</v>
      </c>
      <c r="B4197" s="29" t="s">
        <v>4345</v>
      </c>
      <c r="C4197" s="29" t="s">
        <v>4352</v>
      </c>
      <c r="D4197" s="29" t="s">
        <v>4365</v>
      </c>
      <c r="F4197" s="62"/>
      <c r="G4197" s="20" t="str">
        <f t="shared" si="1"/>
        <v>Office Supplies, Filing &amp; Organization, Calendars, Organizers &amp; Planners, </v>
      </c>
    </row>
    <row r="4198">
      <c r="A4198" s="29">
        <v>5531.0</v>
      </c>
      <c r="B4198" s="29" t="s">
        <v>4345</v>
      </c>
      <c r="C4198" s="29" t="s">
        <v>4352</v>
      </c>
      <c r="D4198" s="29" t="s">
        <v>4366</v>
      </c>
      <c r="E4198" s="62"/>
      <c r="F4198" s="62"/>
      <c r="G4198" s="20" t="str">
        <f t="shared" si="1"/>
        <v>Office Supplies, Filing &amp; Organization, Card Files, </v>
      </c>
    </row>
    <row r="4199">
      <c r="A4199" s="29">
        <v>6177.0</v>
      </c>
      <c r="B4199" s="29" t="s">
        <v>4345</v>
      </c>
      <c r="C4199" s="29" t="s">
        <v>4352</v>
      </c>
      <c r="D4199" s="29" t="s">
        <v>4367</v>
      </c>
      <c r="E4199" s="62"/>
      <c r="F4199" s="62"/>
      <c r="G4199" s="20" t="str">
        <f t="shared" si="1"/>
        <v>Office Supplies, Filing &amp; Organization, Card Sleeves, </v>
      </c>
    </row>
    <row r="4200">
      <c r="A4200" s="29">
        <v>928.0</v>
      </c>
      <c r="B4200" s="29" t="s">
        <v>4345</v>
      </c>
      <c r="C4200" s="29" t="s">
        <v>4352</v>
      </c>
      <c r="D4200" s="29" t="s">
        <v>4368</v>
      </c>
      <c r="E4200" s="62"/>
      <c r="F4200" s="62"/>
      <c r="G4200" s="20" t="str">
        <f t="shared" si="1"/>
        <v>Office Supplies, Filing &amp; Organization, Cash Boxes, </v>
      </c>
    </row>
    <row r="4201">
      <c r="A4201" s="29">
        <v>939.0</v>
      </c>
      <c r="B4201" s="29" t="s">
        <v>4345</v>
      </c>
      <c r="C4201" s="29" t="s">
        <v>4352</v>
      </c>
      <c r="D4201" s="29" t="s">
        <v>4369</v>
      </c>
      <c r="E4201" s="62"/>
      <c r="F4201" s="62"/>
      <c r="G4201" s="20" t="str">
        <f t="shared" si="1"/>
        <v>Office Supplies, Filing &amp; Organization, Desk Organizers, </v>
      </c>
    </row>
    <row r="4202">
      <c r="A4202" s="29">
        <v>925.0</v>
      </c>
      <c r="B4202" s="29" t="s">
        <v>4345</v>
      </c>
      <c r="C4202" s="29" t="s">
        <v>4352</v>
      </c>
      <c r="D4202" s="29" t="s">
        <v>4370</v>
      </c>
      <c r="E4202" s="62"/>
      <c r="F4202" s="62"/>
      <c r="G4202" s="20" t="str">
        <f t="shared" si="1"/>
        <v>Office Supplies, Filing &amp; Organization, File Boxes, </v>
      </c>
    </row>
    <row r="4203">
      <c r="A4203" s="29">
        <v>930.0</v>
      </c>
      <c r="B4203" s="29" t="s">
        <v>4345</v>
      </c>
      <c r="C4203" s="29" t="s">
        <v>4352</v>
      </c>
      <c r="D4203" s="29" t="s">
        <v>4371</v>
      </c>
      <c r="E4203" s="62"/>
      <c r="F4203" s="62"/>
      <c r="G4203" s="20" t="str">
        <f t="shared" si="1"/>
        <v>Office Supplies, Filing &amp; Organization, File Folders, </v>
      </c>
    </row>
    <row r="4204">
      <c r="A4204" s="29">
        <v>6884.0</v>
      </c>
      <c r="B4204" s="29" t="s">
        <v>4345</v>
      </c>
      <c r="C4204" s="29" t="s">
        <v>4352</v>
      </c>
      <c r="D4204" s="29" t="s">
        <v>4372</v>
      </c>
      <c r="E4204" s="62"/>
      <c r="F4204" s="62"/>
      <c r="G4204" s="20" t="str">
        <f t="shared" si="1"/>
        <v>Office Supplies, Filing &amp; Organization, Folders &amp; Report Covers, </v>
      </c>
    </row>
    <row r="4205">
      <c r="A4205" s="29">
        <v>543663.0</v>
      </c>
      <c r="B4205" s="29" t="s">
        <v>4345</v>
      </c>
      <c r="C4205" s="29" t="s">
        <v>4352</v>
      </c>
      <c r="D4205" s="29" t="s">
        <v>4372</v>
      </c>
      <c r="E4205" s="29" t="s">
        <v>4373</v>
      </c>
      <c r="F4205" s="62"/>
      <c r="G4205" s="20" t="str">
        <f t="shared" si="1"/>
        <v>Office Supplies, Filing &amp; Organization, Folders &amp; Report Covers, Pocket Folders</v>
      </c>
    </row>
    <row r="4206">
      <c r="A4206" s="29">
        <v>543662.0</v>
      </c>
      <c r="B4206" s="29" t="s">
        <v>4345</v>
      </c>
      <c r="C4206" s="29" t="s">
        <v>4352</v>
      </c>
      <c r="D4206" s="29" t="s">
        <v>4372</v>
      </c>
      <c r="E4206" s="29" t="s">
        <v>4374</v>
      </c>
      <c r="F4206" s="62"/>
      <c r="G4206" s="20" t="str">
        <f t="shared" si="1"/>
        <v>Office Supplies, Filing &amp; Organization, Folders &amp; Report Covers, Report Covers</v>
      </c>
    </row>
    <row r="4207">
      <c r="A4207" s="29">
        <v>5070.0</v>
      </c>
      <c r="B4207" s="29" t="s">
        <v>4345</v>
      </c>
      <c r="C4207" s="29" t="s">
        <v>4352</v>
      </c>
      <c r="D4207" s="29" t="s">
        <v>4375</v>
      </c>
      <c r="F4207" s="62"/>
      <c r="G4207" s="20" t="str">
        <f t="shared" si="1"/>
        <v>Office Supplies, Filing &amp; Organization, Greeting Card Organizers, </v>
      </c>
    </row>
    <row r="4208">
      <c r="A4208" s="29">
        <v>6962.0</v>
      </c>
      <c r="B4208" s="29" t="s">
        <v>4345</v>
      </c>
      <c r="C4208" s="29" t="s">
        <v>4352</v>
      </c>
      <c r="D4208" s="29" t="s">
        <v>4376</v>
      </c>
      <c r="E4208" s="62"/>
      <c r="F4208" s="62"/>
      <c r="G4208" s="20" t="str">
        <f t="shared" si="1"/>
        <v>Office Supplies, Filing &amp; Organization, Mail Sorters, </v>
      </c>
    </row>
    <row r="4209">
      <c r="A4209" s="29">
        <v>3062.0</v>
      </c>
      <c r="B4209" s="29" t="s">
        <v>4345</v>
      </c>
      <c r="C4209" s="29" t="s">
        <v>4352</v>
      </c>
      <c r="D4209" s="29" t="s">
        <v>4377</v>
      </c>
      <c r="E4209" s="62"/>
      <c r="F4209" s="62"/>
      <c r="G4209" s="20" t="str">
        <f t="shared" si="1"/>
        <v>Office Supplies, Filing &amp; Organization, Pen &amp; Pencil Cases, </v>
      </c>
    </row>
    <row r="4210">
      <c r="A4210" s="29">
        <v>6885.0</v>
      </c>
      <c r="B4210" s="29" t="s">
        <v>4345</v>
      </c>
      <c r="C4210" s="29" t="s">
        <v>4352</v>
      </c>
      <c r="D4210" s="29" t="s">
        <v>4378</v>
      </c>
      <c r="E4210" s="62"/>
      <c r="F4210" s="62"/>
      <c r="G4210" s="20" t="str">
        <f t="shared" si="1"/>
        <v>Office Supplies, Filing &amp; Organization, Portfolios &amp; Padfolios, </v>
      </c>
    </row>
    <row r="4211">
      <c r="A4211" s="29">
        <v>543641.0</v>
      </c>
      <c r="B4211" s="29" t="s">
        <v>4345</v>
      </c>
      <c r="C4211" s="29" t="s">
        <v>4352</v>
      </c>
      <c r="D4211" s="29" t="s">
        <v>4378</v>
      </c>
      <c r="E4211" s="29" t="s">
        <v>4379</v>
      </c>
      <c r="F4211" s="62"/>
      <c r="G4211" s="20" t="str">
        <f t="shared" si="1"/>
        <v>Office Supplies, Filing &amp; Organization, Portfolios &amp; Padfolios, Padfolios</v>
      </c>
    </row>
    <row r="4212">
      <c r="A4212" s="29">
        <v>543640.0</v>
      </c>
      <c r="B4212" s="29" t="s">
        <v>4345</v>
      </c>
      <c r="C4212" s="29" t="s">
        <v>4352</v>
      </c>
      <c r="D4212" s="29" t="s">
        <v>4378</v>
      </c>
      <c r="E4212" s="29" t="s">
        <v>4380</v>
      </c>
      <c r="F4212" s="62"/>
      <c r="G4212" s="20" t="str">
        <f t="shared" si="1"/>
        <v>Office Supplies, Filing &amp; Organization, Portfolios &amp; Padfolios, Portfolios</v>
      </c>
    </row>
    <row r="4213">
      <c r="A4213" s="29">
        <v>6779.0</v>
      </c>
      <c r="B4213" s="29" t="s">
        <v>4345</v>
      </c>
      <c r="C4213" s="29" t="s">
        <v>4352</v>
      </c>
      <c r="D4213" s="29" t="s">
        <v>4381</v>
      </c>
      <c r="E4213" s="62"/>
      <c r="F4213" s="62"/>
      <c r="G4213" s="20" t="str">
        <f t="shared" si="1"/>
        <v>Office Supplies, Filing &amp; Organization, Recipe Card Boxes, </v>
      </c>
    </row>
    <row r="4214">
      <c r="A4214" s="29">
        <v>932.0</v>
      </c>
      <c r="B4214" s="29" t="s">
        <v>4345</v>
      </c>
      <c r="C4214" s="29" t="s">
        <v>4382</v>
      </c>
      <c r="D4214" s="62"/>
      <c r="E4214" s="62"/>
      <c r="F4214" s="62"/>
      <c r="G4214" s="20" t="str">
        <f t="shared" si="1"/>
        <v>Office Supplies, General Office Supplies, , </v>
      </c>
    </row>
    <row r="4215">
      <c r="A4215" s="29">
        <v>6319.0</v>
      </c>
      <c r="B4215" s="29" t="s">
        <v>4345</v>
      </c>
      <c r="C4215" s="29" t="s">
        <v>4382</v>
      </c>
      <c r="D4215" s="29" t="s">
        <v>4383</v>
      </c>
      <c r="E4215" s="62"/>
      <c r="F4215" s="62"/>
      <c r="G4215" s="20" t="str">
        <f t="shared" si="1"/>
        <v>Office Supplies, General Office Supplies, Brass Fasteners, </v>
      </c>
    </row>
    <row r="4216">
      <c r="A4216" s="29">
        <v>2591.0</v>
      </c>
      <c r="B4216" s="29" t="s">
        <v>4345</v>
      </c>
      <c r="C4216" s="29" t="s">
        <v>4382</v>
      </c>
      <c r="D4216" s="29" t="s">
        <v>4384</v>
      </c>
      <c r="F4216" s="62"/>
      <c r="G4216" s="20" t="str">
        <f t="shared" si="1"/>
        <v>Office Supplies, General Office Supplies, Correction Fluids, Pens &amp; Tapes, </v>
      </c>
    </row>
    <row r="4217">
      <c r="A4217" s="29">
        <v>543618.0</v>
      </c>
      <c r="B4217" s="29" t="s">
        <v>4345</v>
      </c>
      <c r="C4217" s="29" t="s">
        <v>4382</v>
      </c>
      <c r="D4217" s="29" t="s">
        <v>4384</v>
      </c>
      <c r="E4217" s="29" t="s">
        <v>4385</v>
      </c>
      <c r="F4217" s="62"/>
      <c r="G4217" s="20" t="str">
        <f t="shared" si="1"/>
        <v>Office Supplies, General Office Supplies, Correction Fluids, Pens &amp; Tapes, Correction Fluids</v>
      </c>
    </row>
    <row r="4218">
      <c r="A4218" s="29">
        <v>543620.0</v>
      </c>
      <c r="B4218" s="29" t="s">
        <v>4345</v>
      </c>
      <c r="C4218" s="29" t="s">
        <v>4382</v>
      </c>
      <c r="D4218" s="29" t="s">
        <v>4384</v>
      </c>
      <c r="E4218" s="29" t="s">
        <v>4386</v>
      </c>
      <c r="F4218" s="62"/>
      <c r="G4218" s="20" t="str">
        <f t="shared" si="1"/>
        <v>Office Supplies, General Office Supplies, Correction Fluids, Pens &amp; Tapes, Correction Pens</v>
      </c>
    </row>
    <row r="4219">
      <c r="A4219" s="29">
        <v>543619.0</v>
      </c>
      <c r="B4219" s="29" t="s">
        <v>4345</v>
      </c>
      <c r="C4219" s="29" t="s">
        <v>4382</v>
      </c>
      <c r="D4219" s="29" t="s">
        <v>4384</v>
      </c>
      <c r="E4219" s="29" t="s">
        <v>4387</v>
      </c>
      <c r="F4219" s="62"/>
      <c r="G4219" s="20" t="str">
        <f t="shared" si="1"/>
        <v>Office Supplies, General Office Supplies, Correction Fluids, Pens &amp; Tapes, Correction Tapes</v>
      </c>
    </row>
    <row r="4220">
      <c r="A4220" s="29">
        <v>938.0</v>
      </c>
      <c r="B4220" s="29" t="s">
        <v>4345</v>
      </c>
      <c r="C4220" s="29" t="s">
        <v>4382</v>
      </c>
      <c r="D4220" s="29" t="s">
        <v>4388</v>
      </c>
      <c r="E4220" s="62"/>
      <c r="F4220" s="62"/>
      <c r="G4220" s="20" t="str">
        <f t="shared" si="1"/>
        <v>Office Supplies, General Office Supplies, Erasers, </v>
      </c>
    </row>
    <row r="4221">
      <c r="A4221" s="29">
        <v>960.0</v>
      </c>
      <c r="B4221" s="29" t="s">
        <v>4345</v>
      </c>
      <c r="C4221" s="29" t="s">
        <v>4382</v>
      </c>
      <c r="D4221" s="29" t="s">
        <v>4389</v>
      </c>
      <c r="E4221" s="62"/>
      <c r="F4221" s="62"/>
      <c r="G4221" s="20" t="str">
        <f t="shared" si="1"/>
        <v>Office Supplies, General Office Supplies, Labels &amp; Tags, </v>
      </c>
    </row>
    <row r="4222">
      <c r="A4222" s="29">
        <v>4377.0</v>
      </c>
      <c r="B4222" s="29" t="s">
        <v>4345</v>
      </c>
      <c r="C4222" s="29" t="s">
        <v>4382</v>
      </c>
      <c r="D4222" s="29" t="s">
        <v>4389</v>
      </c>
      <c r="E4222" s="29" t="s">
        <v>4390</v>
      </c>
      <c r="F4222" s="62"/>
      <c r="G4222" s="20" t="str">
        <f t="shared" si="1"/>
        <v>Office Supplies, General Office Supplies, Labels &amp; Tags, Address Labels</v>
      </c>
    </row>
    <row r="4223">
      <c r="A4223" s="29">
        <v>4154.0</v>
      </c>
      <c r="B4223" s="29" t="s">
        <v>4345</v>
      </c>
      <c r="C4223" s="29" t="s">
        <v>4382</v>
      </c>
      <c r="D4223" s="29" t="s">
        <v>4389</v>
      </c>
      <c r="E4223" s="29" t="s">
        <v>4391</v>
      </c>
      <c r="F4223" s="62"/>
      <c r="G4223" s="20" t="str">
        <f t="shared" si="1"/>
        <v>Office Supplies, General Office Supplies, Labels &amp; Tags, Folder Tabs</v>
      </c>
    </row>
    <row r="4224">
      <c r="A4224" s="29">
        <v>4137.0</v>
      </c>
      <c r="B4224" s="29" t="s">
        <v>4345</v>
      </c>
      <c r="C4224" s="29" t="s">
        <v>4382</v>
      </c>
      <c r="D4224" s="29" t="s">
        <v>4389</v>
      </c>
      <c r="E4224" s="29" t="s">
        <v>4392</v>
      </c>
      <c r="F4224" s="62"/>
      <c r="G4224" s="20" t="str">
        <f t="shared" si="1"/>
        <v>Office Supplies, General Office Supplies, Labels &amp; Tags, Label Clips</v>
      </c>
    </row>
    <row r="4225">
      <c r="A4225" s="29">
        <v>5502.0</v>
      </c>
      <c r="B4225" s="29" t="s">
        <v>4345</v>
      </c>
      <c r="C4225" s="29" t="s">
        <v>4382</v>
      </c>
      <c r="D4225" s="29" t="s">
        <v>4389</v>
      </c>
      <c r="E4225" s="29" t="s">
        <v>4393</v>
      </c>
      <c r="F4225" s="62"/>
      <c r="G4225" s="20" t="str">
        <f t="shared" si="1"/>
        <v>Office Supplies, General Office Supplies, Labels &amp; Tags, Label Tapes &amp; Refill Rolls</v>
      </c>
    </row>
    <row r="4226">
      <c r="A4226" s="29">
        <v>4200.0</v>
      </c>
      <c r="B4226" s="29" t="s">
        <v>4345</v>
      </c>
      <c r="C4226" s="29" t="s">
        <v>4382</v>
      </c>
      <c r="D4226" s="29" t="s">
        <v>4389</v>
      </c>
      <c r="E4226" s="29" t="s">
        <v>4394</v>
      </c>
      <c r="F4226" s="62"/>
      <c r="G4226" s="20" t="str">
        <f t="shared" si="1"/>
        <v>Office Supplies, General Office Supplies, Labels &amp; Tags, Shipping Labels</v>
      </c>
    </row>
    <row r="4227">
      <c r="A4227" s="29">
        <v>4117.0</v>
      </c>
      <c r="B4227" s="29" t="s">
        <v>4345</v>
      </c>
      <c r="C4227" s="29" t="s">
        <v>4382</v>
      </c>
      <c r="D4227" s="29" t="s">
        <v>4389</v>
      </c>
      <c r="E4227" s="29" t="s">
        <v>4395</v>
      </c>
      <c r="F4227" s="62"/>
      <c r="G4227" s="20" t="str">
        <f t="shared" si="1"/>
        <v>Office Supplies, General Office Supplies, Labels &amp; Tags, Shipping Tags</v>
      </c>
    </row>
    <row r="4228">
      <c r="A4228" s="29">
        <v>8015.0</v>
      </c>
      <c r="B4228" s="29" t="s">
        <v>4345</v>
      </c>
      <c r="C4228" s="29" t="s">
        <v>4382</v>
      </c>
      <c r="D4228" s="29" t="s">
        <v>4396</v>
      </c>
      <c r="F4228" s="62"/>
      <c r="G4228" s="20" t="str">
        <f t="shared" si="1"/>
        <v>Office Supplies, General Office Supplies, Laminating Film, Pouches &amp; Sheets, </v>
      </c>
    </row>
    <row r="4229">
      <c r="A4229" s="29">
        <v>505805.0</v>
      </c>
      <c r="B4229" s="29" t="s">
        <v>4345</v>
      </c>
      <c r="C4229" s="29" t="s">
        <v>4382</v>
      </c>
      <c r="D4229" s="29" t="s">
        <v>4397</v>
      </c>
      <c r="E4229" s="62"/>
      <c r="F4229" s="62"/>
      <c r="G4229" s="20" t="str">
        <f t="shared" si="1"/>
        <v>Office Supplies, General Office Supplies, Mounting Putty, </v>
      </c>
    </row>
    <row r="4230">
      <c r="A4230" s="29">
        <v>934.0</v>
      </c>
      <c r="B4230" s="29" t="s">
        <v>4345</v>
      </c>
      <c r="C4230" s="29" t="s">
        <v>4382</v>
      </c>
      <c r="D4230" s="29" t="s">
        <v>4398</v>
      </c>
      <c r="E4230" s="62"/>
      <c r="F4230" s="62"/>
      <c r="G4230" s="20" t="str">
        <f t="shared" si="1"/>
        <v>Office Supplies, General Office Supplies, Office Tape, </v>
      </c>
    </row>
    <row r="4231">
      <c r="A4231" s="29">
        <v>936.0</v>
      </c>
      <c r="B4231" s="29" t="s">
        <v>4345</v>
      </c>
      <c r="C4231" s="29" t="s">
        <v>4382</v>
      </c>
      <c r="D4231" s="29" t="s">
        <v>4399</v>
      </c>
      <c r="E4231" s="62"/>
      <c r="F4231" s="62"/>
      <c r="G4231" s="20" t="str">
        <f t="shared" si="1"/>
        <v>Office Supplies, General Office Supplies, Paper Clips &amp; Clamps, </v>
      </c>
    </row>
    <row r="4232">
      <c r="A4232" s="29">
        <v>543676.0</v>
      </c>
      <c r="B4232" s="29" t="s">
        <v>4345</v>
      </c>
      <c r="C4232" s="29" t="s">
        <v>4382</v>
      </c>
      <c r="D4232" s="29" t="s">
        <v>4399</v>
      </c>
      <c r="E4232" s="29" t="s">
        <v>4400</v>
      </c>
      <c r="F4232" s="62"/>
      <c r="G4232" s="20" t="str">
        <f t="shared" si="1"/>
        <v>Office Supplies, General Office Supplies, Paper Clips &amp; Clamps, Binder Clips</v>
      </c>
    </row>
    <row r="4233">
      <c r="A4233" s="29">
        <v>543675.0</v>
      </c>
      <c r="B4233" s="29" t="s">
        <v>4345</v>
      </c>
      <c r="C4233" s="29" t="s">
        <v>4382</v>
      </c>
      <c r="D4233" s="29" t="s">
        <v>4399</v>
      </c>
      <c r="E4233" s="29" t="s">
        <v>4401</v>
      </c>
      <c r="F4233" s="62"/>
      <c r="G4233" s="20" t="str">
        <f t="shared" si="1"/>
        <v>Office Supplies, General Office Supplies, Paper Clips &amp; Clamps, Paper Clips</v>
      </c>
    </row>
    <row r="4234">
      <c r="A4234" s="29">
        <v>956.0</v>
      </c>
      <c r="B4234" s="29" t="s">
        <v>4345</v>
      </c>
      <c r="C4234" s="29" t="s">
        <v>4382</v>
      </c>
      <c r="D4234" s="29" t="s">
        <v>4402</v>
      </c>
      <c r="E4234" s="62"/>
      <c r="F4234" s="62"/>
      <c r="G4234" s="20" t="str">
        <f t="shared" si="1"/>
        <v>Office Supplies, General Office Supplies, Paper Products, </v>
      </c>
    </row>
    <row r="4235">
      <c r="A4235" s="29">
        <v>2658.0</v>
      </c>
      <c r="B4235" s="29" t="s">
        <v>4345</v>
      </c>
      <c r="C4235" s="29" t="s">
        <v>4382</v>
      </c>
      <c r="D4235" s="29" t="s">
        <v>4402</v>
      </c>
      <c r="E4235" s="29" t="s">
        <v>4403</v>
      </c>
      <c r="F4235" s="62"/>
      <c r="G4235" s="20" t="str">
        <f t="shared" si="1"/>
        <v>Office Supplies, General Office Supplies, Paper Products, Binder Paper</v>
      </c>
    </row>
    <row r="4236">
      <c r="A4236" s="29">
        <v>5264.0</v>
      </c>
      <c r="B4236" s="29" t="s">
        <v>4345</v>
      </c>
      <c r="C4236" s="29" t="s">
        <v>4382</v>
      </c>
      <c r="D4236" s="29" t="s">
        <v>4402</v>
      </c>
      <c r="E4236" s="29" t="s">
        <v>4404</v>
      </c>
      <c r="F4236" s="62"/>
      <c r="G4236" s="20" t="str">
        <f t="shared" si="1"/>
        <v>Office Supplies, General Office Supplies, Paper Products, Blank ID Cards</v>
      </c>
    </row>
    <row r="4237">
      <c r="A4237" s="29">
        <v>957.0</v>
      </c>
      <c r="B4237" s="29" t="s">
        <v>4345</v>
      </c>
      <c r="C4237" s="29" t="s">
        <v>4382</v>
      </c>
      <c r="D4237" s="29" t="s">
        <v>4402</v>
      </c>
      <c r="E4237" s="29" t="s">
        <v>4405</v>
      </c>
      <c r="F4237" s="62"/>
      <c r="G4237" s="20" t="str">
        <f t="shared" si="1"/>
        <v>Office Supplies, General Office Supplies, Paper Products, Business Cards</v>
      </c>
    </row>
    <row r="4238">
      <c r="A4238" s="29">
        <v>5918.0</v>
      </c>
      <c r="B4238" s="29" t="s">
        <v>4345</v>
      </c>
      <c r="C4238" s="29" t="s">
        <v>4382</v>
      </c>
      <c r="D4238" s="29" t="s">
        <v>4402</v>
      </c>
      <c r="E4238" s="29" t="s">
        <v>4406</v>
      </c>
      <c r="F4238" s="62"/>
      <c r="G4238" s="20" t="str">
        <f t="shared" si="1"/>
        <v>Office Supplies, General Office Supplies, Paper Products, Business Forms &amp; Receipts</v>
      </c>
    </row>
    <row r="4239">
      <c r="A4239" s="29">
        <v>6930.0</v>
      </c>
      <c r="B4239" s="29" t="s">
        <v>4345</v>
      </c>
      <c r="C4239" s="29" t="s">
        <v>4382</v>
      </c>
      <c r="D4239" s="29" t="s">
        <v>4402</v>
      </c>
      <c r="E4239" s="29" t="s">
        <v>4407</v>
      </c>
      <c r="F4239" s="62"/>
      <c r="G4239" s="20" t="str">
        <f t="shared" si="1"/>
        <v>Office Supplies, General Office Supplies, Paper Products, Checks</v>
      </c>
    </row>
    <row r="4240">
      <c r="A4240" s="29">
        <v>1513.0</v>
      </c>
      <c r="B4240" s="29" t="s">
        <v>4345</v>
      </c>
      <c r="C4240" s="29" t="s">
        <v>4382</v>
      </c>
      <c r="D4240" s="29" t="s">
        <v>4402</v>
      </c>
      <c r="E4240" s="29" t="s">
        <v>4408</v>
      </c>
      <c r="F4240" s="62"/>
      <c r="G4240" s="20" t="str">
        <f t="shared" si="1"/>
        <v>Office Supplies, General Office Supplies, Paper Products, Cover Paper</v>
      </c>
    </row>
    <row r="4241">
      <c r="A4241" s="29">
        <v>958.0</v>
      </c>
      <c r="B4241" s="29" t="s">
        <v>4345</v>
      </c>
      <c r="C4241" s="29" t="s">
        <v>4382</v>
      </c>
      <c r="D4241" s="29" t="s">
        <v>4402</v>
      </c>
      <c r="E4241" s="29" t="s">
        <v>4409</v>
      </c>
      <c r="F4241" s="62"/>
      <c r="G4241" s="20" t="str">
        <f t="shared" si="1"/>
        <v>Office Supplies, General Office Supplies, Paper Products, Envelopes</v>
      </c>
    </row>
    <row r="4242">
      <c r="A4242" s="29">
        <v>959.0</v>
      </c>
      <c r="B4242" s="29" t="s">
        <v>4345</v>
      </c>
      <c r="C4242" s="29" t="s">
        <v>4382</v>
      </c>
      <c r="D4242" s="29" t="s">
        <v>4402</v>
      </c>
      <c r="E4242" s="29" t="s">
        <v>4410</v>
      </c>
      <c r="F4242" s="62"/>
      <c r="G4242" s="20" t="str">
        <f t="shared" si="1"/>
        <v>Office Supplies, General Office Supplies, Paper Products, Index Cards</v>
      </c>
    </row>
    <row r="4243">
      <c r="A4243" s="29">
        <v>961.0</v>
      </c>
      <c r="B4243" s="29" t="s">
        <v>4345</v>
      </c>
      <c r="C4243" s="29" t="s">
        <v>4382</v>
      </c>
      <c r="D4243" s="29" t="s">
        <v>4402</v>
      </c>
      <c r="E4243" s="29" t="s">
        <v>4411</v>
      </c>
      <c r="F4243" s="62"/>
      <c r="G4243" s="20" t="str">
        <f t="shared" si="1"/>
        <v>Office Supplies, General Office Supplies, Paper Products, Notebooks &amp; Notepads</v>
      </c>
    </row>
    <row r="4244">
      <c r="A4244" s="29">
        <v>3871.0</v>
      </c>
      <c r="B4244" s="29" t="s">
        <v>4345</v>
      </c>
      <c r="C4244" s="29" t="s">
        <v>4382</v>
      </c>
      <c r="D4244" s="29" t="s">
        <v>4402</v>
      </c>
      <c r="E4244" s="29" t="s">
        <v>4412</v>
      </c>
      <c r="F4244" s="62"/>
      <c r="G4244" s="20" t="str">
        <f t="shared" si="1"/>
        <v>Office Supplies, General Office Supplies, Paper Products, Post Cards</v>
      </c>
    </row>
    <row r="4245">
      <c r="A4245" s="29">
        <v>962.0</v>
      </c>
      <c r="B4245" s="29" t="s">
        <v>4345</v>
      </c>
      <c r="C4245" s="29" t="s">
        <v>4382</v>
      </c>
      <c r="D4245" s="29" t="s">
        <v>4402</v>
      </c>
      <c r="E4245" s="29" t="s">
        <v>4413</v>
      </c>
      <c r="F4245" s="62"/>
      <c r="G4245" s="20" t="str">
        <f t="shared" si="1"/>
        <v>Office Supplies, General Office Supplies, Paper Products, Printer &amp; Copier Paper</v>
      </c>
    </row>
    <row r="4246">
      <c r="A4246" s="29">
        <v>5919.0</v>
      </c>
      <c r="B4246" s="29" t="s">
        <v>4345</v>
      </c>
      <c r="C4246" s="29" t="s">
        <v>4382</v>
      </c>
      <c r="D4246" s="29" t="s">
        <v>4402</v>
      </c>
      <c r="E4246" s="29" t="s">
        <v>4414</v>
      </c>
      <c r="G4246" s="20" t="str">
        <f t="shared" si="1"/>
        <v>Office Supplies, General Office Supplies, Paper Products, Receipt &amp; Adding Machine Paper Rolls</v>
      </c>
    </row>
    <row r="4247">
      <c r="A4247" s="29">
        <v>3457.0</v>
      </c>
      <c r="B4247" s="29" t="s">
        <v>4345</v>
      </c>
      <c r="C4247" s="29" t="s">
        <v>4382</v>
      </c>
      <c r="D4247" s="29" t="s">
        <v>4402</v>
      </c>
      <c r="E4247" s="29" t="s">
        <v>4415</v>
      </c>
      <c r="F4247" s="62"/>
      <c r="G4247" s="20" t="str">
        <f t="shared" si="1"/>
        <v>Office Supplies, General Office Supplies, Paper Products, Stationery</v>
      </c>
    </row>
    <row r="4248">
      <c r="A4248" s="29">
        <v>2689.0</v>
      </c>
      <c r="B4248" s="29" t="s">
        <v>4345</v>
      </c>
      <c r="C4248" s="29" t="s">
        <v>4382</v>
      </c>
      <c r="D4248" s="29" t="s">
        <v>4402</v>
      </c>
      <c r="E4248" s="29" t="s">
        <v>4416</v>
      </c>
      <c r="F4248" s="62"/>
      <c r="G4248" s="20" t="str">
        <f t="shared" si="1"/>
        <v>Office Supplies, General Office Supplies, Paper Products, Sticky Notes</v>
      </c>
    </row>
    <row r="4249">
      <c r="A4249" s="29">
        <v>944.0</v>
      </c>
      <c r="B4249" s="29" t="s">
        <v>4345</v>
      </c>
      <c r="C4249" s="29" t="s">
        <v>4382</v>
      </c>
      <c r="D4249" s="29" t="s">
        <v>4417</v>
      </c>
      <c r="E4249" s="62"/>
      <c r="F4249" s="62"/>
      <c r="G4249" s="20" t="str">
        <f t="shared" si="1"/>
        <v>Office Supplies, General Office Supplies, Rubber Bands, </v>
      </c>
    </row>
    <row r="4250">
      <c r="A4250" s="29">
        <v>948.0</v>
      </c>
      <c r="B4250" s="29" t="s">
        <v>4345</v>
      </c>
      <c r="C4250" s="29" t="s">
        <v>4382</v>
      </c>
      <c r="D4250" s="29" t="s">
        <v>4418</v>
      </c>
      <c r="E4250" s="62"/>
      <c r="F4250" s="62"/>
      <c r="G4250" s="20" t="str">
        <f t="shared" si="1"/>
        <v>Office Supplies, General Office Supplies, Staples, </v>
      </c>
    </row>
    <row r="4251">
      <c r="A4251" s="29">
        <v>949.0</v>
      </c>
      <c r="B4251" s="29" t="s">
        <v>4345</v>
      </c>
      <c r="C4251" s="29" t="s">
        <v>4382</v>
      </c>
      <c r="D4251" s="29" t="s">
        <v>4419</v>
      </c>
      <c r="E4251" s="62"/>
      <c r="F4251" s="62"/>
      <c r="G4251" s="20" t="str">
        <f t="shared" si="1"/>
        <v>Office Supplies, General Office Supplies, Tacks &amp; Pushpins, </v>
      </c>
    </row>
    <row r="4252">
      <c r="A4252" s="29">
        <v>5829.0</v>
      </c>
      <c r="B4252" s="29" t="s">
        <v>4345</v>
      </c>
      <c r="C4252" s="29" t="s">
        <v>4420</v>
      </c>
      <c r="D4252" s="62"/>
      <c r="E4252" s="62"/>
      <c r="F4252" s="62"/>
      <c r="G4252" s="20" t="str">
        <f t="shared" si="1"/>
        <v>Office Supplies, Impulse Sealers, , </v>
      </c>
    </row>
    <row r="4253">
      <c r="A4253" s="29">
        <v>8499.0</v>
      </c>
      <c r="B4253" s="29" t="s">
        <v>4345</v>
      </c>
      <c r="C4253" s="29" t="s">
        <v>4421</v>
      </c>
      <c r="D4253" s="62"/>
      <c r="E4253" s="62"/>
      <c r="F4253" s="62"/>
      <c r="G4253" s="20" t="str">
        <f t="shared" si="1"/>
        <v>Office Supplies, Lap Desks, , </v>
      </c>
    </row>
    <row r="4254">
      <c r="A4254" s="29">
        <v>2435.0</v>
      </c>
      <c r="B4254" s="29" t="s">
        <v>4345</v>
      </c>
      <c r="C4254" s="29" t="s">
        <v>4422</v>
      </c>
      <c r="D4254" s="62"/>
      <c r="E4254" s="62"/>
      <c r="F4254" s="62"/>
      <c r="G4254" s="20" t="str">
        <f t="shared" si="1"/>
        <v>Office Supplies, Name Plates, , </v>
      </c>
    </row>
    <row r="4255">
      <c r="A4255" s="29">
        <v>6519.0</v>
      </c>
      <c r="B4255" s="29" t="s">
        <v>4345</v>
      </c>
      <c r="C4255" s="29" t="s">
        <v>4423</v>
      </c>
      <c r="D4255" s="62"/>
      <c r="E4255" s="62"/>
      <c r="F4255" s="62"/>
      <c r="G4255" s="20" t="str">
        <f t="shared" si="1"/>
        <v>Office Supplies, Office &amp; Chair Mats, , </v>
      </c>
    </row>
    <row r="4256">
      <c r="A4256" s="29">
        <v>6462.0</v>
      </c>
      <c r="B4256" s="29" t="s">
        <v>4345</v>
      </c>
      <c r="C4256" s="29" t="s">
        <v>4423</v>
      </c>
      <c r="D4256" s="29" t="s">
        <v>4424</v>
      </c>
      <c r="E4256" s="62"/>
      <c r="F4256" s="62"/>
      <c r="G4256" s="20" t="str">
        <f t="shared" si="1"/>
        <v>Office Supplies, Office &amp; Chair Mats, Anti-Fatigue Mats, </v>
      </c>
    </row>
    <row r="4257">
      <c r="A4257" s="29">
        <v>6521.0</v>
      </c>
      <c r="B4257" s="29" t="s">
        <v>4345</v>
      </c>
      <c r="C4257" s="29" t="s">
        <v>4423</v>
      </c>
      <c r="D4257" s="29" t="s">
        <v>4425</v>
      </c>
      <c r="E4257" s="62"/>
      <c r="F4257" s="62"/>
      <c r="G4257" s="20" t="str">
        <f t="shared" si="1"/>
        <v>Office Supplies, Office &amp; Chair Mats, Chair Mats, </v>
      </c>
    </row>
    <row r="4258">
      <c r="A4258" s="29">
        <v>6520.0</v>
      </c>
      <c r="B4258" s="29" t="s">
        <v>4345</v>
      </c>
      <c r="C4258" s="29" t="s">
        <v>4423</v>
      </c>
      <c r="D4258" s="29" t="s">
        <v>4426</v>
      </c>
      <c r="E4258" s="62"/>
      <c r="F4258" s="62"/>
      <c r="G4258" s="20" t="str">
        <f t="shared" si="1"/>
        <v>Office Supplies, Office &amp; Chair Mats, Office Mats, </v>
      </c>
    </row>
    <row r="4259">
      <c r="A4259" s="29">
        <v>6373.0</v>
      </c>
      <c r="B4259" s="29" t="s">
        <v>4345</v>
      </c>
      <c r="C4259" s="29" t="s">
        <v>4427</v>
      </c>
      <c r="D4259" s="62"/>
      <c r="E4259" s="62"/>
      <c r="F4259" s="62"/>
      <c r="G4259" s="20" t="str">
        <f t="shared" si="1"/>
        <v>Office Supplies, Office Carts, , </v>
      </c>
    </row>
    <row r="4260">
      <c r="A4260" s="29">
        <v>1996.0</v>
      </c>
      <c r="B4260" s="29" t="s">
        <v>4345</v>
      </c>
      <c r="C4260" s="29" t="s">
        <v>4427</v>
      </c>
      <c r="D4260" s="29" t="s">
        <v>4428</v>
      </c>
      <c r="E4260" s="62"/>
      <c r="F4260" s="62"/>
      <c r="G4260" s="20" t="str">
        <f t="shared" si="1"/>
        <v>Office Supplies, Office Carts, AV Carts, </v>
      </c>
    </row>
    <row r="4261">
      <c r="A4261" s="29">
        <v>6182.0</v>
      </c>
      <c r="B4261" s="29" t="s">
        <v>4345</v>
      </c>
      <c r="C4261" s="29" t="s">
        <v>4427</v>
      </c>
      <c r="D4261" s="29" t="s">
        <v>4429</v>
      </c>
      <c r="E4261" s="62"/>
      <c r="F4261" s="62"/>
      <c r="G4261" s="20" t="str">
        <f t="shared" si="1"/>
        <v>Office Supplies, Office Carts, Book Carts, </v>
      </c>
    </row>
    <row r="4262">
      <c r="A4262" s="29">
        <v>6180.0</v>
      </c>
      <c r="B4262" s="29" t="s">
        <v>4345</v>
      </c>
      <c r="C4262" s="29" t="s">
        <v>4427</v>
      </c>
      <c r="D4262" s="29" t="s">
        <v>4430</v>
      </c>
      <c r="E4262" s="62"/>
      <c r="F4262" s="62"/>
      <c r="G4262" s="20" t="str">
        <f t="shared" si="1"/>
        <v>Office Supplies, Office Carts, File Carts, </v>
      </c>
    </row>
    <row r="4263">
      <c r="A4263" s="29">
        <v>6181.0</v>
      </c>
      <c r="B4263" s="29" t="s">
        <v>4345</v>
      </c>
      <c r="C4263" s="29" t="s">
        <v>4427</v>
      </c>
      <c r="D4263" s="29" t="s">
        <v>4431</v>
      </c>
      <c r="E4263" s="62"/>
      <c r="F4263" s="62"/>
      <c r="G4263" s="20" t="str">
        <f t="shared" si="1"/>
        <v>Office Supplies, Office Carts, Mail Carts, </v>
      </c>
    </row>
    <row r="4264">
      <c r="A4264" s="29">
        <v>6179.0</v>
      </c>
      <c r="B4264" s="29" t="s">
        <v>4345</v>
      </c>
      <c r="C4264" s="29" t="s">
        <v>4427</v>
      </c>
      <c r="D4264" s="29" t="s">
        <v>4432</v>
      </c>
      <c r="E4264" s="62"/>
      <c r="F4264" s="62"/>
      <c r="G4264" s="20" t="str">
        <f t="shared" si="1"/>
        <v>Office Supplies, Office Carts, Utility Carts, </v>
      </c>
    </row>
    <row r="4265">
      <c r="A4265" s="29">
        <v>950.0</v>
      </c>
      <c r="B4265" s="29" t="s">
        <v>4345</v>
      </c>
      <c r="C4265" s="29" t="s">
        <v>4433</v>
      </c>
      <c r="D4265" s="62"/>
      <c r="E4265" s="62"/>
      <c r="F4265" s="62"/>
      <c r="G4265" s="20" t="str">
        <f t="shared" si="1"/>
        <v>Office Supplies, Office Equipment, , </v>
      </c>
    </row>
    <row r="4266">
      <c r="A4266" s="29">
        <v>499864.0</v>
      </c>
      <c r="B4266" s="29" t="s">
        <v>4345</v>
      </c>
      <c r="C4266" s="29" t="s">
        <v>4433</v>
      </c>
      <c r="D4266" s="29" t="s">
        <v>4434</v>
      </c>
      <c r="E4266" s="62"/>
      <c r="F4266" s="62"/>
      <c r="G4266" s="20" t="str">
        <f t="shared" si="1"/>
        <v>Office Supplies, Office Equipment, Calculator Accessories, </v>
      </c>
    </row>
    <row r="4267">
      <c r="A4267" s="29">
        <v>333.0</v>
      </c>
      <c r="B4267" s="29" t="s">
        <v>4345</v>
      </c>
      <c r="C4267" s="29" t="s">
        <v>4433</v>
      </c>
      <c r="D4267" s="29" t="s">
        <v>4435</v>
      </c>
      <c r="E4267" s="62"/>
      <c r="F4267" s="62"/>
      <c r="G4267" s="20" t="str">
        <f t="shared" si="1"/>
        <v>Office Supplies, Office Equipment, Calculators, </v>
      </c>
    </row>
    <row r="4268">
      <c r="A4268" s="29">
        <v>543518.0</v>
      </c>
      <c r="B4268" s="29" t="s">
        <v>4345</v>
      </c>
      <c r="C4268" s="29" t="s">
        <v>4433</v>
      </c>
      <c r="D4268" s="29" t="s">
        <v>4435</v>
      </c>
      <c r="E4268" s="29" t="s">
        <v>4436</v>
      </c>
      <c r="F4268" s="62"/>
      <c r="G4268" s="20" t="str">
        <f t="shared" si="1"/>
        <v>Office Supplies, Office Equipment, Calculators, Basic Calculators</v>
      </c>
    </row>
    <row r="4269">
      <c r="A4269" s="29">
        <v>543521.0</v>
      </c>
      <c r="B4269" s="29" t="s">
        <v>4345</v>
      </c>
      <c r="C4269" s="29" t="s">
        <v>4433</v>
      </c>
      <c r="D4269" s="29" t="s">
        <v>4435</v>
      </c>
      <c r="E4269" s="29" t="s">
        <v>4437</v>
      </c>
      <c r="F4269" s="62"/>
      <c r="G4269" s="20" t="str">
        <f t="shared" si="1"/>
        <v>Office Supplies, Office Equipment, Calculators, Construction Calculators</v>
      </c>
    </row>
    <row r="4270">
      <c r="A4270" s="29">
        <v>543519.0</v>
      </c>
      <c r="B4270" s="29" t="s">
        <v>4345</v>
      </c>
      <c r="C4270" s="29" t="s">
        <v>4433</v>
      </c>
      <c r="D4270" s="29" t="s">
        <v>4435</v>
      </c>
      <c r="E4270" s="29" t="s">
        <v>4438</v>
      </c>
      <c r="F4270" s="62"/>
      <c r="G4270" s="20" t="str">
        <f t="shared" si="1"/>
        <v>Office Supplies, Office Equipment, Calculators, Financial Calculators</v>
      </c>
    </row>
    <row r="4271">
      <c r="A4271" s="29">
        <v>543517.0</v>
      </c>
      <c r="B4271" s="29" t="s">
        <v>4345</v>
      </c>
      <c r="C4271" s="29" t="s">
        <v>4433</v>
      </c>
      <c r="D4271" s="29" t="s">
        <v>4435</v>
      </c>
      <c r="E4271" s="29" t="s">
        <v>4439</v>
      </c>
      <c r="F4271" s="62"/>
      <c r="G4271" s="20" t="str">
        <f t="shared" si="1"/>
        <v>Office Supplies, Office Equipment, Calculators, Graphing Calculators</v>
      </c>
    </row>
    <row r="4272">
      <c r="A4272" s="29">
        <v>543520.0</v>
      </c>
      <c r="B4272" s="29" t="s">
        <v>4345</v>
      </c>
      <c r="C4272" s="29" t="s">
        <v>4433</v>
      </c>
      <c r="D4272" s="29" t="s">
        <v>4435</v>
      </c>
      <c r="E4272" s="29" t="s">
        <v>4440</v>
      </c>
      <c r="F4272" s="62"/>
      <c r="G4272" s="20" t="str">
        <f t="shared" si="1"/>
        <v>Office Supplies, Office Equipment, Calculators, Scientific Calculators</v>
      </c>
    </row>
    <row r="4273">
      <c r="A4273" s="29">
        <v>337.0</v>
      </c>
      <c r="B4273" s="29" t="s">
        <v>4345</v>
      </c>
      <c r="C4273" s="29" t="s">
        <v>4433</v>
      </c>
      <c r="D4273" s="29" t="s">
        <v>4441</v>
      </c>
      <c r="F4273" s="62"/>
      <c r="G4273" s="20" t="str">
        <f t="shared" si="1"/>
        <v>Office Supplies, Office Equipment, Electronic Dictionaries &amp; Translators, </v>
      </c>
    </row>
    <row r="4274">
      <c r="A4274" s="29">
        <v>952.0</v>
      </c>
      <c r="B4274" s="29" t="s">
        <v>4345</v>
      </c>
      <c r="C4274" s="29" t="s">
        <v>4433</v>
      </c>
      <c r="D4274" s="29" t="s">
        <v>4442</v>
      </c>
      <c r="E4274" s="62"/>
      <c r="F4274" s="62"/>
      <c r="G4274" s="20" t="str">
        <f t="shared" si="1"/>
        <v>Office Supplies, Office Equipment, Label Makers, </v>
      </c>
    </row>
    <row r="4275">
      <c r="A4275" s="29">
        <v>1625.0</v>
      </c>
      <c r="B4275" s="29" t="s">
        <v>4345</v>
      </c>
      <c r="C4275" s="29" t="s">
        <v>4433</v>
      </c>
      <c r="D4275" s="29" t="s">
        <v>4443</v>
      </c>
      <c r="E4275" s="62"/>
      <c r="F4275" s="62"/>
      <c r="G4275" s="20" t="str">
        <f t="shared" si="1"/>
        <v>Office Supplies, Office Equipment, Laminators, </v>
      </c>
    </row>
    <row r="4276">
      <c r="A4276" s="29">
        <v>953.0</v>
      </c>
      <c r="B4276" s="29" t="s">
        <v>4345</v>
      </c>
      <c r="C4276" s="29" t="s">
        <v>4433</v>
      </c>
      <c r="D4276" s="29" t="s">
        <v>4444</v>
      </c>
      <c r="E4276" s="62"/>
      <c r="F4276" s="62"/>
      <c r="G4276" s="20" t="str">
        <f t="shared" si="1"/>
        <v>Office Supplies, Office Equipment, Office Shredders, </v>
      </c>
    </row>
    <row r="4277">
      <c r="A4277" s="29">
        <v>1708.0</v>
      </c>
      <c r="B4277" s="29" t="s">
        <v>4345</v>
      </c>
      <c r="C4277" s="29" t="s">
        <v>4433</v>
      </c>
      <c r="D4277" s="29" t="s">
        <v>4445</v>
      </c>
      <c r="E4277" s="62"/>
      <c r="F4277" s="62"/>
      <c r="G4277" s="20" t="str">
        <f t="shared" si="1"/>
        <v>Office Supplies, Office Equipment, Postage Meters, </v>
      </c>
    </row>
    <row r="4278">
      <c r="A4278" s="29">
        <v>6404.0</v>
      </c>
      <c r="B4278" s="29" t="s">
        <v>4345</v>
      </c>
      <c r="C4278" s="29" t="s">
        <v>4433</v>
      </c>
      <c r="D4278" s="29" t="s">
        <v>4446</v>
      </c>
      <c r="F4278" s="62"/>
      <c r="G4278" s="20" t="str">
        <f t="shared" si="1"/>
        <v>Office Supplies, Office Equipment, Time &amp; Attendance Clocks, </v>
      </c>
    </row>
    <row r="4279">
      <c r="A4279" s="29">
        <v>954.0</v>
      </c>
      <c r="B4279" s="29" t="s">
        <v>4345</v>
      </c>
      <c r="C4279" s="29" t="s">
        <v>4433</v>
      </c>
      <c r="D4279" s="29" t="s">
        <v>4447</v>
      </c>
      <c r="F4279" s="62"/>
      <c r="G4279" s="20" t="str">
        <f t="shared" si="1"/>
        <v>Office Supplies, Office Equipment, Transcribers &amp; Dictation Systems, </v>
      </c>
    </row>
    <row r="4280">
      <c r="A4280" s="29">
        <v>955.0</v>
      </c>
      <c r="B4280" s="29" t="s">
        <v>4345</v>
      </c>
      <c r="C4280" s="29" t="s">
        <v>4433</v>
      </c>
      <c r="D4280" s="29" t="s">
        <v>4448</v>
      </c>
      <c r="E4280" s="62"/>
      <c r="F4280" s="62"/>
      <c r="G4280" s="20" t="str">
        <f t="shared" si="1"/>
        <v>Office Supplies, Office Equipment, Typewriters, </v>
      </c>
    </row>
    <row r="4281">
      <c r="A4281" s="29">
        <v>2986.0</v>
      </c>
      <c r="B4281" s="29" t="s">
        <v>4345</v>
      </c>
      <c r="C4281" s="29" t="s">
        <v>4449</v>
      </c>
      <c r="D4281" s="62"/>
      <c r="E4281" s="62"/>
      <c r="F4281" s="62"/>
      <c r="G4281" s="20" t="str">
        <f t="shared" si="1"/>
        <v>Office Supplies, Office Instruments, , </v>
      </c>
    </row>
    <row r="4282">
      <c r="A4282" s="29">
        <v>2883.0</v>
      </c>
      <c r="B4282" s="29" t="s">
        <v>4345</v>
      </c>
      <c r="C4282" s="29" t="s">
        <v>4449</v>
      </c>
      <c r="D4282" s="29" t="s">
        <v>4450</v>
      </c>
      <c r="E4282" s="62"/>
      <c r="F4282" s="62"/>
      <c r="G4282" s="20" t="str">
        <f t="shared" si="1"/>
        <v>Office Supplies, Office Instruments, Call Bells, </v>
      </c>
    </row>
    <row r="4283">
      <c r="A4283" s="29">
        <v>935.0</v>
      </c>
      <c r="B4283" s="29" t="s">
        <v>4345</v>
      </c>
      <c r="C4283" s="29" t="s">
        <v>4449</v>
      </c>
      <c r="D4283" s="29" t="s">
        <v>4451</v>
      </c>
      <c r="E4283" s="62"/>
      <c r="F4283" s="62"/>
      <c r="G4283" s="20" t="str">
        <f t="shared" si="1"/>
        <v>Office Supplies, Office Instruments, Clipboards, </v>
      </c>
    </row>
    <row r="4284">
      <c r="A4284" s="29">
        <v>505830.0</v>
      </c>
      <c r="B4284" s="29" t="s">
        <v>4345</v>
      </c>
      <c r="C4284" s="29" t="s">
        <v>4449</v>
      </c>
      <c r="D4284" s="29" t="s">
        <v>4452</v>
      </c>
      <c r="E4284" s="62"/>
      <c r="F4284" s="62"/>
      <c r="G4284" s="20" t="str">
        <f t="shared" si="1"/>
        <v>Office Supplies, Office Instruments, Letter Openers, </v>
      </c>
    </row>
    <row r="4285">
      <c r="A4285" s="29">
        <v>941.0</v>
      </c>
      <c r="B4285" s="29" t="s">
        <v>4345</v>
      </c>
      <c r="C4285" s="29" t="s">
        <v>4449</v>
      </c>
      <c r="D4285" s="29" t="s">
        <v>4453</v>
      </c>
      <c r="E4285" s="62"/>
      <c r="F4285" s="62"/>
      <c r="G4285" s="20" t="str">
        <f t="shared" si="1"/>
        <v>Office Supplies, Office Instruments, Magnifiers, </v>
      </c>
    </row>
    <row r="4286">
      <c r="A4286" s="29">
        <v>4341.0</v>
      </c>
      <c r="B4286" s="29" t="s">
        <v>4345</v>
      </c>
      <c r="C4286" s="29" t="s">
        <v>4449</v>
      </c>
      <c r="D4286" s="29" t="s">
        <v>4454</v>
      </c>
      <c r="E4286" s="62"/>
      <c r="F4286" s="62"/>
      <c r="G4286" s="20" t="str">
        <f t="shared" si="1"/>
        <v>Office Supplies, Office Instruments, Office Rubber Stamps, </v>
      </c>
    </row>
    <row r="4287">
      <c r="A4287" s="29">
        <v>943.0</v>
      </c>
      <c r="B4287" s="29" t="s">
        <v>4345</v>
      </c>
      <c r="C4287" s="29" t="s">
        <v>4449</v>
      </c>
      <c r="D4287" s="29" t="s">
        <v>4455</v>
      </c>
      <c r="E4287" s="62"/>
      <c r="F4287" s="62"/>
      <c r="G4287" s="20" t="str">
        <f t="shared" si="1"/>
        <v>Office Supplies, Office Instruments, Pencil Sharpeners, </v>
      </c>
    </row>
    <row r="4288">
      <c r="A4288" s="29">
        <v>4499.0</v>
      </c>
      <c r="B4288" s="29" t="s">
        <v>4345</v>
      </c>
      <c r="C4288" s="29" t="s">
        <v>4449</v>
      </c>
      <c r="D4288" s="29" t="s">
        <v>4456</v>
      </c>
      <c r="E4288" s="62"/>
      <c r="F4288" s="62"/>
      <c r="G4288" s="20" t="str">
        <f t="shared" si="1"/>
        <v>Office Supplies, Office Instruments, Staple Removers, </v>
      </c>
    </row>
    <row r="4289">
      <c r="A4289" s="29">
        <v>947.0</v>
      </c>
      <c r="B4289" s="29" t="s">
        <v>4345</v>
      </c>
      <c r="C4289" s="29" t="s">
        <v>4449</v>
      </c>
      <c r="D4289" s="29" t="s">
        <v>4457</v>
      </c>
      <c r="E4289" s="62"/>
      <c r="F4289" s="62"/>
      <c r="G4289" s="20" t="str">
        <f t="shared" si="1"/>
        <v>Office Supplies, Office Instruments, Staplers, </v>
      </c>
    </row>
    <row r="4290">
      <c r="A4290" s="29">
        <v>503746.0</v>
      </c>
      <c r="B4290" s="29" t="s">
        <v>4345</v>
      </c>
      <c r="C4290" s="29" t="s">
        <v>4449</v>
      </c>
      <c r="D4290" s="29" t="s">
        <v>4458</v>
      </c>
      <c r="E4290" s="62"/>
      <c r="F4290" s="62"/>
      <c r="G4290" s="20" t="str">
        <f t="shared" si="1"/>
        <v>Office Supplies, Office Instruments, Tape Dispensers, </v>
      </c>
    </row>
    <row r="4291">
      <c r="A4291" s="29">
        <v>4470.0</v>
      </c>
      <c r="B4291" s="29" t="s">
        <v>4345</v>
      </c>
      <c r="C4291" s="29" t="s">
        <v>4449</v>
      </c>
      <c r="D4291" s="29" t="s">
        <v>4459</v>
      </c>
      <c r="F4291" s="62"/>
      <c r="G4291" s="20" t="str">
        <f t="shared" si="1"/>
        <v>Office Supplies, Office Instruments, Writing &amp; Drawing Instrument Accessories, </v>
      </c>
    </row>
    <row r="4292">
      <c r="A4292" s="29">
        <v>7117.0</v>
      </c>
      <c r="B4292" s="29" t="s">
        <v>4345</v>
      </c>
      <c r="C4292" s="29" t="s">
        <v>4449</v>
      </c>
      <c r="D4292" s="29" t="s">
        <v>4459</v>
      </c>
      <c r="E4292" s="29" t="s">
        <v>4460</v>
      </c>
      <c r="F4292" s="62"/>
      <c r="G4292" s="20" t="str">
        <f t="shared" si="1"/>
        <v>Office Supplies, Office Instruments, Writing &amp; Drawing Instrument Accessories, Marker &amp; Highlighter Ink Refills</v>
      </c>
    </row>
    <row r="4293">
      <c r="A4293" s="29">
        <v>543667.0</v>
      </c>
      <c r="B4293" s="29" t="s">
        <v>4345</v>
      </c>
      <c r="C4293" s="29" t="s">
        <v>4449</v>
      </c>
      <c r="D4293" s="29" t="s">
        <v>4459</v>
      </c>
      <c r="E4293" s="29" t="s">
        <v>4460</v>
      </c>
      <c r="F4293" s="29" t="s">
        <v>4461</v>
      </c>
      <c r="G4293" s="20" t="str">
        <f t="shared" si="1"/>
        <v>Office Supplies, Office Instruments, Writing &amp; Drawing Instrument Accessories, Marker &amp; Highlighter Ink RefillsHighlighter Refills</v>
      </c>
    </row>
    <row r="4294">
      <c r="A4294" s="29">
        <v>543666.0</v>
      </c>
      <c r="B4294" s="29" t="s">
        <v>4345</v>
      </c>
      <c r="C4294" s="29" t="s">
        <v>4449</v>
      </c>
      <c r="D4294" s="29" t="s">
        <v>4459</v>
      </c>
      <c r="E4294" s="29" t="s">
        <v>4460</v>
      </c>
      <c r="F4294" s="29" t="s">
        <v>4462</v>
      </c>
      <c r="G4294" s="20" t="str">
        <f t="shared" si="1"/>
        <v>Office Supplies, Office Instruments, Writing &amp; Drawing Instrument Accessories, Marker &amp; Highlighter Ink RefillsMarker Refills</v>
      </c>
    </row>
    <row r="4295">
      <c r="A4295" s="29">
        <v>4471.0</v>
      </c>
      <c r="B4295" s="29" t="s">
        <v>4345</v>
      </c>
      <c r="C4295" s="29" t="s">
        <v>4449</v>
      </c>
      <c r="D4295" s="29" t="s">
        <v>4459</v>
      </c>
      <c r="E4295" s="29" t="s">
        <v>4463</v>
      </c>
      <c r="F4295" s="62"/>
      <c r="G4295" s="20" t="str">
        <f t="shared" si="1"/>
        <v>Office Supplies, Office Instruments, Writing &amp; Drawing Instrument Accessories, Pen Ink &amp; Refills</v>
      </c>
    </row>
    <row r="4296">
      <c r="A4296" s="29">
        <v>4472.0</v>
      </c>
      <c r="B4296" s="29" t="s">
        <v>4345</v>
      </c>
      <c r="C4296" s="29" t="s">
        <v>4449</v>
      </c>
      <c r="D4296" s="29" t="s">
        <v>4459</v>
      </c>
      <c r="E4296" s="29" t="s">
        <v>4464</v>
      </c>
      <c r="F4296" s="62"/>
      <c r="G4296" s="20" t="str">
        <f t="shared" si="1"/>
        <v>Office Supplies, Office Instruments, Writing &amp; Drawing Instrument Accessories, Pencil Lead &amp; Refills</v>
      </c>
    </row>
    <row r="4297">
      <c r="A4297" s="29">
        <v>977.0</v>
      </c>
      <c r="B4297" s="29" t="s">
        <v>4345</v>
      </c>
      <c r="C4297" s="29" t="s">
        <v>4449</v>
      </c>
      <c r="D4297" s="29" t="s">
        <v>4465</v>
      </c>
      <c r="F4297" s="62"/>
      <c r="G4297" s="20" t="str">
        <f t="shared" si="1"/>
        <v>Office Supplies, Office Instruments, Writing &amp; Drawing Instruments, </v>
      </c>
    </row>
    <row r="4298">
      <c r="A4298" s="29">
        <v>2623.0</v>
      </c>
      <c r="B4298" s="29" t="s">
        <v>4345</v>
      </c>
      <c r="C4298" s="29" t="s">
        <v>4449</v>
      </c>
      <c r="D4298" s="29" t="s">
        <v>4465</v>
      </c>
      <c r="E4298" s="29" t="s">
        <v>4466</v>
      </c>
      <c r="F4298" s="62"/>
      <c r="G4298" s="20" t="str">
        <f t="shared" si="1"/>
        <v>Office Supplies, Office Instruments, Writing &amp; Drawing Instruments, Art Charcoals</v>
      </c>
    </row>
    <row r="4299">
      <c r="A4299" s="29">
        <v>978.0</v>
      </c>
      <c r="B4299" s="29" t="s">
        <v>4345</v>
      </c>
      <c r="C4299" s="29" t="s">
        <v>4449</v>
      </c>
      <c r="D4299" s="29" t="s">
        <v>4465</v>
      </c>
      <c r="E4299" s="29" t="s">
        <v>4467</v>
      </c>
      <c r="F4299" s="62"/>
      <c r="G4299" s="20" t="str">
        <f t="shared" si="1"/>
        <v>Office Supplies, Office Instruments, Writing &amp; Drawing Instruments, Chalk</v>
      </c>
    </row>
    <row r="4300">
      <c r="A4300" s="29">
        <v>979.0</v>
      </c>
      <c r="B4300" s="29" t="s">
        <v>4345</v>
      </c>
      <c r="C4300" s="29" t="s">
        <v>4449</v>
      </c>
      <c r="D4300" s="29" t="s">
        <v>4465</v>
      </c>
      <c r="E4300" s="29" t="s">
        <v>4468</v>
      </c>
      <c r="F4300" s="62"/>
      <c r="G4300" s="20" t="str">
        <f t="shared" si="1"/>
        <v>Office Supplies, Office Instruments, Writing &amp; Drawing Instruments, Crayons</v>
      </c>
    </row>
    <row r="4301">
      <c r="A4301" s="29">
        <v>980.0</v>
      </c>
      <c r="B4301" s="29" t="s">
        <v>4345</v>
      </c>
      <c r="C4301" s="29" t="s">
        <v>4449</v>
      </c>
      <c r="D4301" s="29" t="s">
        <v>4465</v>
      </c>
      <c r="E4301" s="29" t="s">
        <v>4469</v>
      </c>
      <c r="F4301" s="62"/>
      <c r="G4301" s="20" t="str">
        <f t="shared" si="1"/>
        <v>Office Supplies, Office Instruments, Writing &amp; Drawing Instruments, Markers &amp; Highlighters</v>
      </c>
    </row>
    <row r="4302">
      <c r="A4302" s="29">
        <v>543609.0</v>
      </c>
      <c r="B4302" s="29" t="s">
        <v>4345</v>
      </c>
      <c r="C4302" s="29" t="s">
        <v>4449</v>
      </c>
      <c r="D4302" s="29" t="s">
        <v>4465</v>
      </c>
      <c r="E4302" s="29" t="s">
        <v>4469</v>
      </c>
      <c r="F4302" s="29" t="s">
        <v>4470</v>
      </c>
      <c r="G4302" s="20" t="str">
        <f t="shared" si="1"/>
        <v>Office Supplies, Office Instruments, Writing &amp; Drawing Instruments, Markers &amp; HighlightersHighlighters</v>
      </c>
    </row>
    <row r="4303">
      <c r="A4303" s="29">
        <v>543608.0</v>
      </c>
      <c r="B4303" s="29" t="s">
        <v>4345</v>
      </c>
      <c r="C4303" s="29" t="s">
        <v>4449</v>
      </c>
      <c r="D4303" s="29" t="s">
        <v>4465</v>
      </c>
      <c r="E4303" s="29" t="s">
        <v>4469</v>
      </c>
      <c r="F4303" s="29" t="s">
        <v>4471</v>
      </c>
      <c r="G4303" s="20" t="str">
        <f t="shared" si="1"/>
        <v>Office Supplies, Office Instruments, Writing &amp; Drawing Instruments, Markers &amp; HighlightersMarkers</v>
      </c>
    </row>
    <row r="4304">
      <c r="A4304" s="29">
        <v>6067.0</v>
      </c>
      <c r="B4304" s="29" t="s">
        <v>4345</v>
      </c>
      <c r="C4304" s="29" t="s">
        <v>4449</v>
      </c>
      <c r="D4304" s="29" t="s">
        <v>4465</v>
      </c>
      <c r="E4304" s="29" t="s">
        <v>4472</v>
      </c>
      <c r="F4304" s="62"/>
      <c r="G4304" s="20" t="str">
        <f t="shared" si="1"/>
        <v>Office Supplies, Office Instruments, Writing &amp; Drawing Instruments, Multifunction Writing Instruments</v>
      </c>
    </row>
    <row r="4305">
      <c r="A4305" s="29">
        <v>4752.0</v>
      </c>
      <c r="B4305" s="29" t="s">
        <v>4345</v>
      </c>
      <c r="C4305" s="29" t="s">
        <v>4449</v>
      </c>
      <c r="D4305" s="29" t="s">
        <v>4465</v>
      </c>
      <c r="E4305" s="29" t="s">
        <v>4473</v>
      </c>
      <c r="F4305" s="62"/>
      <c r="G4305" s="20" t="str">
        <f t="shared" si="1"/>
        <v>Office Supplies, Office Instruments, Writing &amp; Drawing Instruments, Pastels</v>
      </c>
    </row>
    <row r="4306">
      <c r="A4306" s="29">
        <v>6065.0</v>
      </c>
      <c r="B4306" s="29" t="s">
        <v>4345</v>
      </c>
      <c r="C4306" s="29" t="s">
        <v>4449</v>
      </c>
      <c r="D4306" s="29" t="s">
        <v>4465</v>
      </c>
      <c r="E4306" s="29" t="s">
        <v>4474</v>
      </c>
      <c r="F4306" s="62"/>
      <c r="G4306" s="20" t="str">
        <f t="shared" si="1"/>
        <v>Office Supplies, Office Instruments, Writing &amp; Drawing Instruments, Pens &amp; Pencils</v>
      </c>
    </row>
    <row r="4307">
      <c r="A4307" s="29">
        <v>6066.0</v>
      </c>
      <c r="B4307" s="29" t="s">
        <v>4345</v>
      </c>
      <c r="C4307" s="29" t="s">
        <v>4449</v>
      </c>
      <c r="D4307" s="29" t="s">
        <v>4465</v>
      </c>
      <c r="E4307" s="29" t="s">
        <v>4474</v>
      </c>
      <c r="F4307" s="29" t="s">
        <v>4475</v>
      </c>
      <c r="G4307" s="20" t="str">
        <f t="shared" si="1"/>
        <v>Office Supplies, Office Instruments, Writing &amp; Drawing Instruments, Pens &amp; PencilsPen &amp; Pencil Sets</v>
      </c>
    </row>
    <row r="4308">
      <c r="A4308" s="29">
        <v>6068.0</v>
      </c>
      <c r="B4308" s="29" t="s">
        <v>4345</v>
      </c>
      <c r="C4308" s="29" t="s">
        <v>4449</v>
      </c>
      <c r="D4308" s="29" t="s">
        <v>4465</v>
      </c>
      <c r="E4308" s="29" t="s">
        <v>4474</v>
      </c>
      <c r="F4308" s="29" t="s">
        <v>4476</v>
      </c>
      <c r="G4308" s="20" t="str">
        <f t="shared" si="1"/>
        <v>Office Supplies, Office Instruments, Writing &amp; Drawing Instruments, Pens &amp; PencilsPencils</v>
      </c>
    </row>
    <row r="4309">
      <c r="A4309" s="29">
        <v>3026.0</v>
      </c>
      <c r="B4309" s="29" t="s">
        <v>4345</v>
      </c>
      <c r="C4309" s="29" t="s">
        <v>4449</v>
      </c>
      <c r="D4309" s="29" t="s">
        <v>4465</v>
      </c>
      <c r="E4309" s="29" t="s">
        <v>4474</v>
      </c>
      <c r="F4309" s="29" t="s">
        <v>4476</v>
      </c>
      <c r="G4309" s="20" t="str">
        <f t="shared" si="1"/>
        <v>Office Supplies, Office Instruments, Writing &amp; Drawing Instruments, Pens &amp; PencilsPencils</v>
      </c>
    </row>
    <row r="4310">
      <c r="A4310" s="29">
        <v>981.0</v>
      </c>
      <c r="B4310" s="29" t="s">
        <v>4345</v>
      </c>
      <c r="C4310" s="29" t="s">
        <v>4449</v>
      </c>
      <c r="D4310" s="29" t="s">
        <v>4465</v>
      </c>
      <c r="E4310" s="29" t="s">
        <v>4474</v>
      </c>
      <c r="F4310" s="29" t="s">
        <v>4476</v>
      </c>
      <c r="G4310" s="20" t="str">
        <f t="shared" si="1"/>
        <v>Office Supplies, Office Instruments, Writing &amp; Drawing Instruments, Pens &amp; PencilsPencils</v>
      </c>
    </row>
    <row r="4311">
      <c r="A4311" s="29">
        <v>543660.0</v>
      </c>
      <c r="B4311" s="29" t="s">
        <v>4345</v>
      </c>
      <c r="C4311" s="29" t="s">
        <v>4449</v>
      </c>
      <c r="D4311" s="29" t="s">
        <v>4465</v>
      </c>
      <c r="E4311" s="29" t="s">
        <v>4474</v>
      </c>
      <c r="F4311" s="29" t="s">
        <v>4476</v>
      </c>
      <c r="G4311" s="20" t="str">
        <f t="shared" si="1"/>
        <v>Office Supplies, Office Instruments, Writing &amp; Drawing Instruments, Pens &amp; PencilsPencils</v>
      </c>
    </row>
    <row r="4312">
      <c r="A4312" s="29">
        <v>543661.0</v>
      </c>
      <c r="B4312" s="29" t="s">
        <v>4345</v>
      </c>
      <c r="C4312" s="29" t="s">
        <v>4449</v>
      </c>
      <c r="D4312" s="29" t="s">
        <v>4465</v>
      </c>
      <c r="E4312" s="29" t="s">
        <v>4474</v>
      </c>
      <c r="F4312" s="29" t="s">
        <v>4476</v>
      </c>
      <c r="G4312" s="20" t="str">
        <f t="shared" si="1"/>
        <v>Office Supplies, Office Instruments, Writing &amp; Drawing Instruments, Pens &amp; PencilsPencils</v>
      </c>
    </row>
    <row r="4313">
      <c r="A4313" s="29">
        <v>982.0</v>
      </c>
      <c r="B4313" s="29" t="s">
        <v>4345</v>
      </c>
      <c r="C4313" s="29" t="s">
        <v>4449</v>
      </c>
      <c r="D4313" s="29" t="s">
        <v>4465</v>
      </c>
      <c r="E4313" s="29" t="s">
        <v>4474</v>
      </c>
      <c r="F4313" s="29" t="s">
        <v>4477</v>
      </c>
      <c r="G4313" s="20" t="str">
        <f t="shared" si="1"/>
        <v>Office Supplies, Office Instruments, Writing &amp; Drawing Instruments, Pens &amp; PencilsPens</v>
      </c>
    </row>
    <row r="4314">
      <c r="A4314" s="29">
        <v>2014.0</v>
      </c>
      <c r="B4314" s="29" t="s">
        <v>4345</v>
      </c>
      <c r="C4314" s="29" t="s">
        <v>4478</v>
      </c>
      <c r="D4314" s="62"/>
      <c r="E4314" s="62"/>
      <c r="F4314" s="62"/>
      <c r="G4314" s="20" t="str">
        <f t="shared" si="1"/>
        <v>Office Supplies, Paper Handling, , </v>
      </c>
    </row>
    <row r="4315">
      <c r="A4315" s="29">
        <v>6486.0</v>
      </c>
      <c r="B4315" s="29" t="s">
        <v>4345</v>
      </c>
      <c r="C4315" s="29" t="s">
        <v>4478</v>
      </c>
      <c r="D4315" s="29" t="s">
        <v>4479</v>
      </c>
      <c r="E4315" s="62"/>
      <c r="F4315" s="62"/>
      <c r="G4315" s="20" t="str">
        <f t="shared" si="1"/>
        <v>Office Supplies, Paper Handling, Fingertip Grips, </v>
      </c>
    </row>
    <row r="4316">
      <c r="A4316" s="29">
        <v>6467.0</v>
      </c>
      <c r="B4316" s="29" t="s">
        <v>4345</v>
      </c>
      <c r="C4316" s="29" t="s">
        <v>4478</v>
      </c>
      <c r="D4316" s="29" t="s">
        <v>4480</v>
      </c>
      <c r="E4316" s="62"/>
      <c r="F4316" s="62"/>
      <c r="G4316" s="20" t="str">
        <f t="shared" si="1"/>
        <v>Office Supplies, Paper Handling, Hole Punches, </v>
      </c>
    </row>
    <row r="4317">
      <c r="A4317" s="29">
        <v>2207.0</v>
      </c>
      <c r="B4317" s="29" t="s">
        <v>4345</v>
      </c>
      <c r="C4317" s="29" t="s">
        <v>4478</v>
      </c>
      <c r="D4317" s="29" t="s">
        <v>4481</v>
      </c>
      <c r="E4317" s="62"/>
      <c r="F4317" s="62"/>
      <c r="G4317" s="20" t="str">
        <f t="shared" si="1"/>
        <v>Office Supplies, Paper Handling, Paper Folding Machines, </v>
      </c>
    </row>
    <row r="4318">
      <c r="A4318" s="29">
        <v>1836.0</v>
      </c>
      <c r="B4318" s="29" t="s">
        <v>4345</v>
      </c>
      <c r="C4318" s="29" t="s">
        <v>4478</v>
      </c>
      <c r="D4318" s="29" t="s">
        <v>4482</v>
      </c>
      <c r="E4318" s="62"/>
      <c r="F4318" s="62"/>
      <c r="G4318" s="20" t="str">
        <f t="shared" si="1"/>
        <v>Office Supplies, Paper Handling, Paper Joggers, </v>
      </c>
    </row>
    <row r="4319">
      <c r="A4319" s="29">
        <v>1803.0</v>
      </c>
      <c r="B4319" s="29" t="s">
        <v>4345</v>
      </c>
      <c r="C4319" s="29" t="s">
        <v>4478</v>
      </c>
      <c r="D4319" s="29" t="s">
        <v>4483</v>
      </c>
      <c r="E4319" s="62"/>
      <c r="F4319" s="62"/>
      <c r="G4319" s="20" t="str">
        <f t="shared" si="1"/>
        <v>Office Supplies, Paper Handling, Paperweights, </v>
      </c>
    </row>
    <row r="4320">
      <c r="A4320" s="29">
        <v>6178.0</v>
      </c>
      <c r="B4320" s="29" t="s">
        <v>4345</v>
      </c>
      <c r="C4320" s="29" t="s">
        <v>4478</v>
      </c>
      <c r="D4320" s="29" t="s">
        <v>4484</v>
      </c>
      <c r="E4320" s="62"/>
      <c r="F4320" s="62"/>
      <c r="G4320" s="20" t="str">
        <f t="shared" si="1"/>
        <v>Office Supplies, Paper Handling, Pencil Boards, </v>
      </c>
    </row>
    <row r="4321">
      <c r="A4321" s="29">
        <v>964.0</v>
      </c>
      <c r="B4321" s="29" t="s">
        <v>4345</v>
      </c>
      <c r="C4321" s="29" t="s">
        <v>4485</v>
      </c>
      <c r="D4321" s="62"/>
      <c r="E4321" s="62"/>
      <c r="F4321" s="62"/>
      <c r="G4321" s="20" t="str">
        <f t="shared" si="1"/>
        <v>Office Supplies, Presentation Supplies, , </v>
      </c>
    </row>
    <row r="4322">
      <c r="A4322" s="29">
        <v>965.0</v>
      </c>
      <c r="B4322" s="29" t="s">
        <v>4345</v>
      </c>
      <c r="C4322" s="29" t="s">
        <v>4485</v>
      </c>
      <c r="D4322" s="29" t="s">
        <v>4486</v>
      </c>
      <c r="E4322" s="62"/>
      <c r="F4322" s="62"/>
      <c r="G4322" s="20" t="str">
        <f t="shared" si="1"/>
        <v>Office Supplies, Presentation Supplies, Chalkboards, </v>
      </c>
    </row>
    <row r="4323">
      <c r="A4323" s="29">
        <v>966.0</v>
      </c>
      <c r="B4323" s="29" t="s">
        <v>4345</v>
      </c>
      <c r="C4323" s="29" t="s">
        <v>4485</v>
      </c>
      <c r="D4323" s="29" t="s">
        <v>4487</v>
      </c>
      <c r="E4323" s="62"/>
      <c r="F4323" s="62"/>
      <c r="G4323" s="20" t="str">
        <f t="shared" si="1"/>
        <v>Office Supplies, Presentation Supplies, Display Boards, </v>
      </c>
    </row>
    <row r="4324">
      <c r="A4324" s="29">
        <v>7525.0</v>
      </c>
      <c r="B4324" s="29" t="s">
        <v>4345</v>
      </c>
      <c r="C4324" s="29" t="s">
        <v>4485</v>
      </c>
      <c r="D4324" s="29" t="s">
        <v>4487</v>
      </c>
      <c r="E4324" s="29" t="s">
        <v>4488</v>
      </c>
      <c r="F4324" s="62"/>
      <c r="G4324" s="20" t="str">
        <f t="shared" si="1"/>
        <v>Office Supplies, Presentation Supplies, Display Boards, Bulletin Board Accessories</v>
      </c>
    </row>
    <row r="4325">
      <c r="A4325" s="29">
        <v>7526.0</v>
      </c>
      <c r="B4325" s="29" t="s">
        <v>4345</v>
      </c>
      <c r="C4325" s="29" t="s">
        <v>4485</v>
      </c>
      <c r="D4325" s="29" t="s">
        <v>4487</v>
      </c>
      <c r="E4325" s="29" t="s">
        <v>4488</v>
      </c>
      <c r="F4325" s="29" t="s">
        <v>4489</v>
      </c>
      <c r="G4325" s="20" t="str">
        <f t="shared" si="1"/>
        <v>Office Supplies, Presentation Supplies, Display Boards, Bulletin Board AccessoriesBulletin Board Trim</v>
      </c>
    </row>
    <row r="4326">
      <c r="A4326" s="29">
        <v>543688.0</v>
      </c>
      <c r="B4326" s="29" t="s">
        <v>4345</v>
      </c>
      <c r="C4326" s="29" t="s">
        <v>4485</v>
      </c>
      <c r="D4326" s="29" t="s">
        <v>4487</v>
      </c>
      <c r="E4326" s="29" t="s">
        <v>4488</v>
      </c>
      <c r="F4326" s="29" t="s">
        <v>4490</v>
      </c>
      <c r="G4326" s="20" t="str">
        <f t="shared" si="1"/>
        <v>Office Supplies, Presentation Supplies, Display Boards, Bulletin Board AccessoriesBulletin Board Trim Sets</v>
      </c>
    </row>
    <row r="4327">
      <c r="A4327" s="29">
        <v>2401.0</v>
      </c>
      <c r="B4327" s="29" t="s">
        <v>4345</v>
      </c>
      <c r="C4327" s="29" t="s">
        <v>4485</v>
      </c>
      <c r="D4327" s="29" t="s">
        <v>4487</v>
      </c>
      <c r="E4327" s="29" t="s">
        <v>4491</v>
      </c>
      <c r="F4327" s="62"/>
      <c r="G4327" s="20" t="str">
        <f t="shared" si="1"/>
        <v>Office Supplies, Presentation Supplies, Display Boards, Bulletin Boards</v>
      </c>
    </row>
    <row r="4328">
      <c r="A4328" s="29">
        <v>2263.0</v>
      </c>
      <c r="B4328" s="29" t="s">
        <v>4345</v>
      </c>
      <c r="C4328" s="29" t="s">
        <v>4485</v>
      </c>
      <c r="D4328" s="29" t="s">
        <v>4487</v>
      </c>
      <c r="E4328" s="29" t="s">
        <v>4492</v>
      </c>
      <c r="F4328" s="62"/>
      <c r="G4328" s="20" t="str">
        <f t="shared" si="1"/>
        <v>Office Supplies, Presentation Supplies, Display Boards, Foam Boards</v>
      </c>
    </row>
    <row r="4329">
      <c r="A4329" s="29">
        <v>1627.0</v>
      </c>
      <c r="B4329" s="29" t="s">
        <v>4345</v>
      </c>
      <c r="C4329" s="29" t="s">
        <v>4485</v>
      </c>
      <c r="D4329" s="29" t="s">
        <v>4487</v>
      </c>
      <c r="E4329" s="29" t="s">
        <v>4493</v>
      </c>
      <c r="F4329" s="62"/>
      <c r="G4329" s="20" t="str">
        <f t="shared" si="1"/>
        <v>Office Supplies, Presentation Supplies, Display Boards, Mounting Boards</v>
      </c>
    </row>
    <row r="4330">
      <c r="A4330" s="29">
        <v>2674.0</v>
      </c>
      <c r="B4330" s="29" t="s">
        <v>4345</v>
      </c>
      <c r="C4330" s="29" t="s">
        <v>4485</v>
      </c>
      <c r="D4330" s="29" t="s">
        <v>4487</v>
      </c>
      <c r="E4330" s="29" t="s">
        <v>4494</v>
      </c>
      <c r="F4330" s="62"/>
      <c r="G4330" s="20" t="str">
        <f t="shared" si="1"/>
        <v>Office Supplies, Presentation Supplies, Display Boards, Poster Boards</v>
      </c>
    </row>
    <row r="4331">
      <c r="A4331" s="29">
        <v>4492.0</v>
      </c>
      <c r="B4331" s="29" t="s">
        <v>4345</v>
      </c>
      <c r="C4331" s="29" t="s">
        <v>4485</v>
      </c>
      <c r="D4331" s="29" t="s">
        <v>4495</v>
      </c>
      <c r="E4331" s="62"/>
      <c r="F4331" s="62"/>
      <c r="G4331" s="20" t="str">
        <f t="shared" si="1"/>
        <v>Office Supplies, Presentation Supplies, Document Cameras, </v>
      </c>
    </row>
    <row r="4332">
      <c r="A4332" s="29">
        <v>971.0</v>
      </c>
      <c r="B4332" s="29" t="s">
        <v>4345</v>
      </c>
      <c r="C4332" s="29" t="s">
        <v>4485</v>
      </c>
      <c r="D4332" s="29" t="s">
        <v>4496</v>
      </c>
      <c r="E4332" s="62"/>
      <c r="F4332" s="62"/>
      <c r="G4332" s="20" t="str">
        <f t="shared" si="1"/>
        <v>Office Supplies, Presentation Supplies, Dry-Erase Boards, </v>
      </c>
    </row>
    <row r="4333">
      <c r="A4333" s="29">
        <v>967.0</v>
      </c>
      <c r="B4333" s="29" t="s">
        <v>4345</v>
      </c>
      <c r="C4333" s="29" t="s">
        <v>4485</v>
      </c>
      <c r="D4333" s="29" t="s">
        <v>4497</v>
      </c>
      <c r="E4333" s="62"/>
      <c r="F4333" s="62"/>
      <c r="G4333" s="20" t="str">
        <f t="shared" si="1"/>
        <v>Office Supplies, Presentation Supplies, Easel Pads, </v>
      </c>
    </row>
    <row r="4334">
      <c r="A4334" s="29">
        <v>968.0</v>
      </c>
      <c r="B4334" s="29" t="s">
        <v>4345</v>
      </c>
      <c r="C4334" s="29" t="s">
        <v>4485</v>
      </c>
      <c r="D4334" s="29" t="s">
        <v>4498</v>
      </c>
      <c r="E4334" s="62"/>
      <c r="F4334" s="62"/>
      <c r="G4334" s="20" t="str">
        <f t="shared" si="1"/>
        <v>Office Supplies, Presentation Supplies, Easels, </v>
      </c>
    </row>
    <row r="4335">
      <c r="A4335" s="29">
        <v>969.0</v>
      </c>
      <c r="B4335" s="29" t="s">
        <v>4345</v>
      </c>
      <c r="C4335" s="29" t="s">
        <v>4485</v>
      </c>
      <c r="D4335" s="29" t="s">
        <v>4499</v>
      </c>
      <c r="E4335" s="62"/>
      <c r="F4335" s="62"/>
      <c r="G4335" s="20" t="str">
        <f t="shared" si="1"/>
        <v>Office Supplies, Presentation Supplies, Laser Pointers, </v>
      </c>
    </row>
    <row r="4336">
      <c r="A4336" s="29">
        <v>970.0</v>
      </c>
      <c r="B4336" s="29" t="s">
        <v>4345</v>
      </c>
      <c r="C4336" s="29" t="s">
        <v>4485</v>
      </c>
      <c r="D4336" s="29" t="s">
        <v>4500</v>
      </c>
      <c r="E4336" s="62"/>
      <c r="F4336" s="62"/>
      <c r="G4336" s="20" t="str">
        <f t="shared" si="1"/>
        <v>Office Supplies, Presentation Supplies, Lecterns, </v>
      </c>
    </row>
    <row r="4337">
      <c r="A4337" s="29">
        <v>963.0</v>
      </c>
      <c r="B4337" s="29" t="s">
        <v>4345</v>
      </c>
      <c r="C4337" s="29" t="s">
        <v>4485</v>
      </c>
      <c r="D4337" s="29" t="s">
        <v>4501</v>
      </c>
      <c r="E4337" s="62"/>
      <c r="F4337" s="62"/>
      <c r="G4337" s="20" t="str">
        <f t="shared" si="1"/>
        <v>Office Supplies, Presentation Supplies, Transparencies, </v>
      </c>
    </row>
    <row r="4338">
      <c r="A4338" s="29">
        <v>4465.0</v>
      </c>
      <c r="B4338" s="29" t="s">
        <v>4345</v>
      </c>
      <c r="C4338" s="29" t="s">
        <v>4485</v>
      </c>
      <c r="D4338" s="29" t="s">
        <v>4502</v>
      </c>
      <c r="E4338" s="62"/>
      <c r="F4338" s="62"/>
      <c r="G4338" s="20" t="str">
        <f t="shared" si="1"/>
        <v>Office Supplies, Presentation Supplies, Wireless Presenters, </v>
      </c>
    </row>
    <row r="4339">
      <c r="A4339" s="29">
        <v>2636.0</v>
      </c>
      <c r="B4339" s="29" t="s">
        <v>4345</v>
      </c>
      <c r="C4339" s="29" t="s">
        <v>4503</v>
      </c>
      <c r="D4339" s="62"/>
      <c r="E4339" s="62"/>
      <c r="F4339" s="62"/>
      <c r="G4339" s="20" t="str">
        <f t="shared" si="1"/>
        <v>Office Supplies, Shipping Supplies, , </v>
      </c>
    </row>
    <row r="4340">
      <c r="A4340" s="29">
        <v>973.0</v>
      </c>
      <c r="B4340" s="29" t="s">
        <v>4345</v>
      </c>
      <c r="C4340" s="29" t="s">
        <v>4503</v>
      </c>
      <c r="D4340" s="29" t="s">
        <v>4504</v>
      </c>
      <c r="E4340" s="62"/>
      <c r="F4340" s="62"/>
      <c r="G4340" s="20" t="str">
        <f t="shared" si="1"/>
        <v>Office Supplies, Shipping Supplies, Moving &amp; Shipping Boxes, </v>
      </c>
    </row>
    <row r="4341">
      <c r="A4341" s="29">
        <v>974.0</v>
      </c>
      <c r="B4341" s="29" t="s">
        <v>4345</v>
      </c>
      <c r="C4341" s="29" t="s">
        <v>4503</v>
      </c>
      <c r="D4341" s="29" t="s">
        <v>4505</v>
      </c>
      <c r="E4341" s="62"/>
      <c r="F4341" s="62"/>
      <c r="G4341" s="20" t="str">
        <f t="shared" si="1"/>
        <v>Office Supplies, Shipping Supplies, Packing Materials, </v>
      </c>
    </row>
    <row r="4342">
      <c r="A4342" s="29">
        <v>975.0</v>
      </c>
      <c r="B4342" s="29" t="s">
        <v>4345</v>
      </c>
      <c r="C4342" s="29" t="s">
        <v>4503</v>
      </c>
      <c r="D4342" s="29" t="s">
        <v>4506</v>
      </c>
      <c r="E4342" s="62"/>
      <c r="F4342" s="62"/>
      <c r="G4342" s="20" t="str">
        <f t="shared" si="1"/>
        <v>Office Supplies, Shipping Supplies, Packing Tape, </v>
      </c>
    </row>
    <row r="4343">
      <c r="A4343" s="29">
        <v>5605.0</v>
      </c>
      <c r="B4343" s="29" t="s">
        <v>4507</v>
      </c>
      <c r="C4343" s="62"/>
      <c r="D4343" s="62"/>
      <c r="E4343" s="62"/>
      <c r="F4343" s="62"/>
      <c r="G4343" s="20" t="str">
        <f t="shared" si="1"/>
        <v>Religious &amp; Ceremonial, , , </v>
      </c>
    </row>
    <row r="4344">
      <c r="A4344" s="29">
        <v>5606.0</v>
      </c>
      <c r="B4344" s="29" t="s">
        <v>4507</v>
      </c>
      <c r="C4344" s="29" t="s">
        <v>4508</v>
      </c>
      <c r="D4344" s="62"/>
      <c r="E4344" s="62"/>
      <c r="F4344" s="62"/>
      <c r="G4344" s="20" t="str">
        <f t="shared" si="1"/>
        <v>Religious &amp; Ceremonial, Memorial Ceremony Supplies, , </v>
      </c>
    </row>
    <row r="4345">
      <c r="A4345" s="29">
        <v>5607.0</v>
      </c>
      <c r="B4345" s="29" t="s">
        <v>4507</v>
      </c>
      <c r="C4345" s="29" t="s">
        <v>4508</v>
      </c>
      <c r="D4345" s="29" t="s">
        <v>4509</v>
      </c>
      <c r="E4345" s="62"/>
      <c r="F4345" s="62"/>
      <c r="G4345" s="20" t="str">
        <f t="shared" si="1"/>
        <v>Religious &amp; Ceremonial, Memorial Ceremony Supplies, Memorial Urns, </v>
      </c>
    </row>
    <row r="4346">
      <c r="A4346" s="29">
        <v>97.0</v>
      </c>
      <c r="B4346" s="29" t="s">
        <v>4507</v>
      </c>
      <c r="C4346" s="29" t="s">
        <v>4510</v>
      </c>
      <c r="D4346" s="62"/>
      <c r="E4346" s="62"/>
      <c r="F4346" s="62"/>
      <c r="G4346" s="20" t="str">
        <f t="shared" si="1"/>
        <v>Religious &amp; Ceremonial, Religious Items, , </v>
      </c>
    </row>
    <row r="4347">
      <c r="A4347" s="29">
        <v>3923.0</v>
      </c>
      <c r="B4347" s="29" t="s">
        <v>4507</v>
      </c>
      <c r="C4347" s="29" t="s">
        <v>4510</v>
      </c>
      <c r="D4347" s="29" t="s">
        <v>4511</v>
      </c>
      <c r="E4347" s="62"/>
      <c r="F4347" s="62"/>
      <c r="G4347" s="20" t="str">
        <f t="shared" si="1"/>
        <v>Religious &amp; Ceremonial, Religious Items, Prayer Beads, </v>
      </c>
    </row>
    <row r="4348">
      <c r="A4348" s="29">
        <v>328060.0</v>
      </c>
      <c r="B4348" s="29" t="s">
        <v>4507</v>
      </c>
      <c r="C4348" s="29" t="s">
        <v>4510</v>
      </c>
      <c r="D4348" s="29" t="s">
        <v>4512</v>
      </c>
      <c r="E4348" s="62"/>
      <c r="F4348" s="62"/>
      <c r="G4348" s="20" t="str">
        <f t="shared" si="1"/>
        <v>Religious &amp; Ceremonial, Religious Items, Prayer Cards, </v>
      </c>
    </row>
    <row r="4349">
      <c r="A4349" s="29">
        <v>7120.0</v>
      </c>
      <c r="B4349" s="29" t="s">
        <v>4507</v>
      </c>
      <c r="C4349" s="29" t="s">
        <v>4510</v>
      </c>
      <c r="D4349" s="29" t="s">
        <v>4513</v>
      </c>
      <c r="E4349" s="62"/>
      <c r="F4349" s="62"/>
      <c r="G4349" s="20" t="str">
        <f t="shared" si="1"/>
        <v>Religious &amp; Ceremonial, Religious Items, Religious Altars, </v>
      </c>
    </row>
    <row r="4350">
      <c r="A4350" s="29">
        <v>1949.0</v>
      </c>
      <c r="B4350" s="29" t="s">
        <v>4507</v>
      </c>
      <c r="C4350" s="29" t="s">
        <v>4510</v>
      </c>
      <c r="D4350" s="29" t="s">
        <v>4514</v>
      </c>
      <c r="E4350" s="62"/>
      <c r="F4350" s="62"/>
      <c r="G4350" s="20" t="str">
        <f t="shared" si="1"/>
        <v>Religious &amp; Ceremonial, Religious Items, Religious Veils, </v>
      </c>
    </row>
    <row r="4351">
      <c r="A4351" s="29">
        <v>499711.0</v>
      </c>
      <c r="B4351" s="29" t="s">
        <v>4507</v>
      </c>
      <c r="C4351" s="29" t="s">
        <v>4510</v>
      </c>
      <c r="D4351" s="29" t="s">
        <v>4515</v>
      </c>
      <c r="E4351" s="62"/>
      <c r="F4351" s="62"/>
      <c r="G4351" s="20" t="str">
        <f t="shared" si="1"/>
        <v>Religious &amp; Ceremonial, Religious Items, Tarot Cards, </v>
      </c>
    </row>
    <row r="4352">
      <c r="A4352" s="29">
        <v>5455.0</v>
      </c>
      <c r="B4352" s="29" t="s">
        <v>4507</v>
      </c>
      <c r="C4352" s="29" t="s">
        <v>4516</v>
      </c>
      <c r="D4352" s="62"/>
      <c r="E4352" s="62"/>
      <c r="F4352" s="62"/>
      <c r="G4352" s="20" t="str">
        <f t="shared" si="1"/>
        <v>Religious &amp; Ceremonial, Wedding Ceremony Supplies, , </v>
      </c>
    </row>
    <row r="4353">
      <c r="A4353" s="29">
        <v>503723.0</v>
      </c>
      <c r="B4353" s="29" t="s">
        <v>4507</v>
      </c>
      <c r="C4353" s="29" t="s">
        <v>4516</v>
      </c>
      <c r="D4353" s="29" t="s">
        <v>4517</v>
      </c>
      <c r="E4353" s="62"/>
      <c r="F4353" s="62"/>
      <c r="G4353" s="20" t="str">
        <f t="shared" si="1"/>
        <v>Religious &amp; Ceremonial, Wedding Ceremony Supplies, Aisle Runners, </v>
      </c>
    </row>
    <row r="4354">
      <c r="A4354" s="29">
        <v>5456.0</v>
      </c>
      <c r="B4354" s="29" t="s">
        <v>4507</v>
      </c>
      <c r="C4354" s="29" t="s">
        <v>4516</v>
      </c>
      <c r="D4354" s="29" t="s">
        <v>4518</v>
      </c>
      <c r="E4354" s="62"/>
      <c r="F4354" s="62"/>
      <c r="G4354" s="20" t="str">
        <f t="shared" si="1"/>
        <v>Religious &amp; Ceremonial, Wedding Ceremony Supplies, Flower Girl Baskets, </v>
      </c>
    </row>
    <row r="4355">
      <c r="A4355" s="29">
        <v>5457.0</v>
      </c>
      <c r="B4355" s="29" t="s">
        <v>4507</v>
      </c>
      <c r="C4355" s="29" t="s">
        <v>4516</v>
      </c>
      <c r="D4355" s="29" t="s">
        <v>4519</v>
      </c>
      <c r="E4355" s="62"/>
      <c r="F4355" s="62"/>
      <c r="G4355" s="20" t="str">
        <f t="shared" si="1"/>
        <v>Religious &amp; Ceremonial, Wedding Ceremony Supplies, Ring Pillows &amp; Holders, </v>
      </c>
    </row>
    <row r="4356">
      <c r="A4356" s="29">
        <v>2092.0</v>
      </c>
      <c r="B4356" s="29" t="s">
        <v>4520</v>
      </c>
      <c r="C4356" s="62"/>
      <c r="D4356" s="62"/>
      <c r="E4356" s="62"/>
      <c r="F4356" s="62"/>
      <c r="G4356" s="20" t="str">
        <f t="shared" si="1"/>
        <v>Software, , , </v>
      </c>
    </row>
    <row r="4357">
      <c r="A4357" s="29">
        <v>313.0</v>
      </c>
      <c r="B4357" s="29" t="s">
        <v>4520</v>
      </c>
      <c r="C4357" s="29" t="s">
        <v>4521</v>
      </c>
      <c r="D4357" s="62"/>
      <c r="E4357" s="62"/>
      <c r="F4357" s="62"/>
      <c r="G4357" s="20" t="str">
        <f t="shared" si="1"/>
        <v>Software, Computer Software, , </v>
      </c>
    </row>
    <row r="4358">
      <c r="A4358" s="29">
        <v>5299.0</v>
      </c>
      <c r="B4358" s="29" t="s">
        <v>4520</v>
      </c>
      <c r="C4358" s="29" t="s">
        <v>4521</v>
      </c>
      <c r="D4358" s="29" t="s">
        <v>4522</v>
      </c>
      <c r="F4358" s="62"/>
      <c r="G4358" s="20" t="str">
        <f t="shared" si="1"/>
        <v>Software, Computer Software, Antivirus &amp; Security Software, </v>
      </c>
    </row>
    <row r="4359">
      <c r="A4359" s="29">
        <v>5300.0</v>
      </c>
      <c r="B4359" s="29" t="s">
        <v>4520</v>
      </c>
      <c r="C4359" s="29" t="s">
        <v>4521</v>
      </c>
      <c r="D4359" s="29" t="s">
        <v>4523</v>
      </c>
      <c r="F4359" s="62"/>
      <c r="G4359" s="20" t="str">
        <f t="shared" si="1"/>
        <v>Software, Computer Software, Business &amp; Productivity Software, </v>
      </c>
    </row>
    <row r="4360">
      <c r="A4360" s="29">
        <v>315.0</v>
      </c>
      <c r="B4360" s="29" t="s">
        <v>4520</v>
      </c>
      <c r="C4360" s="29" t="s">
        <v>4521</v>
      </c>
      <c r="D4360" s="29" t="s">
        <v>4524</v>
      </c>
      <c r="F4360" s="62"/>
      <c r="G4360" s="20" t="str">
        <f t="shared" si="1"/>
        <v>Software, Computer Software, Compilers &amp; Programming Tools, </v>
      </c>
    </row>
    <row r="4361">
      <c r="A4361" s="29">
        <v>5301.0</v>
      </c>
      <c r="B4361" s="29" t="s">
        <v>4520</v>
      </c>
      <c r="C4361" s="29" t="s">
        <v>4521</v>
      </c>
      <c r="D4361" s="29" t="s">
        <v>4525</v>
      </c>
      <c r="F4361" s="62"/>
      <c r="G4361" s="20" t="str">
        <f t="shared" si="1"/>
        <v>Software, Computer Software, Computer Utilities &amp; Maintenance Software, </v>
      </c>
    </row>
    <row r="4362">
      <c r="A4362" s="29">
        <v>5127.0</v>
      </c>
      <c r="B4362" s="29" t="s">
        <v>4520</v>
      </c>
      <c r="C4362" s="29" t="s">
        <v>4521</v>
      </c>
      <c r="D4362" s="29" t="s">
        <v>4526</v>
      </c>
      <c r="F4362" s="62"/>
      <c r="G4362" s="20" t="str">
        <f t="shared" si="1"/>
        <v>Software, Computer Software, Dictionary &amp; Translation Software, </v>
      </c>
    </row>
    <row r="4363">
      <c r="A4363" s="29">
        <v>317.0</v>
      </c>
      <c r="B4363" s="29" t="s">
        <v>4520</v>
      </c>
      <c r="C4363" s="29" t="s">
        <v>4521</v>
      </c>
      <c r="D4363" s="29" t="s">
        <v>4527</v>
      </c>
      <c r="E4363" s="62"/>
      <c r="F4363" s="62"/>
      <c r="G4363" s="20" t="str">
        <f t="shared" si="1"/>
        <v>Software, Computer Software, Educational Software, </v>
      </c>
    </row>
    <row r="4364">
      <c r="A4364" s="29">
        <v>5304.0</v>
      </c>
      <c r="B4364" s="29" t="s">
        <v>4520</v>
      </c>
      <c r="C4364" s="29" t="s">
        <v>4521</v>
      </c>
      <c r="D4364" s="29" t="s">
        <v>4528</v>
      </c>
      <c r="F4364" s="62"/>
      <c r="G4364" s="20" t="str">
        <f t="shared" si="1"/>
        <v>Software, Computer Software, Financial, Tax &amp; Accounting Software, </v>
      </c>
    </row>
    <row r="4365">
      <c r="A4365" s="29">
        <v>3283.0</v>
      </c>
      <c r="B4365" s="29" t="s">
        <v>4520</v>
      </c>
      <c r="C4365" s="29" t="s">
        <v>4521</v>
      </c>
      <c r="D4365" s="29" t="s">
        <v>4529</v>
      </c>
      <c r="F4365" s="62"/>
      <c r="G4365" s="20" t="str">
        <f t="shared" si="1"/>
        <v>Software, Computer Software, GPS Map Data &amp; Software, </v>
      </c>
    </row>
    <row r="4366">
      <c r="A4366" s="29">
        <v>318.0</v>
      </c>
      <c r="B4366" s="29" t="s">
        <v>4520</v>
      </c>
      <c r="C4366" s="29" t="s">
        <v>4521</v>
      </c>
      <c r="D4366" s="29" t="s">
        <v>4530</v>
      </c>
      <c r="F4366" s="62"/>
      <c r="G4366" s="20" t="str">
        <f t="shared" si="1"/>
        <v>Software, Computer Software, Handheld &amp; PDA Software, </v>
      </c>
    </row>
    <row r="4367">
      <c r="A4367" s="29">
        <v>319.0</v>
      </c>
      <c r="B4367" s="29" t="s">
        <v>4520</v>
      </c>
      <c r="C4367" s="29" t="s">
        <v>4521</v>
      </c>
      <c r="D4367" s="29" t="s">
        <v>4531</v>
      </c>
      <c r="F4367" s="62"/>
      <c r="G4367" s="20" t="str">
        <f t="shared" si="1"/>
        <v>Software, Computer Software, Multimedia &amp; Design Software, </v>
      </c>
    </row>
    <row r="4368">
      <c r="A4368" s="29">
        <v>6027.0</v>
      </c>
      <c r="B4368" s="29" t="s">
        <v>4520</v>
      </c>
      <c r="C4368" s="29" t="s">
        <v>4521</v>
      </c>
      <c r="D4368" s="29" t="s">
        <v>4531</v>
      </c>
      <c r="E4368" s="29" t="s">
        <v>4532</v>
      </c>
      <c r="F4368" s="62"/>
      <c r="G4368" s="20" t="str">
        <f t="shared" si="1"/>
        <v>Software, Computer Software, Multimedia &amp; Design Software, 3D Modeling Software</v>
      </c>
    </row>
    <row r="4369">
      <c r="A4369" s="29">
        <v>4950.0</v>
      </c>
      <c r="B4369" s="29" t="s">
        <v>4520</v>
      </c>
      <c r="C4369" s="29" t="s">
        <v>4521</v>
      </c>
      <c r="D4369" s="29" t="s">
        <v>4531</v>
      </c>
      <c r="E4369" s="29" t="s">
        <v>4533</v>
      </c>
      <c r="F4369" s="62"/>
      <c r="G4369" s="20" t="str">
        <f t="shared" si="1"/>
        <v>Software, Computer Software, Multimedia &amp; Design Software, Animation Editing Software</v>
      </c>
    </row>
    <row r="4370">
      <c r="A4370" s="29">
        <v>4951.0</v>
      </c>
      <c r="B4370" s="29" t="s">
        <v>4520</v>
      </c>
      <c r="C4370" s="29" t="s">
        <v>4521</v>
      </c>
      <c r="D4370" s="29" t="s">
        <v>4531</v>
      </c>
      <c r="E4370" s="29" t="s">
        <v>4534</v>
      </c>
      <c r="G4370" s="20" t="str">
        <f t="shared" si="1"/>
        <v>Software, Computer Software, Multimedia &amp; Design Software, Graphic Design &amp; Illustration Software</v>
      </c>
    </row>
    <row r="4371">
      <c r="A4371" s="29">
        <v>6029.0</v>
      </c>
      <c r="B4371" s="29" t="s">
        <v>4520</v>
      </c>
      <c r="C4371" s="29" t="s">
        <v>4521</v>
      </c>
      <c r="D4371" s="29" t="s">
        <v>4531</v>
      </c>
      <c r="E4371" s="29" t="s">
        <v>4535</v>
      </c>
      <c r="F4371" s="62"/>
      <c r="G4371" s="20" t="str">
        <f t="shared" si="1"/>
        <v>Software, Computer Software, Multimedia &amp; Design Software, Home &amp; Interior Design Software</v>
      </c>
    </row>
    <row r="4372">
      <c r="A4372" s="29">
        <v>4949.0</v>
      </c>
      <c r="B4372" s="29" t="s">
        <v>4520</v>
      </c>
      <c r="C4372" s="29" t="s">
        <v>4521</v>
      </c>
      <c r="D4372" s="29" t="s">
        <v>4531</v>
      </c>
      <c r="E4372" s="29" t="s">
        <v>4536</v>
      </c>
      <c r="F4372" s="62"/>
      <c r="G4372" s="20" t="str">
        <f t="shared" si="1"/>
        <v>Software, Computer Software, Multimedia &amp; Design Software, Home Publishing Software</v>
      </c>
    </row>
    <row r="4373">
      <c r="A4373" s="29">
        <v>6028.0</v>
      </c>
      <c r="B4373" s="29" t="s">
        <v>4520</v>
      </c>
      <c r="C4373" s="29" t="s">
        <v>4521</v>
      </c>
      <c r="D4373" s="29" t="s">
        <v>4531</v>
      </c>
      <c r="E4373" s="29" t="s">
        <v>4537</v>
      </c>
      <c r="F4373" s="62"/>
      <c r="G4373" s="20" t="str">
        <f t="shared" si="1"/>
        <v>Software, Computer Software, Multimedia &amp; Design Software, Media Viewing Software</v>
      </c>
    </row>
    <row r="4374">
      <c r="A4374" s="29">
        <v>5096.0</v>
      </c>
      <c r="B4374" s="29" t="s">
        <v>4520</v>
      </c>
      <c r="C4374" s="29" t="s">
        <v>4521</v>
      </c>
      <c r="D4374" s="29" t="s">
        <v>4531</v>
      </c>
      <c r="E4374" s="29" t="s">
        <v>4538</v>
      </c>
      <c r="F4374" s="62"/>
      <c r="G4374" s="20" t="str">
        <f t="shared" si="1"/>
        <v>Software, Computer Software, Multimedia &amp; Design Software, Music Composition Software</v>
      </c>
    </row>
    <row r="4375">
      <c r="A4375" s="29">
        <v>4952.0</v>
      </c>
      <c r="B4375" s="29" t="s">
        <v>4520</v>
      </c>
      <c r="C4375" s="29" t="s">
        <v>4521</v>
      </c>
      <c r="D4375" s="29" t="s">
        <v>4531</v>
      </c>
      <c r="E4375" s="29" t="s">
        <v>4539</v>
      </c>
      <c r="F4375" s="62"/>
      <c r="G4375" s="20" t="str">
        <f t="shared" si="1"/>
        <v>Software, Computer Software, Multimedia &amp; Design Software, Sound Editing Software</v>
      </c>
    </row>
    <row r="4376">
      <c r="A4376" s="29">
        <v>4953.0</v>
      </c>
      <c r="B4376" s="29" t="s">
        <v>4520</v>
      </c>
      <c r="C4376" s="29" t="s">
        <v>4521</v>
      </c>
      <c r="D4376" s="29" t="s">
        <v>4531</v>
      </c>
      <c r="E4376" s="29" t="s">
        <v>4540</v>
      </c>
      <c r="F4376" s="62"/>
      <c r="G4376" s="20" t="str">
        <f t="shared" si="1"/>
        <v>Software, Computer Software, Multimedia &amp; Design Software, Video Editing Software</v>
      </c>
    </row>
    <row r="4377">
      <c r="A4377" s="29">
        <v>4954.0</v>
      </c>
      <c r="B4377" s="29" t="s">
        <v>4520</v>
      </c>
      <c r="C4377" s="29" t="s">
        <v>4521</v>
      </c>
      <c r="D4377" s="29" t="s">
        <v>4531</v>
      </c>
      <c r="E4377" s="29" t="s">
        <v>4541</v>
      </c>
      <c r="F4377" s="62"/>
      <c r="G4377" s="20" t="str">
        <f t="shared" si="1"/>
        <v>Software, Computer Software, Multimedia &amp; Design Software, Web Design Software</v>
      </c>
    </row>
    <row r="4378">
      <c r="A4378" s="29">
        <v>5302.0</v>
      </c>
      <c r="B4378" s="29" t="s">
        <v>4520</v>
      </c>
      <c r="C4378" s="29" t="s">
        <v>4521</v>
      </c>
      <c r="D4378" s="29" t="s">
        <v>4542</v>
      </c>
      <c r="E4378" s="62"/>
      <c r="F4378" s="62"/>
      <c r="G4378" s="20" t="str">
        <f t="shared" si="1"/>
        <v>Software, Computer Software, Network Software, </v>
      </c>
    </row>
    <row r="4379">
      <c r="A4379" s="29">
        <v>5303.0</v>
      </c>
      <c r="B4379" s="29" t="s">
        <v>4520</v>
      </c>
      <c r="C4379" s="29" t="s">
        <v>4521</v>
      </c>
      <c r="D4379" s="29" t="s">
        <v>4543</v>
      </c>
      <c r="F4379" s="62"/>
      <c r="G4379" s="20" t="str">
        <f t="shared" si="1"/>
        <v>Software, Computer Software, Office Application Software, </v>
      </c>
    </row>
    <row r="4380">
      <c r="A4380" s="29">
        <v>321.0</v>
      </c>
      <c r="B4380" s="29" t="s">
        <v>4520</v>
      </c>
      <c r="C4380" s="29" t="s">
        <v>4521</v>
      </c>
      <c r="D4380" s="29" t="s">
        <v>4544</v>
      </c>
      <c r="E4380" s="62"/>
      <c r="F4380" s="62"/>
      <c r="G4380" s="20" t="str">
        <f t="shared" si="1"/>
        <v>Software, Computer Software, Operating Systems, </v>
      </c>
    </row>
    <row r="4381">
      <c r="A4381" s="29">
        <v>7225.0</v>
      </c>
      <c r="B4381" s="29" t="s">
        <v>4520</v>
      </c>
      <c r="C4381" s="29" t="s">
        <v>4521</v>
      </c>
      <c r="D4381" s="29" t="s">
        <v>4545</v>
      </c>
      <c r="E4381" s="62"/>
      <c r="F4381" s="62"/>
      <c r="G4381" s="20" t="str">
        <f t="shared" si="1"/>
        <v>Software, Computer Software, Restore Disks, </v>
      </c>
    </row>
    <row r="4382">
      <c r="A4382" s="29">
        <v>5032.0</v>
      </c>
      <c r="B4382" s="29" t="s">
        <v>4520</v>
      </c>
      <c r="C4382" s="29" t="s">
        <v>4546</v>
      </c>
      <c r="D4382" s="62"/>
      <c r="E4382" s="62"/>
      <c r="F4382" s="62"/>
      <c r="G4382" s="20" t="str">
        <f t="shared" si="1"/>
        <v>Software, Digital Goods &amp; Currency, , </v>
      </c>
    </row>
    <row r="4383">
      <c r="A4383" s="29">
        <v>5034.0</v>
      </c>
      <c r="B4383" s="29" t="s">
        <v>4520</v>
      </c>
      <c r="C4383" s="29" t="s">
        <v>4546</v>
      </c>
      <c r="D4383" s="29" t="s">
        <v>4547</v>
      </c>
      <c r="E4383" s="62"/>
      <c r="F4383" s="62"/>
      <c r="G4383" s="20" t="str">
        <f t="shared" si="1"/>
        <v>Software, Digital Goods &amp; Currency, Computer Icons, </v>
      </c>
    </row>
    <row r="4384">
      <c r="A4384" s="29">
        <v>5035.0</v>
      </c>
      <c r="B4384" s="29" t="s">
        <v>4520</v>
      </c>
      <c r="C4384" s="29" t="s">
        <v>4546</v>
      </c>
      <c r="D4384" s="29" t="s">
        <v>4548</v>
      </c>
      <c r="E4384" s="62"/>
      <c r="F4384" s="62"/>
      <c r="G4384" s="20" t="str">
        <f t="shared" si="1"/>
        <v>Software, Digital Goods &amp; Currency, Desktop Wallpaper, </v>
      </c>
    </row>
    <row r="4385">
      <c r="A4385" s="29">
        <v>500046.0</v>
      </c>
      <c r="B4385" s="29" t="s">
        <v>4520</v>
      </c>
      <c r="C4385" s="29" t="s">
        <v>4546</v>
      </c>
      <c r="D4385" s="29" t="s">
        <v>4549</v>
      </c>
      <c r="E4385" s="62"/>
      <c r="F4385" s="62"/>
      <c r="G4385" s="20" t="str">
        <f t="shared" si="1"/>
        <v>Software, Digital Goods &amp; Currency, Digital Artwork, </v>
      </c>
    </row>
    <row r="4386">
      <c r="A4386" s="29">
        <v>8022.0</v>
      </c>
      <c r="B4386" s="29" t="s">
        <v>4520</v>
      </c>
      <c r="C4386" s="29" t="s">
        <v>4546</v>
      </c>
      <c r="D4386" s="29" t="s">
        <v>4550</v>
      </c>
      <c r="E4386" s="62"/>
      <c r="F4386" s="62"/>
      <c r="G4386" s="20" t="str">
        <f t="shared" si="1"/>
        <v>Software, Digital Goods &amp; Currency, Document Templates, </v>
      </c>
    </row>
    <row r="4387">
      <c r="A4387" s="29">
        <v>5036.0</v>
      </c>
      <c r="B4387" s="29" t="s">
        <v>4520</v>
      </c>
      <c r="C4387" s="29" t="s">
        <v>4546</v>
      </c>
      <c r="D4387" s="29" t="s">
        <v>4551</v>
      </c>
      <c r="E4387" s="62"/>
      <c r="F4387" s="62"/>
      <c r="G4387" s="20" t="str">
        <f t="shared" si="1"/>
        <v>Software, Digital Goods &amp; Currency, Fonts, </v>
      </c>
    </row>
    <row r="4388">
      <c r="A4388" s="29">
        <v>2065.0</v>
      </c>
      <c r="B4388" s="29" t="s">
        <v>4520</v>
      </c>
      <c r="C4388" s="29" t="s">
        <v>4546</v>
      </c>
      <c r="D4388" s="29" t="s">
        <v>4552</v>
      </c>
      <c r="F4388" s="62"/>
      <c r="G4388" s="20" t="str">
        <f t="shared" si="1"/>
        <v>Software, Digital Goods &amp; Currency, Stock Photographs &amp; Video Footage, </v>
      </c>
    </row>
    <row r="4389">
      <c r="A4389" s="29">
        <v>5935.0</v>
      </c>
      <c r="B4389" s="29" t="s">
        <v>4520</v>
      </c>
      <c r="C4389" s="29" t="s">
        <v>4546</v>
      </c>
      <c r="D4389" s="29" t="s">
        <v>4553</v>
      </c>
      <c r="E4389" s="62"/>
      <c r="F4389" s="62"/>
      <c r="G4389" s="20" t="str">
        <f t="shared" si="1"/>
        <v>Software, Digital Goods &amp; Currency, Virtual Currency, </v>
      </c>
    </row>
    <row r="4390">
      <c r="A4390" s="29">
        <v>1279.0</v>
      </c>
      <c r="B4390" s="29" t="s">
        <v>4520</v>
      </c>
      <c r="C4390" s="29" t="s">
        <v>4554</v>
      </c>
      <c r="D4390" s="62"/>
      <c r="E4390" s="62"/>
      <c r="F4390" s="62"/>
      <c r="G4390" s="20" t="str">
        <f t="shared" si="1"/>
        <v>Software, Video Game Software, , </v>
      </c>
    </row>
    <row r="4391">
      <c r="A4391" s="29">
        <v>988.0</v>
      </c>
      <c r="B4391" s="29" t="s">
        <v>4555</v>
      </c>
      <c r="C4391" s="62"/>
      <c r="D4391" s="62"/>
      <c r="E4391" s="62"/>
      <c r="F4391" s="62"/>
      <c r="G4391" s="20" t="str">
        <f t="shared" si="1"/>
        <v>Sporting Goods, , , </v>
      </c>
    </row>
    <row r="4392">
      <c r="A4392" s="29">
        <v>499713.0</v>
      </c>
      <c r="B4392" s="29" t="s">
        <v>4555</v>
      </c>
      <c r="C4392" s="29" t="s">
        <v>4556</v>
      </c>
      <c r="D4392" s="62"/>
      <c r="E4392" s="62"/>
      <c r="F4392" s="62"/>
      <c r="G4392" s="20" t="str">
        <f t="shared" si="1"/>
        <v>Sporting Goods, Athletics, , </v>
      </c>
    </row>
    <row r="4393">
      <c r="A4393" s="29">
        <v>1093.0</v>
      </c>
      <c r="B4393" s="29" t="s">
        <v>4555</v>
      </c>
      <c r="C4393" s="29" t="s">
        <v>4556</v>
      </c>
      <c r="D4393" s="29" t="s">
        <v>4557</v>
      </c>
      <c r="E4393" s="62"/>
      <c r="F4393" s="62"/>
      <c r="G4393" s="20" t="str">
        <f t="shared" si="1"/>
        <v>Sporting Goods, Athletics, American Football, </v>
      </c>
    </row>
    <row r="4394">
      <c r="A4394" s="29">
        <v>3442.0</v>
      </c>
      <c r="B4394" s="29" t="s">
        <v>4555</v>
      </c>
      <c r="C4394" s="29" t="s">
        <v>4556</v>
      </c>
      <c r="D4394" s="29" t="s">
        <v>4557</v>
      </c>
      <c r="E4394" s="29" t="s">
        <v>4558</v>
      </c>
      <c r="F4394" s="62"/>
      <c r="G4394" s="20" t="str">
        <f t="shared" si="1"/>
        <v>Sporting Goods, Athletics, American Football, American Football Gloves</v>
      </c>
    </row>
    <row r="4395">
      <c r="A4395" s="29">
        <v>3492.0</v>
      </c>
      <c r="B4395" s="29" t="s">
        <v>4555</v>
      </c>
      <c r="C4395" s="29" t="s">
        <v>4556</v>
      </c>
      <c r="D4395" s="29" t="s">
        <v>4557</v>
      </c>
      <c r="E4395" s="29" t="s">
        <v>4559</v>
      </c>
      <c r="F4395" s="62"/>
      <c r="G4395" s="20" t="str">
        <f t="shared" si="1"/>
        <v>Sporting Goods, Athletics, American Football, American Football Goal Posts</v>
      </c>
    </row>
    <row r="4396">
      <c r="A4396" s="29">
        <v>3656.0</v>
      </c>
      <c r="B4396" s="29" t="s">
        <v>4555</v>
      </c>
      <c r="C4396" s="29" t="s">
        <v>4556</v>
      </c>
      <c r="D4396" s="29" t="s">
        <v>4557</v>
      </c>
      <c r="E4396" s="29" t="s">
        <v>4560</v>
      </c>
      <c r="G4396" s="20" t="str">
        <f t="shared" si="1"/>
        <v>Sporting Goods, Athletics, American Football, American Football Kicking Tees &amp; Holders</v>
      </c>
    </row>
    <row r="4397">
      <c r="A4397" s="29">
        <v>1097.0</v>
      </c>
      <c r="B4397" s="29" t="s">
        <v>4555</v>
      </c>
      <c r="C4397" s="29" t="s">
        <v>4556</v>
      </c>
      <c r="D4397" s="29" t="s">
        <v>4557</v>
      </c>
      <c r="E4397" s="29" t="s">
        <v>4561</v>
      </c>
      <c r="G4397" s="20" t="str">
        <f t="shared" si="1"/>
        <v>Sporting Goods, Athletics, American Football, American Football Protective Gear</v>
      </c>
    </row>
    <row r="4398">
      <c r="A4398" s="29">
        <v>3510.0</v>
      </c>
      <c r="B4398" s="29" t="s">
        <v>4555</v>
      </c>
      <c r="C4398" s="29" t="s">
        <v>4556</v>
      </c>
      <c r="D4398" s="29" t="s">
        <v>4557</v>
      </c>
      <c r="E4398" s="29" t="s">
        <v>4561</v>
      </c>
      <c r="F4398" s="29" t="s">
        <v>4562</v>
      </c>
      <c r="G4398" s="20" t="str">
        <f t="shared" si="1"/>
        <v>Sporting Goods, Athletics, American Football, American Football Protective GearAmerican Football Girdles</v>
      </c>
    </row>
    <row r="4399">
      <c r="A4399" s="29">
        <v>3060.0</v>
      </c>
      <c r="B4399" s="29" t="s">
        <v>4555</v>
      </c>
      <c r="C4399" s="29" t="s">
        <v>4556</v>
      </c>
      <c r="D4399" s="29" t="s">
        <v>4557</v>
      </c>
      <c r="E4399" s="29" t="s">
        <v>4561</v>
      </c>
      <c r="F4399" s="29" t="s">
        <v>4563</v>
      </c>
      <c r="G4399" s="20" t="str">
        <f t="shared" si="1"/>
        <v>Sporting Goods, Athletics, American Football, American Football Protective GearAmerican Football Helmet Accessories</v>
      </c>
    </row>
    <row r="4400">
      <c r="A4400" s="29">
        <v>3247.0</v>
      </c>
      <c r="B4400" s="29" t="s">
        <v>4555</v>
      </c>
      <c r="C4400" s="29" t="s">
        <v>4556</v>
      </c>
      <c r="D4400" s="29" t="s">
        <v>4557</v>
      </c>
      <c r="E4400" s="29" t="s">
        <v>4561</v>
      </c>
      <c r="F4400" s="29" t="s">
        <v>4563</v>
      </c>
      <c r="G4400" s="20" t="str">
        <f t="shared" si="1"/>
        <v>Sporting Goods, Athletics, American Football, American Football Protective GearAmerican Football Helmet Accessories</v>
      </c>
    </row>
    <row r="4401">
      <c r="A4401" s="29">
        <v>3090.0</v>
      </c>
      <c r="B4401" s="29" t="s">
        <v>4555</v>
      </c>
      <c r="C4401" s="29" t="s">
        <v>4556</v>
      </c>
      <c r="D4401" s="29" t="s">
        <v>4557</v>
      </c>
      <c r="E4401" s="29" t="s">
        <v>4561</v>
      </c>
      <c r="F4401" s="29" t="s">
        <v>4563</v>
      </c>
      <c r="G4401" s="20" t="str">
        <f t="shared" si="1"/>
        <v>Sporting Goods, Athletics, American Football, American Football Protective GearAmerican Football Helmet Accessories</v>
      </c>
    </row>
    <row r="4402">
      <c r="A4402" s="29">
        <v>3343.0</v>
      </c>
      <c r="B4402" s="29" t="s">
        <v>4555</v>
      </c>
      <c r="C4402" s="29" t="s">
        <v>4556</v>
      </c>
      <c r="D4402" s="29" t="s">
        <v>4557</v>
      </c>
      <c r="E4402" s="29" t="s">
        <v>4561</v>
      </c>
      <c r="F4402" s="29" t="s">
        <v>4563</v>
      </c>
      <c r="G4402" s="20" t="str">
        <f t="shared" si="1"/>
        <v>Sporting Goods, Athletics, American Football, American Football Protective GearAmerican Football Helmet Accessories</v>
      </c>
    </row>
    <row r="4403">
      <c r="A4403" s="29">
        <v>3063.0</v>
      </c>
      <c r="B4403" s="29" t="s">
        <v>4555</v>
      </c>
      <c r="C4403" s="29" t="s">
        <v>4556</v>
      </c>
      <c r="D4403" s="29" t="s">
        <v>4557</v>
      </c>
      <c r="E4403" s="29" t="s">
        <v>4561</v>
      </c>
      <c r="F4403" s="29" t="s">
        <v>4563</v>
      </c>
      <c r="G4403" s="20" t="str">
        <f t="shared" si="1"/>
        <v>Sporting Goods, Athletics, American Football, American Football Protective GearAmerican Football Helmet Accessories</v>
      </c>
    </row>
    <row r="4404">
      <c r="A4404" s="29">
        <v>1098.0</v>
      </c>
      <c r="B4404" s="29" t="s">
        <v>4555</v>
      </c>
      <c r="C4404" s="29" t="s">
        <v>4556</v>
      </c>
      <c r="D4404" s="29" t="s">
        <v>4557</v>
      </c>
      <c r="E4404" s="29" t="s">
        <v>4561</v>
      </c>
      <c r="F4404" s="29" t="s">
        <v>4564</v>
      </c>
      <c r="G4404" s="20" t="str">
        <f t="shared" si="1"/>
        <v>Sporting Goods, Athletics, American Football, American Football Protective GearAmerican Football Helmets</v>
      </c>
    </row>
    <row r="4405">
      <c r="A4405" s="29">
        <v>3497.0</v>
      </c>
      <c r="B4405" s="29" t="s">
        <v>4555</v>
      </c>
      <c r="C4405" s="29" t="s">
        <v>4556</v>
      </c>
      <c r="D4405" s="29" t="s">
        <v>4557</v>
      </c>
      <c r="E4405" s="29" t="s">
        <v>4561</v>
      </c>
      <c r="F4405" s="29" t="s">
        <v>4565</v>
      </c>
      <c r="G4405" s="20" t="str">
        <f t="shared" si="1"/>
        <v>Sporting Goods, Athletics, American Football, American Football Protective GearAmerican Football Neck Rolls</v>
      </c>
    </row>
    <row r="4406">
      <c r="A4406" s="29">
        <v>499778.0</v>
      </c>
      <c r="B4406" s="29" t="s">
        <v>4555</v>
      </c>
      <c r="C4406" s="29" t="s">
        <v>4556</v>
      </c>
      <c r="D4406" s="29" t="s">
        <v>4557</v>
      </c>
      <c r="E4406" s="29" t="s">
        <v>4561</v>
      </c>
      <c r="F4406" s="29" t="s">
        <v>4566</v>
      </c>
      <c r="G4406" s="20" t="str">
        <f t="shared" si="1"/>
        <v>Sporting Goods, Athletics, American Football, American Football Protective GearAmerican Football Rib Protection Shirts &amp; Vests</v>
      </c>
    </row>
    <row r="4407">
      <c r="A4407" s="29">
        <v>3621.0</v>
      </c>
      <c r="B4407" s="29" t="s">
        <v>4555</v>
      </c>
      <c r="C4407" s="29" t="s">
        <v>4556</v>
      </c>
      <c r="D4407" s="29" t="s">
        <v>4557</v>
      </c>
      <c r="E4407" s="29" t="s">
        <v>4561</v>
      </c>
      <c r="F4407" s="29" t="s">
        <v>4567</v>
      </c>
      <c r="G4407" s="20" t="str">
        <f t="shared" si="1"/>
        <v>Sporting Goods, Athletics, American Football, American Football Protective GearAmerican Football Shoulder Pads</v>
      </c>
    </row>
    <row r="4408">
      <c r="A4408" s="29">
        <v>3998.0</v>
      </c>
      <c r="B4408" s="29" t="s">
        <v>4555</v>
      </c>
      <c r="C4408" s="29" t="s">
        <v>4556</v>
      </c>
      <c r="D4408" s="29" t="s">
        <v>4557</v>
      </c>
      <c r="E4408" s="29" t="s">
        <v>4568</v>
      </c>
      <c r="G4408" s="20" t="str">
        <f t="shared" si="1"/>
        <v>Sporting Goods, Athletics, American Football, American Football Training Equipment</v>
      </c>
    </row>
    <row r="4409">
      <c r="A4409" s="29">
        <v>499779.0</v>
      </c>
      <c r="B4409" s="29" t="s">
        <v>4555</v>
      </c>
      <c r="C4409" s="29" t="s">
        <v>4556</v>
      </c>
      <c r="D4409" s="29" t="s">
        <v>4557</v>
      </c>
      <c r="E4409" s="29" t="s">
        <v>4568</v>
      </c>
      <c r="F4409" s="29" t="s">
        <v>4569</v>
      </c>
      <c r="G4409" s="20" t="str">
        <f t="shared" si="1"/>
        <v>Sporting Goods, Athletics, American Football, American Football Training EquipmentAmerican Football Dummies &amp; Sleds</v>
      </c>
    </row>
    <row r="4410">
      <c r="A4410" s="29">
        <v>1094.0</v>
      </c>
      <c r="B4410" s="29" t="s">
        <v>4555</v>
      </c>
      <c r="C4410" s="29" t="s">
        <v>4556</v>
      </c>
      <c r="D4410" s="29" t="s">
        <v>4557</v>
      </c>
      <c r="E4410" s="29" t="s">
        <v>4570</v>
      </c>
      <c r="F4410" s="62"/>
      <c r="G4410" s="20" t="str">
        <f t="shared" si="1"/>
        <v>Sporting Goods, Athletics, American Football, American Footballs</v>
      </c>
    </row>
    <row r="4411">
      <c r="A4411" s="29">
        <v>1070.0</v>
      </c>
      <c r="B4411" s="29" t="s">
        <v>4555</v>
      </c>
      <c r="C4411" s="29" t="s">
        <v>4556</v>
      </c>
      <c r="D4411" s="29" t="s">
        <v>4571</v>
      </c>
      <c r="E4411" s="62"/>
      <c r="F4411" s="62"/>
      <c r="G4411" s="20" t="str">
        <f t="shared" si="1"/>
        <v>Sporting Goods, Athletics, Baseball &amp; Softball, </v>
      </c>
    </row>
    <row r="4412">
      <c r="A4412" s="29">
        <v>3544.0</v>
      </c>
      <c r="B4412" s="29" t="s">
        <v>4555</v>
      </c>
      <c r="C4412" s="29" t="s">
        <v>4556</v>
      </c>
      <c r="D4412" s="29" t="s">
        <v>4571</v>
      </c>
      <c r="E4412" s="29" t="s">
        <v>4572</v>
      </c>
      <c r="G4412" s="20" t="str">
        <f t="shared" si="1"/>
        <v>Sporting Goods, Athletics, Baseball &amp; Softball, Baseball &amp; Softball Bases &amp; Plates</v>
      </c>
    </row>
    <row r="4413">
      <c r="A4413" s="29">
        <v>3747.0</v>
      </c>
      <c r="B4413" s="29" t="s">
        <v>4555</v>
      </c>
      <c r="C4413" s="29" t="s">
        <v>4556</v>
      </c>
      <c r="D4413" s="29" t="s">
        <v>4571</v>
      </c>
      <c r="E4413" s="29" t="s">
        <v>4573</v>
      </c>
      <c r="G4413" s="20" t="str">
        <f t="shared" si="1"/>
        <v>Sporting Goods, Athletics, Baseball &amp; Softball, Baseball &amp; Softball Batting Gloves</v>
      </c>
    </row>
    <row r="4414">
      <c r="A4414" s="29">
        <v>1076.0</v>
      </c>
      <c r="B4414" s="29" t="s">
        <v>4555</v>
      </c>
      <c r="C4414" s="29" t="s">
        <v>4556</v>
      </c>
      <c r="D4414" s="29" t="s">
        <v>4571</v>
      </c>
      <c r="E4414" s="29" t="s">
        <v>4574</v>
      </c>
      <c r="G4414" s="20" t="str">
        <f t="shared" si="1"/>
        <v>Sporting Goods, Athletics, Baseball &amp; Softball, Baseball &amp; Softball Gloves &amp; Mitts</v>
      </c>
    </row>
    <row r="4415">
      <c r="A4415" s="29">
        <v>234671.0</v>
      </c>
      <c r="B4415" s="29" t="s">
        <v>4555</v>
      </c>
      <c r="C4415" s="29" t="s">
        <v>4556</v>
      </c>
      <c r="D4415" s="29" t="s">
        <v>4571</v>
      </c>
      <c r="E4415" s="29" t="s">
        <v>4575</v>
      </c>
      <c r="F4415" s="62"/>
      <c r="G4415" s="20" t="str">
        <f t="shared" si="1"/>
        <v>Sporting Goods, Athletics, Baseball &amp; Softball, Baseball &amp; Softball Pitching Mats</v>
      </c>
    </row>
    <row r="4416">
      <c r="A4416" s="29">
        <v>234670.0</v>
      </c>
      <c r="B4416" s="29" t="s">
        <v>4555</v>
      </c>
      <c r="C4416" s="29" t="s">
        <v>4556</v>
      </c>
      <c r="D4416" s="29" t="s">
        <v>4571</v>
      </c>
      <c r="E4416" s="29" t="s">
        <v>4576</v>
      </c>
      <c r="G4416" s="20" t="str">
        <f t="shared" si="1"/>
        <v>Sporting Goods, Athletics, Baseball &amp; Softball, Baseball &amp; Softball Pitching Mounds</v>
      </c>
    </row>
    <row r="4417">
      <c r="A4417" s="29">
        <v>1078.0</v>
      </c>
      <c r="B4417" s="29" t="s">
        <v>4555</v>
      </c>
      <c r="C4417" s="29" t="s">
        <v>4556</v>
      </c>
      <c r="D4417" s="29" t="s">
        <v>4571</v>
      </c>
      <c r="E4417" s="29" t="s">
        <v>4577</v>
      </c>
      <c r="G4417" s="20" t="str">
        <f t="shared" si="1"/>
        <v>Sporting Goods, Athletics, Baseball &amp; Softball, Baseball &amp; Softball Protective Gear</v>
      </c>
    </row>
    <row r="4418">
      <c r="A4418" s="29">
        <v>3668.0</v>
      </c>
      <c r="B4418" s="29" t="s">
        <v>4555</v>
      </c>
      <c r="C4418" s="29" t="s">
        <v>4556</v>
      </c>
      <c r="D4418" s="29" t="s">
        <v>4571</v>
      </c>
      <c r="E4418" s="29" t="s">
        <v>4577</v>
      </c>
      <c r="F4418" s="29" t="s">
        <v>4578</v>
      </c>
      <c r="G4418" s="20" t="str">
        <f t="shared" si="1"/>
        <v>Sporting Goods, Athletics, Baseball &amp; Softball, Baseball &amp; Softball Protective GearBaseball &amp; Softball Batting Helmets</v>
      </c>
    </row>
    <row r="4419">
      <c r="A4419" s="29">
        <v>499715.0</v>
      </c>
      <c r="B4419" s="29" t="s">
        <v>4555</v>
      </c>
      <c r="C4419" s="29" t="s">
        <v>4556</v>
      </c>
      <c r="D4419" s="29" t="s">
        <v>4571</v>
      </c>
      <c r="E4419" s="29" t="s">
        <v>4577</v>
      </c>
      <c r="F4419" s="29" t="s">
        <v>4579</v>
      </c>
      <c r="G4419" s="20" t="str">
        <f t="shared" si="1"/>
        <v>Sporting Goods, Athletics, Baseball &amp; Softball, Baseball &amp; Softball Protective GearBaseball &amp; Softball Chest Protectors</v>
      </c>
    </row>
    <row r="4420">
      <c r="A4420" s="29">
        <v>499718.0</v>
      </c>
      <c r="B4420" s="29" t="s">
        <v>4555</v>
      </c>
      <c r="C4420" s="29" t="s">
        <v>4556</v>
      </c>
      <c r="D4420" s="29" t="s">
        <v>4571</v>
      </c>
      <c r="E4420" s="29" t="s">
        <v>4577</v>
      </c>
      <c r="F4420" s="29" t="s">
        <v>4580</v>
      </c>
      <c r="G4420" s="20" t="str">
        <f t="shared" si="1"/>
        <v>Sporting Goods, Athletics, Baseball &amp; Softball, Baseball &amp; Softball Protective GearBaseball &amp; Softball Leg Guards</v>
      </c>
    </row>
    <row r="4421">
      <c r="A4421" s="29">
        <v>499716.0</v>
      </c>
      <c r="B4421" s="29" t="s">
        <v>4555</v>
      </c>
      <c r="C4421" s="29" t="s">
        <v>4556</v>
      </c>
      <c r="D4421" s="29" t="s">
        <v>4571</v>
      </c>
      <c r="E4421" s="29" t="s">
        <v>4577</v>
      </c>
      <c r="F4421" s="29" t="s">
        <v>4581</v>
      </c>
      <c r="G4421" s="20" t="str">
        <f t="shared" si="1"/>
        <v>Sporting Goods, Athletics, Baseball &amp; Softball, Baseball &amp; Softball Protective GearCatchers Equipment Sets</v>
      </c>
    </row>
    <row r="4422">
      <c r="A4422" s="29">
        <v>499717.0</v>
      </c>
      <c r="B4422" s="29" t="s">
        <v>4555</v>
      </c>
      <c r="C4422" s="29" t="s">
        <v>4556</v>
      </c>
      <c r="D4422" s="29" t="s">
        <v>4571</v>
      </c>
      <c r="E4422" s="29" t="s">
        <v>4577</v>
      </c>
      <c r="F4422" s="29" t="s">
        <v>4582</v>
      </c>
      <c r="G4422" s="20" t="str">
        <f t="shared" si="1"/>
        <v>Sporting Goods, Athletics, Baseball &amp; Softball, Baseball &amp; Softball Protective GearCatchers Helmets &amp; Masks</v>
      </c>
    </row>
    <row r="4423">
      <c r="A4423" s="29">
        <v>3790.0</v>
      </c>
      <c r="B4423" s="29" t="s">
        <v>4555</v>
      </c>
      <c r="C4423" s="29" t="s">
        <v>4556</v>
      </c>
      <c r="D4423" s="29" t="s">
        <v>4571</v>
      </c>
      <c r="E4423" s="29" t="s">
        <v>4583</v>
      </c>
      <c r="F4423" s="62"/>
      <c r="G4423" s="20" t="str">
        <f t="shared" si="1"/>
        <v>Sporting Goods, Athletics, Baseball &amp; Softball, Baseball Bats</v>
      </c>
    </row>
    <row r="4424">
      <c r="A4424" s="29">
        <v>3783.0</v>
      </c>
      <c r="B4424" s="29" t="s">
        <v>4555</v>
      </c>
      <c r="C4424" s="29" t="s">
        <v>4556</v>
      </c>
      <c r="D4424" s="29" t="s">
        <v>4571</v>
      </c>
      <c r="E4424" s="29" t="s">
        <v>4584</v>
      </c>
      <c r="F4424" s="62"/>
      <c r="G4424" s="20" t="str">
        <f t="shared" si="1"/>
        <v>Sporting Goods, Athletics, Baseball &amp; Softball, Baseballs</v>
      </c>
    </row>
    <row r="4425">
      <c r="A4425" s="29">
        <v>1077.0</v>
      </c>
      <c r="B4425" s="29" t="s">
        <v>4555</v>
      </c>
      <c r="C4425" s="29" t="s">
        <v>4556</v>
      </c>
      <c r="D4425" s="29" t="s">
        <v>4571</v>
      </c>
      <c r="E4425" s="29" t="s">
        <v>4585</v>
      </c>
      <c r="F4425" s="62"/>
      <c r="G4425" s="20" t="str">
        <f t="shared" si="1"/>
        <v>Sporting Goods, Athletics, Baseball &amp; Softball, Pitching Machines</v>
      </c>
    </row>
    <row r="4426">
      <c r="A4426" s="29">
        <v>3679.0</v>
      </c>
      <c r="B4426" s="29" t="s">
        <v>4555</v>
      </c>
      <c r="C4426" s="29" t="s">
        <v>4556</v>
      </c>
      <c r="D4426" s="29" t="s">
        <v>4571</v>
      </c>
      <c r="E4426" s="29" t="s">
        <v>4586</v>
      </c>
      <c r="F4426" s="62"/>
      <c r="G4426" s="20" t="str">
        <f t="shared" si="1"/>
        <v>Sporting Goods, Athletics, Baseball &amp; Softball, Softball Bats</v>
      </c>
    </row>
    <row r="4427">
      <c r="A4427" s="29">
        <v>3671.0</v>
      </c>
      <c r="B4427" s="29" t="s">
        <v>4555</v>
      </c>
      <c r="C4427" s="29" t="s">
        <v>4556</v>
      </c>
      <c r="D4427" s="29" t="s">
        <v>4571</v>
      </c>
      <c r="E4427" s="29" t="s">
        <v>4587</v>
      </c>
      <c r="F4427" s="62"/>
      <c r="G4427" s="20" t="str">
        <f t="shared" si="1"/>
        <v>Sporting Goods, Athletics, Baseball &amp; Softball, Softballs</v>
      </c>
    </row>
    <row r="4428">
      <c r="A4428" s="29">
        <v>1081.0</v>
      </c>
      <c r="B4428" s="29" t="s">
        <v>4555</v>
      </c>
      <c r="C4428" s="29" t="s">
        <v>4556</v>
      </c>
      <c r="D4428" s="29" t="s">
        <v>4588</v>
      </c>
      <c r="E4428" s="62"/>
      <c r="F4428" s="62"/>
      <c r="G4428" s="20" t="str">
        <f t="shared" si="1"/>
        <v>Sporting Goods, Athletics, Basketball, </v>
      </c>
    </row>
    <row r="4429">
      <c r="A4429" s="29">
        <v>4676.0</v>
      </c>
      <c r="B4429" s="29" t="s">
        <v>4555</v>
      </c>
      <c r="C4429" s="29" t="s">
        <v>4556</v>
      </c>
      <c r="D4429" s="29" t="s">
        <v>4588</v>
      </c>
      <c r="E4429" s="29" t="s">
        <v>4589</v>
      </c>
      <c r="G4429" s="20" t="str">
        <f t="shared" si="1"/>
        <v>Sporting Goods, Athletics, Basketball, Basketball Hoop Parts &amp; Accessories</v>
      </c>
    </row>
    <row r="4430">
      <c r="A4430" s="29">
        <v>4089.0</v>
      </c>
      <c r="B4430" s="29" t="s">
        <v>4555</v>
      </c>
      <c r="C4430" s="29" t="s">
        <v>4556</v>
      </c>
      <c r="D4430" s="29" t="s">
        <v>4588</v>
      </c>
      <c r="E4430" s="29" t="s">
        <v>4589</v>
      </c>
      <c r="F4430" s="29" t="s">
        <v>4590</v>
      </c>
      <c r="G4430" s="20" t="str">
        <f t="shared" si="1"/>
        <v>Sporting Goods, Athletics, Basketball, Basketball Hoop Parts &amp; AccessoriesBasketball Backboards</v>
      </c>
    </row>
    <row r="4431">
      <c r="A4431" s="29">
        <v>7251.0</v>
      </c>
      <c r="B4431" s="29" t="s">
        <v>4555</v>
      </c>
      <c r="C4431" s="29" t="s">
        <v>4556</v>
      </c>
      <c r="D4431" s="29" t="s">
        <v>4588</v>
      </c>
      <c r="E4431" s="29" t="s">
        <v>4589</v>
      </c>
      <c r="F4431" s="29" t="s">
        <v>4591</v>
      </c>
      <c r="G4431" s="20" t="str">
        <f t="shared" si="1"/>
        <v>Sporting Goods, Athletics, Basketball, Basketball Hoop Parts &amp; AccessoriesBasketball Hoop Padding</v>
      </c>
    </row>
    <row r="4432">
      <c r="A4432" s="29">
        <v>4050.0</v>
      </c>
      <c r="B4432" s="29" t="s">
        <v>4555</v>
      </c>
      <c r="C4432" s="29" t="s">
        <v>4556</v>
      </c>
      <c r="D4432" s="29" t="s">
        <v>4588</v>
      </c>
      <c r="E4432" s="29" t="s">
        <v>4589</v>
      </c>
      <c r="F4432" s="29" t="s">
        <v>4592</v>
      </c>
      <c r="G4432" s="20" t="str">
        <f t="shared" si="1"/>
        <v>Sporting Goods, Athletics, Basketball, Basketball Hoop Parts &amp; AccessoriesBasketball Hoop Posts</v>
      </c>
    </row>
    <row r="4433">
      <c r="A4433" s="29">
        <v>3829.0</v>
      </c>
      <c r="B4433" s="29" t="s">
        <v>4555</v>
      </c>
      <c r="C4433" s="29" t="s">
        <v>4556</v>
      </c>
      <c r="D4433" s="29" t="s">
        <v>4588</v>
      </c>
      <c r="E4433" s="29" t="s">
        <v>4589</v>
      </c>
      <c r="F4433" s="29" t="s">
        <v>4593</v>
      </c>
      <c r="G4433" s="20" t="str">
        <f t="shared" si="1"/>
        <v>Sporting Goods, Athletics, Basketball, Basketball Hoop Parts &amp; AccessoriesBasketball Nets</v>
      </c>
    </row>
    <row r="4434">
      <c r="A4434" s="29">
        <v>4192.0</v>
      </c>
      <c r="B4434" s="29" t="s">
        <v>4555</v>
      </c>
      <c r="C4434" s="29" t="s">
        <v>4556</v>
      </c>
      <c r="D4434" s="29" t="s">
        <v>4588</v>
      </c>
      <c r="E4434" s="29" t="s">
        <v>4589</v>
      </c>
      <c r="F4434" s="29" t="s">
        <v>4594</v>
      </c>
      <c r="G4434" s="20" t="str">
        <f t="shared" si="1"/>
        <v>Sporting Goods, Athletics, Basketball, Basketball Hoop Parts &amp; AccessoriesBasketball Rims</v>
      </c>
    </row>
    <row r="4435">
      <c r="A4435" s="29">
        <v>1082.0</v>
      </c>
      <c r="B4435" s="29" t="s">
        <v>4555</v>
      </c>
      <c r="C4435" s="29" t="s">
        <v>4556</v>
      </c>
      <c r="D4435" s="29" t="s">
        <v>4588</v>
      </c>
      <c r="E4435" s="29" t="s">
        <v>4595</v>
      </c>
      <c r="F4435" s="62"/>
      <c r="G4435" s="20" t="str">
        <f t="shared" si="1"/>
        <v>Sporting Goods, Athletics, Basketball, Basketball Hoops</v>
      </c>
    </row>
    <row r="4436">
      <c r="A4436" s="29">
        <v>499751.0</v>
      </c>
      <c r="B4436" s="29" t="s">
        <v>4555</v>
      </c>
      <c r="C4436" s="29" t="s">
        <v>4556</v>
      </c>
      <c r="D4436" s="29" t="s">
        <v>4588</v>
      </c>
      <c r="E4436" s="29" t="s">
        <v>4596</v>
      </c>
      <c r="F4436" s="62"/>
      <c r="G4436" s="20" t="str">
        <f t="shared" si="1"/>
        <v>Sporting Goods, Athletics, Basketball, Basketball Training Aids</v>
      </c>
    </row>
    <row r="4437">
      <c r="A4437" s="29">
        <v>1083.0</v>
      </c>
      <c r="B4437" s="29" t="s">
        <v>4555</v>
      </c>
      <c r="C4437" s="29" t="s">
        <v>4556</v>
      </c>
      <c r="D4437" s="29" t="s">
        <v>4588</v>
      </c>
      <c r="E4437" s="29" t="s">
        <v>4597</v>
      </c>
      <c r="F4437" s="62"/>
      <c r="G4437" s="20" t="str">
        <f t="shared" si="1"/>
        <v>Sporting Goods, Athletics, Basketball, Basketballs</v>
      </c>
    </row>
    <row r="4438">
      <c r="A4438" s="29">
        <v>499719.0</v>
      </c>
      <c r="B4438" s="29" t="s">
        <v>4555</v>
      </c>
      <c r="C4438" s="29" t="s">
        <v>4556</v>
      </c>
      <c r="D4438" s="29" t="s">
        <v>4598</v>
      </c>
      <c r="E4438" s="62"/>
      <c r="F4438" s="62"/>
      <c r="G4438" s="20" t="str">
        <f t="shared" si="1"/>
        <v>Sporting Goods, Athletics, Boxing &amp; Martial Arts, </v>
      </c>
    </row>
    <row r="4439">
      <c r="A4439" s="29">
        <v>4008.0</v>
      </c>
      <c r="B4439" s="29" t="s">
        <v>4555</v>
      </c>
      <c r="C4439" s="29" t="s">
        <v>4556</v>
      </c>
      <c r="D4439" s="29" t="s">
        <v>4598</v>
      </c>
      <c r="E4439" s="29" t="s">
        <v>4599</v>
      </c>
      <c r="G4439" s="20" t="str">
        <f t="shared" si="1"/>
        <v>Sporting Goods, Athletics, Boxing &amp; Martial Arts, Boxing &amp; Martial Arts Protective Gear</v>
      </c>
    </row>
    <row r="4440">
      <c r="A4440" s="29">
        <v>499726.0</v>
      </c>
      <c r="B4440" s="29" t="s">
        <v>4555</v>
      </c>
      <c r="C4440" s="29" t="s">
        <v>4556</v>
      </c>
      <c r="D4440" s="29" t="s">
        <v>4598</v>
      </c>
      <c r="E4440" s="29" t="s">
        <v>4599</v>
      </c>
      <c r="F4440" s="29" t="s">
        <v>4600</v>
      </c>
      <c r="G4440" s="20" t="str">
        <f t="shared" si="1"/>
        <v>Sporting Goods, Athletics, Boxing &amp; Martial Arts, Boxing &amp; Martial Arts Protective GearBoxing &amp; MMA Hand Wraps</v>
      </c>
    </row>
    <row r="4441">
      <c r="A4441" s="29">
        <v>499725.0</v>
      </c>
      <c r="B4441" s="29" t="s">
        <v>4555</v>
      </c>
      <c r="C4441" s="29" t="s">
        <v>4556</v>
      </c>
      <c r="D4441" s="29" t="s">
        <v>4598</v>
      </c>
      <c r="E4441" s="29" t="s">
        <v>4599</v>
      </c>
      <c r="F4441" s="29" t="s">
        <v>4601</v>
      </c>
      <c r="G4441" s="20" t="str">
        <f t="shared" si="1"/>
        <v>Sporting Goods, Athletics, Boxing &amp; Martial Arts, Boxing &amp; Martial Arts Protective GearBoxing &amp; Martial Arts Arm Guards</v>
      </c>
    </row>
    <row r="4442">
      <c r="A4442" s="29">
        <v>499723.0</v>
      </c>
      <c r="B4442" s="29" t="s">
        <v>4555</v>
      </c>
      <c r="C4442" s="29" t="s">
        <v>4556</v>
      </c>
      <c r="D4442" s="29" t="s">
        <v>4598</v>
      </c>
      <c r="E4442" s="29" t="s">
        <v>4599</v>
      </c>
      <c r="F4442" s="29" t="s">
        <v>4602</v>
      </c>
      <c r="G4442" s="20" t="str">
        <f t="shared" si="1"/>
        <v>Sporting Goods, Athletics, Boxing &amp; Martial Arts, Boxing &amp; Martial Arts Protective GearBoxing &amp; Martial Arts Body Protectors</v>
      </c>
    </row>
    <row r="4443">
      <c r="A4443" s="29">
        <v>499722.0</v>
      </c>
      <c r="B4443" s="29" t="s">
        <v>4555</v>
      </c>
      <c r="C4443" s="29" t="s">
        <v>4556</v>
      </c>
      <c r="D4443" s="29" t="s">
        <v>4598</v>
      </c>
      <c r="E4443" s="29" t="s">
        <v>4599</v>
      </c>
      <c r="F4443" s="29" t="s">
        <v>4603</v>
      </c>
      <c r="G4443" s="20" t="str">
        <f t="shared" si="1"/>
        <v>Sporting Goods, Athletics, Boxing &amp; Martial Arts, Boxing &amp; Martial Arts Protective GearBoxing &amp; Martial Arts Headgear</v>
      </c>
    </row>
    <row r="4444">
      <c r="A4444" s="29">
        <v>3235.0</v>
      </c>
      <c r="B4444" s="29" t="s">
        <v>4555</v>
      </c>
      <c r="C4444" s="29" t="s">
        <v>4556</v>
      </c>
      <c r="D4444" s="29" t="s">
        <v>4598</v>
      </c>
      <c r="E4444" s="29" t="s">
        <v>4599</v>
      </c>
      <c r="F4444" s="29" t="s">
        <v>4604</v>
      </c>
      <c r="G4444" s="20" t="str">
        <f t="shared" si="1"/>
        <v>Sporting Goods, Athletics, Boxing &amp; Martial Arts, Boxing &amp; Martial Arts Protective GearBoxing Gloves &amp; Mitts</v>
      </c>
    </row>
    <row r="4445">
      <c r="A4445" s="29">
        <v>499724.0</v>
      </c>
      <c r="B4445" s="29" t="s">
        <v>4555</v>
      </c>
      <c r="C4445" s="29" t="s">
        <v>4556</v>
      </c>
      <c r="D4445" s="29" t="s">
        <v>4598</v>
      </c>
      <c r="E4445" s="29" t="s">
        <v>4599</v>
      </c>
      <c r="F4445" s="29" t="s">
        <v>4605</v>
      </c>
      <c r="G4445" s="20" t="str">
        <f t="shared" si="1"/>
        <v>Sporting Goods, Athletics, Boxing &amp; Martial Arts, Boxing &amp; Martial Arts Protective GearMMA Shin Guards</v>
      </c>
    </row>
    <row r="4446">
      <c r="A4446" s="29">
        <v>499720.0</v>
      </c>
      <c r="B4446" s="29" t="s">
        <v>4555</v>
      </c>
      <c r="C4446" s="29" t="s">
        <v>4556</v>
      </c>
      <c r="D4446" s="29" t="s">
        <v>4598</v>
      </c>
      <c r="E4446" s="29" t="s">
        <v>4606</v>
      </c>
      <c r="G4446" s="20" t="str">
        <f t="shared" si="1"/>
        <v>Sporting Goods, Athletics, Boxing &amp; Martial Arts, Boxing &amp; Martial Arts Training Equipment</v>
      </c>
    </row>
    <row r="4447">
      <c r="A4447" s="29">
        <v>499769.0</v>
      </c>
      <c r="B4447" s="29" t="s">
        <v>4555</v>
      </c>
      <c r="C4447" s="29" t="s">
        <v>4556</v>
      </c>
      <c r="D4447" s="29" t="s">
        <v>4598</v>
      </c>
      <c r="E4447" s="29" t="s">
        <v>4606</v>
      </c>
      <c r="F4447" s="29" t="s">
        <v>4607</v>
      </c>
      <c r="G4447" s="20" t="str">
        <f t="shared" si="1"/>
        <v>Sporting Goods, Athletics, Boxing &amp; Martial Arts, Boxing &amp; Martial Arts Training EquipmentBoxing &amp; MMA Punch Mitts</v>
      </c>
    </row>
    <row r="4448">
      <c r="A4448" s="29">
        <v>7116.0</v>
      </c>
      <c r="B4448" s="29" t="s">
        <v>4555</v>
      </c>
      <c r="C4448" s="29" t="s">
        <v>4556</v>
      </c>
      <c r="D4448" s="29" t="s">
        <v>4598</v>
      </c>
      <c r="E4448" s="29" t="s">
        <v>4606</v>
      </c>
      <c r="F4448" s="29" t="s">
        <v>4608</v>
      </c>
      <c r="G4448" s="20" t="str">
        <f t="shared" si="1"/>
        <v>Sporting Goods, Athletics, Boxing &amp; Martial Arts, Boxing &amp; Martial Arts Training EquipmentGrappling Dummies</v>
      </c>
    </row>
    <row r="4449">
      <c r="A4449" s="29">
        <v>7129.0</v>
      </c>
      <c r="B4449" s="29" t="s">
        <v>4555</v>
      </c>
      <c r="C4449" s="29" t="s">
        <v>4556</v>
      </c>
      <c r="D4449" s="29" t="s">
        <v>4598</v>
      </c>
      <c r="E4449" s="29" t="s">
        <v>4606</v>
      </c>
      <c r="F4449" s="29" t="s">
        <v>4609</v>
      </c>
      <c r="G4449" s="20" t="str">
        <f t="shared" si="1"/>
        <v>Sporting Goods, Athletics, Boxing &amp; Martial Arts, Boxing &amp; Martial Arts Training EquipmentPunching &amp; Training Bag Accessories</v>
      </c>
    </row>
    <row r="4450">
      <c r="A4450" s="29">
        <v>3297.0</v>
      </c>
      <c r="B4450" s="29" t="s">
        <v>4555</v>
      </c>
      <c r="C4450" s="29" t="s">
        <v>4556</v>
      </c>
      <c r="D4450" s="29" t="s">
        <v>4598</v>
      </c>
      <c r="E4450" s="29" t="s">
        <v>4606</v>
      </c>
      <c r="F4450" s="29" t="s">
        <v>4610</v>
      </c>
      <c r="G4450" s="20" t="str">
        <f t="shared" si="1"/>
        <v>Sporting Goods, Athletics, Boxing &amp; Martial Arts, Boxing &amp; Martial Arts Training EquipmentPunching &amp; Training Bags</v>
      </c>
    </row>
    <row r="4451">
      <c r="A4451" s="29">
        <v>499721.0</v>
      </c>
      <c r="B4451" s="29" t="s">
        <v>4555</v>
      </c>
      <c r="C4451" s="29" t="s">
        <v>4556</v>
      </c>
      <c r="D4451" s="29" t="s">
        <v>4598</v>
      </c>
      <c r="E4451" s="29" t="s">
        <v>4606</v>
      </c>
      <c r="F4451" s="29" t="s">
        <v>4611</v>
      </c>
      <c r="G4451" s="20" t="str">
        <f t="shared" si="1"/>
        <v>Sporting Goods, Athletics, Boxing &amp; Martial Arts, Boxing &amp; Martial Arts Training EquipmentStrike Shields</v>
      </c>
    </row>
    <row r="4452">
      <c r="A4452" s="29">
        <v>3411.0</v>
      </c>
      <c r="B4452" s="29" t="s">
        <v>4555</v>
      </c>
      <c r="C4452" s="29" t="s">
        <v>4556</v>
      </c>
      <c r="D4452" s="29" t="s">
        <v>4598</v>
      </c>
      <c r="E4452" s="29" t="s">
        <v>4612</v>
      </c>
      <c r="F4452" s="62"/>
      <c r="G4452" s="20" t="str">
        <f t="shared" si="1"/>
        <v>Sporting Goods, Athletics, Boxing &amp; Martial Arts, Boxing Ring Parts</v>
      </c>
    </row>
    <row r="4453">
      <c r="A4453" s="29">
        <v>3652.0</v>
      </c>
      <c r="B4453" s="29" t="s">
        <v>4555</v>
      </c>
      <c r="C4453" s="29" t="s">
        <v>4556</v>
      </c>
      <c r="D4453" s="29" t="s">
        <v>4598</v>
      </c>
      <c r="E4453" s="29" t="s">
        <v>4613</v>
      </c>
      <c r="F4453" s="62"/>
      <c r="G4453" s="20" t="str">
        <f t="shared" si="1"/>
        <v>Sporting Goods, Athletics, Boxing &amp; Martial Arts, Boxing Rings</v>
      </c>
    </row>
    <row r="4454">
      <c r="A4454" s="29">
        <v>3717.0</v>
      </c>
      <c r="B4454" s="29" t="s">
        <v>4555</v>
      </c>
      <c r="C4454" s="29" t="s">
        <v>4556</v>
      </c>
      <c r="D4454" s="29" t="s">
        <v>4598</v>
      </c>
      <c r="E4454" s="29" t="s">
        <v>4614</v>
      </c>
      <c r="F4454" s="62"/>
      <c r="G4454" s="20" t="str">
        <f t="shared" si="1"/>
        <v>Sporting Goods, Athletics, Boxing &amp; Martial Arts, Martial Arts Belts</v>
      </c>
    </row>
    <row r="4455">
      <c r="A4455" s="29">
        <v>4282.0</v>
      </c>
      <c r="B4455" s="29" t="s">
        <v>4555</v>
      </c>
      <c r="C4455" s="29" t="s">
        <v>4556</v>
      </c>
      <c r="D4455" s="29" t="s">
        <v>4598</v>
      </c>
      <c r="E4455" s="29" t="s">
        <v>4615</v>
      </c>
      <c r="F4455" s="62"/>
      <c r="G4455" s="20" t="str">
        <f t="shared" si="1"/>
        <v>Sporting Goods, Athletics, Boxing &amp; Martial Arts, Martial Arts Weapons</v>
      </c>
    </row>
    <row r="4456">
      <c r="A4456" s="29">
        <v>6734.0</v>
      </c>
      <c r="B4456" s="29" t="s">
        <v>4555</v>
      </c>
      <c r="C4456" s="29" t="s">
        <v>4556</v>
      </c>
      <c r="D4456" s="29" t="s">
        <v>4616</v>
      </c>
      <c r="E4456" s="62"/>
      <c r="F4456" s="62"/>
      <c r="G4456" s="20" t="str">
        <f t="shared" si="1"/>
        <v>Sporting Goods, Athletics, Broomball Equipment, </v>
      </c>
    </row>
    <row r="4457">
      <c r="A4457" s="29">
        <v>3354.0</v>
      </c>
      <c r="B4457" s="29" t="s">
        <v>4555</v>
      </c>
      <c r="C4457" s="29" t="s">
        <v>4556</v>
      </c>
      <c r="D4457" s="29" t="s">
        <v>4617</v>
      </c>
      <c r="E4457" s="62"/>
      <c r="F4457" s="62"/>
      <c r="G4457" s="20" t="str">
        <f t="shared" si="1"/>
        <v>Sporting Goods, Athletics, Cheerleading, </v>
      </c>
    </row>
    <row r="4458">
      <c r="A4458" s="29">
        <v>3953.0</v>
      </c>
      <c r="B4458" s="29" t="s">
        <v>4555</v>
      </c>
      <c r="C4458" s="29" t="s">
        <v>4556</v>
      </c>
      <c r="D4458" s="29" t="s">
        <v>4617</v>
      </c>
      <c r="E4458" s="29" t="s">
        <v>4618</v>
      </c>
      <c r="F4458" s="62"/>
      <c r="G4458" s="20" t="str">
        <f t="shared" si="1"/>
        <v>Sporting Goods, Athletics, Cheerleading, Cheerleading Pom Poms</v>
      </c>
    </row>
    <row r="4459">
      <c r="A4459" s="29">
        <v>6739.0</v>
      </c>
      <c r="B4459" s="29" t="s">
        <v>4555</v>
      </c>
      <c r="C4459" s="29" t="s">
        <v>4556</v>
      </c>
      <c r="D4459" s="29" t="s">
        <v>4619</v>
      </c>
      <c r="E4459" s="62"/>
      <c r="F4459" s="62"/>
      <c r="G4459" s="20" t="str">
        <f t="shared" si="1"/>
        <v>Sporting Goods, Athletics, Coaching &amp; Officiating, </v>
      </c>
    </row>
    <row r="4460">
      <c r="A4460" s="29">
        <v>499729.0</v>
      </c>
      <c r="B4460" s="29" t="s">
        <v>4555</v>
      </c>
      <c r="C4460" s="29" t="s">
        <v>4556</v>
      </c>
      <c r="D4460" s="29" t="s">
        <v>4619</v>
      </c>
      <c r="E4460" s="29" t="s">
        <v>4620</v>
      </c>
      <c r="F4460" s="62"/>
      <c r="G4460" s="20" t="str">
        <f t="shared" si="1"/>
        <v>Sporting Goods, Athletics, Coaching &amp; Officiating, Captains Armbands</v>
      </c>
    </row>
    <row r="4461">
      <c r="A4461" s="29">
        <v>505813.0</v>
      </c>
      <c r="B4461" s="29" t="s">
        <v>4555</v>
      </c>
      <c r="C4461" s="29" t="s">
        <v>4556</v>
      </c>
      <c r="D4461" s="29" t="s">
        <v>4619</v>
      </c>
      <c r="E4461" s="29" t="s">
        <v>4621</v>
      </c>
      <c r="F4461" s="62"/>
      <c r="G4461" s="20" t="str">
        <f t="shared" si="1"/>
        <v>Sporting Goods, Athletics, Coaching &amp; Officiating, Field &amp; Court Boundary Markers</v>
      </c>
    </row>
    <row r="4462">
      <c r="A4462" s="29">
        <v>499732.0</v>
      </c>
      <c r="B4462" s="29" t="s">
        <v>4555</v>
      </c>
      <c r="C4462" s="29" t="s">
        <v>4556</v>
      </c>
      <c r="D4462" s="29" t="s">
        <v>4619</v>
      </c>
      <c r="E4462" s="29" t="s">
        <v>4622</v>
      </c>
      <c r="F4462" s="62"/>
      <c r="G4462" s="20" t="str">
        <f t="shared" si="1"/>
        <v>Sporting Goods, Athletics, Coaching &amp; Officiating, Flip Coins &amp; Discs</v>
      </c>
    </row>
    <row r="4463">
      <c r="A4463" s="29">
        <v>6731.0</v>
      </c>
      <c r="B4463" s="29" t="s">
        <v>4555</v>
      </c>
      <c r="C4463" s="29" t="s">
        <v>4556</v>
      </c>
      <c r="D4463" s="29" t="s">
        <v>4619</v>
      </c>
      <c r="E4463" s="29" t="s">
        <v>4623</v>
      </c>
      <c r="F4463" s="62"/>
      <c r="G4463" s="20" t="str">
        <f t="shared" si="1"/>
        <v>Sporting Goods, Athletics, Coaching &amp; Officiating, Linesman Flags</v>
      </c>
    </row>
    <row r="4464">
      <c r="A4464" s="29">
        <v>6729.0</v>
      </c>
      <c r="B4464" s="29" t="s">
        <v>4555</v>
      </c>
      <c r="C4464" s="29" t="s">
        <v>4556</v>
      </c>
      <c r="D4464" s="29" t="s">
        <v>4619</v>
      </c>
      <c r="E4464" s="29" t="s">
        <v>4624</v>
      </c>
      <c r="F4464" s="62"/>
      <c r="G4464" s="20" t="str">
        <f t="shared" si="1"/>
        <v>Sporting Goods, Athletics, Coaching &amp; Officiating, Penalty Cards &amp; Flags</v>
      </c>
    </row>
    <row r="4465">
      <c r="A4465" s="29">
        <v>499731.0</v>
      </c>
      <c r="B4465" s="29" t="s">
        <v>4555</v>
      </c>
      <c r="C4465" s="29" t="s">
        <v>4556</v>
      </c>
      <c r="D4465" s="29" t="s">
        <v>4619</v>
      </c>
      <c r="E4465" s="29" t="s">
        <v>4625</v>
      </c>
      <c r="F4465" s="62"/>
      <c r="G4465" s="20" t="str">
        <f t="shared" si="1"/>
        <v>Sporting Goods, Athletics, Coaching &amp; Officiating, Pitch Counters</v>
      </c>
    </row>
    <row r="4466">
      <c r="A4466" s="29">
        <v>499733.0</v>
      </c>
      <c r="B4466" s="29" t="s">
        <v>4555</v>
      </c>
      <c r="C4466" s="29" t="s">
        <v>4556</v>
      </c>
      <c r="D4466" s="29" t="s">
        <v>4619</v>
      </c>
      <c r="E4466" s="29" t="s">
        <v>4626</v>
      </c>
      <c r="F4466" s="62"/>
      <c r="G4466" s="20" t="str">
        <f t="shared" si="1"/>
        <v>Sporting Goods, Athletics, Coaching &amp; Officiating, Referee Stands &amp; Chairs</v>
      </c>
    </row>
    <row r="4467">
      <c r="A4467" s="29">
        <v>499727.0</v>
      </c>
      <c r="B4467" s="29" t="s">
        <v>4555</v>
      </c>
      <c r="C4467" s="29" t="s">
        <v>4556</v>
      </c>
      <c r="D4467" s="29" t="s">
        <v>4619</v>
      </c>
      <c r="E4467" s="29" t="s">
        <v>4627</v>
      </c>
      <c r="F4467" s="62"/>
      <c r="G4467" s="20" t="str">
        <f t="shared" si="1"/>
        <v>Sporting Goods, Athletics, Coaching &amp; Officiating, Referee Wallets</v>
      </c>
    </row>
    <row r="4468">
      <c r="A4468" s="29">
        <v>8505.0</v>
      </c>
      <c r="B4468" s="29" t="s">
        <v>4555</v>
      </c>
      <c r="C4468" s="29" t="s">
        <v>4556</v>
      </c>
      <c r="D4468" s="29" t="s">
        <v>4619</v>
      </c>
      <c r="E4468" s="29" t="s">
        <v>4628</v>
      </c>
      <c r="F4468" s="62"/>
      <c r="G4468" s="20" t="str">
        <f t="shared" si="1"/>
        <v>Sporting Goods, Athletics, Coaching &amp; Officiating, Scoreboards</v>
      </c>
    </row>
    <row r="4469">
      <c r="A4469" s="29">
        <v>6730.0</v>
      </c>
      <c r="B4469" s="29" t="s">
        <v>4555</v>
      </c>
      <c r="C4469" s="29" t="s">
        <v>4556</v>
      </c>
      <c r="D4469" s="29" t="s">
        <v>4619</v>
      </c>
      <c r="E4469" s="29" t="s">
        <v>4629</v>
      </c>
      <c r="F4469" s="62"/>
      <c r="G4469" s="20" t="str">
        <f t="shared" si="1"/>
        <v>Sporting Goods, Athletics, Coaching &amp; Officiating, Sport &amp; Safety Whistles</v>
      </c>
    </row>
    <row r="4470">
      <c r="A4470" s="29">
        <v>499730.0</v>
      </c>
      <c r="B4470" s="29" t="s">
        <v>4555</v>
      </c>
      <c r="C4470" s="29" t="s">
        <v>4556</v>
      </c>
      <c r="D4470" s="29" t="s">
        <v>4619</v>
      </c>
      <c r="E4470" s="29" t="s">
        <v>4630</v>
      </c>
      <c r="F4470" s="62"/>
      <c r="G4470" s="20" t="str">
        <f t="shared" si="1"/>
        <v>Sporting Goods, Athletics, Coaching &amp; Officiating, Umpire Indicators</v>
      </c>
    </row>
    <row r="4471">
      <c r="A4471" s="29">
        <v>1087.0</v>
      </c>
      <c r="B4471" s="29" t="s">
        <v>4555</v>
      </c>
      <c r="C4471" s="29" t="s">
        <v>4556</v>
      </c>
      <c r="D4471" s="29" t="s">
        <v>4631</v>
      </c>
      <c r="E4471" s="62"/>
      <c r="F4471" s="62"/>
      <c r="G4471" s="20" t="str">
        <f t="shared" si="1"/>
        <v>Sporting Goods, Athletics, Cricket, </v>
      </c>
    </row>
    <row r="4472">
      <c r="A4472" s="29">
        <v>3870.0</v>
      </c>
      <c r="B4472" s="29" t="s">
        <v>4555</v>
      </c>
      <c r="C4472" s="29" t="s">
        <v>4556</v>
      </c>
      <c r="D4472" s="29" t="s">
        <v>4631</v>
      </c>
      <c r="E4472" s="29" t="s">
        <v>4632</v>
      </c>
      <c r="F4472" s="62"/>
      <c r="G4472" s="20" t="str">
        <f t="shared" si="1"/>
        <v>Sporting Goods, Athletics, Cricket, Cricket Balls</v>
      </c>
    </row>
    <row r="4473">
      <c r="A4473" s="29">
        <v>499737.0</v>
      </c>
      <c r="B4473" s="29" t="s">
        <v>4555</v>
      </c>
      <c r="C4473" s="29" t="s">
        <v>4556</v>
      </c>
      <c r="D4473" s="29" t="s">
        <v>4631</v>
      </c>
      <c r="E4473" s="29" t="s">
        <v>4633</v>
      </c>
      <c r="F4473" s="62"/>
      <c r="G4473" s="20" t="str">
        <f t="shared" si="1"/>
        <v>Sporting Goods, Athletics, Cricket, Cricket Bat Accessories</v>
      </c>
    </row>
    <row r="4474">
      <c r="A4474" s="29">
        <v>499738.0</v>
      </c>
      <c r="B4474" s="29" t="s">
        <v>4555</v>
      </c>
      <c r="C4474" s="29" t="s">
        <v>4556</v>
      </c>
      <c r="D4474" s="29" t="s">
        <v>4631</v>
      </c>
      <c r="E4474" s="29" t="s">
        <v>4633</v>
      </c>
      <c r="F4474" s="29" t="s">
        <v>4634</v>
      </c>
      <c r="G4474" s="20" t="str">
        <f t="shared" si="1"/>
        <v>Sporting Goods, Athletics, Cricket, Cricket Bat AccessoriesCricket Bat Grips</v>
      </c>
    </row>
    <row r="4475">
      <c r="A4475" s="29">
        <v>3815.0</v>
      </c>
      <c r="B4475" s="29" t="s">
        <v>4555</v>
      </c>
      <c r="C4475" s="29" t="s">
        <v>4556</v>
      </c>
      <c r="D4475" s="29" t="s">
        <v>4631</v>
      </c>
      <c r="E4475" s="29" t="s">
        <v>4635</v>
      </c>
      <c r="F4475" s="62"/>
      <c r="G4475" s="20" t="str">
        <f t="shared" si="1"/>
        <v>Sporting Goods, Athletics, Cricket, Cricket Bats</v>
      </c>
    </row>
    <row r="4476">
      <c r="A4476" s="29">
        <v>499735.0</v>
      </c>
      <c r="B4476" s="29" t="s">
        <v>4555</v>
      </c>
      <c r="C4476" s="29" t="s">
        <v>4556</v>
      </c>
      <c r="D4476" s="29" t="s">
        <v>4631</v>
      </c>
      <c r="E4476" s="29" t="s">
        <v>4636</v>
      </c>
      <c r="F4476" s="62"/>
      <c r="G4476" s="20" t="str">
        <f t="shared" si="1"/>
        <v>Sporting Goods, Athletics, Cricket, Cricket Equipment Sets</v>
      </c>
    </row>
    <row r="4477">
      <c r="A4477" s="29">
        <v>499736.0</v>
      </c>
      <c r="B4477" s="29" t="s">
        <v>4555</v>
      </c>
      <c r="C4477" s="29" t="s">
        <v>4556</v>
      </c>
      <c r="D4477" s="29" t="s">
        <v>4631</v>
      </c>
      <c r="E4477" s="29" t="s">
        <v>4637</v>
      </c>
      <c r="F4477" s="62"/>
      <c r="G4477" s="20" t="str">
        <f t="shared" si="1"/>
        <v>Sporting Goods, Athletics, Cricket, Cricket Protective Gear</v>
      </c>
    </row>
    <row r="4478">
      <c r="A4478" s="29">
        <v>3339.0</v>
      </c>
      <c r="B4478" s="29" t="s">
        <v>4555</v>
      </c>
      <c r="C4478" s="29" t="s">
        <v>4556</v>
      </c>
      <c r="D4478" s="29" t="s">
        <v>4631</v>
      </c>
      <c r="E4478" s="29" t="s">
        <v>4637</v>
      </c>
      <c r="F4478" s="29" t="s">
        <v>4638</v>
      </c>
      <c r="G4478" s="20" t="str">
        <f t="shared" si="1"/>
        <v>Sporting Goods, Athletics, Cricket, Cricket Protective GearCricket Gloves</v>
      </c>
    </row>
    <row r="4479">
      <c r="A4479" s="29">
        <v>3543.0</v>
      </c>
      <c r="B4479" s="29" t="s">
        <v>4555</v>
      </c>
      <c r="C4479" s="29" t="s">
        <v>4556</v>
      </c>
      <c r="D4479" s="29" t="s">
        <v>4631</v>
      </c>
      <c r="E4479" s="29" t="s">
        <v>4637</v>
      </c>
      <c r="F4479" s="29" t="s">
        <v>4639</v>
      </c>
      <c r="G4479" s="20" t="str">
        <f t="shared" si="1"/>
        <v>Sporting Goods, Athletics, Cricket, Cricket Protective GearCricket Helmets</v>
      </c>
    </row>
    <row r="4480">
      <c r="A4480" s="29">
        <v>499739.0</v>
      </c>
      <c r="B4480" s="29" t="s">
        <v>4555</v>
      </c>
      <c r="C4480" s="29" t="s">
        <v>4556</v>
      </c>
      <c r="D4480" s="29" t="s">
        <v>4631</v>
      </c>
      <c r="E4480" s="29" t="s">
        <v>4637</v>
      </c>
      <c r="F4480" s="29" t="s">
        <v>4640</v>
      </c>
      <c r="G4480" s="20" t="str">
        <f t="shared" si="1"/>
        <v>Sporting Goods, Athletics, Cricket, Cricket Protective GearCricket Leg Guards</v>
      </c>
    </row>
    <row r="4481">
      <c r="A4481" s="29">
        <v>499734.0</v>
      </c>
      <c r="B4481" s="29" t="s">
        <v>4555</v>
      </c>
      <c r="C4481" s="29" t="s">
        <v>4556</v>
      </c>
      <c r="D4481" s="29" t="s">
        <v>4631</v>
      </c>
      <c r="E4481" s="29" t="s">
        <v>4641</v>
      </c>
      <c r="F4481" s="62"/>
      <c r="G4481" s="20" t="str">
        <f t="shared" si="1"/>
        <v>Sporting Goods, Athletics, Cricket, Cricket Stumps</v>
      </c>
    </row>
    <row r="4482">
      <c r="A4482" s="29">
        <v>989.0</v>
      </c>
      <c r="B4482" s="29" t="s">
        <v>4555</v>
      </c>
      <c r="C4482" s="29" t="s">
        <v>4556</v>
      </c>
      <c r="D4482" s="29" t="s">
        <v>4642</v>
      </c>
      <c r="E4482" s="62"/>
      <c r="F4482" s="62"/>
      <c r="G4482" s="20" t="str">
        <f t="shared" si="1"/>
        <v>Sporting Goods, Athletics, Dancing, </v>
      </c>
    </row>
    <row r="4483">
      <c r="A4483" s="29">
        <v>3269.0</v>
      </c>
      <c r="B4483" s="29" t="s">
        <v>4555</v>
      </c>
      <c r="C4483" s="29" t="s">
        <v>4556</v>
      </c>
      <c r="D4483" s="29" t="s">
        <v>4642</v>
      </c>
      <c r="E4483" s="29" t="s">
        <v>4643</v>
      </c>
      <c r="F4483" s="62"/>
      <c r="G4483" s="20" t="str">
        <f t="shared" si="1"/>
        <v>Sporting Goods, Athletics, Dancing, Ballet Barres</v>
      </c>
    </row>
    <row r="4484">
      <c r="A4484" s="29">
        <v>1006.0</v>
      </c>
      <c r="B4484" s="29" t="s">
        <v>4555</v>
      </c>
      <c r="C4484" s="29" t="s">
        <v>4556</v>
      </c>
      <c r="D4484" s="29" t="s">
        <v>4644</v>
      </c>
      <c r="E4484" s="62"/>
      <c r="F4484" s="62"/>
      <c r="G4484" s="20" t="str">
        <f t="shared" si="1"/>
        <v>Sporting Goods, Athletics, Fencing, </v>
      </c>
    </row>
    <row r="4485">
      <c r="A4485" s="29">
        <v>3261.0</v>
      </c>
      <c r="B4485" s="29" t="s">
        <v>4555</v>
      </c>
      <c r="C4485" s="29" t="s">
        <v>4556</v>
      </c>
      <c r="D4485" s="29" t="s">
        <v>4644</v>
      </c>
      <c r="E4485" s="29" t="s">
        <v>4645</v>
      </c>
      <c r="F4485" s="62"/>
      <c r="G4485" s="20" t="str">
        <f t="shared" si="1"/>
        <v>Sporting Goods, Athletics, Fencing, Fencing Protective Gear</v>
      </c>
    </row>
    <row r="4486">
      <c r="A4486" s="29">
        <v>3366.0</v>
      </c>
      <c r="B4486" s="29" t="s">
        <v>4555</v>
      </c>
      <c r="C4486" s="29" t="s">
        <v>4556</v>
      </c>
      <c r="D4486" s="29" t="s">
        <v>4644</v>
      </c>
      <c r="E4486" s="29" t="s">
        <v>4645</v>
      </c>
      <c r="F4486" s="29" t="s">
        <v>4646</v>
      </c>
      <c r="G4486" s="20" t="str">
        <f t="shared" si="1"/>
        <v>Sporting Goods, Athletics, Fencing, Fencing Protective GearFencing Gloves &amp; Cuffs</v>
      </c>
    </row>
    <row r="4487">
      <c r="A4487" s="29">
        <v>499740.0</v>
      </c>
      <c r="B4487" s="29" t="s">
        <v>4555</v>
      </c>
      <c r="C4487" s="29" t="s">
        <v>4556</v>
      </c>
      <c r="D4487" s="29" t="s">
        <v>4644</v>
      </c>
      <c r="E4487" s="29" t="s">
        <v>4645</v>
      </c>
      <c r="F4487" s="29" t="s">
        <v>4647</v>
      </c>
      <c r="G4487" s="20" t="str">
        <f t="shared" si="1"/>
        <v>Sporting Goods, Athletics, Fencing, Fencing Protective GearFencing Jackets &amp; Lamés</v>
      </c>
    </row>
    <row r="4488">
      <c r="A4488" s="29">
        <v>3707.0</v>
      </c>
      <c r="B4488" s="29" t="s">
        <v>4555</v>
      </c>
      <c r="C4488" s="29" t="s">
        <v>4556</v>
      </c>
      <c r="D4488" s="29" t="s">
        <v>4644</v>
      </c>
      <c r="E4488" s="29" t="s">
        <v>4645</v>
      </c>
      <c r="F4488" s="29" t="s">
        <v>4648</v>
      </c>
      <c r="G4488" s="20" t="str">
        <f t="shared" si="1"/>
        <v>Sporting Goods, Athletics, Fencing, Fencing Protective GearFencing Masks</v>
      </c>
    </row>
    <row r="4489">
      <c r="A4489" s="29">
        <v>3622.0</v>
      </c>
      <c r="B4489" s="29" t="s">
        <v>4555</v>
      </c>
      <c r="C4489" s="29" t="s">
        <v>4556</v>
      </c>
      <c r="D4489" s="29" t="s">
        <v>4644</v>
      </c>
      <c r="E4489" s="29" t="s">
        <v>4649</v>
      </c>
      <c r="F4489" s="62"/>
      <c r="G4489" s="20" t="str">
        <f t="shared" si="1"/>
        <v>Sporting Goods, Athletics, Fencing, Fencing Weapons</v>
      </c>
    </row>
    <row r="4490">
      <c r="A4490" s="29">
        <v>499741.0</v>
      </c>
      <c r="B4490" s="29" t="s">
        <v>4555</v>
      </c>
      <c r="C4490" s="29" t="s">
        <v>4556</v>
      </c>
      <c r="D4490" s="29" t="s">
        <v>4650</v>
      </c>
      <c r="E4490" s="62"/>
      <c r="F4490" s="62"/>
      <c r="G4490" s="20" t="str">
        <f t="shared" si="1"/>
        <v>Sporting Goods, Athletics, Field Hockey &amp; Lacrosse, </v>
      </c>
    </row>
    <row r="4491">
      <c r="A4491" s="29">
        <v>499744.0</v>
      </c>
      <c r="B4491" s="29" t="s">
        <v>4555</v>
      </c>
      <c r="C4491" s="29" t="s">
        <v>4556</v>
      </c>
      <c r="D4491" s="29" t="s">
        <v>4650</v>
      </c>
      <c r="E4491" s="29" t="s">
        <v>4651</v>
      </c>
      <c r="G4491" s="20" t="str">
        <f t="shared" si="1"/>
        <v>Sporting Goods, Athletics, Field Hockey &amp; Lacrosse, Field Hockey &amp; Lacrosse Protective Gear</v>
      </c>
    </row>
    <row r="4492">
      <c r="A4492" s="29">
        <v>499745.0</v>
      </c>
      <c r="B4492" s="29" t="s">
        <v>4555</v>
      </c>
      <c r="C4492" s="29" t="s">
        <v>4556</v>
      </c>
      <c r="D4492" s="29" t="s">
        <v>4650</v>
      </c>
      <c r="E4492" s="29" t="s">
        <v>4651</v>
      </c>
      <c r="F4492" s="29" t="s">
        <v>4652</v>
      </c>
      <c r="G4492" s="20" t="str">
        <f t="shared" si="1"/>
        <v>Sporting Goods, Athletics, Field Hockey &amp; Lacrosse, Field Hockey &amp; Lacrosse Protective GearField Hockey &amp; Lacrosse Gloves</v>
      </c>
    </row>
    <row r="4493">
      <c r="A4493" s="29">
        <v>499746.0</v>
      </c>
      <c r="B4493" s="29" t="s">
        <v>4555</v>
      </c>
      <c r="C4493" s="29" t="s">
        <v>4556</v>
      </c>
      <c r="D4493" s="29" t="s">
        <v>4650</v>
      </c>
      <c r="E4493" s="29" t="s">
        <v>4651</v>
      </c>
      <c r="F4493" s="29" t="s">
        <v>4653</v>
      </c>
      <c r="G4493" s="20" t="str">
        <f t="shared" si="1"/>
        <v>Sporting Goods, Athletics, Field Hockey &amp; Lacrosse, Field Hockey &amp; Lacrosse Protective GearField Hockey &amp; Lacrosse Helmets</v>
      </c>
    </row>
    <row r="4494">
      <c r="A4494" s="29">
        <v>499747.0</v>
      </c>
      <c r="B4494" s="29" t="s">
        <v>4555</v>
      </c>
      <c r="C4494" s="29" t="s">
        <v>4556</v>
      </c>
      <c r="D4494" s="29" t="s">
        <v>4650</v>
      </c>
      <c r="E4494" s="29" t="s">
        <v>4651</v>
      </c>
      <c r="F4494" s="29" t="s">
        <v>4654</v>
      </c>
      <c r="G4494" s="20" t="str">
        <f t="shared" si="1"/>
        <v>Sporting Goods, Athletics, Field Hockey &amp; Lacrosse, Field Hockey &amp; Lacrosse Protective GearField Hockey &amp; Lacrosse Masks &amp; Goggles</v>
      </c>
    </row>
    <row r="4495">
      <c r="A4495" s="29">
        <v>502970.0</v>
      </c>
      <c r="B4495" s="29" t="s">
        <v>4555</v>
      </c>
      <c r="C4495" s="29" t="s">
        <v>4556</v>
      </c>
      <c r="D4495" s="29" t="s">
        <v>4650</v>
      </c>
      <c r="E4495" s="29" t="s">
        <v>4651</v>
      </c>
      <c r="F4495" s="29" t="s">
        <v>4655</v>
      </c>
      <c r="G4495" s="20" t="str">
        <f t="shared" si="1"/>
        <v>Sporting Goods, Athletics, Field Hockey &amp; Lacrosse, Field Hockey &amp; Lacrosse Protective GearField Hockey &amp; Lacrosse Pads</v>
      </c>
    </row>
    <row r="4496">
      <c r="A4496" s="29">
        <v>1089.0</v>
      </c>
      <c r="B4496" s="29" t="s">
        <v>4555</v>
      </c>
      <c r="C4496" s="29" t="s">
        <v>4556</v>
      </c>
      <c r="D4496" s="29" t="s">
        <v>4650</v>
      </c>
      <c r="E4496" s="29" t="s">
        <v>4656</v>
      </c>
      <c r="F4496" s="62"/>
      <c r="G4496" s="20" t="str">
        <f t="shared" si="1"/>
        <v>Sporting Goods, Athletics, Field Hockey &amp; Lacrosse, Field Hockey Balls</v>
      </c>
    </row>
    <row r="4497">
      <c r="A4497" s="29">
        <v>3001.0</v>
      </c>
      <c r="B4497" s="29" t="s">
        <v>4555</v>
      </c>
      <c r="C4497" s="29" t="s">
        <v>4556</v>
      </c>
      <c r="D4497" s="29" t="s">
        <v>4650</v>
      </c>
      <c r="E4497" s="29" t="s">
        <v>4657</v>
      </c>
      <c r="F4497" s="62"/>
      <c r="G4497" s="20" t="str">
        <f t="shared" si="1"/>
        <v>Sporting Goods, Athletics, Field Hockey &amp; Lacrosse, Field Hockey Goals</v>
      </c>
    </row>
    <row r="4498">
      <c r="A4498" s="29">
        <v>1092.0</v>
      </c>
      <c r="B4498" s="29" t="s">
        <v>4555</v>
      </c>
      <c r="C4498" s="29" t="s">
        <v>4556</v>
      </c>
      <c r="D4498" s="29" t="s">
        <v>4650</v>
      </c>
      <c r="E4498" s="29" t="s">
        <v>4658</v>
      </c>
      <c r="F4498" s="62"/>
      <c r="G4498" s="20" t="str">
        <f t="shared" si="1"/>
        <v>Sporting Goods, Athletics, Field Hockey &amp; Lacrosse, Field Hockey Sticks</v>
      </c>
    </row>
    <row r="4499">
      <c r="A4499" s="29">
        <v>3536.0</v>
      </c>
      <c r="B4499" s="29" t="s">
        <v>4555</v>
      </c>
      <c r="C4499" s="29" t="s">
        <v>4556</v>
      </c>
      <c r="D4499" s="29" t="s">
        <v>4650</v>
      </c>
      <c r="E4499" s="29" t="s">
        <v>4659</v>
      </c>
      <c r="F4499" s="62"/>
      <c r="G4499" s="20" t="str">
        <f t="shared" si="1"/>
        <v>Sporting Goods, Athletics, Field Hockey &amp; Lacrosse, Lacrosse Balls</v>
      </c>
    </row>
    <row r="4500">
      <c r="A4500" s="29">
        <v>499742.0</v>
      </c>
      <c r="B4500" s="29" t="s">
        <v>4555</v>
      </c>
      <c r="C4500" s="29" t="s">
        <v>4556</v>
      </c>
      <c r="D4500" s="29" t="s">
        <v>4650</v>
      </c>
      <c r="E4500" s="29" t="s">
        <v>4660</v>
      </c>
      <c r="F4500" s="62"/>
      <c r="G4500" s="20" t="str">
        <f t="shared" si="1"/>
        <v>Sporting Goods, Athletics, Field Hockey &amp; Lacrosse, Lacrosse Equipment Sets</v>
      </c>
    </row>
    <row r="4501">
      <c r="A4501" s="29">
        <v>3970.0</v>
      </c>
      <c r="B4501" s="29" t="s">
        <v>4555</v>
      </c>
      <c r="C4501" s="29" t="s">
        <v>4556</v>
      </c>
      <c r="D4501" s="29" t="s">
        <v>4650</v>
      </c>
      <c r="E4501" s="29" t="s">
        <v>4661</v>
      </c>
      <c r="F4501" s="62"/>
      <c r="G4501" s="20" t="str">
        <f t="shared" si="1"/>
        <v>Sporting Goods, Athletics, Field Hockey &amp; Lacrosse, Lacrosse Goals</v>
      </c>
    </row>
    <row r="4502">
      <c r="A4502" s="29">
        <v>3336.0</v>
      </c>
      <c r="B4502" s="29" t="s">
        <v>4555</v>
      </c>
      <c r="C4502" s="29" t="s">
        <v>4556</v>
      </c>
      <c r="D4502" s="29" t="s">
        <v>4650</v>
      </c>
      <c r="E4502" s="29" t="s">
        <v>4662</v>
      </c>
      <c r="F4502" s="62"/>
      <c r="G4502" s="20" t="str">
        <f t="shared" si="1"/>
        <v>Sporting Goods, Athletics, Field Hockey &amp; Lacrosse, Lacrosse Stick Parts</v>
      </c>
    </row>
    <row r="4503">
      <c r="A4503" s="29">
        <v>3785.0</v>
      </c>
      <c r="B4503" s="29" t="s">
        <v>4555</v>
      </c>
      <c r="C4503" s="29" t="s">
        <v>4556</v>
      </c>
      <c r="D4503" s="29" t="s">
        <v>4650</v>
      </c>
      <c r="E4503" s="29" t="s">
        <v>4662</v>
      </c>
      <c r="F4503" s="29" t="s">
        <v>4663</v>
      </c>
      <c r="G4503" s="20" t="str">
        <f t="shared" si="1"/>
        <v>Sporting Goods, Athletics, Field Hockey &amp; Lacrosse, Lacrosse Stick PartsLacrosse Mesh &amp; String</v>
      </c>
    </row>
    <row r="4504">
      <c r="A4504" s="29">
        <v>3418.0</v>
      </c>
      <c r="B4504" s="29" t="s">
        <v>4555</v>
      </c>
      <c r="C4504" s="29" t="s">
        <v>4556</v>
      </c>
      <c r="D4504" s="29" t="s">
        <v>4650</v>
      </c>
      <c r="E4504" s="29" t="s">
        <v>4662</v>
      </c>
      <c r="F4504" s="29" t="s">
        <v>4664</v>
      </c>
      <c r="G4504" s="20" t="str">
        <f t="shared" si="1"/>
        <v>Sporting Goods, Athletics, Field Hockey &amp; Lacrosse, Lacrosse Stick PartsLacrosse Stick Heads</v>
      </c>
    </row>
    <row r="4505">
      <c r="A4505" s="29">
        <v>3423.0</v>
      </c>
      <c r="B4505" s="29" t="s">
        <v>4555</v>
      </c>
      <c r="C4505" s="29" t="s">
        <v>4556</v>
      </c>
      <c r="D4505" s="29" t="s">
        <v>4650</v>
      </c>
      <c r="E4505" s="29" t="s">
        <v>4662</v>
      </c>
      <c r="F4505" s="29" t="s">
        <v>4665</v>
      </c>
      <c r="G4505" s="20" t="str">
        <f t="shared" si="1"/>
        <v>Sporting Goods, Athletics, Field Hockey &amp; Lacrosse, Lacrosse Stick PartsLacrosse Stick Shafts</v>
      </c>
    </row>
    <row r="4506">
      <c r="A4506" s="29">
        <v>3817.0</v>
      </c>
      <c r="B4506" s="29" t="s">
        <v>4555</v>
      </c>
      <c r="C4506" s="29" t="s">
        <v>4556</v>
      </c>
      <c r="D4506" s="29" t="s">
        <v>4650</v>
      </c>
      <c r="E4506" s="29" t="s">
        <v>4666</v>
      </c>
      <c r="F4506" s="62"/>
      <c r="G4506" s="20" t="str">
        <f t="shared" si="1"/>
        <v>Sporting Goods, Athletics, Field Hockey &amp; Lacrosse, Lacrosse Sticks</v>
      </c>
    </row>
    <row r="4507">
      <c r="A4507" s="29">
        <v>3204.0</v>
      </c>
      <c r="B4507" s="29" t="s">
        <v>4555</v>
      </c>
      <c r="C4507" s="29" t="s">
        <v>4556</v>
      </c>
      <c r="D4507" s="29" t="s">
        <v>4650</v>
      </c>
      <c r="E4507" s="29" t="s">
        <v>4667</v>
      </c>
      <c r="F4507" s="62"/>
      <c r="G4507" s="20" t="str">
        <f t="shared" si="1"/>
        <v>Sporting Goods, Athletics, Field Hockey &amp; Lacrosse, Lacrosse Training Aids</v>
      </c>
    </row>
    <row r="4508">
      <c r="A4508" s="29">
        <v>499915.0</v>
      </c>
      <c r="B4508" s="29" t="s">
        <v>4555</v>
      </c>
      <c r="C4508" s="29" t="s">
        <v>4556</v>
      </c>
      <c r="D4508" s="29" t="s">
        <v>4668</v>
      </c>
      <c r="E4508" s="62"/>
      <c r="F4508" s="62"/>
      <c r="G4508" s="20" t="str">
        <f t="shared" si="1"/>
        <v>Sporting Goods, Athletics, Figure Skating &amp; Hockey, </v>
      </c>
    </row>
    <row r="4509">
      <c r="A4509" s="29">
        <v>6077.0</v>
      </c>
      <c r="B4509" s="29" t="s">
        <v>4555</v>
      </c>
      <c r="C4509" s="29" t="s">
        <v>4556</v>
      </c>
      <c r="D4509" s="29" t="s">
        <v>4668</v>
      </c>
      <c r="E4509" s="29" t="s">
        <v>4669</v>
      </c>
      <c r="F4509" s="62"/>
      <c r="G4509" s="20" t="str">
        <f t="shared" si="1"/>
        <v>Sporting Goods, Athletics, Figure Skating &amp; Hockey, Hockey Balls &amp; Pucks</v>
      </c>
    </row>
    <row r="4510">
      <c r="A4510" s="29">
        <v>6074.0</v>
      </c>
      <c r="B4510" s="29" t="s">
        <v>4555</v>
      </c>
      <c r="C4510" s="29" t="s">
        <v>4556</v>
      </c>
      <c r="D4510" s="29" t="s">
        <v>4668</v>
      </c>
      <c r="E4510" s="29" t="s">
        <v>4670</v>
      </c>
      <c r="F4510" s="62"/>
      <c r="G4510" s="20" t="str">
        <f t="shared" si="1"/>
        <v>Sporting Goods, Athletics, Figure Skating &amp; Hockey, Hockey Goals</v>
      </c>
    </row>
    <row r="4511">
      <c r="A4511" s="29">
        <v>1105.0</v>
      </c>
      <c r="B4511" s="29" t="s">
        <v>4555</v>
      </c>
      <c r="C4511" s="29" t="s">
        <v>4556</v>
      </c>
      <c r="D4511" s="29" t="s">
        <v>4668</v>
      </c>
      <c r="E4511" s="29" t="s">
        <v>4671</v>
      </c>
      <c r="F4511" s="62"/>
      <c r="G4511" s="20" t="str">
        <f t="shared" si="1"/>
        <v>Sporting Goods, Athletics, Figure Skating &amp; Hockey, Hockey Protective Gear</v>
      </c>
    </row>
    <row r="4512">
      <c r="A4512" s="29">
        <v>499756.0</v>
      </c>
      <c r="B4512" s="29" t="s">
        <v>4555</v>
      </c>
      <c r="C4512" s="29" t="s">
        <v>4556</v>
      </c>
      <c r="D4512" s="29" t="s">
        <v>4668</v>
      </c>
      <c r="E4512" s="29" t="s">
        <v>4671</v>
      </c>
      <c r="F4512" s="29" t="s">
        <v>4672</v>
      </c>
      <c r="G4512" s="20" t="str">
        <f t="shared" si="1"/>
        <v>Sporting Goods, Athletics, Figure Skating &amp; Hockey, Hockey Protective GearHockey Elbow Pads</v>
      </c>
    </row>
    <row r="4513">
      <c r="A4513" s="29">
        <v>6078.0</v>
      </c>
      <c r="B4513" s="29" t="s">
        <v>4555</v>
      </c>
      <c r="C4513" s="29" t="s">
        <v>4556</v>
      </c>
      <c r="D4513" s="29" t="s">
        <v>4668</v>
      </c>
      <c r="E4513" s="29" t="s">
        <v>4671</v>
      </c>
      <c r="F4513" s="29" t="s">
        <v>4673</v>
      </c>
      <c r="G4513" s="20" t="str">
        <f t="shared" si="1"/>
        <v>Sporting Goods, Athletics, Figure Skating &amp; Hockey, Hockey Protective GearHockey Gloves</v>
      </c>
    </row>
    <row r="4514">
      <c r="A4514" s="29">
        <v>499890.0</v>
      </c>
      <c r="B4514" s="29" t="s">
        <v>4555</v>
      </c>
      <c r="C4514" s="29" t="s">
        <v>4556</v>
      </c>
      <c r="D4514" s="29" t="s">
        <v>4668</v>
      </c>
      <c r="E4514" s="29" t="s">
        <v>4671</v>
      </c>
      <c r="F4514" s="29" t="s">
        <v>4674</v>
      </c>
      <c r="G4514" s="20" t="str">
        <f t="shared" si="1"/>
        <v>Sporting Goods, Athletics, Figure Skating &amp; Hockey, Hockey Protective GearHockey Goalie Equipment Sets</v>
      </c>
    </row>
    <row r="4515">
      <c r="A4515" s="29">
        <v>6080.0</v>
      </c>
      <c r="B4515" s="29" t="s">
        <v>4555</v>
      </c>
      <c r="C4515" s="29" t="s">
        <v>4556</v>
      </c>
      <c r="D4515" s="29" t="s">
        <v>4668</v>
      </c>
      <c r="E4515" s="29" t="s">
        <v>4671</v>
      </c>
      <c r="F4515" s="29" t="s">
        <v>4675</v>
      </c>
      <c r="G4515" s="20" t="str">
        <f t="shared" si="1"/>
        <v>Sporting Goods, Athletics, Figure Skating &amp; Hockey, Hockey Protective GearHockey Helmets</v>
      </c>
    </row>
    <row r="4516">
      <c r="A4516" s="29">
        <v>3615.0</v>
      </c>
      <c r="B4516" s="29" t="s">
        <v>4555</v>
      </c>
      <c r="C4516" s="29" t="s">
        <v>4556</v>
      </c>
      <c r="D4516" s="29" t="s">
        <v>4668</v>
      </c>
      <c r="E4516" s="29" t="s">
        <v>4671</v>
      </c>
      <c r="F4516" s="29" t="s">
        <v>4676</v>
      </c>
      <c r="G4516" s="20" t="str">
        <f t="shared" si="1"/>
        <v>Sporting Goods, Athletics, Figure Skating &amp; Hockey, Hockey Protective GearHockey Pants</v>
      </c>
    </row>
    <row r="4517">
      <c r="A4517" s="29">
        <v>499755.0</v>
      </c>
      <c r="B4517" s="29" t="s">
        <v>4555</v>
      </c>
      <c r="C4517" s="29" t="s">
        <v>4556</v>
      </c>
      <c r="D4517" s="29" t="s">
        <v>4668</v>
      </c>
      <c r="E4517" s="29" t="s">
        <v>4671</v>
      </c>
      <c r="F4517" s="29" t="s">
        <v>4677</v>
      </c>
      <c r="G4517" s="20" t="str">
        <f t="shared" si="1"/>
        <v>Sporting Goods, Athletics, Figure Skating &amp; Hockey, Hockey Protective GearHockey Shin Guards &amp; Leg Pads</v>
      </c>
    </row>
    <row r="4518">
      <c r="A4518" s="29">
        <v>499757.0</v>
      </c>
      <c r="B4518" s="29" t="s">
        <v>4555</v>
      </c>
      <c r="C4518" s="29" t="s">
        <v>4556</v>
      </c>
      <c r="D4518" s="29" t="s">
        <v>4668</v>
      </c>
      <c r="E4518" s="29" t="s">
        <v>4671</v>
      </c>
      <c r="F4518" s="29" t="s">
        <v>4678</v>
      </c>
      <c r="G4518" s="20" t="str">
        <f t="shared" si="1"/>
        <v>Sporting Goods, Athletics, Figure Skating &amp; Hockey, Hockey Protective GearHockey Shoulder Pads &amp; Chest Protectors</v>
      </c>
    </row>
    <row r="4519">
      <c r="A4519" s="29">
        <v>499975.0</v>
      </c>
      <c r="B4519" s="29" t="s">
        <v>4555</v>
      </c>
      <c r="C4519" s="29" t="s">
        <v>4556</v>
      </c>
      <c r="D4519" s="29" t="s">
        <v>4668</v>
      </c>
      <c r="E4519" s="29" t="s">
        <v>4671</v>
      </c>
      <c r="F4519" s="29" t="s">
        <v>4679</v>
      </c>
      <c r="G4519" s="20" t="str">
        <f t="shared" si="1"/>
        <v>Sporting Goods, Athletics, Figure Skating &amp; Hockey, Hockey Protective GearHockey Suspenders &amp; Belts</v>
      </c>
    </row>
    <row r="4520">
      <c r="A4520" s="29">
        <v>6857.0</v>
      </c>
      <c r="B4520" s="29" t="s">
        <v>4555</v>
      </c>
      <c r="C4520" s="29" t="s">
        <v>4556</v>
      </c>
      <c r="D4520" s="29" t="s">
        <v>4668</v>
      </c>
      <c r="E4520" s="29" t="s">
        <v>4680</v>
      </c>
      <c r="F4520" s="62"/>
      <c r="G4520" s="20" t="str">
        <f t="shared" si="1"/>
        <v>Sporting Goods, Athletics, Figure Skating &amp; Hockey, Hockey Sledges</v>
      </c>
    </row>
    <row r="4521">
      <c r="A4521" s="29">
        <v>7012.0</v>
      </c>
      <c r="B4521" s="29" t="s">
        <v>4555</v>
      </c>
      <c r="C4521" s="29" t="s">
        <v>4556</v>
      </c>
      <c r="D4521" s="29" t="s">
        <v>4668</v>
      </c>
      <c r="E4521" s="29" t="s">
        <v>4681</v>
      </c>
      <c r="F4521" s="62"/>
      <c r="G4521" s="20" t="str">
        <f t="shared" si="1"/>
        <v>Sporting Goods, Athletics, Figure Skating &amp; Hockey, Hockey Stick Care</v>
      </c>
    </row>
    <row r="4522">
      <c r="A4522" s="29">
        <v>7011.0</v>
      </c>
      <c r="B4522" s="29" t="s">
        <v>4555</v>
      </c>
      <c r="C4522" s="29" t="s">
        <v>4556</v>
      </c>
      <c r="D4522" s="29" t="s">
        <v>4668</v>
      </c>
      <c r="E4522" s="29" t="s">
        <v>4682</v>
      </c>
      <c r="F4522" s="62"/>
      <c r="G4522" s="20" t="str">
        <f t="shared" si="1"/>
        <v>Sporting Goods, Athletics, Figure Skating &amp; Hockey, Hockey Stick Parts</v>
      </c>
    </row>
    <row r="4523">
      <c r="A4523" s="29">
        <v>6852.0</v>
      </c>
      <c r="B4523" s="29" t="s">
        <v>4555</v>
      </c>
      <c r="C4523" s="29" t="s">
        <v>4556</v>
      </c>
      <c r="D4523" s="29" t="s">
        <v>4668</v>
      </c>
      <c r="E4523" s="29" t="s">
        <v>4682</v>
      </c>
      <c r="F4523" s="29" t="s">
        <v>4683</v>
      </c>
      <c r="G4523" s="20" t="str">
        <f t="shared" si="1"/>
        <v>Sporting Goods, Athletics, Figure Skating &amp; Hockey, Hockey Stick PartsHockey Stick Blades</v>
      </c>
    </row>
    <row r="4524">
      <c r="A4524" s="29">
        <v>6942.0</v>
      </c>
      <c r="B4524" s="29" t="s">
        <v>4555</v>
      </c>
      <c r="C4524" s="29" t="s">
        <v>4556</v>
      </c>
      <c r="D4524" s="29" t="s">
        <v>4668</v>
      </c>
      <c r="E4524" s="29" t="s">
        <v>4682</v>
      </c>
      <c r="F4524" s="29" t="s">
        <v>4684</v>
      </c>
      <c r="G4524" s="20" t="str">
        <f t="shared" si="1"/>
        <v>Sporting Goods, Athletics, Figure Skating &amp; Hockey, Hockey Stick PartsHockey Stick Shafts</v>
      </c>
    </row>
    <row r="4525">
      <c r="A4525" s="29">
        <v>6076.0</v>
      </c>
      <c r="B4525" s="29" t="s">
        <v>4555</v>
      </c>
      <c r="C4525" s="29" t="s">
        <v>4556</v>
      </c>
      <c r="D4525" s="29" t="s">
        <v>4668</v>
      </c>
      <c r="E4525" s="29" t="s">
        <v>4685</v>
      </c>
      <c r="F4525" s="62"/>
      <c r="G4525" s="20" t="str">
        <f t="shared" si="1"/>
        <v>Sporting Goods, Athletics, Figure Skating &amp; Hockey, Hockey Sticks</v>
      </c>
    </row>
    <row r="4526">
      <c r="A4526" s="29">
        <v>3791.0</v>
      </c>
      <c r="B4526" s="29" t="s">
        <v>4555</v>
      </c>
      <c r="C4526" s="29" t="s">
        <v>4556</v>
      </c>
      <c r="D4526" s="29" t="s">
        <v>4668</v>
      </c>
      <c r="E4526" s="29" t="s">
        <v>4686</v>
      </c>
      <c r="F4526" s="62"/>
      <c r="G4526" s="20" t="str">
        <f t="shared" si="1"/>
        <v>Sporting Goods, Athletics, Figure Skating &amp; Hockey, Ice Skate Parts &amp; Accessories</v>
      </c>
    </row>
    <row r="4527">
      <c r="A4527" s="29">
        <v>6708.0</v>
      </c>
      <c r="B4527" s="29" t="s">
        <v>4555</v>
      </c>
      <c r="C4527" s="29" t="s">
        <v>4556</v>
      </c>
      <c r="D4527" s="29" t="s">
        <v>4668</v>
      </c>
      <c r="E4527" s="29" t="s">
        <v>4686</v>
      </c>
      <c r="F4527" s="29" t="s">
        <v>4687</v>
      </c>
      <c r="G4527" s="20" t="str">
        <f t="shared" si="1"/>
        <v>Sporting Goods, Athletics, Figure Skating &amp; Hockey, Ice Skate Parts &amp; AccessoriesFigure Skate Boots</v>
      </c>
    </row>
    <row r="4528">
      <c r="A4528" s="29">
        <v>7000.0</v>
      </c>
      <c r="B4528" s="29" t="s">
        <v>4555</v>
      </c>
      <c r="C4528" s="29" t="s">
        <v>4556</v>
      </c>
      <c r="D4528" s="29" t="s">
        <v>4668</v>
      </c>
      <c r="E4528" s="29" t="s">
        <v>4686</v>
      </c>
      <c r="F4528" s="29" t="s">
        <v>4688</v>
      </c>
      <c r="G4528" s="20" t="str">
        <f t="shared" si="1"/>
        <v>Sporting Goods, Athletics, Figure Skating &amp; Hockey, Ice Skate Parts &amp; AccessoriesIce Skate Blades</v>
      </c>
    </row>
    <row r="4529">
      <c r="A4529" s="29">
        <v>3623.0</v>
      </c>
      <c r="B4529" s="29" t="s">
        <v>4555</v>
      </c>
      <c r="C4529" s="29" t="s">
        <v>4556</v>
      </c>
      <c r="D4529" s="29" t="s">
        <v>4668</v>
      </c>
      <c r="E4529" s="29" t="s">
        <v>4686</v>
      </c>
      <c r="F4529" s="29" t="s">
        <v>4689</v>
      </c>
      <c r="G4529" s="20" t="str">
        <f t="shared" si="1"/>
        <v>Sporting Goods, Athletics, Figure Skating &amp; Hockey, Ice Skate Parts &amp; AccessoriesIce Skate Sharpeners</v>
      </c>
    </row>
    <row r="4530">
      <c r="A4530" s="29">
        <v>4019.0</v>
      </c>
      <c r="B4530" s="29" t="s">
        <v>4555</v>
      </c>
      <c r="C4530" s="29" t="s">
        <v>4556</v>
      </c>
      <c r="D4530" s="29" t="s">
        <v>4668</v>
      </c>
      <c r="E4530" s="29" t="s">
        <v>4686</v>
      </c>
      <c r="F4530" s="29" t="s">
        <v>4690</v>
      </c>
      <c r="G4530" s="20" t="str">
        <f t="shared" si="1"/>
        <v>Sporting Goods, Athletics, Figure Skating &amp; Hockey, Ice Skate Parts &amp; AccessoriesSkate Blade Guards</v>
      </c>
    </row>
    <row r="4531">
      <c r="A4531" s="29">
        <v>3241.0</v>
      </c>
      <c r="B4531" s="29" t="s">
        <v>4555</v>
      </c>
      <c r="C4531" s="29" t="s">
        <v>4556</v>
      </c>
      <c r="D4531" s="29" t="s">
        <v>4668</v>
      </c>
      <c r="E4531" s="29" t="s">
        <v>4686</v>
      </c>
      <c r="F4531" s="29" t="s">
        <v>4691</v>
      </c>
      <c r="G4531" s="20" t="str">
        <f t="shared" si="1"/>
        <v>Sporting Goods, Athletics, Figure Skating &amp; Hockey, Ice Skate Parts &amp; AccessoriesSkate Lace Tighteners</v>
      </c>
    </row>
    <row r="4532">
      <c r="A4532" s="29">
        <v>1057.0</v>
      </c>
      <c r="B4532" s="29" t="s">
        <v>4555</v>
      </c>
      <c r="C4532" s="29" t="s">
        <v>4556</v>
      </c>
      <c r="D4532" s="29" t="s">
        <v>4668</v>
      </c>
      <c r="E4532" s="29" t="s">
        <v>4692</v>
      </c>
      <c r="F4532" s="62"/>
      <c r="G4532" s="20" t="str">
        <f t="shared" si="1"/>
        <v>Sporting Goods, Athletics, Figure Skating &amp; Hockey, Ice Skates</v>
      </c>
    </row>
    <row r="4533">
      <c r="A4533" s="29">
        <v>499799.0</v>
      </c>
      <c r="B4533" s="29" t="s">
        <v>4555</v>
      </c>
      <c r="C4533" s="29" t="s">
        <v>4556</v>
      </c>
      <c r="D4533" s="29" t="s">
        <v>4693</v>
      </c>
      <c r="F4533" s="62"/>
      <c r="G4533" s="20" t="str">
        <f t="shared" si="1"/>
        <v>Sporting Goods, Athletics, General Purpose Athletic Equipment, </v>
      </c>
    </row>
    <row r="4534">
      <c r="A4534" s="29">
        <v>8222.0</v>
      </c>
      <c r="B4534" s="29" t="s">
        <v>4555</v>
      </c>
      <c r="C4534" s="29" t="s">
        <v>4556</v>
      </c>
      <c r="D4534" s="29" t="s">
        <v>4693</v>
      </c>
      <c r="E4534" s="29" t="s">
        <v>4694</v>
      </c>
      <c r="F4534" s="62"/>
      <c r="G4534" s="20" t="str">
        <f t="shared" si="1"/>
        <v>Sporting Goods, Athletics, General Purpose Athletic Equipment, Altitude Training Masks</v>
      </c>
    </row>
    <row r="4535">
      <c r="A4535" s="29">
        <v>499800.0</v>
      </c>
      <c r="B4535" s="29" t="s">
        <v>4555</v>
      </c>
      <c r="C4535" s="29" t="s">
        <v>4556</v>
      </c>
      <c r="D4535" s="29" t="s">
        <v>4693</v>
      </c>
      <c r="E4535" s="29" t="s">
        <v>4695</v>
      </c>
      <c r="F4535" s="62"/>
      <c r="G4535" s="20" t="str">
        <f t="shared" si="1"/>
        <v>Sporting Goods, Athletics, General Purpose Athletic Equipment, Athletic Cups</v>
      </c>
    </row>
    <row r="4536">
      <c r="A4536" s="29">
        <v>7397.0</v>
      </c>
      <c r="B4536" s="29" t="s">
        <v>4555</v>
      </c>
      <c r="C4536" s="29" t="s">
        <v>4556</v>
      </c>
      <c r="D4536" s="29" t="s">
        <v>4693</v>
      </c>
      <c r="E4536" s="29" t="s">
        <v>4696</v>
      </c>
      <c r="F4536" s="62"/>
      <c r="G4536" s="20" t="str">
        <f t="shared" si="1"/>
        <v>Sporting Goods, Athletics, General Purpose Athletic Equipment, Ball Carrying Bags &amp; Carts</v>
      </c>
    </row>
    <row r="4537">
      <c r="A4537" s="29">
        <v>7433.0</v>
      </c>
      <c r="B4537" s="29" t="s">
        <v>4555</v>
      </c>
      <c r="C4537" s="29" t="s">
        <v>4556</v>
      </c>
      <c r="D4537" s="29" t="s">
        <v>4693</v>
      </c>
      <c r="E4537" s="29" t="s">
        <v>4697</v>
      </c>
      <c r="F4537" s="62"/>
      <c r="G4537" s="20" t="str">
        <f t="shared" si="1"/>
        <v>Sporting Goods, Athletics, General Purpose Athletic Equipment, Ball Pump Accessories</v>
      </c>
    </row>
    <row r="4538">
      <c r="A4538" s="29">
        <v>7435.0</v>
      </c>
      <c r="B4538" s="29" t="s">
        <v>4555</v>
      </c>
      <c r="C4538" s="29" t="s">
        <v>4556</v>
      </c>
      <c r="D4538" s="29" t="s">
        <v>4693</v>
      </c>
      <c r="E4538" s="29" t="s">
        <v>4697</v>
      </c>
      <c r="F4538" s="29" t="s">
        <v>4698</v>
      </c>
      <c r="G4538" s="20" t="str">
        <f t="shared" si="1"/>
        <v>Sporting Goods, Athletics, General Purpose Athletic Equipment, Ball Pump AccessoriesBall Pump Needles</v>
      </c>
    </row>
    <row r="4539">
      <c r="A4539" s="29">
        <v>7434.0</v>
      </c>
      <c r="B4539" s="29" t="s">
        <v>4555</v>
      </c>
      <c r="C4539" s="29" t="s">
        <v>4556</v>
      </c>
      <c r="D4539" s="29" t="s">
        <v>4693</v>
      </c>
      <c r="E4539" s="29" t="s">
        <v>4699</v>
      </c>
      <c r="F4539" s="62"/>
      <c r="G4539" s="20" t="str">
        <f t="shared" si="1"/>
        <v>Sporting Goods, Athletics, General Purpose Athletic Equipment, Ball Pumps</v>
      </c>
    </row>
    <row r="4540">
      <c r="A4540" s="29">
        <v>499903.0</v>
      </c>
      <c r="B4540" s="29" t="s">
        <v>4555</v>
      </c>
      <c r="C4540" s="29" t="s">
        <v>4556</v>
      </c>
      <c r="D4540" s="29" t="s">
        <v>4693</v>
      </c>
      <c r="E4540" s="29" t="s">
        <v>4700</v>
      </c>
      <c r="G4540" s="20" t="str">
        <f t="shared" si="1"/>
        <v>Sporting Goods, Athletics, General Purpose Athletic Equipment, Exercise &amp; Gym Mat Storage Racks &amp; Carts</v>
      </c>
    </row>
    <row r="4541">
      <c r="A4541" s="29">
        <v>3971.0</v>
      </c>
      <c r="B4541" s="29" t="s">
        <v>4555</v>
      </c>
      <c r="C4541" s="29" t="s">
        <v>4556</v>
      </c>
      <c r="D4541" s="29" t="s">
        <v>4693</v>
      </c>
      <c r="E4541" s="29" t="s">
        <v>4701</v>
      </c>
      <c r="F4541" s="62"/>
      <c r="G4541" s="20" t="str">
        <f t="shared" si="1"/>
        <v>Sporting Goods, Athletics, General Purpose Athletic Equipment, Grip Spray &amp; Chalk</v>
      </c>
    </row>
    <row r="4542">
      <c r="A4542" s="29">
        <v>499803.0</v>
      </c>
      <c r="B4542" s="29" t="s">
        <v>4555</v>
      </c>
      <c r="C4542" s="29" t="s">
        <v>4556</v>
      </c>
      <c r="D4542" s="29" t="s">
        <v>4693</v>
      </c>
      <c r="E4542" s="29" t="s">
        <v>4702</v>
      </c>
      <c r="F4542" s="62"/>
      <c r="G4542" s="20" t="str">
        <f t="shared" si="1"/>
        <v>Sporting Goods, Athletics, General Purpose Athletic Equipment, Gym Mats</v>
      </c>
    </row>
    <row r="4543">
      <c r="A4543" s="29">
        <v>8077.0</v>
      </c>
      <c r="B4543" s="29" t="s">
        <v>4555</v>
      </c>
      <c r="C4543" s="29" t="s">
        <v>4556</v>
      </c>
      <c r="D4543" s="29" t="s">
        <v>4693</v>
      </c>
      <c r="E4543" s="29" t="s">
        <v>4703</v>
      </c>
      <c r="F4543" s="62"/>
      <c r="G4543" s="20" t="str">
        <f t="shared" si="1"/>
        <v>Sporting Goods, Athletics, General Purpose Athletic Equipment, Practice Nets &amp; Screens</v>
      </c>
    </row>
    <row r="4544">
      <c r="A4544" s="29">
        <v>499802.0</v>
      </c>
      <c r="B4544" s="29" t="s">
        <v>4555</v>
      </c>
      <c r="C4544" s="29" t="s">
        <v>4556</v>
      </c>
      <c r="D4544" s="29" t="s">
        <v>4693</v>
      </c>
      <c r="E4544" s="29" t="s">
        <v>4704</v>
      </c>
      <c r="G4544" s="20" t="str">
        <f t="shared" si="1"/>
        <v>Sporting Goods, Athletics, General Purpose Athletic Equipment, Speed &amp; Agility Ladders &amp; Hurdles</v>
      </c>
    </row>
    <row r="4545">
      <c r="A4545" s="29">
        <v>8319.0</v>
      </c>
      <c r="B4545" s="29" t="s">
        <v>4555</v>
      </c>
      <c r="C4545" s="29" t="s">
        <v>4556</v>
      </c>
      <c r="D4545" s="29" t="s">
        <v>4693</v>
      </c>
      <c r="E4545" s="29" t="s">
        <v>4705</v>
      </c>
      <c r="F4545" s="62"/>
      <c r="G4545" s="20" t="str">
        <f t="shared" si="1"/>
        <v>Sporting Goods, Athletics, General Purpose Athletic Equipment, Sports &amp; Agility Cones</v>
      </c>
    </row>
    <row r="4546">
      <c r="A4546" s="29">
        <v>3877.0</v>
      </c>
      <c r="B4546" s="29" t="s">
        <v>4555</v>
      </c>
      <c r="C4546" s="29" t="s">
        <v>4556</v>
      </c>
      <c r="D4546" s="29" t="s">
        <v>4693</v>
      </c>
      <c r="E4546" s="29" t="s">
        <v>4706</v>
      </c>
      <c r="F4546" s="62"/>
      <c r="G4546" s="20" t="str">
        <f t="shared" si="1"/>
        <v>Sporting Goods, Athletics, General Purpose Athletic Equipment, Sports Megaphones</v>
      </c>
    </row>
    <row r="4547">
      <c r="A4547" s="29">
        <v>499801.0</v>
      </c>
      <c r="B4547" s="29" t="s">
        <v>4555</v>
      </c>
      <c r="C4547" s="29" t="s">
        <v>4556</v>
      </c>
      <c r="D4547" s="29" t="s">
        <v>4693</v>
      </c>
      <c r="E4547" s="29" t="s">
        <v>4707</v>
      </c>
      <c r="F4547" s="62"/>
      <c r="G4547" s="20" t="str">
        <f t="shared" si="1"/>
        <v>Sporting Goods, Athletics, General Purpose Athletic Equipment, Sports Mouthguards</v>
      </c>
    </row>
    <row r="4548">
      <c r="A4548" s="29">
        <v>6344.0</v>
      </c>
      <c r="B4548" s="29" t="s">
        <v>4555</v>
      </c>
      <c r="C4548" s="29" t="s">
        <v>4556</v>
      </c>
      <c r="D4548" s="29" t="s">
        <v>4693</v>
      </c>
      <c r="E4548" s="29" t="s">
        <v>4708</v>
      </c>
      <c r="F4548" s="62"/>
      <c r="G4548" s="20" t="str">
        <f t="shared" si="1"/>
        <v>Sporting Goods, Athletics, General Purpose Athletic Equipment, Stadium Seats &amp; Cushions</v>
      </c>
    </row>
    <row r="4549">
      <c r="A4549" s="29">
        <v>1000.0</v>
      </c>
      <c r="B4549" s="29" t="s">
        <v>4555</v>
      </c>
      <c r="C4549" s="29" t="s">
        <v>4556</v>
      </c>
      <c r="D4549" s="29" t="s">
        <v>4709</v>
      </c>
      <c r="E4549" s="62"/>
      <c r="F4549" s="62"/>
      <c r="G4549" s="20" t="str">
        <f t="shared" si="1"/>
        <v>Sporting Goods, Athletics, Gymnastics, </v>
      </c>
    </row>
    <row r="4550">
      <c r="A4550" s="29">
        <v>503763.0</v>
      </c>
      <c r="B4550" s="29" t="s">
        <v>4555</v>
      </c>
      <c r="C4550" s="29" t="s">
        <v>4556</v>
      </c>
      <c r="D4550" s="29" t="s">
        <v>4709</v>
      </c>
      <c r="E4550" s="29" t="s">
        <v>4710</v>
      </c>
      <c r="G4550" s="20" t="str">
        <f t="shared" si="1"/>
        <v>Sporting Goods, Athletics, Gymnastics, Gymnastics Bars &amp; Balance Beams</v>
      </c>
    </row>
    <row r="4551">
      <c r="A4551" s="29">
        <v>3808.0</v>
      </c>
      <c r="B4551" s="29" t="s">
        <v>4555</v>
      </c>
      <c r="C4551" s="29" t="s">
        <v>4556</v>
      </c>
      <c r="D4551" s="29" t="s">
        <v>4709</v>
      </c>
      <c r="E4551" s="29" t="s">
        <v>4711</v>
      </c>
      <c r="F4551" s="62"/>
      <c r="G4551" s="20" t="str">
        <f t="shared" si="1"/>
        <v>Sporting Goods, Athletics, Gymnastics, Gymnastics Protective Gear</v>
      </c>
    </row>
    <row r="4552">
      <c r="A4552" s="29">
        <v>499781.0</v>
      </c>
      <c r="B4552" s="29" t="s">
        <v>4555</v>
      </c>
      <c r="C4552" s="29" t="s">
        <v>4556</v>
      </c>
      <c r="D4552" s="29" t="s">
        <v>4709</v>
      </c>
      <c r="E4552" s="29" t="s">
        <v>4711</v>
      </c>
      <c r="F4552" s="29" t="s">
        <v>4712</v>
      </c>
      <c r="G4552" s="20" t="str">
        <f t="shared" si="1"/>
        <v>Sporting Goods, Athletics, Gymnastics, Gymnastics Protective GearGymnastics Grips</v>
      </c>
    </row>
    <row r="4553">
      <c r="A4553" s="29">
        <v>3774.0</v>
      </c>
      <c r="B4553" s="29" t="s">
        <v>4555</v>
      </c>
      <c r="C4553" s="29" t="s">
        <v>4556</v>
      </c>
      <c r="D4553" s="29" t="s">
        <v>4709</v>
      </c>
      <c r="E4553" s="29" t="s">
        <v>4713</v>
      </c>
      <c r="F4553" s="62"/>
      <c r="G4553" s="20" t="str">
        <f t="shared" si="1"/>
        <v>Sporting Goods, Athletics, Gymnastics, Gymnastics Rings</v>
      </c>
    </row>
    <row r="4554">
      <c r="A4554" s="29">
        <v>3123.0</v>
      </c>
      <c r="B4554" s="29" t="s">
        <v>4555</v>
      </c>
      <c r="C4554" s="29" t="s">
        <v>4556</v>
      </c>
      <c r="D4554" s="29" t="s">
        <v>4709</v>
      </c>
      <c r="E4554" s="29" t="s">
        <v>4714</v>
      </c>
      <c r="F4554" s="62"/>
      <c r="G4554" s="20" t="str">
        <f t="shared" si="1"/>
        <v>Sporting Goods, Athletics, Gymnastics, Gymnastics Springboards</v>
      </c>
    </row>
    <row r="4555">
      <c r="A4555" s="29">
        <v>3182.0</v>
      </c>
      <c r="B4555" s="29" t="s">
        <v>4555</v>
      </c>
      <c r="C4555" s="29" t="s">
        <v>4556</v>
      </c>
      <c r="D4555" s="29" t="s">
        <v>4709</v>
      </c>
      <c r="E4555" s="29" t="s">
        <v>4715</v>
      </c>
      <c r="F4555" s="62"/>
      <c r="G4555" s="20" t="str">
        <f t="shared" si="1"/>
        <v>Sporting Goods, Athletics, Gymnastics, Pommel Horses</v>
      </c>
    </row>
    <row r="4556">
      <c r="A4556" s="29">
        <v>3779.0</v>
      </c>
      <c r="B4556" s="29" t="s">
        <v>4555</v>
      </c>
      <c r="C4556" s="29" t="s">
        <v>4556</v>
      </c>
      <c r="D4556" s="29" t="s">
        <v>4709</v>
      </c>
      <c r="E4556" s="29" t="s">
        <v>4716</v>
      </c>
      <c r="F4556" s="62"/>
      <c r="G4556" s="20" t="str">
        <f t="shared" si="1"/>
        <v>Sporting Goods, Athletics, Gymnastics, Vaulting Horses</v>
      </c>
    </row>
    <row r="4557">
      <c r="A4557" s="29">
        <v>503752.0</v>
      </c>
      <c r="B4557" s="29" t="s">
        <v>4555</v>
      </c>
      <c r="C4557" s="29" t="s">
        <v>4556</v>
      </c>
      <c r="D4557" s="29" t="s">
        <v>4717</v>
      </c>
      <c r="E4557" s="62"/>
      <c r="F4557" s="62"/>
      <c r="G4557" s="20" t="str">
        <f t="shared" si="1"/>
        <v>Sporting Goods, Athletics, Racquetball &amp; Squash, </v>
      </c>
    </row>
    <row r="4558">
      <c r="A4558" s="29">
        <v>503753.0</v>
      </c>
      <c r="B4558" s="29" t="s">
        <v>4555</v>
      </c>
      <c r="C4558" s="29" t="s">
        <v>4556</v>
      </c>
      <c r="D4558" s="29" t="s">
        <v>4717</v>
      </c>
      <c r="E4558" s="29" t="s">
        <v>4718</v>
      </c>
      <c r="F4558" s="62"/>
      <c r="G4558" s="20" t="str">
        <f t="shared" si="1"/>
        <v>Sporting Goods, Athletics, Racquetball &amp; Squash, Racquetball &amp; Squash Balls</v>
      </c>
    </row>
    <row r="4559">
      <c r="A4559" s="29">
        <v>3119.0</v>
      </c>
      <c r="B4559" s="29" t="s">
        <v>4555</v>
      </c>
      <c r="C4559" s="29" t="s">
        <v>4556</v>
      </c>
      <c r="D4559" s="29" t="s">
        <v>4717</v>
      </c>
      <c r="E4559" s="29" t="s">
        <v>4719</v>
      </c>
      <c r="F4559" s="62"/>
      <c r="G4559" s="20" t="str">
        <f t="shared" si="1"/>
        <v>Sporting Goods, Athletics, Racquetball &amp; Squash, Racquetball &amp; Squash Eyewear</v>
      </c>
    </row>
    <row r="4560">
      <c r="A4560" s="29">
        <v>499783.0</v>
      </c>
      <c r="B4560" s="29" t="s">
        <v>4555</v>
      </c>
      <c r="C4560" s="29" t="s">
        <v>4556</v>
      </c>
      <c r="D4560" s="29" t="s">
        <v>4717</v>
      </c>
      <c r="E4560" s="29" t="s">
        <v>4720</v>
      </c>
      <c r="F4560" s="62"/>
      <c r="G4560" s="20" t="str">
        <f t="shared" si="1"/>
        <v>Sporting Goods, Athletics, Racquetball &amp; Squash, Racquetball &amp; Squash Gloves</v>
      </c>
    </row>
    <row r="4561">
      <c r="A4561" s="29">
        <v>3714.0</v>
      </c>
      <c r="B4561" s="29" t="s">
        <v>4555</v>
      </c>
      <c r="C4561" s="29" t="s">
        <v>4556</v>
      </c>
      <c r="D4561" s="29" t="s">
        <v>4717</v>
      </c>
      <c r="E4561" s="29" t="s">
        <v>4721</v>
      </c>
      <c r="F4561" s="62"/>
      <c r="G4561" s="20" t="str">
        <f t="shared" si="1"/>
        <v>Sporting Goods, Athletics, Racquetball &amp; Squash, Racquetball Racquets</v>
      </c>
    </row>
    <row r="4562">
      <c r="A4562" s="29">
        <v>4002.0</v>
      </c>
      <c r="B4562" s="29" t="s">
        <v>4555</v>
      </c>
      <c r="C4562" s="29" t="s">
        <v>4556</v>
      </c>
      <c r="D4562" s="29" t="s">
        <v>4717</v>
      </c>
      <c r="E4562" s="29" t="s">
        <v>4722</v>
      </c>
      <c r="F4562" s="62"/>
      <c r="G4562" s="20" t="str">
        <f t="shared" si="1"/>
        <v>Sporting Goods, Athletics, Racquetball &amp; Squash, Squash Racquets</v>
      </c>
    </row>
    <row r="4563">
      <c r="A4563" s="29">
        <v>7156.0</v>
      </c>
      <c r="B4563" s="29" t="s">
        <v>4555</v>
      </c>
      <c r="C4563" s="29" t="s">
        <v>4556</v>
      </c>
      <c r="D4563" s="29" t="s">
        <v>4723</v>
      </c>
      <c r="E4563" s="62"/>
      <c r="F4563" s="62"/>
      <c r="G4563" s="20" t="str">
        <f t="shared" si="1"/>
        <v>Sporting Goods, Athletics, Rounders, </v>
      </c>
    </row>
    <row r="4564">
      <c r="A4564" s="29">
        <v>7158.0</v>
      </c>
      <c r="B4564" s="29" t="s">
        <v>4555</v>
      </c>
      <c r="C4564" s="29" t="s">
        <v>4556</v>
      </c>
      <c r="D4564" s="29" t="s">
        <v>4723</v>
      </c>
      <c r="E4564" s="29" t="s">
        <v>4724</v>
      </c>
      <c r="F4564" s="62"/>
      <c r="G4564" s="20" t="str">
        <f t="shared" si="1"/>
        <v>Sporting Goods, Athletics, Rounders, Rounders Bats</v>
      </c>
    </row>
    <row r="4565">
      <c r="A4565" s="29">
        <v>7157.0</v>
      </c>
      <c r="B4565" s="29" t="s">
        <v>4555</v>
      </c>
      <c r="C4565" s="29" t="s">
        <v>4556</v>
      </c>
      <c r="D4565" s="29" t="s">
        <v>4723</v>
      </c>
      <c r="E4565" s="29" t="s">
        <v>4725</v>
      </c>
      <c r="F4565" s="62"/>
      <c r="G4565" s="20" t="str">
        <f t="shared" si="1"/>
        <v>Sporting Goods, Athletics, Rounders, Rounders Gloves</v>
      </c>
    </row>
    <row r="4566">
      <c r="A4566" s="29">
        <v>1110.0</v>
      </c>
      <c r="B4566" s="29" t="s">
        <v>4555</v>
      </c>
      <c r="C4566" s="29" t="s">
        <v>4556</v>
      </c>
      <c r="D4566" s="29" t="s">
        <v>4726</v>
      </c>
      <c r="E4566" s="62"/>
      <c r="F4566" s="62"/>
      <c r="G4566" s="20" t="str">
        <f t="shared" si="1"/>
        <v>Sporting Goods, Athletics, Rugby, </v>
      </c>
    </row>
    <row r="4567">
      <c r="A4567" s="29">
        <v>3761.0</v>
      </c>
      <c r="B4567" s="29" t="s">
        <v>4555</v>
      </c>
      <c r="C4567" s="29" t="s">
        <v>4556</v>
      </c>
      <c r="D4567" s="29" t="s">
        <v>4726</v>
      </c>
      <c r="E4567" s="29" t="s">
        <v>4727</v>
      </c>
      <c r="F4567" s="62"/>
      <c r="G4567" s="20" t="str">
        <f t="shared" si="1"/>
        <v>Sporting Goods, Athletics, Rugby, Rugby Balls</v>
      </c>
    </row>
    <row r="4568">
      <c r="A4568" s="29">
        <v>3487.0</v>
      </c>
      <c r="B4568" s="29" t="s">
        <v>4555</v>
      </c>
      <c r="C4568" s="29" t="s">
        <v>4556</v>
      </c>
      <c r="D4568" s="29" t="s">
        <v>4726</v>
      </c>
      <c r="E4568" s="29" t="s">
        <v>4728</v>
      </c>
      <c r="F4568" s="62"/>
      <c r="G4568" s="20" t="str">
        <f t="shared" si="1"/>
        <v>Sporting Goods, Athletics, Rugby, Rugby Gloves</v>
      </c>
    </row>
    <row r="4569">
      <c r="A4569" s="29">
        <v>3881.0</v>
      </c>
      <c r="B4569" s="29" t="s">
        <v>4555</v>
      </c>
      <c r="C4569" s="29" t="s">
        <v>4556</v>
      </c>
      <c r="D4569" s="29" t="s">
        <v>4726</v>
      </c>
      <c r="E4569" s="29" t="s">
        <v>4729</v>
      </c>
      <c r="F4569" s="62"/>
      <c r="G4569" s="20" t="str">
        <f t="shared" si="1"/>
        <v>Sporting Goods, Athletics, Rugby, Rugby Posts</v>
      </c>
    </row>
    <row r="4570">
      <c r="A4570" s="29">
        <v>499782.0</v>
      </c>
      <c r="B4570" s="29" t="s">
        <v>4555</v>
      </c>
      <c r="C4570" s="29" t="s">
        <v>4556</v>
      </c>
      <c r="D4570" s="29" t="s">
        <v>4726</v>
      </c>
      <c r="E4570" s="29" t="s">
        <v>4730</v>
      </c>
      <c r="F4570" s="62"/>
      <c r="G4570" s="20" t="str">
        <f t="shared" si="1"/>
        <v>Sporting Goods, Athletics, Rugby, Rugby Protective Gear</v>
      </c>
    </row>
    <row r="4571">
      <c r="A4571" s="29">
        <v>3077.0</v>
      </c>
      <c r="B4571" s="29" t="s">
        <v>4555</v>
      </c>
      <c r="C4571" s="29" t="s">
        <v>4556</v>
      </c>
      <c r="D4571" s="29" t="s">
        <v>4726</v>
      </c>
      <c r="E4571" s="29" t="s">
        <v>4730</v>
      </c>
      <c r="F4571" s="29" t="s">
        <v>4731</v>
      </c>
      <c r="G4571" s="20" t="str">
        <f t="shared" si="1"/>
        <v>Sporting Goods, Athletics, Rugby, Rugby Protective GearRugby Headgear</v>
      </c>
    </row>
    <row r="4572">
      <c r="A4572" s="29">
        <v>3983.0</v>
      </c>
      <c r="B4572" s="29" t="s">
        <v>4555</v>
      </c>
      <c r="C4572" s="29" t="s">
        <v>4556</v>
      </c>
      <c r="D4572" s="29" t="s">
        <v>4726</v>
      </c>
      <c r="E4572" s="29" t="s">
        <v>4732</v>
      </c>
      <c r="F4572" s="62"/>
      <c r="G4572" s="20" t="str">
        <f t="shared" si="1"/>
        <v>Sporting Goods, Athletics, Rugby, Rugby Training Aids</v>
      </c>
    </row>
    <row r="4573">
      <c r="A4573" s="29">
        <v>1111.0</v>
      </c>
      <c r="B4573" s="29" t="s">
        <v>4555</v>
      </c>
      <c r="C4573" s="29" t="s">
        <v>4556</v>
      </c>
      <c r="D4573" s="29" t="s">
        <v>4733</v>
      </c>
      <c r="E4573" s="62"/>
      <c r="F4573" s="62"/>
      <c r="G4573" s="20" t="str">
        <f t="shared" si="1"/>
        <v>Sporting Goods, Athletics, Soccer, </v>
      </c>
    </row>
    <row r="4574">
      <c r="A4574" s="29">
        <v>1112.0</v>
      </c>
      <c r="B4574" s="29" t="s">
        <v>4555</v>
      </c>
      <c r="C4574" s="29" t="s">
        <v>4556</v>
      </c>
      <c r="D4574" s="29" t="s">
        <v>4733</v>
      </c>
      <c r="E4574" s="29" t="s">
        <v>4734</v>
      </c>
      <c r="F4574" s="62"/>
      <c r="G4574" s="20" t="str">
        <f t="shared" si="1"/>
        <v>Sporting Goods, Athletics, Soccer, Soccer Balls</v>
      </c>
    </row>
    <row r="4575">
      <c r="A4575" s="29">
        <v>3973.0</v>
      </c>
      <c r="B4575" s="29" t="s">
        <v>4555</v>
      </c>
      <c r="C4575" s="29" t="s">
        <v>4556</v>
      </c>
      <c r="D4575" s="29" t="s">
        <v>4733</v>
      </c>
      <c r="E4575" s="29" t="s">
        <v>4735</v>
      </c>
      <c r="F4575" s="62"/>
      <c r="G4575" s="20" t="str">
        <f t="shared" si="1"/>
        <v>Sporting Goods, Athletics, Soccer, Soccer Corner Flags</v>
      </c>
    </row>
    <row r="4576">
      <c r="A4576" s="29">
        <v>3141.0</v>
      </c>
      <c r="B4576" s="29" t="s">
        <v>4555</v>
      </c>
      <c r="C4576" s="29" t="s">
        <v>4556</v>
      </c>
      <c r="D4576" s="29" t="s">
        <v>4733</v>
      </c>
      <c r="E4576" s="29" t="s">
        <v>4736</v>
      </c>
      <c r="F4576" s="62"/>
      <c r="G4576" s="20" t="str">
        <f t="shared" si="1"/>
        <v>Sporting Goods, Athletics, Soccer, Soccer Gloves</v>
      </c>
    </row>
    <row r="4577">
      <c r="A4577" s="29">
        <v>6055.0</v>
      </c>
      <c r="B4577" s="29" t="s">
        <v>4555</v>
      </c>
      <c r="C4577" s="29" t="s">
        <v>4556</v>
      </c>
      <c r="D4577" s="29" t="s">
        <v>4733</v>
      </c>
      <c r="E4577" s="29" t="s">
        <v>4737</v>
      </c>
      <c r="F4577" s="62"/>
      <c r="G4577" s="20" t="str">
        <f t="shared" si="1"/>
        <v>Sporting Goods, Athletics, Soccer, Soccer Goal Accessories</v>
      </c>
    </row>
    <row r="4578">
      <c r="A4578" s="29">
        <v>1113.0</v>
      </c>
      <c r="B4578" s="29" t="s">
        <v>4555</v>
      </c>
      <c r="C4578" s="29" t="s">
        <v>4556</v>
      </c>
      <c r="D4578" s="29" t="s">
        <v>4733</v>
      </c>
      <c r="E4578" s="29" t="s">
        <v>4738</v>
      </c>
      <c r="F4578" s="62"/>
      <c r="G4578" s="20" t="str">
        <f t="shared" si="1"/>
        <v>Sporting Goods, Athletics, Soccer, Soccer Goals</v>
      </c>
    </row>
    <row r="4579">
      <c r="A4579" s="29">
        <v>499784.0</v>
      </c>
      <c r="B4579" s="29" t="s">
        <v>4555</v>
      </c>
      <c r="C4579" s="29" t="s">
        <v>4556</v>
      </c>
      <c r="D4579" s="29" t="s">
        <v>4733</v>
      </c>
      <c r="E4579" s="29" t="s">
        <v>4739</v>
      </c>
      <c r="F4579" s="62"/>
      <c r="G4579" s="20" t="str">
        <f t="shared" si="1"/>
        <v>Sporting Goods, Athletics, Soccer, Soccer Protective Gear</v>
      </c>
    </row>
    <row r="4580">
      <c r="A4580" s="29">
        <v>1114.0</v>
      </c>
      <c r="B4580" s="29" t="s">
        <v>4555</v>
      </c>
      <c r="C4580" s="29" t="s">
        <v>4556</v>
      </c>
      <c r="D4580" s="29" t="s">
        <v>4733</v>
      </c>
      <c r="E4580" s="29" t="s">
        <v>4739</v>
      </c>
      <c r="F4580" s="29" t="s">
        <v>4740</v>
      </c>
      <c r="G4580" s="20" t="str">
        <f t="shared" si="1"/>
        <v>Sporting Goods, Athletics, Soccer, Soccer Protective GearSoccer Shin Guards</v>
      </c>
    </row>
    <row r="4581">
      <c r="A4581" s="29">
        <v>1047.0</v>
      </c>
      <c r="B4581" s="29" t="s">
        <v>4555</v>
      </c>
      <c r="C4581" s="29" t="s">
        <v>4556</v>
      </c>
      <c r="D4581" s="29" t="s">
        <v>4741</v>
      </c>
      <c r="E4581" s="62"/>
      <c r="F4581" s="62"/>
      <c r="G4581" s="20" t="str">
        <f t="shared" si="1"/>
        <v>Sporting Goods, Athletics, Team Handball, </v>
      </c>
    </row>
    <row r="4582">
      <c r="A4582" s="29">
        <v>499785.0</v>
      </c>
      <c r="B4582" s="29" t="s">
        <v>4555</v>
      </c>
      <c r="C4582" s="29" t="s">
        <v>4556</v>
      </c>
      <c r="D4582" s="29" t="s">
        <v>4741</v>
      </c>
      <c r="E4582" s="29" t="s">
        <v>4742</v>
      </c>
      <c r="F4582" s="62"/>
      <c r="G4582" s="20" t="str">
        <f t="shared" si="1"/>
        <v>Sporting Goods, Athletics, Team Handball, Handballs</v>
      </c>
    </row>
    <row r="4583">
      <c r="A4583" s="29">
        <v>1065.0</v>
      </c>
      <c r="B4583" s="29" t="s">
        <v>4555</v>
      </c>
      <c r="C4583" s="29" t="s">
        <v>4556</v>
      </c>
      <c r="D4583" s="29" t="s">
        <v>4743</v>
      </c>
      <c r="E4583" s="62"/>
      <c r="F4583" s="62"/>
      <c r="G4583" s="20" t="str">
        <f t="shared" si="1"/>
        <v>Sporting Goods, Athletics, Tennis, </v>
      </c>
    </row>
    <row r="4584">
      <c r="A4584" s="29">
        <v>3105.0</v>
      </c>
      <c r="B4584" s="29" t="s">
        <v>4555</v>
      </c>
      <c r="C4584" s="29" t="s">
        <v>4556</v>
      </c>
      <c r="D4584" s="29" t="s">
        <v>4743</v>
      </c>
      <c r="E4584" s="29" t="s">
        <v>4744</v>
      </c>
      <c r="F4584" s="62"/>
      <c r="G4584" s="20" t="str">
        <f t="shared" si="1"/>
        <v>Sporting Goods, Athletics, Tennis, Tennis Ball Hoppers &amp; Carts</v>
      </c>
    </row>
    <row r="4585">
      <c r="A4585" s="29">
        <v>3985.0</v>
      </c>
      <c r="B4585" s="29" t="s">
        <v>4555</v>
      </c>
      <c r="C4585" s="29" t="s">
        <v>4556</v>
      </c>
      <c r="D4585" s="29" t="s">
        <v>4743</v>
      </c>
      <c r="E4585" s="29" t="s">
        <v>4745</v>
      </c>
      <c r="F4585" s="62"/>
      <c r="G4585" s="20" t="str">
        <f t="shared" si="1"/>
        <v>Sporting Goods, Athletics, Tennis, Tennis Ball Machines</v>
      </c>
    </row>
    <row r="4586">
      <c r="A4586" s="29">
        <v>3565.0</v>
      </c>
      <c r="B4586" s="29" t="s">
        <v>4555</v>
      </c>
      <c r="C4586" s="29" t="s">
        <v>4556</v>
      </c>
      <c r="D4586" s="29" t="s">
        <v>4743</v>
      </c>
      <c r="E4586" s="29" t="s">
        <v>4746</v>
      </c>
      <c r="F4586" s="62"/>
      <c r="G4586" s="20" t="str">
        <f t="shared" si="1"/>
        <v>Sporting Goods, Athletics, Tennis, Tennis Ball Savers</v>
      </c>
    </row>
    <row r="4587">
      <c r="A4587" s="29">
        <v>3113.0</v>
      </c>
      <c r="B4587" s="29" t="s">
        <v>4555</v>
      </c>
      <c r="C4587" s="29" t="s">
        <v>4556</v>
      </c>
      <c r="D4587" s="29" t="s">
        <v>4743</v>
      </c>
      <c r="E4587" s="29" t="s">
        <v>4747</v>
      </c>
      <c r="F4587" s="62"/>
      <c r="G4587" s="20" t="str">
        <f t="shared" si="1"/>
        <v>Sporting Goods, Athletics, Tennis, Tennis Balls</v>
      </c>
    </row>
    <row r="4588">
      <c r="A4588" s="29">
        <v>3961.0</v>
      </c>
      <c r="B4588" s="29" t="s">
        <v>4555</v>
      </c>
      <c r="C4588" s="29" t="s">
        <v>4556</v>
      </c>
      <c r="D4588" s="29" t="s">
        <v>4743</v>
      </c>
      <c r="E4588" s="29" t="s">
        <v>4748</v>
      </c>
      <c r="F4588" s="62"/>
      <c r="G4588" s="20" t="str">
        <f t="shared" si="1"/>
        <v>Sporting Goods, Athletics, Tennis, Tennis Nets</v>
      </c>
    </row>
    <row r="4589">
      <c r="A4589" s="29">
        <v>3658.0</v>
      </c>
      <c r="B4589" s="29" t="s">
        <v>4555</v>
      </c>
      <c r="C4589" s="29" t="s">
        <v>4556</v>
      </c>
      <c r="D4589" s="29" t="s">
        <v>4743</v>
      </c>
      <c r="E4589" s="29" t="s">
        <v>4749</v>
      </c>
      <c r="F4589" s="62"/>
      <c r="G4589" s="20" t="str">
        <f t="shared" si="1"/>
        <v>Sporting Goods, Athletics, Tennis, Tennis Racquet Accessories</v>
      </c>
    </row>
    <row r="4590">
      <c r="A4590" s="29">
        <v>3352.0</v>
      </c>
      <c r="B4590" s="29" t="s">
        <v>4555</v>
      </c>
      <c r="C4590" s="29" t="s">
        <v>4556</v>
      </c>
      <c r="D4590" s="29" t="s">
        <v>4743</v>
      </c>
      <c r="E4590" s="29" t="s">
        <v>4749</v>
      </c>
      <c r="F4590" s="29" t="s">
        <v>4750</v>
      </c>
      <c r="G4590" s="20" t="str">
        <f t="shared" si="1"/>
        <v>Sporting Goods, Athletics, Tennis, Tennis Racquet AccessoriesRacquet Vibration Dampeners</v>
      </c>
    </row>
    <row r="4591">
      <c r="A4591" s="29">
        <v>3638.0</v>
      </c>
      <c r="B4591" s="29" t="s">
        <v>4555</v>
      </c>
      <c r="C4591" s="29" t="s">
        <v>4556</v>
      </c>
      <c r="D4591" s="29" t="s">
        <v>4743</v>
      </c>
      <c r="E4591" s="29" t="s">
        <v>4749</v>
      </c>
      <c r="F4591" s="29" t="s">
        <v>4751</v>
      </c>
      <c r="G4591" s="20" t="str">
        <f t="shared" si="1"/>
        <v>Sporting Goods, Athletics, Tennis, Tennis Racquet AccessoriesTennis Racquet Bags</v>
      </c>
    </row>
    <row r="4592">
      <c r="A4592" s="29">
        <v>3403.0</v>
      </c>
      <c r="B4592" s="29" t="s">
        <v>4555</v>
      </c>
      <c r="C4592" s="29" t="s">
        <v>4556</v>
      </c>
      <c r="D4592" s="29" t="s">
        <v>4743</v>
      </c>
      <c r="E4592" s="29" t="s">
        <v>4749</v>
      </c>
      <c r="F4592" s="29" t="s">
        <v>4752</v>
      </c>
      <c r="G4592" s="20" t="str">
        <f t="shared" si="1"/>
        <v>Sporting Goods, Athletics, Tennis, Tennis Racquet AccessoriesTennis Racquet Grips &amp; Tape</v>
      </c>
    </row>
    <row r="4593">
      <c r="A4593" s="29">
        <v>3295.0</v>
      </c>
      <c r="B4593" s="29" t="s">
        <v>4555</v>
      </c>
      <c r="C4593" s="29" t="s">
        <v>4556</v>
      </c>
      <c r="D4593" s="29" t="s">
        <v>4743</v>
      </c>
      <c r="E4593" s="29" t="s">
        <v>4749</v>
      </c>
      <c r="F4593" s="29" t="s">
        <v>4753</v>
      </c>
      <c r="G4593" s="20" t="str">
        <f t="shared" si="1"/>
        <v>Sporting Goods, Athletics, Tennis, Tennis Racquet AccessoriesTennis Racquet Grommets</v>
      </c>
    </row>
    <row r="4594">
      <c r="A4594" s="29">
        <v>3922.0</v>
      </c>
      <c r="B4594" s="29" t="s">
        <v>4555</v>
      </c>
      <c r="C4594" s="29" t="s">
        <v>4556</v>
      </c>
      <c r="D4594" s="29" t="s">
        <v>4743</v>
      </c>
      <c r="E4594" s="29" t="s">
        <v>4749</v>
      </c>
      <c r="F4594" s="29" t="s">
        <v>4754</v>
      </c>
      <c r="G4594" s="20" t="str">
        <f t="shared" si="1"/>
        <v>Sporting Goods, Athletics, Tennis, Tennis Racquet AccessoriesTennis Racquet String</v>
      </c>
    </row>
    <row r="4595">
      <c r="A4595" s="29">
        <v>3906.0</v>
      </c>
      <c r="B4595" s="29" t="s">
        <v>4555</v>
      </c>
      <c r="C4595" s="29" t="s">
        <v>4556</v>
      </c>
      <c r="D4595" s="29" t="s">
        <v>4743</v>
      </c>
      <c r="E4595" s="29" t="s">
        <v>4755</v>
      </c>
      <c r="F4595" s="62"/>
      <c r="G4595" s="20" t="str">
        <f t="shared" si="1"/>
        <v>Sporting Goods, Athletics, Tennis, Tennis Racquets</v>
      </c>
    </row>
    <row r="4596">
      <c r="A4596" s="29">
        <v>1060.0</v>
      </c>
      <c r="B4596" s="29" t="s">
        <v>4555</v>
      </c>
      <c r="C4596" s="29" t="s">
        <v>4556</v>
      </c>
      <c r="D4596" s="29" t="s">
        <v>4756</v>
      </c>
      <c r="E4596" s="62"/>
      <c r="F4596" s="62"/>
      <c r="G4596" s="20" t="str">
        <f t="shared" si="1"/>
        <v>Sporting Goods, Athletics, Track &amp; Field, </v>
      </c>
    </row>
    <row r="4597">
      <c r="A4597" s="29">
        <v>3478.0</v>
      </c>
      <c r="B4597" s="29" t="s">
        <v>4555</v>
      </c>
      <c r="C4597" s="29" t="s">
        <v>4556</v>
      </c>
      <c r="D4597" s="29" t="s">
        <v>4756</v>
      </c>
      <c r="E4597" s="29" t="s">
        <v>4757</v>
      </c>
      <c r="F4597" s="62"/>
      <c r="G4597" s="20" t="str">
        <f t="shared" si="1"/>
        <v>Sporting Goods, Athletics, Track &amp; Field, Discus</v>
      </c>
    </row>
    <row r="4598">
      <c r="A4598" s="29">
        <v>3445.0</v>
      </c>
      <c r="B4598" s="29" t="s">
        <v>4555</v>
      </c>
      <c r="C4598" s="29" t="s">
        <v>4556</v>
      </c>
      <c r="D4598" s="29" t="s">
        <v>4756</v>
      </c>
      <c r="E4598" s="29" t="s">
        <v>4758</v>
      </c>
      <c r="F4598" s="62"/>
      <c r="G4598" s="20" t="str">
        <f t="shared" si="1"/>
        <v>Sporting Goods, Athletics, Track &amp; Field, High Jump Crossbars</v>
      </c>
    </row>
    <row r="4599">
      <c r="A4599" s="29">
        <v>3864.0</v>
      </c>
      <c r="B4599" s="29" t="s">
        <v>4555</v>
      </c>
      <c r="C4599" s="29" t="s">
        <v>4556</v>
      </c>
      <c r="D4599" s="29" t="s">
        <v>4756</v>
      </c>
      <c r="E4599" s="29" t="s">
        <v>4759</v>
      </c>
      <c r="F4599" s="62"/>
      <c r="G4599" s="20" t="str">
        <f t="shared" si="1"/>
        <v>Sporting Goods, Athletics, Track &amp; Field, High Jump Pits</v>
      </c>
    </row>
    <row r="4600">
      <c r="A4600" s="29">
        <v>3389.0</v>
      </c>
      <c r="B4600" s="29" t="s">
        <v>4555</v>
      </c>
      <c r="C4600" s="29" t="s">
        <v>4556</v>
      </c>
      <c r="D4600" s="29" t="s">
        <v>4756</v>
      </c>
      <c r="E4600" s="29" t="s">
        <v>4760</v>
      </c>
      <c r="F4600" s="62"/>
      <c r="G4600" s="20" t="str">
        <f t="shared" si="1"/>
        <v>Sporting Goods, Athletics, Track &amp; Field, Javelins</v>
      </c>
    </row>
    <row r="4601">
      <c r="A4601" s="29">
        <v>3987.0</v>
      </c>
      <c r="B4601" s="29" t="s">
        <v>4555</v>
      </c>
      <c r="C4601" s="29" t="s">
        <v>4556</v>
      </c>
      <c r="D4601" s="29" t="s">
        <v>4756</v>
      </c>
      <c r="E4601" s="29" t="s">
        <v>4761</v>
      </c>
      <c r="F4601" s="62"/>
      <c r="G4601" s="20" t="str">
        <f t="shared" si="1"/>
        <v>Sporting Goods, Athletics, Track &amp; Field, Pole Vault Pits</v>
      </c>
    </row>
    <row r="4602">
      <c r="A4602" s="29">
        <v>3878.0</v>
      </c>
      <c r="B4602" s="29" t="s">
        <v>4555</v>
      </c>
      <c r="C4602" s="29" t="s">
        <v>4556</v>
      </c>
      <c r="D4602" s="29" t="s">
        <v>4756</v>
      </c>
      <c r="E4602" s="29" t="s">
        <v>4762</v>
      </c>
      <c r="F4602" s="62"/>
      <c r="G4602" s="20" t="str">
        <f t="shared" si="1"/>
        <v>Sporting Goods, Athletics, Track &amp; Field, Relay Batons</v>
      </c>
    </row>
    <row r="4603">
      <c r="A4603" s="29">
        <v>3770.0</v>
      </c>
      <c r="B4603" s="29" t="s">
        <v>4555</v>
      </c>
      <c r="C4603" s="29" t="s">
        <v>4556</v>
      </c>
      <c r="D4603" s="29" t="s">
        <v>4756</v>
      </c>
      <c r="E4603" s="29" t="s">
        <v>4763</v>
      </c>
      <c r="F4603" s="62"/>
      <c r="G4603" s="20" t="str">
        <f t="shared" si="1"/>
        <v>Sporting Goods, Athletics, Track &amp; Field, Shot Puts</v>
      </c>
    </row>
    <row r="4604">
      <c r="A4604" s="29">
        <v>3997.0</v>
      </c>
      <c r="B4604" s="29" t="s">
        <v>4555</v>
      </c>
      <c r="C4604" s="29" t="s">
        <v>4556</v>
      </c>
      <c r="D4604" s="29" t="s">
        <v>4756</v>
      </c>
      <c r="E4604" s="29" t="s">
        <v>4764</v>
      </c>
      <c r="F4604" s="62"/>
      <c r="G4604" s="20" t="str">
        <f t="shared" si="1"/>
        <v>Sporting Goods, Athletics, Track &amp; Field, Starter Pistols</v>
      </c>
    </row>
    <row r="4605">
      <c r="A4605" s="29">
        <v>3880.0</v>
      </c>
      <c r="B4605" s="29" t="s">
        <v>4555</v>
      </c>
      <c r="C4605" s="29" t="s">
        <v>4556</v>
      </c>
      <c r="D4605" s="29" t="s">
        <v>4756</v>
      </c>
      <c r="E4605" s="29" t="s">
        <v>4765</v>
      </c>
      <c r="F4605" s="62"/>
      <c r="G4605" s="20" t="str">
        <f t="shared" si="1"/>
        <v>Sporting Goods, Athletics, Track &amp; Field, Throwing Hammers</v>
      </c>
    </row>
    <row r="4606">
      <c r="A4606" s="29">
        <v>3149.0</v>
      </c>
      <c r="B4606" s="29" t="s">
        <v>4555</v>
      </c>
      <c r="C4606" s="29" t="s">
        <v>4556</v>
      </c>
      <c r="D4606" s="29" t="s">
        <v>4756</v>
      </c>
      <c r="E4606" s="29" t="s">
        <v>4766</v>
      </c>
      <c r="F4606" s="62"/>
      <c r="G4606" s="20" t="str">
        <f t="shared" si="1"/>
        <v>Sporting Goods, Athletics, Track &amp; Field, Track Hurdles</v>
      </c>
    </row>
    <row r="4607">
      <c r="A4607" s="29">
        <v>499786.0</v>
      </c>
      <c r="B4607" s="29" t="s">
        <v>4555</v>
      </c>
      <c r="C4607" s="29" t="s">
        <v>4556</v>
      </c>
      <c r="D4607" s="29" t="s">
        <v>4756</v>
      </c>
      <c r="E4607" s="29" t="s">
        <v>4767</v>
      </c>
      <c r="F4607" s="62"/>
      <c r="G4607" s="20" t="str">
        <f t="shared" si="1"/>
        <v>Sporting Goods, Athletics, Track &amp; Field, Track Starting Blocks</v>
      </c>
    </row>
    <row r="4608">
      <c r="A4608" s="29">
        <v>4020.0</v>
      </c>
      <c r="B4608" s="29" t="s">
        <v>4555</v>
      </c>
      <c r="C4608" s="29" t="s">
        <v>4556</v>
      </c>
      <c r="D4608" s="29" t="s">
        <v>4756</v>
      </c>
      <c r="E4608" s="29" t="s">
        <v>4768</v>
      </c>
      <c r="F4608" s="62"/>
      <c r="G4608" s="20" t="str">
        <f t="shared" si="1"/>
        <v>Sporting Goods, Athletics, Track &amp; Field, Vaulting Poles</v>
      </c>
    </row>
    <row r="4609">
      <c r="A4609" s="29">
        <v>1115.0</v>
      </c>
      <c r="B4609" s="29" t="s">
        <v>4555</v>
      </c>
      <c r="C4609" s="29" t="s">
        <v>4556</v>
      </c>
      <c r="D4609" s="29" t="s">
        <v>4769</v>
      </c>
      <c r="E4609" s="62"/>
      <c r="F4609" s="62"/>
      <c r="G4609" s="20" t="str">
        <f t="shared" si="1"/>
        <v>Sporting Goods, Athletics, Volleyball, </v>
      </c>
    </row>
    <row r="4610">
      <c r="A4610" s="29">
        <v>1117.0</v>
      </c>
      <c r="B4610" s="29" t="s">
        <v>4555</v>
      </c>
      <c r="C4610" s="29" t="s">
        <v>4556</v>
      </c>
      <c r="D4610" s="29" t="s">
        <v>4769</v>
      </c>
      <c r="E4610" s="29" t="s">
        <v>4770</v>
      </c>
      <c r="F4610" s="62"/>
      <c r="G4610" s="20" t="str">
        <f t="shared" si="1"/>
        <v>Sporting Goods, Athletics, Volleyball, Volleyball Nets</v>
      </c>
    </row>
    <row r="4611">
      <c r="A4611" s="29">
        <v>499788.0</v>
      </c>
      <c r="B4611" s="29" t="s">
        <v>4555</v>
      </c>
      <c r="C4611" s="29" t="s">
        <v>4556</v>
      </c>
      <c r="D4611" s="29" t="s">
        <v>4769</v>
      </c>
      <c r="E4611" s="29" t="s">
        <v>4771</v>
      </c>
      <c r="F4611" s="62"/>
      <c r="G4611" s="20" t="str">
        <f t="shared" si="1"/>
        <v>Sporting Goods, Athletics, Volleyball, Volleyball Protective Gear</v>
      </c>
    </row>
    <row r="4612">
      <c r="A4612" s="29">
        <v>499789.0</v>
      </c>
      <c r="B4612" s="29" t="s">
        <v>4555</v>
      </c>
      <c r="C4612" s="29" t="s">
        <v>4556</v>
      </c>
      <c r="D4612" s="29" t="s">
        <v>4769</v>
      </c>
      <c r="E4612" s="29" t="s">
        <v>4771</v>
      </c>
      <c r="F4612" s="29" t="s">
        <v>4772</v>
      </c>
      <c r="G4612" s="20" t="str">
        <f t="shared" si="1"/>
        <v>Sporting Goods, Athletics, Volleyball, Volleyball Protective GearVolleyball Knee Pads</v>
      </c>
    </row>
    <row r="4613">
      <c r="A4613" s="29">
        <v>499787.0</v>
      </c>
      <c r="B4613" s="29" t="s">
        <v>4555</v>
      </c>
      <c r="C4613" s="29" t="s">
        <v>4556</v>
      </c>
      <c r="D4613" s="29" t="s">
        <v>4769</v>
      </c>
      <c r="E4613" s="29" t="s">
        <v>4773</v>
      </c>
      <c r="F4613" s="62"/>
      <c r="G4613" s="20" t="str">
        <f t="shared" si="1"/>
        <v>Sporting Goods, Athletics, Volleyball, Volleyball Training Aids</v>
      </c>
    </row>
    <row r="4614">
      <c r="A4614" s="29">
        <v>1116.0</v>
      </c>
      <c r="B4614" s="29" t="s">
        <v>4555</v>
      </c>
      <c r="C4614" s="29" t="s">
        <v>4556</v>
      </c>
      <c r="D4614" s="29" t="s">
        <v>4769</v>
      </c>
      <c r="E4614" s="29" t="s">
        <v>4774</v>
      </c>
      <c r="F4614" s="62"/>
      <c r="G4614" s="20" t="str">
        <f t="shared" si="1"/>
        <v>Sporting Goods, Athletics, Volleyball, Volleyballs</v>
      </c>
    </row>
    <row r="4615">
      <c r="A4615" s="29">
        <v>499861.0</v>
      </c>
      <c r="B4615" s="29" t="s">
        <v>4555</v>
      </c>
      <c r="C4615" s="29" t="s">
        <v>4556</v>
      </c>
      <c r="D4615" s="29" t="s">
        <v>4775</v>
      </c>
      <c r="E4615" s="62"/>
      <c r="F4615" s="62"/>
      <c r="G4615" s="20" t="str">
        <f t="shared" si="1"/>
        <v>Sporting Goods, Athletics, Wallyball Equipment, </v>
      </c>
    </row>
    <row r="4616">
      <c r="A4616" s="29">
        <v>1145.0</v>
      </c>
      <c r="B4616" s="29" t="s">
        <v>4555</v>
      </c>
      <c r="C4616" s="29" t="s">
        <v>4556</v>
      </c>
      <c r="D4616" s="29" t="s">
        <v>4776</v>
      </c>
      <c r="E4616" s="62"/>
      <c r="F4616" s="62"/>
      <c r="G4616" s="20" t="str">
        <f t="shared" si="1"/>
        <v>Sporting Goods, Athletics, Water Polo, </v>
      </c>
    </row>
    <row r="4617">
      <c r="A4617" s="29">
        <v>3794.0</v>
      </c>
      <c r="B4617" s="29" t="s">
        <v>4555</v>
      </c>
      <c r="C4617" s="29" t="s">
        <v>4556</v>
      </c>
      <c r="D4617" s="29" t="s">
        <v>4776</v>
      </c>
      <c r="E4617" s="29" t="s">
        <v>4777</v>
      </c>
      <c r="F4617" s="62"/>
      <c r="G4617" s="20" t="str">
        <f t="shared" si="1"/>
        <v>Sporting Goods, Athletics, Water Polo, Water Polo Balls</v>
      </c>
    </row>
    <row r="4618">
      <c r="A4618" s="29">
        <v>3575.0</v>
      </c>
      <c r="B4618" s="29" t="s">
        <v>4555</v>
      </c>
      <c r="C4618" s="29" t="s">
        <v>4556</v>
      </c>
      <c r="D4618" s="29" t="s">
        <v>4776</v>
      </c>
      <c r="E4618" s="29" t="s">
        <v>4778</v>
      </c>
      <c r="F4618" s="62"/>
      <c r="G4618" s="20" t="str">
        <f t="shared" si="1"/>
        <v>Sporting Goods, Athletics, Water Polo, Water Polo Caps</v>
      </c>
    </row>
    <row r="4619">
      <c r="A4619" s="29">
        <v>3678.0</v>
      </c>
      <c r="B4619" s="29" t="s">
        <v>4555</v>
      </c>
      <c r="C4619" s="29" t="s">
        <v>4556</v>
      </c>
      <c r="D4619" s="29" t="s">
        <v>4776</v>
      </c>
      <c r="E4619" s="29" t="s">
        <v>4779</v>
      </c>
      <c r="F4619" s="62"/>
      <c r="G4619" s="20" t="str">
        <f t="shared" si="1"/>
        <v>Sporting Goods, Athletics, Water Polo, Water Polo Goals</v>
      </c>
    </row>
    <row r="4620">
      <c r="A4620" s="29">
        <v>1068.0</v>
      </c>
      <c r="B4620" s="29" t="s">
        <v>4555</v>
      </c>
      <c r="C4620" s="29" t="s">
        <v>4556</v>
      </c>
      <c r="D4620" s="29" t="s">
        <v>4780</v>
      </c>
      <c r="E4620" s="62"/>
      <c r="F4620" s="62"/>
      <c r="G4620" s="20" t="str">
        <f t="shared" si="1"/>
        <v>Sporting Goods, Athletics, Wrestling, </v>
      </c>
    </row>
    <row r="4621">
      <c r="A4621" s="29">
        <v>3057.0</v>
      </c>
      <c r="B4621" s="29" t="s">
        <v>4555</v>
      </c>
      <c r="C4621" s="29" t="s">
        <v>4556</v>
      </c>
      <c r="D4621" s="29" t="s">
        <v>4780</v>
      </c>
      <c r="E4621" s="29" t="s">
        <v>4781</v>
      </c>
      <c r="F4621" s="62"/>
      <c r="G4621" s="20" t="str">
        <f t="shared" si="1"/>
        <v>Sporting Goods, Athletics, Wrestling, Wrestling Protective Gear</v>
      </c>
    </row>
    <row r="4622">
      <c r="A4622" s="29">
        <v>499791.0</v>
      </c>
      <c r="B4622" s="29" t="s">
        <v>4555</v>
      </c>
      <c r="C4622" s="29" t="s">
        <v>4556</v>
      </c>
      <c r="D4622" s="29" t="s">
        <v>4780</v>
      </c>
      <c r="E4622" s="29" t="s">
        <v>4781</v>
      </c>
      <c r="F4622" s="29" t="s">
        <v>4782</v>
      </c>
      <c r="G4622" s="20" t="str">
        <f t="shared" si="1"/>
        <v>Sporting Goods, Athletics, Wrestling, Wrestling Protective GearWrestling Headgear</v>
      </c>
    </row>
    <row r="4623">
      <c r="A4623" s="29">
        <v>499790.0</v>
      </c>
      <c r="B4623" s="29" t="s">
        <v>4555</v>
      </c>
      <c r="C4623" s="29" t="s">
        <v>4556</v>
      </c>
      <c r="D4623" s="29" t="s">
        <v>4780</v>
      </c>
      <c r="E4623" s="29" t="s">
        <v>4781</v>
      </c>
      <c r="F4623" s="29" t="s">
        <v>4783</v>
      </c>
      <c r="G4623" s="20" t="str">
        <f t="shared" si="1"/>
        <v>Sporting Goods, Athletics, Wrestling, Wrestling Protective GearWrestling Knee Pads</v>
      </c>
    </row>
    <row r="4624">
      <c r="A4624" s="29">
        <v>990.0</v>
      </c>
      <c r="B4624" s="29" t="s">
        <v>4555</v>
      </c>
      <c r="C4624" s="29" t="s">
        <v>4784</v>
      </c>
      <c r="D4624" s="62"/>
      <c r="E4624" s="62"/>
      <c r="F4624" s="62"/>
      <c r="G4624" s="20" t="str">
        <f t="shared" si="1"/>
        <v>Sporting Goods, Exercise &amp; Fitness, , </v>
      </c>
    </row>
    <row r="4625">
      <c r="A4625" s="29">
        <v>499797.0</v>
      </c>
      <c r="B4625" s="29" t="s">
        <v>4555</v>
      </c>
      <c r="C4625" s="29" t="s">
        <v>4784</v>
      </c>
      <c r="D4625" s="29" t="s">
        <v>4785</v>
      </c>
      <c r="E4625" s="62"/>
      <c r="F4625" s="62"/>
      <c r="G4625" s="20" t="str">
        <f t="shared" si="1"/>
        <v>Sporting Goods, Exercise &amp; Fitness, Ab Wheels &amp; Rollers, </v>
      </c>
    </row>
    <row r="4626">
      <c r="A4626" s="29">
        <v>237166.0</v>
      </c>
      <c r="B4626" s="29" t="s">
        <v>4555</v>
      </c>
      <c r="C4626" s="29" t="s">
        <v>4784</v>
      </c>
      <c r="D4626" s="29" t="s">
        <v>4786</v>
      </c>
      <c r="E4626" s="62"/>
      <c r="F4626" s="62"/>
      <c r="G4626" s="20" t="str">
        <f t="shared" si="1"/>
        <v>Sporting Goods, Exercise &amp; Fitness, Aerobic Steps, </v>
      </c>
    </row>
    <row r="4627">
      <c r="A4627" s="29">
        <v>499796.0</v>
      </c>
      <c r="B4627" s="29" t="s">
        <v>4555</v>
      </c>
      <c r="C4627" s="29" t="s">
        <v>4784</v>
      </c>
      <c r="D4627" s="29" t="s">
        <v>4787</v>
      </c>
      <c r="E4627" s="62"/>
      <c r="F4627" s="62"/>
      <c r="G4627" s="20" t="str">
        <f t="shared" si="1"/>
        <v>Sporting Goods, Exercise &amp; Fitness, Balance Trainers, </v>
      </c>
    </row>
    <row r="4628">
      <c r="A4628" s="29">
        <v>499792.0</v>
      </c>
      <c r="B4628" s="29" t="s">
        <v>4555</v>
      </c>
      <c r="C4628" s="29" t="s">
        <v>4784</v>
      </c>
      <c r="D4628" s="29" t="s">
        <v>4788</v>
      </c>
      <c r="E4628" s="62"/>
      <c r="F4628" s="62"/>
      <c r="G4628" s="20" t="str">
        <f t="shared" si="1"/>
        <v>Sporting Goods, Exercise &amp; Fitness, Cardio, </v>
      </c>
    </row>
    <row r="4629">
      <c r="A4629" s="29">
        <v>4598.0</v>
      </c>
      <c r="B4629" s="29" t="s">
        <v>4555</v>
      </c>
      <c r="C4629" s="29" t="s">
        <v>4784</v>
      </c>
      <c r="D4629" s="29" t="s">
        <v>4788</v>
      </c>
      <c r="E4629" s="29" t="s">
        <v>4789</v>
      </c>
      <c r="F4629" s="62"/>
      <c r="G4629" s="20" t="str">
        <f t="shared" si="1"/>
        <v>Sporting Goods, Exercise &amp; Fitness, Cardio, Cardio Machine Accessories</v>
      </c>
    </row>
    <row r="4630">
      <c r="A4630" s="29">
        <v>499703.0</v>
      </c>
      <c r="B4630" s="29" t="s">
        <v>4555</v>
      </c>
      <c r="C4630" s="29" t="s">
        <v>4784</v>
      </c>
      <c r="D4630" s="29" t="s">
        <v>4788</v>
      </c>
      <c r="E4630" s="29" t="s">
        <v>4789</v>
      </c>
      <c r="F4630" s="29" t="s">
        <v>4790</v>
      </c>
      <c r="G4630" s="20" t="str">
        <f t="shared" si="1"/>
        <v>Sporting Goods, Exercise &amp; Fitness, Cardio, Cardio Machine AccessoriesElliptical Trainer Accessories</v>
      </c>
    </row>
    <row r="4631">
      <c r="A4631" s="29">
        <v>499702.0</v>
      </c>
      <c r="B4631" s="29" t="s">
        <v>4555</v>
      </c>
      <c r="C4631" s="29" t="s">
        <v>4784</v>
      </c>
      <c r="D4631" s="29" t="s">
        <v>4788</v>
      </c>
      <c r="E4631" s="29" t="s">
        <v>4789</v>
      </c>
      <c r="F4631" s="29" t="s">
        <v>4791</v>
      </c>
      <c r="G4631" s="20" t="str">
        <f t="shared" si="1"/>
        <v>Sporting Goods, Exercise &amp; Fitness, Cardio, Cardio Machine AccessoriesExercise Bike Accessories</v>
      </c>
    </row>
    <row r="4632">
      <c r="A4632" s="29">
        <v>499701.0</v>
      </c>
      <c r="B4632" s="29" t="s">
        <v>4555</v>
      </c>
      <c r="C4632" s="29" t="s">
        <v>4784</v>
      </c>
      <c r="D4632" s="29" t="s">
        <v>4788</v>
      </c>
      <c r="E4632" s="29" t="s">
        <v>4789</v>
      </c>
      <c r="F4632" s="29" t="s">
        <v>4792</v>
      </c>
      <c r="G4632" s="20" t="str">
        <f t="shared" si="1"/>
        <v>Sporting Goods, Exercise &amp; Fitness, Cardio, Cardio Machine AccessoriesRowing Machine Accessories</v>
      </c>
    </row>
    <row r="4633">
      <c r="A4633" s="29">
        <v>499700.0</v>
      </c>
      <c r="B4633" s="29" t="s">
        <v>4555</v>
      </c>
      <c r="C4633" s="29" t="s">
        <v>4784</v>
      </c>
      <c r="D4633" s="29" t="s">
        <v>4788</v>
      </c>
      <c r="E4633" s="29" t="s">
        <v>4789</v>
      </c>
      <c r="F4633" s="29" t="s">
        <v>4793</v>
      </c>
      <c r="G4633" s="20" t="str">
        <f t="shared" si="1"/>
        <v>Sporting Goods, Exercise &amp; Fitness, Cardio, Cardio Machine AccessoriesStair Climber &amp; Stepper Accessories</v>
      </c>
    </row>
    <row r="4634">
      <c r="A4634" s="29">
        <v>499699.0</v>
      </c>
      <c r="B4634" s="29" t="s">
        <v>4555</v>
      </c>
      <c r="C4634" s="29" t="s">
        <v>4784</v>
      </c>
      <c r="D4634" s="29" t="s">
        <v>4788</v>
      </c>
      <c r="E4634" s="29" t="s">
        <v>4789</v>
      </c>
      <c r="F4634" s="29" t="s">
        <v>4794</v>
      </c>
      <c r="G4634" s="20" t="str">
        <f t="shared" si="1"/>
        <v>Sporting Goods, Exercise &amp; Fitness, Cardio, Cardio Machine AccessoriesTreadmill Accessories</v>
      </c>
    </row>
    <row r="4635">
      <c r="A4635" s="29">
        <v>4589.0</v>
      </c>
      <c r="B4635" s="29" t="s">
        <v>4555</v>
      </c>
      <c r="C4635" s="29" t="s">
        <v>4784</v>
      </c>
      <c r="D4635" s="29" t="s">
        <v>4788</v>
      </c>
      <c r="E4635" s="29" t="s">
        <v>4795</v>
      </c>
      <c r="F4635" s="62"/>
      <c r="G4635" s="20" t="str">
        <f t="shared" si="1"/>
        <v>Sporting Goods, Exercise &amp; Fitness, Cardio, Cardio Machines</v>
      </c>
    </row>
    <row r="4636">
      <c r="A4636" s="29">
        <v>992.0</v>
      </c>
      <c r="B4636" s="29" t="s">
        <v>4555</v>
      </c>
      <c r="C4636" s="29" t="s">
        <v>4784</v>
      </c>
      <c r="D4636" s="29" t="s">
        <v>4788</v>
      </c>
      <c r="E4636" s="29" t="s">
        <v>4795</v>
      </c>
      <c r="F4636" s="29" t="s">
        <v>4796</v>
      </c>
      <c r="G4636" s="20" t="str">
        <f t="shared" si="1"/>
        <v>Sporting Goods, Exercise &amp; Fitness, Cardio, Cardio MachinesElliptical Trainers</v>
      </c>
    </row>
    <row r="4637">
      <c r="A4637" s="29">
        <v>994.0</v>
      </c>
      <c r="B4637" s="29" t="s">
        <v>4555</v>
      </c>
      <c r="C4637" s="29" t="s">
        <v>4784</v>
      </c>
      <c r="D4637" s="29" t="s">
        <v>4788</v>
      </c>
      <c r="E4637" s="29" t="s">
        <v>4795</v>
      </c>
      <c r="F4637" s="29" t="s">
        <v>4797</v>
      </c>
      <c r="G4637" s="20" t="str">
        <f t="shared" si="1"/>
        <v>Sporting Goods, Exercise &amp; Fitness, Cardio, Cardio MachinesExercise Bikes</v>
      </c>
    </row>
    <row r="4638">
      <c r="A4638" s="29">
        <v>995.0</v>
      </c>
      <c r="B4638" s="29" t="s">
        <v>4555</v>
      </c>
      <c r="C4638" s="29" t="s">
        <v>4784</v>
      </c>
      <c r="D4638" s="29" t="s">
        <v>4788</v>
      </c>
      <c r="E4638" s="29" t="s">
        <v>4795</v>
      </c>
      <c r="F4638" s="29" t="s">
        <v>4798</v>
      </c>
      <c r="G4638" s="20" t="str">
        <f t="shared" si="1"/>
        <v>Sporting Goods, Exercise &amp; Fitness, Cardio, Cardio MachinesRowing Machines</v>
      </c>
    </row>
    <row r="4639">
      <c r="A4639" s="29">
        <v>996.0</v>
      </c>
      <c r="B4639" s="29" t="s">
        <v>4555</v>
      </c>
      <c r="C4639" s="29" t="s">
        <v>4784</v>
      </c>
      <c r="D4639" s="29" t="s">
        <v>4788</v>
      </c>
      <c r="E4639" s="29" t="s">
        <v>4795</v>
      </c>
      <c r="F4639" s="29" t="s">
        <v>4799</v>
      </c>
      <c r="G4639" s="20" t="str">
        <f t="shared" si="1"/>
        <v>Sporting Goods, Exercise &amp; Fitness, Cardio, Cardio MachinesStair Climbers &amp; Steppers</v>
      </c>
    </row>
    <row r="4640">
      <c r="A4640" s="29">
        <v>543610.0</v>
      </c>
      <c r="B4640" s="29" t="s">
        <v>4555</v>
      </c>
      <c r="C4640" s="29" t="s">
        <v>4784</v>
      </c>
      <c r="D4640" s="29" t="s">
        <v>4788</v>
      </c>
      <c r="E4640" s="29" t="s">
        <v>4795</v>
      </c>
      <c r="F4640" s="29" t="s">
        <v>4799</v>
      </c>
      <c r="G4640" s="20" t="str">
        <f t="shared" si="1"/>
        <v>Sporting Goods, Exercise &amp; Fitness, Cardio, Cardio MachinesStair Climbers &amp; Steppers</v>
      </c>
    </row>
    <row r="4641">
      <c r="A4641" s="29">
        <v>543611.0</v>
      </c>
      <c r="B4641" s="29" t="s">
        <v>4555</v>
      </c>
      <c r="C4641" s="29" t="s">
        <v>4784</v>
      </c>
      <c r="D4641" s="29" t="s">
        <v>4788</v>
      </c>
      <c r="E4641" s="29" t="s">
        <v>4795</v>
      </c>
      <c r="F4641" s="29" t="s">
        <v>4799</v>
      </c>
      <c r="G4641" s="20" t="str">
        <f t="shared" si="1"/>
        <v>Sporting Goods, Exercise &amp; Fitness, Cardio, Cardio MachinesStair Climbers &amp; Steppers</v>
      </c>
    </row>
    <row r="4642">
      <c r="A4642" s="29">
        <v>997.0</v>
      </c>
      <c r="B4642" s="29" t="s">
        <v>4555</v>
      </c>
      <c r="C4642" s="29" t="s">
        <v>4784</v>
      </c>
      <c r="D4642" s="29" t="s">
        <v>4788</v>
      </c>
      <c r="E4642" s="29" t="s">
        <v>4795</v>
      </c>
      <c r="F4642" s="29" t="s">
        <v>4800</v>
      </c>
      <c r="G4642" s="20" t="str">
        <f t="shared" si="1"/>
        <v>Sporting Goods, Exercise &amp; Fitness, Cardio, Cardio MachinesTreadmills</v>
      </c>
    </row>
    <row r="4643">
      <c r="A4643" s="29">
        <v>2614.0</v>
      </c>
      <c r="B4643" s="29" t="s">
        <v>4555</v>
      </c>
      <c r="C4643" s="29" t="s">
        <v>4784</v>
      </c>
      <c r="D4643" s="29" t="s">
        <v>4788</v>
      </c>
      <c r="E4643" s="29" t="s">
        <v>4801</v>
      </c>
      <c r="F4643" s="62"/>
      <c r="G4643" s="20" t="str">
        <f t="shared" si="1"/>
        <v>Sporting Goods, Exercise &amp; Fitness, Cardio, Jump Ropes</v>
      </c>
    </row>
    <row r="4644">
      <c r="A4644" s="29">
        <v>993.0</v>
      </c>
      <c r="B4644" s="29" t="s">
        <v>4555</v>
      </c>
      <c r="C4644" s="29" t="s">
        <v>4784</v>
      </c>
      <c r="D4644" s="29" t="s">
        <v>4802</v>
      </c>
      <c r="E4644" s="62"/>
      <c r="F4644" s="62"/>
      <c r="G4644" s="20" t="str">
        <f t="shared" si="1"/>
        <v>Sporting Goods, Exercise &amp; Fitness, Exercise Balls, </v>
      </c>
    </row>
    <row r="4645">
      <c r="A4645" s="29">
        <v>5869.0</v>
      </c>
      <c r="B4645" s="29" t="s">
        <v>4555</v>
      </c>
      <c r="C4645" s="29" t="s">
        <v>4784</v>
      </c>
      <c r="D4645" s="29" t="s">
        <v>4803</v>
      </c>
      <c r="E4645" s="62"/>
      <c r="F4645" s="62"/>
      <c r="G4645" s="20" t="str">
        <f t="shared" si="1"/>
        <v>Sporting Goods, Exercise &amp; Fitness, Exercise Bands, </v>
      </c>
    </row>
    <row r="4646">
      <c r="A4646" s="29">
        <v>499795.0</v>
      </c>
      <c r="B4646" s="29" t="s">
        <v>4555</v>
      </c>
      <c r="C4646" s="29" t="s">
        <v>4784</v>
      </c>
      <c r="D4646" s="29" t="s">
        <v>4804</v>
      </c>
      <c r="E4646" s="62"/>
      <c r="F4646" s="62"/>
      <c r="G4646" s="20" t="str">
        <f t="shared" si="1"/>
        <v>Sporting Goods, Exercise &amp; Fitness, Exercise Benches, </v>
      </c>
    </row>
    <row r="4647">
      <c r="A4647" s="29">
        <v>4669.0</v>
      </c>
      <c r="B4647" s="29" t="s">
        <v>4555</v>
      </c>
      <c r="C4647" s="29" t="s">
        <v>4784</v>
      </c>
      <c r="D4647" s="29" t="s">
        <v>4805</v>
      </c>
      <c r="E4647" s="62"/>
      <c r="F4647" s="62"/>
      <c r="G4647" s="20" t="str">
        <f t="shared" si="1"/>
        <v>Sporting Goods, Exercise &amp; Fitness, Exercise Equipment Mats, </v>
      </c>
    </row>
    <row r="4648">
      <c r="A4648" s="29">
        <v>499978.0</v>
      </c>
      <c r="B4648" s="29" t="s">
        <v>4555</v>
      </c>
      <c r="C4648" s="29" t="s">
        <v>4784</v>
      </c>
      <c r="D4648" s="29" t="s">
        <v>4806</v>
      </c>
      <c r="F4648" s="62"/>
      <c r="G4648" s="20" t="str">
        <f t="shared" si="1"/>
        <v>Sporting Goods, Exercise &amp; Fitness, Exercise Machine &amp; Equipment Sets, </v>
      </c>
    </row>
    <row r="4649">
      <c r="A4649" s="29">
        <v>8471.0</v>
      </c>
      <c r="B4649" s="29" t="s">
        <v>4555</v>
      </c>
      <c r="C4649" s="29" t="s">
        <v>4784</v>
      </c>
      <c r="D4649" s="29" t="s">
        <v>4807</v>
      </c>
      <c r="E4649" s="62"/>
      <c r="F4649" s="62"/>
      <c r="G4649" s="20" t="str">
        <f t="shared" si="1"/>
        <v>Sporting Goods, Exercise &amp; Fitness, Exercise Wedges, </v>
      </c>
    </row>
    <row r="4650">
      <c r="A4650" s="29">
        <v>6337.0</v>
      </c>
      <c r="B4650" s="29" t="s">
        <v>4555</v>
      </c>
      <c r="C4650" s="29" t="s">
        <v>4784</v>
      </c>
      <c r="D4650" s="29" t="s">
        <v>4808</v>
      </c>
      <c r="E4650" s="62"/>
      <c r="F4650" s="62"/>
      <c r="G4650" s="20" t="str">
        <f t="shared" si="1"/>
        <v>Sporting Goods, Exercise &amp; Fitness, Foam Roller Accessories, </v>
      </c>
    </row>
    <row r="4651">
      <c r="A4651" s="29">
        <v>6338.0</v>
      </c>
      <c r="B4651" s="29" t="s">
        <v>4555</v>
      </c>
      <c r="C4651" s="29" t="s">
        <v>4784</v>
      </c>
      <c r="D4651" s="29" t="s">
        <v>4808</v>
      </c>
      <c r="E4651" s="29" t="s">
        <v>4809</v>
      </c>
      <c r="F4651" s="62"/>
      <c r="G4651" s="20" t="str">
        <f t="shared" si="1"/>
        <v>Sporting Goods, Exercise &amp; Fitness, Foam Roller Accessories, Foam Roller Storage Bags</v>
      </c>
    </row>
    <row r="4652">
      <c r="A4652" s="29">
        <v>5319.0</v>
      </c>
      <c r="B4652" s="29" t="s">
        <v>4555</v>
      </c>
      <c r="C4652" s="29" t="s">
        <v>4784</v>
      </c>
      <c r="D4652" s="29" t="s">
        <v>4810</v>
      </c>
      <c r="E4652" s="62"/>
      <c r="F4652" s="62"/>
      <c r="G4652" s="20" t="str">
        <f t="shared" si="1"/>
        <v>Sporting Goods, Exercise &amp; Fitness, Foam Rollers, </v>
      </c>
    </row>
    <row r="4653">
      <c r="A4653" s="29">
        <v>6867.0</v>
      </c>
      <c r="B4653" s="29" t="s">
        <v>4555</v>
      </c>
      <c r="C4653" s="29" t="s">
        <v>4784</v>
      </c>
      <c r="D4653" s="29" t="s">
        <v>4811</v>
      </c>
      <c r="E4653" s="62"/>
      <c r="F4653" s="62"/>
      <c r="G4653" s="20" t="str">
        <f t="shared" si="1"/>
        <v>Sporting Goods, Exercise &amp; Fitness, Hand Exercisers, </v>
      </c>
    </row>
    <row r="4654">
      <c r="A4654" s="29">
        <v>355576.0</v>
      </c>
      <c r="B4654" s="29" t="s">
        <v>4555</v>
      </c>
      <c r="C4654" s="29" t="s">
        <v>4784</v>
      </c>
      <c r="D4654" s="29" t="s">
        <v>4812</v>
      </c>
      <c r="F4654" s="62"/>
      <c r="G4654" s="20" t="str">
        <f t="shared" si="1"/>
        <v>Sporting Goods, Exercise &amp; Fitness, Inversion Tables &amp; Systems, </v>
      </c>
    </row>
    <row r="4655">
      <c r="A4655" s="29">
        <v>3938.0</v>
      </c>
      <c r="B4655" s="29" t="s">
        <v>4555</v>
      </c>
      <c r="C4655" s="29" t="s">
        <v>4784</v>
      </c>
      <c r="D4655" s="29" t="s">
        <v>4813</v>
      </c>
      <c r="E4655" s="62"/>
      <c r="F4655" s="62"/>
      <c r="G4655" s="20" t="str">
        <f t="shared" si="1"/>
        <v>Sporting Goods, Exercise &amp; Fitness, Medicine Balls, </v>
      </c>
    </row>
    <row r="4656">
      <c r="A4656" s="29">
        <v>499912.0</v>
      </c>
      <c r="B4656" s="29" t="s">
        <v>4555</v>
      </c>
      <c r="C4656" s="29" t="s">
        <v>4784</v>
      </c>
      <c r="D4656" s="29" t="s">
        <v>4814</v>
      </c>
      <c r="E4656" s="62"/>
      <c r="F4656" s="62"/>
      <c r="G4656" s="20" t="str">
        <f t="shared" si="1"/>
        <v>Sporting Goods, Exercise &amp; Fitness, Power Towers, </v>
      </c>
    </row>
    <row r="4657">
      <c r="A4657" s="29">
        <v>8215.0</v>
      </c>
      <c r="B4657" s="29" t="s">
        <v>4555</v>
      </c>
      <c r="C4657" s="29" t="s">
        <v>4784</v>
      </c>
      <c r="D4657" s="29" t="s">
        <v>4815</v>
      </c>
      <c r="E4657" s="62"/>
      <c r="F4657" s="62"/>
      <c r="G4657" s="20" t="str">
        <f t="shared" si="1"/>
        <v>Sporting Goods, Exercise &amp; Fitness, Push Up &amp; Pull Up Bars, </v>
      </c>
    </row>
    <row r="4658">
      <c r="A4658" s="29">
        <v>7174.0</v>
      </c>
      <c r="B4658" s="29" t="s">
        <v>4555</v>
      </c>
      <c r="C4658" s="29" t="s">
        <v>4784</v>
      </c>
      <c r="D4658" s="29" t="s">
        <v>4816</v>
      </c>
      <c r="E4658" s="62"/>
      <c r="F4658" s="62"/>
      <c r="G4658" s="20" t="str">
        <f t="shared" si="1"/>
        <v>Sporting Goods, Exercise &amp; Fitness, Reaction Balls, </v>
      </c>
    </row>
    <row r="4659">
      <c r="A4659" s="29">
        <v>8062.0</v>
      </c>
      <c r="B4659" s="29" t="s">
        <v>4555</v>
      </c>
      <c r="C4659" s="29" t="s">
        <v>4784</v>
      </c>
      <c r="D4659" s="29" t="s">
        <v>4817</v>
      </c>
      <c r="F4659" s="62"/>
      <c r="G4659" s="20" t="str">
        <f t="shared" si="1"/>
        <v>Sporting Goods, Exercise &amp; Fitness, Speed &amp; Resistance Parachutes, </v>
      </c>
    </row>
    <row r="4660">
      <c r="A4660" s="29">
        <v>505302.0</v>
      </c>
      <c r="B4660" s="29" t="s">
        <v>4555</v>
      </c>
      <c r="C4660" s="29" t="s">
        <v>4784</v>
      </c>
      <c r="D4660" s="29" t="s">
        <v>4818</v>
      </c>
      <c r="F4660" s="62"/>
      <c r="G4660" s="20" t="str">
        <f t="shared" si="1"/>
        <v>Sporting Goods, Exercise &amp; Fitness, Sport Safety Lights &amp; Reflectors, </v>
      </c>
    </row>
    <row r="4661">
      <c r="A4661" s="29">
        <v>5693.0</v>
      </c>
      <c r="B4661" s="29" t="s">
        <v>4555</v>
      </c>
      <c r="C4661" s="29" t="s">
        <v>4784</v>
      </c>
      <c r="D4661" s="29" t="s">
        <v>4819</v>
      </c>
      <c r="E4661" s="62"/>
      <c r="F4661" s="62"/>
      <c r="G4661" s="20" t="str">
        <f t="shared" si="1"/>
        <v>Sporting Goods, Exercise &amp; Fitness, Stopwatches, </v>
      </c>
    </row>
    <row r="4662">
      <c r="A4662" s="29">
        <v>499798.0</v>
      </c>
      <c r="B4662" s="29" t="s">
        <v>4555</v>
      </c>
      <c r="C4662" s="29" t="s">
        <v>4784</v>
      </c>
      <c r="D4662" s="29" t="s">
        <v>4820</v>
      </c>
      <c r="E4662" s="62"/>
      <c r="F4662" s="62"/>
      <c r="G4662" s="20" t="str">
        <f t="shared" si="1"/>
        <v>Sporting Goods, Exercise &amp; Fitness, Suspension Trainers, </v>
      </c>
    </row>
    <row r="4663">
      <c r="A4663" s="29">
        <v>8066.0</v>
      </c>
      <c r="B4663" s="29" t="s">
        <v>4555</v>
      </c>
      <c r="C4663" s="29" t="s">
        <v>4784</v>
      </c>
      <c r="D4663" s="29" t="s">
        <v>4821</v>
      </c>
      <c r="F4663" s="62"/>
      <c r="G4663" s="20" t="str">
        <f t="shared" si="1"/>
        <v>Sporting Goods, Exercise &amp; Fitness, Vibration Exercise Machines, </v>
      </c>
    </row>
    <row r="4664">
      <c r="A4664" s="29">
        <v>499793.0</v>
      </c>
      <c r="B4664" s="29" t="s">
        <v>4555</v>
      </c>
      <c r="C4664" s="29" t="s">
        <v>4784</v>
      </c>
      <c r="D4664" s="29" t="s">
        <v>4822</v>
      </c>
      <c r="E4664" s="62"/>
      <c r="F4664" s="62"/>
      <c r="G4664" s="20" t="str">
        <f t="shared" si="1"/>
        <v>Sporting Goods, Exercise &amp; Fitness, Weight Lifting, </v>
      </c>
    </row>
    <row r="4665">
      <c r="A4665" s="29">
        <v>6452.0</v>
      </c>
      <c r="B4665" s="29" t="s">
        <v>4555</v>
      </c>
      <c r="C4665" s="29" t="s">
        <v>4784</v>
      </c>
      <c r="D4665" s="29" t="s">
        <v>4822</v>
      </c>
      <c r="E4665" s="29" t="s">
        <v>4823</v>
      </c>
      <c r="F4665" s="62"/>
      <c r="G4665" s="20" t="str">
        <f t="shared" si="1"/>
        <v>Sporting Goods, Exercise &amp; Fitness, Weight Lifting, Free Weight Accessories</v>
      </c>
    </row>
    <row r="4666">
      <c r="A4666" s="29">
        <v>8083.0</v>
      </c>
      <c r="B4666" s="29" t="s">
        <v>4555</v>
      </c>
      <c r="C4666" s="29" t="s">
        <v>4784</v>
      </c>
      <c r="D4666" s="29" t="s">
        <v>4822</v>
      </c>
      <c r="E4666" s="29" t="s">
        <v>4823</v>
      </c>
      <c r="F4666" s="29" t="s">
        <v>4824</v>
      </c>
      <c r="G4666" s="20" t="str">
        <f t="shared" si="1"/>
        <v>Sporting Goods, Exercise &amp; Fitness, Weight Lifting, Free Weight AccessoriesFree Weight Storage Racks</v>
      </c>
    </row>
    <row r="4667">
      <c r="A4667" s="29">
        <v>499794.0</v>
      </c>
      <c r="B4667" s="29" t="s">
        <v>4555</v>
      </c>
      <c r="C4667" s="29" t="s">
        <v>4784</v>
      </c>
      <c r="D4667" s="29" t="s">
        <v>4822</v>
      </c>
      <c r="E4667" s="29" t="s">
        <v>4823</v>
      </c>
      <c r="F4667" s="29" t="s">
        <v>4825</v>
      </c>
      <c r="G4667" s="20" t="str">
        <f t="shared" si="1"/>
        <v>Sporting Goods, Exercise &amp; Fitness, Weight Lifting, Free Weight AccessoriesWeight Bar Collars</v>
      </c>
    </row>
    <row r="4668">
      <c r="A4668" s="29">
        <v>3271.0</v>
      </c>
      <c r="B4668" s="29" t="s">
        <v>4555</v>
      </c>
      <c r="C4668" s="29" t="s">
        <v>4784</v>
      </c>
      <c r="D4668" s="29" t="s">
        <v>4822</v>
      </c>
      <c r="E4668" s="29" t="s">
        <v>4823</v>
      </c>
      <c r="F4668" s="29" t="s">
        <v>4826</v>
      </c>
      <c r="G4668" s="20" t="str">
        <f t="shared" si="1"/>
        <v>Sporting Goods, Exercise &amp; Fitness, Weight Lifting, Free Weight AccessoriesWeight Bars</v>
      </c>
    </row>
    <row r="4669">
      <c r="A4669" s="29">
        <v>3164.0</v>
      </c>
      <c r="B4669" s="29" t="s">
        <v>4555</v>
      </c>
      <c r="C4669" s="29" t="s">
        <v>4784</v>
      </c>
      <c r="D4669" s="29" t="s">
        <v>4822</v>
      </c>
      <c r="E4669" s="29" t="s">
        <v>4827</v>
      </c>
      <c r="F4669" s="62"/>
      <c r="G4669" s="20" t="str">
        <f t="shared" si="1"/>
        <v>Sporting Goods, Exercise &amp; Fitness, Weight Lifting, Free Weights</v>
      </c>
    </row>
    <row r="4670">
      <c r="A4670" s="29">
        <v>3654.0</v>
      </c>
      <c r="B4670" s="29" t="s">
        <v>4555</v>
      </c>
      <c r="C4670" s="29" t="s">
        <v>4784</v>
      </c>
      <c r="D4670" s="29" t="s">
        <v>4822</v>
      </c>
      <c r="E4670" s="29" t="s">
        <v>4828</v>
      </c>
      <c r="F4670" s="62"/>
      <c r="G4670" s="20" t="str">
        <f t="shared" si="1"/>
        <v>Sporting Goods, Exercise &amp; Fitness, Weight Lifting, Weight Lifting Belts</v>
      </c>
    </row>
    <row r="4671">
      <c r="A4671" s="29">
        <v>3858.0</v>
      </c>
      <c r="B4671" s="29" t="s">
        <v>4555</v>
      </c>
      <c r="C4671" s="29" t="s">
        <v>4784</v>
      </c>
      <c r="D4671" s="29" t="s">
        <v>4822</v>
      </c>
      <c r="E4671" s="29" t="s">
        <v>4829</v>
      </c>
      <c r="G4671" s="20" t="str">
        <f t="shared" si="1"/>
        <v>Sporting Goods, Exercise &amp; Fitness, Weight Lifting, Weight Lifting Gloves &amp; Hand Supports</v>
      </c>
    </row>
    <row r="4672">
      <c r="A4672" s="29">
        <v>3217.0</v>
      </c>
      <c r="B4672" s="29" t="s">
        <v>4555</v>
      </c>
      <c r="C4672" s="29" t="s">
        <v>4784</v>
      </c>
      <c r="D4672" s="29" t="s">
        <v>4822</v>
      </c>
      <c r="E4672" s="29" t="s">
        <v>4830</v>
      </c>
      <c r="G4672" s="20" t="str">
        <f t="shared" si="1"/>
        <v>Sporting Goods, Exercise &amp; Fitness, Weight Lifting, Weight Lifting Machine &amp; Exercise Bench Accessories</v>
      </c>
    </row>
    <row r="4673">
      <c r="A4673" s="29">
        <v>3542.0</v>
      </c>
      <c r="B4673" s="29" t="s">
        <v>4555</v>
      </c>
      <c r="C4673" s="29" t="s">
        <v>4784</v>
      </c>
      <c r="D4673" s="29" t="s">
        <v>4822</v>
      </c>
      <c r="E4673" s="29" t="s">
        <v>4831</v>
      </c>
      <c r="F4673" s="62"/>
      <c r="G4673" s="20" t="str">
        <f t="shared" si="1"/>
        <v>Sporting Goods, Exercise &amp; Fitness, Weight Lifting, Weight Lifting Machines &amp; Racks</v>
      </c>
    </row>
    <row r="4674">
      <c r="A4674" s="29">
        <v>6103.0</v>
      </c>
      <c r="B4674" s="29" t="s">
        <v>4555</v>
      </c>
      <c r="C4674" s="29" t="s">
        <v>4784</v>
      </c>
      <c r="D4674" s="29" t="s">
        <v>4832</v>
      </c>
      <c r="E4674" s="62"/>
      <c r="F4674" s="62"/>
      <c r="G4674" s="20" t="str">
        <f t="shared" si="1"/>
        <v>Sporting Goods, Exercise &amp; Fitness, Weighted Clothing, </v>
      </c>
    </row>
    <row r="4675">
      <c r="A4675" s="29">
        <v>999.0</v>
      </c>
      <c r="B4675" s="29" t="s">
        <v>4555</v>
      </c>
      <c r="C4675" s="29" t="s">
        <v>4784</v>
      </c>
      <c r="D4675" s="29" t="s">
        <v>4833</v>
      </c>
      <c r="E4675" s="62"/>
      <c r="F4675" s="62"/>
      <c r="G4675" s="20" t="str">
        <f t="shared" si="1"/>
        <v>Sporting Goods, Exercise &amp; Fitness, Yoga &amp; Pilates, </v>
      </c>
    </row>
    <row r="4676">
      <c r="A4676" s="29">
        <v>3810.0</v>
      </c>
      <c r="B4676" s="29" t="s">
        <v>4555</v>
      </c>
      <c r="C4676" s="29" t="s">
        <v>4784</v>
      </c>
      <c r="D4676" s="29" t="s">
        <v>4833</v>
      </c>
      <c r="E4676" s="29" t="s">
        <v>4834</v>
      </c>
      <c r="F4676" s="62"/>
      <c r="G4676" s="20" t="str">
        <f t="shared" si="1"/>
        <v>Sporting Goods, Exercise &amp; Fitness, Yoga &amp; Pilates, Pilates Machines</v>
      </c>
    </row>
    <row r="4677">
      <c r="A4677" s="29">
        <v>6750.0</v>
      </c>
      <c r="B4677" s="29" t="s">
        <v>4555</v>
      </c>
      <c r="C4677" s="29" t="s">
        <v>4784</v>
      </c>
      <c r="D4677" s="29" t="s">
        <v>4833</v>
      </c>
      <c r="E4677" s="29" t="s">
        <v>4835</v>
      </c>
      <c r="F4677" s="62"/>
      <c r="G4677" s="20" t="str">
        <f t="shared" si="1"/>
        <v>Sporting Goods, Exercise &amp; Fitness, Yoga &amp; Pilates, Yoga &amp; Pilates Blocks</v>
      </c>
    </row>
    <row r="4678">
      <c r="A4678" s="29">
        <v>3640.0</v>
      </c>
      <c r="B4678" s="29" t="s">
        <v>4555</v>
      </c>
      <c r="C4678" s="29" t="s">
        <v>4784</v>
      </c>
      <c r="D4678" s="29" t="s">
        <v>4833</v>
      </c>
      <c r="E4678" s="29" t="s">
        <v>4836</v>
      </c>
      <c r="F4678" s="62"/>
      <c r="G4678" s="20" t="str">
        <f t="shared" si="1"/>
        <v>Sporting Goods, Exercise &amp; Fitness, Yoga &amp; Pilates, Yoga &amp; Pilates Mats</v>
      </c>
    </row>
    <row r="4679">
      <c r="A4679" s="29">
        <v>6743.0</v>
      </c>
      <c r="B4679" s="29" t="s">
        <v>4555</v>
      </c>
      <c r="C4679" s="29" t="s">
        <v>4784</v>
      </c>
      <c r="D4679" s="29" t="s">
        <v>4833</v>
      </c>
      <c r="E4679" s="29" t="s">
        <v>4837</v>
      </c>
      <c r="F4679" s="62"/>
      <c r="G4679" s="20" t="str">
        <f t="shared" si="1"/>
        <v>Sporting Goods, Exercise &amp; Fitness, Yoga &amp; Pilates, Yoga &amp; Pilates Towels</v>
      </c>
    </row>
    <row r="4680">
      <c r="A4680" s="29">
        <v>5107.0</v>
      </c>
      <c r="B4680" s="29" t="s">
        <v>4555</v>
      </c>
      <c r="C4680" s="29" t="s">
        <v>4784</v>
      </c>
      <c r="D4680" s="29" t="s">
        <v>4833</v>
      </c>
      <c r="E4680" s="29" t="s">
        <v>4838</v>
      </c>
      <c r="F4680" s="62"/>
      <c r="G4680" s="20" t="str">
        <f t="shared" si="1"/>
        <v>Sporting Goods, Exercise &amp; Fitness, Yoga &amp; Pilates, Yoga Mat Bags &amp; Straps</v>
      </c>
    </row>
    <row r="4681">
      <c r="A4681" s="29">
        <v>1001.0</v>
      </c>
      <c r="B4681" s="29" t="s">
        <v>4555</v>
      </c>
      <c r="C4681" s="29" t="s">
        <v>4839</v>
      </c>
      <c r="D4681" s="62"/>
      <c r="E4681" s="62"/>
      <c r="F4681" s="62"/>
      <c r="G4681" s="20" t="str">
        <f t="shared" si="1"/>
        <v>Sporting Goods, Indoor Games, , </v>
      </c>
    </row>
    <row r="4682">
      <c r="A4682" s="29">
        <v>1002.0</v>
      </c>
      <c r="B4682" s="29" t="s">
        <v>4555</v>
      </c>
      <c r="C4682" s="29" t="s">
        <v>4839</v>
      </c>
      <c r="D4682" s="29" t="s">
        <v>4840</v>
      </c>
      <c r="E4682" s="62"/>
      <c r="F4682" s="62"/>
      <c r="G4682" s="20" t="str">
        <f t="shared" si="1"/>
        <v>Sporting Goods, Indoor Games, Air Hockey, </v>
      </c>
    </row>
    <row r="4683">
      <c r="A4683" s="29">
        <v>505330.0</v>
      </c>
      <c r="B4683" s="29" t="s">
        <v>4555</v>
      </c>
      <c r="C4683" s="29" t="s">
        <v>4839</v>
      </c>
      <c r="D4683" s="29" t="s">
        <v>4840</v>
      </c>
      <c r="E4683" s="29" t="s">
        <v>4841</v>
      </c>
      <c r="F4683" s="62"/>
      <c r="G4683" s="20" t="str">
        <f t="shared" si="1"/>
        <v>Sporting Goods, Indoor Games, Air Hockey, Air Hockey Equipment</v>
      </c>
    </row>
    <row r="4684">
      <c r="A4684" s="29">
        <v>3548.0</v>
      </c>
      <c r="B4684" s="29" t="s">
        <v>4555</v>
      </c>
      <c r="C4684" s="29" t="s">
        <v>4839</v>
      </c>
      <c r="D4684" s="29" t="s">
        <v>4840</v>
      </c>
      <c r="E4684" s="29" t="s">
        <v>4842</v>
      </c>
      <c r="F4684" s="62"/>
      <c r="G4684" s="20" t="str">
        <f t="shared" si="1"/>
        <v>Sporting Goods, Indoor Games, Air Hockey, Air Hockey Table Parts</v>
      </c>
    </row>
    <row r="4685">
      <c r="A4685" s="29">
        <v>3245.0</v>
      </c>
      <c r="B4685" s="29" t="s">
        <v>4555</v>
      </c>
      <c r="C4685" s="29" t="s">
        <v>4839</v>
      </c>
      <c r="D4685" s="29" t="s">
        <v>4840</v>
      </c>
      <c r="E4685" s="29" t="s">
        <v>4843</v>
      </c>
      <c r="F4685" s="62"/>
      <c r="G4685" s="20" t="str">
        <f t="shared" si="1"/>
        <v>Sporting Goods, Indoor Games, Air Hockey, Air Hockey Tables</v>
      </c>
    </row>
    <row r="4686">
      <c r="A4686" s="29">
        <v>1003.0</v>
      </c>
      <c r="B4686" s="29" t="s">
        <v>4555</v>
      </c>
      <c r="C4686" s="29" t="s">
        <v>4839</v>
      </c>
      <c r="D4686" s="29" t="s">
        <v>4844</v>
      </c>
      <c r="E4686" s="62"/>
      <c r="F4686" s="62"/>
      <c r="G4686" s="20" t="str">
        <f t="shared" si="1"/>
        <v>Sporting Goods, Indoor Games, Billiards, </v>
      </c>
    </row>
    <row r="4687">
      <c r="A4687" s="29">
        <v>3059.0</v>
      </c>
      <c r="B4687" s="29" t="s">
        <v>4555</v>
      </c>
      <c r="C4687" s="29" t="s">
        <v>4839</v>
      </c>
      <c r="D4687" s="29" t="s">
        <v>4844</v>
      </c>
      <c r="E4687" s="29" t="s">
        <v>4845</v>
      </c>
      <c r="F4687" s="62"/>
      <c r="G4687" s="20" t="str">
        <f t="shared" si="1"/>
        <v>Sporting Goods, Indoor Games, Billiards, Billiard Ball Racks</v>
      </c>
    </row>
    <row r="4688">
      <c r="A4688" s="29">
        <v>3135.0</v>
      </c>
      <c r="B4688" s="29" t="s">
        <v>4555</v>
      </c>
      <c r="C4688" s="29" t="s">
        <v>4839</v>
      </c>
      <c r="D4688" s="29" t="s">
        <v>4844</v>
      </c>
      <c r="E4688" s="29" t="s">
        <v>4846</v>
      </c>
      <c r="F4688" s="62"/>
      <c r="G4688" s="20" t="str">
        <f t="shared" si="1"/>
        <v>Sporting Goods, Indoor Games, Billiards, Billiard Balls</v>
      </c>
    </row>
    <row r="4689">
      <c r="A4689" s="29">
        <v>3222.0</v>
      </c>
      <c r="B4689" s="29" t="s">
        <v>4555</v>
      </c>
      <c r="C4689" s="29" t="s">
        <v>4839</v>
      </c>
      <c r="D4689" s="29" t="s">
        <v>4844</v>
      </c>
      <c r="E4689" s="29" t="s">
        <v>4847</v>
      </c>
      <c r="F4689" s="62"/>
      <c r="G4689" s="20" t="str">
        <f t="shared" si="1"/>
        <v>Sporting Goods, Indoor Games, Billiards, Billiard Cue Accessories</v>
      </c>
    </row>
    <row r="4690">
      <c r="A4690" s="29">
        <v>499993.0</v>
      </c>
      <c r="B4690" s="29" t="s">
        <v>4555</v>
      </c>
      <c r="C4690" s="29" t="s">
        <v>4839</v>
      </c>
      <c r="D4690" s="29" t="s">
        <v>4844</v>
      </c>
      <c r="E4690" s="29" t="s">
        <v>4847</v>
      </c>
      <c r="F4690" s="29" t="s">
        <v>4848</v>
      </c>
      <c r="G4690" s="20" t="str">
        <f t="shared" si="1"/>
        <v>Sporting Goods, Indoor Games, Billiards, Billiard Cue AccessoriesBilliard Cue Cases</v>
      </c>
    </row>
    <row r="4691">
      <c r="A4691" s="29">
        <v>499994.0</v>
      </c>
      <c r="B4691" s="29" t="s">
        <v>4555</v>
      </c>
      <c r="C4691" s="29" t="s">
        <v>4839</v>
      </c>
      <c r="D4691" s="29" t="s">
        <v>4844</v>
      </c>
      <c r="E4691" s="29" t="s">
        <v>4847</v>
      </c>
      <c r="F4691" s="29" t="s">
        <v>4849</v>
      </c>
      <c r="G4691" s="20" t="str">
        <f t="shared" si="1"/>
        <v>Sporting Goods, Indoor Games, Billiards, Billiard Cue AccessoriesBilliard Cue Chalk</v>
      </c>
    </row>
    <row r="4692">
      <c r="A4692" s="29">
        <v>3720.0</v>
      </c>
      <c r="B4692" s="29" t="s">
        <v>4555</v>
      </c>
      <c r="C4692" s="29" t="s">
        <v>4839</v>
      </c>
      <c r="D4692" s="29" t="s">
        <v>4844</v>
      </c>
      <c r="E4692" s="29" t="s">
        <v>4847</v>
      </c>
      <c r="F4692" s="29" t="s">
        <v>4850</v>
      </c>
      <c r="G4692" s="20" t="str">
        <f t="shared" si="1"/>
        <v>Sporting Goods, Indoor Games, Billiards, Billiard Cue AccessoriesBilliard Cue Racks</v>
      </c>
    </row>
    <row r="4693">
      <c r="A4693" s="29">
        <v>3910.0</v>
      </c>
      <c r="B4693" s="29" t="s">
        <v>4555</v>
      </c>
      <c r="C4693" s="29" t="s">
        <v>4839</v>
      </c>
      <c r="D4693" s="29" t="s">
        <v>4844</v>
      </c>
      <c r="E4693" s="29" t="s">
        <v>4851</v>
      </c>
      <c r="F4693" s="62"/>
      <c r="G4693" s="20" t="str">
        <f t="shared" si="1"/>
        <v>Sporting Goods, Indoor Games, Billiards, Billiard Cues &amp; Bridges</v>
      </c>
    </row>
    <row r="4694">
      <c r="A4694" s="29">
        <v>3755.0</v>
      </c>
      <c r="B4694" s="29" t="s">
        <v>4555</v>
      </c>
      <c r="C4694" s="29" t="s">
        <v>4839</v>
      </c>
      <c r="D4694" s="29" t="s">
        <v>4844</v>
      </c>
      <c r="E4694" s="29" t="s">
        <v>4852</v>
      </c>
      <c r="F4694" s="62"/>
      <c r="G4694" s="20" t="str">
        <f t="shared" si="1"/>
        <v>Sporting Goods, Indoor Games, Billiards, Billiard Gloves</v>
      </c>
    </row>
    <row r="4695">
      <c r="A4695" s="29">
        <v>3469.0</v>
      </c>
      <c r="B4695" s="29" t="s">
        <v>4555</v>
      </c>
      <c r="C4695" s="29" t="s">
        <v>4839</v>
      </c>
      <c r="D4695" s="29" t="s">
        <v>4844</v>
      </c>
      <c r="E4695" s="29" t="s">
        <v>4853</v>
      </c>
      <c r="F4695" s="62"/>
      <c r="G4695" s="20" t="str">
        <f t="shared" si="1"/>
        <v>Sporting Goods, Indoor Games, Billiards, Billiard Table Lights</v>
      </c>
    </row>
    <row r="4696">
      <c r="A4696" s="29">
        <v>3183.0</v>
      </c>
      <c r="B4696" s="29" t="s">
        <v>4555</v>
      </c>
      <c r="C4696" s="29" t="s">
        <v>4839</v>
      </c>
      <c r="D4696" s="29" t="s">
        <v>4844</v>
      </c>
      <c r="E4696" s="29" t="s">
        <v>4854</v>
      </c>
      <c r="G4696" s="20" t="str">
        <f t="shared" si="1"/>
        <v>Sporting Goods, Indoor Games, Billiards, Billiard Table Parts &amp; Accessories</v>
      </c>
    </row>
    <row r="4697">
      <c r="A4697" s="29">
        <v>3574.0</v>
      </c>
      <c r="B4697" s="29" t="s">
        <v>4555</v>
      </c>
      <c r="C4697" s="29" t="s">
        <v>4839</v>
      </c>
      <c r="D4697" s="29" t="s">
        <v>4844</v>
      </c>
      <c r="E4697" s="29" t="s">
        <v>4854</v>
      </c>
      <c r="F4697" s="29" t="s">
        <v>4855</v>
      </c>
      <c r="G4697" s="20" t="str">
        <f t="shared" si="1"/>
        <v>Sporting Goods, Indoor Games, Billiards, Billiard Table Parts &amp; AccessoriesBilliard Pockets</v>
      </c>
    </row>
    <row r="4698">
      <c r="A4698" s="29">
        <v>3754.0</v>
      </c>
      <c r="B4698" s="29" t="s">
        <v>4555</v>
      </c>
      <c r="C4698" s="29" t="s">
        <v>4839</v>
      </c>
      <c r="D4698" s="29" t="s">
        <v>4844</v>
      </c>
      <c r="E4698" s="29" t="s">
        <v>4854</v>
      </c>
      <c r="F4698" s="29" t="s">
        <v>4856</v>
      </c>
      <c r="G4698" s="20" t="str">
        <f t="shared" si="1"/>
        <v>Sporting Goods, Indoor Games, Billiards, Billiard Table Parts &amp; AccessoriesBilliard Table Brushes</v>
      </c>
    </row>
    <row r="4699">
      <c r="A4699" s="29">
        <v>3547.0</v>
      </c>
      <c r="B4699" s="29" t="s">
        <v>4555</v>
      </c>
      <c r="C4699" s="29" t="s">
        <v>4839</v>
      </c>
      <c r="D4699" s="29" t="s">
        <v>4844</v>
      </c>
      <c r="E4699" s="29" t="s">
        <v>4854</v>
      </c>
      <c r="F4699" s="29" t="s">
        <v>4857</v>
      </c>
      <c r="G4699" s="20" t="str">
        <f t="shared" si="1"/>
        <v>Sporting Goods, Indoor Games, Billiards, Billiard Table Parts &amp; AccessoriesBilliard Table Cloth</v>
      </c>
    </row>
    <row r="4700">
      <c r="A4700" s="29">
        <v>8065.0</v>
      </c>
      <c r="B4700" s="29" t="s">
        <v>4555</v>
      </c>
      <c r="C4700" s="29" t="s">
        <v>4839</v>
      </c>
      <c r="D4700" s="29" t="s">
        <v>4844</v>
      </c>
      <c r="E4700" s="29" t="s">
        <v>4854</v>
      </c>
      <c r="F4700" s="29" t="s">
        <v>4858</v>
      </c>
      <c r="G4700" s="20" t="str">
        <f t="shared" si="1"/>
        <v>Sporting Goods, Indoor Games, Billiards, Billiard Table Parts &amp; AccessoriesBilliard Table Covers</v>
      </c>
    </row>
    <row r="4701">
      <c r="A4701" s="29">
        <v>3139.0</v>
      </c>
      <c r="B4701" s="29" t="s">
        <v>4555</v>
      </c>
      <c r="C4701" s="29" t="s">
        <v>4839</v>
      </c>
      <c r="D4701" s="29" t="s">
        <v>4844</v>
      </c>
      <c r="E4701" s="29" t="s">
        <v>4859</v>
      </c>
      <c r="F4701" s="62"/>
      <c r="G4701" s="20" t="str">
        <f t="shared" si="1"/>
        <v>Sporting Goods, Indoor Games, Billiards, Billiard Tables</v>
      </c>
    </row>
    <row r="4702">
      <c r="A4702" s="29">
        <v>1004.0</v>
      </c>
      <c r="B4702" s="29" t="s">
        <v>4555</v>
      </c>
      <c r="C4702" s="29" t="s">
        <v>4839</v>
      </c>
      <c r="D4702" s="29" t="s">
        <v>4860</v>
      </c>
      <c r="E4702" s="62"/>
      <c r="F4702" s="62"/>
      <c r="G4702" s="20" t="str">
        <f t="shared" si="1"/>
        <v>Sporting Goods, Indoor Games, Bowling, </v>
      </c>
    </row>
    <row r="4703">
      <c r="A4703" s="29">
        <v>3698.0</v>
      </c>
      <c r="B4703" s="29" t="s">
        <v>4555</v>
      </c>
      <c r="C4703" s="29" t="s">
        <v>4839</v>
      </c>
      <c r="D4703" s="29" t="s">
        <v>4860</v>
      </c>
      <c r="E4703" s="29" t="s">
        <v>4861</v>
      </c>
      <c r="F4703" s="62"/>
      <c r="G4703" s="20" t="str">
        <f t="shared" si="1"/>
        <v>Sporting Goods, Indoor Games, Bowling, Bowling Ball Bags</v>
      </c>
    </row>
    <row r="4704">
      <c r="A4704" s="29">
        <v>3219.0</v>
      </c>
      <c r="B4704" s="29" t="s">
        <v>4555</v>
      </c>
      <c r="C4704" s="29" t="s">
        <v>4839</v>
      </c>
      <c r="D4704" s="29" t="s">
        <v>4860</v>
      </c>
      <c r="E4704" s="29" t="s">
        <v>4862</v>
      </c>
      <c r="F4704" s="62"/>
      <c r="G4704" s="20" t="str">
        <f t="shared" si="1"/>
        <v>Sporting Goods, Indoor Games, Bowling, Bowling Balls</v>
      </c>
    </row>
    <row r="4705">
      <c r="A4705" s="29">
        <v>3535.0</v>
      </c>
      <c r="B4705" s="29" t="s">
        <v>4555</v>
      </c>
      <c r="C4705" s="29" t="s">
        <v>4839</v>
      </c>
      <c r="D4705" s="29" t="s">
        <v>4860</v>
      </c>
      <c r="E4705" s="29" t="s">
        <v>4863</v>
      </c>
      <c r="F4705" s="62"/>
      <c r="G4705" s="20" t="str">
        <f t="shared" si="1"/>
        <v>Sporting Goods, Indoor Games, Bowling, Bowling Gloves</v>
      </c>
    </row>
    <row r="4706">
      <c r="A4706" s="29">
        <v>3669.0</v>
      </c>
      <c r="B4706" s="29" t="s">
        <v>4555</v>
      </c>
      <c r="C4706" s="29" t="s">
        <v>4839</v>
      </c>
      <c r="D4706" s="29" t="s">
        <v>4860</v>
      </c>
      <c r="E4706" s="29" t="s">
        <v>4864</v>
      </c>
      <c r="F4706" s="62"/>
      <c r="G4706" s="20" t="str">
        <f t="shared" si="1"/>
        <v>Sporting Goods, Indoor Games, Bowling, Bowling Pins</v>
      </c>
    </row>
    <row r="4707">
      <c r="A4707" s="29">
        <v>3260.0</v>
      </c>
      <c r="B4707" s="29" t="s">
        <v>4555</v>
      </c>
      <c r="C4707" s="29" t="s">
        <v>4839</v>
      </c>
      <c r="D4707" s="29" t="s">
        <v>4860</v>
      </c>
      <c r="E4707" s="29" t="s">
        <v>4865</v>
      </c>
      <c r="F4707" s="62"/>
      <c r="G4707" s="20" t="str">
        <f t="shared" si="1"/>
        <v>Sporting Goods, Indoor Games, Bowling, Bowling Wrist Supports</v>
      </c>
    </row>
    <row r="4708">
      <c r="A4708" s="29">
        <v>1007.0</v>
      </c>
      <c r="B4708" s="29" t="s">
        <v>4555</v>
      </c>
      <c r="C4708" s="29" t="s">
        <v>4839</v>
      </c>
      <c r="D4708" s="29" t="s">
        <v>4866</v>
      </c>
      <c r="E4708" s="62"/>
      <c r="F4708" s="62"/>
      <c r="G4708" s="20" t="str">
        <f t="shared" si="1"/>
        <v>Sporting Goods, Indoor Games, Foosball, </v>
      </c>
    </row>
    <row r="4709">
      <c r="A4709" s="29">
        <v>3641.0</v>
      </c>
      <c r="B4709" s="29" t="s">
        <v>4555</v>
      </c>
      <c r="C4709" s="29" t="s">
        <v>4839</v>
      </c>
      <c r="D4709" s="29" t="s">
        <v>4866</v>
      </c>
      <c r="E4709" s="29" t="s">
        <v>4867</v>
      </c>
      <c r="F4709" s="62"/>
      <c r="G4709" s="20" t="str">
        <f t="shared" si="1"/>
        <v>Sporting Goods, Indoor Games, Foosball, Foosball Balls</v>
      </c>
    </row>
    <row r="4710">
      <c r="A4710" s="29">
        <v>3524.0</v>
      </c>
      <c r="B4710" s="29" t="s">
        <v>4555</v>
      </c>
      <c r="C4710" s="29" t="s">
        <v>4839</v>
      </c>
      <c r="D4710" s="29" t="s">
        <v>4866</v>
      </c>
      <c r="E4710" s="29" t="s">
        <v>4868</v>
      </c>
      <c r="G4710" s="20" t="str">
        <f t="shared" si="1"/>
        <v>Sporting Goods, Indoor Games, Foosball, Foosball Table Parts &amp; Accessories</v>
      </c>
    </row>
    <row r="4711">
      <c r="A4711" s="29">
        <v>3847.0</v>
      </c>
      <c r="B4711" s="29" t="s">
        <v>4555</v>
      </c>
      <c r="C4711" s="29" t="s">
        <v>4839</v>
      </c>
      <c r="D4711" s="29" t="s">
        <v>4866</v>
      </c>
      <c r="E4711" s="29" t="s">
        <v>4869</v>
      </c>
      <c r="F4711" s="62"/>
      <c r="G4711" s="20" t="str">
        <f t="shared" si="1"/>
        <v>Sporting Goods, Indoor Games, Foosball, Foosball Tables</v>
      </c>
    </row>
    <row r="4712">
      <c r="A4712" s="29">
        <v>7010.0</v>
      </c>
      <c r="B4712" s="29" t="s">
        <v>4555</v>
      </c>
      <c r="C4712" s="29" t="s">
        <v>4839</v>
      </c>
      <c r="D4712" s="29" t="s">
        <v>4870</v>
      </c>
      <c r="E4712" s="62"/>
      <c r="F4712" s="62"/>
      <c r="G4712" s="20" t="str">
        <f t="shared" si="1"/>
        <v>Sporting Goods, Indoor Games, Multi-Game Tables, </v>
      </c>
    </row>
    <row r="4713">
      <c r="A4713" s="29">
        <v>1008.0</v>
      </c>
      <c r="B4713" s="29" t="s">
        <v>4555</v>
      </c>
      <c r="C4713" s="29" t="s">
        <v>4839</v>
      </c>
      <c r="D4713" s="29" t="s">
        <v>4871</v>
      </c>
      <c r="E4713" s="62"/>
      <c r="F4713" s="62"/>
      <c r="G4713" s="20" t="str">
        <f t="shared" si="1"/>
        <v>Sporting Goods, Indoor Games, Ping Pong, </v>
      </c>
    </row>
    <row r="4714">
      <c r="A4714" s="29">
        <v>3964.0</v>
      </c>
      <c r="B4714" s="29" t="s">
        <v>4555</v>
      </c>
      <c r="C4714" s="29" t="s">
        <v>4839</v>
      </c>
      <c r="D4714" s="29" t="s">
        <v>4871</v>
      </c>
      <c r="E4714" s="29" t="s">
        <v>4872</v>
      </c>
      <c r="F4714" s="62"/>
      <c r="G4714" s="20" t="str">
        <f t="shared" si="1"/>
        <v>Sporting Goods, Indoor Games, Ping Pong, Ping Pong Balls</v>
      </c>
    </row>
    <row r="4715">
      <c r="A4715" s="29">
        <v>3788.0</v>
      </c>
      <c r="B4715" s="29" t="s">
        <v>4555</v>
      </c>
      <c r="C4715" s="29" t="s">
        <v>4839</v>
      </c>
      <c r="D4715" s="29" t="s">
        <v>4871</v>
      </c>
      <c r="E4715" s="29" t="s">
        <v>4873</v>
      </c>
      <c r="F4715" s="62"/>
      <c r="G4715" s="20" t="str">
        <f t="shared" si="1"/>
        <v>Sporting Goods, Indoor Games, Ping Pong, Ping Pong Nets &amp; Posts</v>
      </c>
    </row>
    <row r="4716">
      <c r="A4716" s="29">
        <v>3900.0</v>
      </c>
      <c r="B4716" s="29" t="s">
        <v>4555</v>
      </c>
      <c r="C4716" s="29" t="s">
        <v>4839</v>
      </c>
      <c r="D4716" s="29" t="s">
        <v>4871</v>
      </c>
      <c r="E4716" s="29" t="s">
        <v>4874</v>
      </c>
      <c r="F4716" s="62"/>
      <c r="G4716" s="20" t="str">
        <f t="shared" si="1"/>
        <v>Sporting Goods, Indoor Games, Ping Pong, Ping Pong Paddle Accessories</v>
      </c>
    </row>
    <row r="4717">
      <c r="A4717" s="29">
        <v>3375.0</v>
      </c>
      <c r="B4717" s="29" t="s">
        <v>4555</v>
      </c>
      <c r="C4717" s="29" t="s">
        <v>4839</v>
      </c>
      <c r="D4717" s="29" t="s">
        <v>4871</v>
      </c>
      <c r="E4717" s="29" t="s">
        <v>4875</v>
      </c>
      <c r="F4717" s="62"/>
      <c r="G4717" s="20" t="str">
        <f t="shared" si="1"/>
        <v>Sporting Goods, Indoor Games, Ping Pong, Ping Pong Paddles &amp; Sets</v>
      </c>
    </row>
    <row r="4718">
      <c r="A4718" s="29">
        <v>3132.0</v>
      </c>
      <c r="B4718" s="29" t="s">
        <v>4555</v>
      </c>
      <c r="C4718" s="29" t="s">
        <v>4839</v>
      </c>
      <c r="D4718" s="29" t="s">
        <v>4871</v>
      </c>
      <c r="E4718" s="29" t="s">
        <v>4876</v>
      </c>
      <c r="F4718" s="62"/>
      <c r="G4718" s="20" t="str">
        <f t="shared" si="1"/>
        <v>Sporting Goods, Indoor Games, Ping Pong, Ping Pong Robot Accessories</v>
      </c>
    </row>
    <row r="4719">
      <c r="A4719" s="29">
        <v>3546.0</v>
      </c>
      <c r="B4719" s="29" t="s">
        <v>4555</v>
      </c>
      <c r="C4719" s="29" t="s">
        <v>4839</v>
      </c>
      <c r="D4719" s="29" t="s">
        <v>4871</v>
      </c>
      <c r="E4719" s="29" t="s">
        <v>4877</v>
      </c>
      <c r="F4719" s="62"/>
      <c r="G4719" s="20" t="str">
        <f t="shared" si="1"/>
        <v>Sporting Goods, Indoor Games, Ping Pong, Ping Pong Robots</v>
      </c>
    </row>
    <row r="4720">
      <c r="A4720" s="29">
        <v>3345.0</v>
      </c>
      <c r="B4720" s="29" t="s">
        <v>4555</v>
      </c>
      <c r="C4720" s="29" t="s">
        <v>4839</v>
      </c>
      <c r="D4720" s="29" t="s">
        <v>4871</v>
      </c>
      <c r="E4720" s="29" t="s">
        <v>4878</v>
      </c>
      <c r="F4720" s="62"/>
      <c r="G4720" s="20" t="str">
        <f t="shared" si="1"/>
        <v>Sporting Goods, Indoor Games, Ping Pong, Ping Pong Tables</v>
      </c>
    </row>
    <row r="4721">
      <c r="A4721" s="29">
        <v>1009.0</v>
      </c>
      <c r="B4721" s="29" t="s">
        <v>4555</v>
      </c>
      <c r="C4721" s="29" t="s">
        <v>4839</v>
      </c>
      <c r="D4721" s="29" t="s">
        <v>4879</v>
      </c>
      <c r="E4721" s="62"/>
      <c r="F4721" s="62"/>
      <c r="G4721" s="20" t="str">
        <f t="shared" si="1"/>
        <v>Sporting Goods, Indoor Games, Table Shuffleboard, </v>
      </c>
    </row>
    <row r="4722">
      <c r="A4722" s="29">
        <v>3148.0</v>
      </c>
      <c r="B4722" s="29" t="s">
        <v>4555</v>
      </c>
      <c r="C4722" s="29" t="s">
        <v>4839</v>
      </c>
      <c r="D4722" s="29" t="s">
        <v>4879</v>
      </c>
      <c r="E4722" s="29" t="s">
        <v>4880</v>
      </c>
      <c r="F4722" s="62"/>
      <c r="G4722" s="20" t="str">
        <f t="shared" si="1"/>
        <v>Sporting Goods, Indoor Games, Table Shuffleboard, Shuffleboard Tables</v>
      </c>
    </row>
    <row r="4723">
      <c r="A4723" s="29">
        <v>3996.0</v>
      </c>
      <c r="B4723" s="29" t="s">
        <v>4555</v>
      </c>
      <c r="C4723" s="29" t="s">
        <v>4839</v>
      </c>
      <c r="D4723" s="29" t="s">
        <v>4879</v>
      </c>
      <c r="E4723" s="29" t="s">
        <v>4881</v>
      </c>
      <c r="F4723" s="62"/>
      <c r="G4723" s="20" t="str">
        <f t="shared" si="1"/>
        <v>Sporting Goods, Indoor Games, Table Shuffleboard, Table Shuffleboard Powder</v>
      </c>
    </row>
    <row r="4724">
      <c r="A4724" s="29">
        <v>4021.0</v>
      </c>
      <c r="B4724" s="29" t="s">
        <v>4555</v>
      </c>
      <c r="C4724" s="29" t="s">
        <v>4839</v>
      </c>
      <c r="D4724" s="29" t="s">
        <v>4879</v>
      </c>
      <c r="E4724" s="29" t="s">
        <v>4882</v>
      </c>
      <c r="F4724" s="62"/>
      <c r="G4724" s="20" t="str">
        <f t="shared" si="1"/>
        <v>Sporting Goods, Indoor Games, Table Shuffleboard, Table Shuffleboard Pucks</v>
      </c>
    </row>
    <row r="4725">
      <c r="A4725" s="29">
        <v>1005.0</v>
      </c>
      <c r="B4725" s="29" t="s">
        <v>4555</v>
      </c>
      <c r="C4725" s="29" t="s">
        <v>4839</v>
      </c>
      <c r="D4725" s="29" t="s">
        <v>4883</v>
      </c>
      <c r="E4725" s="62"/>
      <c r="F4725" s="62"/>
      <c r="G4725" s="20" t="str">
        <f t="shared" si="1"/>
        <v>Sporting Goods, Indoor Games, Throwing Darts, </v>
      </c>
    </row>
    <row r="4726">
      <c r="A4726" s="29">
        <v>3957.0</v>
      </c>
      <c r="B4726" s="29" t="s">
        <v>4555</v>
      </c>
      <c r="C4726" s="29" t="s">
        <v>4839</v>
      </c>
      <c r="D4726" s="29" t="s">
        <v>4883</v>
      </c>
      <c r="E4726" s="29" t="s">
        <v>4884</v>
      </c>
      <c r="F4726" s="62"/>
      <c r="G4726" s="20" t="str">
        <f t="shared" si="1"/>
        <v>Sporting Goods, Indoor Games, Throwing Darts, Dart Backboards</v>
      </c>
    </row>
    <row r="4727">
      <c r="A4727" s="29">
        <v>3327.0</v>
      </c>
      <c r="B4727" s="29" t="s">
        <v>4555</v>
      </c>
      <c r="C4727" s="29" t="s">
        <v>4839</v>
      </c>
      <c r="D4727" s="29" t="s">
        <v>4883</v>
      </c>
      <c r="E4727" s="29" t="s">
        <v>4885</v>
      </c>
      <c r="F4727" s="62"/>
      <c r="G4727" s="20" t="str">
        <f t="shared" si="1"/>
        <v>Sporting Goods, Indoor Games, Throwing Darts, Dart Parts</v>
      </c>
    </row>
    <row r="4728">
      <c r="A4728" s="29">
        <v>3766.0</v>
      </c>
      <c r="B4728" s="29" t="s">
        <v>4555</v>
      </c>
      <c r="C4728" s="29" t="s">
        <v>4839</v>
      </c>
      <c r="D4728" s="29" t="s">
        <v>4883</v>
      </c>
      <c r="E4728" s="29" t="s">
        <v>4885</v>
      </c>
      <c r="F4728" s="29" t="s">
        <v>4886</v>
      </c>
      <c r="G4728" s="20" t="str">
        <f t="shared" si="1"/>
        <v>Sporting Goods, Indoor Games, Throwing Darts, Dart PartsDart Flights</v>
      </c>
    </row>
    <row r="4729">
      <c r="A4729" s="29">
        <v>3109.0</v>
      </c>
      <c r="B4729" s="29" t="s">
        <v>4555</v>
      </c>
      <c r="C4729" s="29" t="s">
        <v>4839</v>
      </c>
      <c r="D4729" s="29" t="s">
        <v>4883</v>
      </c>
      <c r="E4729" s="29" t="s">
        <v>4885</v>
      </c>
      <c r="F4729" s="29" t="s">
        <v>4887</v>
      </c>
      <c r="G4729" s="20" t="str">
        <f t="shared" si="1"/>
        <v>Sporting Goods, Indoor Games, Throwing Darts, Dart PartsDart Shafts</v>
      </c>
    </row>
    <row r="4730">
      <c r="A4730" s="29">
        <v>3250.0</v>
      </c>
      <c r="B4730" s="29" t="s">
        <v>4555</v>
      </c>
      <c r="C4730" s="29" t="s">
        <v>4839</v>
      </c>
      <c r="D4730" s="29" t="s">
        <v>4883</v>
      </c>
      <c r="E4730" s="29" t="s">
        <v>4885</v>
      </c>
      <c r="F4730" s="29" t="s">
        <v>4888</v>
      </c>
      <c r="G4730" s="20" t="str">
        <f t="shared" si="1"/>
        <v>Sporting Goods, Indoor Games, Throwing Darts, Dart PartsDart Tips</v>
      </c>
    </row>
    <row r="4731">
      <c r="A4731" s="29">
        <v>3559.0</v>
      </c>
      <c r="B4731" s="29" t="s">
        <v>4555</v>
      </c>
      <c r="C4731" s="29" t="s">
        <v>4839</v>
      </c>
      <c r="D4731" s="29" t="s">
        <v>4883</v>
      </c>
      <c r="E4731" s="29" t="s">
        <v>4889</v>
      </c>
      <c r="F4731" s="62"/>
      <c r="G4731" s="20" t="str">
        <f t="shared" si="1"/>
        <v>Sporting Goods, Indoor Games, Throwing Darts, Dartboards</v>
      </c>
    </row>
    <row r="4732">
      <c r="A4732" s="29">
        <v>3839.0</v>
      </c>
      <c r="B4732" s="29" t="s">
        <v>4555</v>
      </c>
      <c r="C4732" s="29" t="s">
        <v>4839</v>
      </c>
      <c r="D4732" s="29" t="s">
        <v>4883</v>
      </c>
      <c r="E4732" s="29" t="s">
        <v>4890</v>
      </c>
      <c r="F4732" s="62"/>
      <c r="G4732" s="20" t="str">
        <f t="shared" si="1"/>
        <v>Sporting Goods, Indoor Games, Throwing Darts, Darts</v>
      </c>
    </row>
    <row r="4733">
      <c r="A4733" s="29">
        <v>1011.0</v>
      </c>
      <c r="B4733" s="29" t="s">
        <v>4555</v>
      </c>
      <c r="C4733" s="29" t="s">
        <v>4891</v>
      </c>
      <c r="D4733" s="62"/>
      <c r="E4733" s="62"/>
      <c r="F4733" s="62"/>
      <c r="G4733" s="20" t="str">
        <f t="shared" si="1"/>
        <v>Sporting Goods, Outdoor Recreation, , </v>
      </c>
    </row>
    <row r="4734">
      <c r="A4734" s="29">
        <v>499811.0</v>
      </c>
      <c r="B4734" s="29" t="s">
        <v>4555</v>
      </c>
      <c r="C4734" s="29" t="s">
        <v>4891</v>
      </c>
      <c r="D4734" s="29" t="s">
        <v>4892</v>
      </c>
      <c r="E4734" s="62"/>
      <c r="F4734" s="62"/>
      <c r="G4734" s="20" t="str">
        <f t="shared" si="1"/>
        <v>Sporting Goods, Outdoor Recreation, Boating &amp; Water Sports, </v>
      </c>
    </row>
    <row r="4735">
      <c r="A4735" s="29">
        <v>1120.0</v>
      </c>
      <c r="B4735" s="29" t="s">
        <v>4555</v>
      </c>
      <c r="C4735" s="29" t="s">
        <v>4891</v>
      </c>
      <c r="D4735" s="29" t="s">
        <v>4892</v>
      </c>
      <c r="E4735" s="29" t="s">
        <v>4893</v>
      </c>
      <c r="F4735" s="62"/>
      <c r="G4735" s="20" t="str">
        <f t="shared" si="1"/>
        <v>Sporting Goods, Outdoor Recreation, Boating &amp; Water Sports, Boating &amp; Rafting</v>
      </c>
    </row>
    <row r="4736">
      <c r="A4736" s="29">
        <v>7449.0</v>
      </c>
      <c r="B4736" s="29" t="s">
        <v>4555</v>
      </c>
      <c r="C4736" s="29" t="s">
        <v>4891</v>
      </c>
      <c r="D4736" s="29" t="s">
        <v>4892</v>
      </c>
      <c r="E4736" s="29" t="s">
        <v>4893</v>
      </c>
      <c r="F4736" s="29" t="s">
        <v>4894</v>
      </c>
      <c r="G4736" s="20" t="str">
        <f t="shared" si="1"/>
        <v>Sporting Goods, Outdoor Recreation, Boating &amp; Water Sports, Boating &amp; RaftingBoating Gloves</v>
      </c>
    </row>
    <row r="4737">
      <c r="A4737" s="29">
        <v>6314.0</v>
      </c>
      <c r="B4737" s="29" t="s">
        <v>4555</v>
      </c>
      <c r="C4737" s="29" t="s">
        <v>4891</v>
      </c>
      <c r="D4737" s="29" t="s">
        <v>4892</v>
      </c>
      <c r="E4737" s="29" t="s">
        <v>4893</v>
      </c>
      <c r="F4737" s="29" t="s">
        <v>4895</v>
      </c>
      <c r="G4737" s="20" t="str">
        <f t="shared" si="1"/>
        <v>Sporting Goods, Outdoor Recreation, Boating &amp; Water Sports, Boating &amp; RaftingCanoe Accessories</v>
      </c>
    </row>
    <row r="4738">
      <c r="A4738" s="29">
        <v>1124.0</v>
      </c>
      <c r="B4738" s="29" t="s">
        <v>4555</v>
      </c>
      <c r="C4738" s="29" t="s">
        <v>4891</v>
      </c>
      <c r="D4738" s="29" t="s">
        <v>4892</v>
      </c>
      <c r="E4738" s="29" t="s">
        <v>4893</v>
      </c>
      <c r="F4738" s="29" t="s">
        <v>4896</v>
      </c>
      <c r="G4738" s="20" t="str">
        <f t="shared" si="1"/>
        <v>Sporting Goods, Outdoor Recreation, Boating &amp; Water Sports, Boating &amp; RaftingCanoes</v>
      </c>
    </row>
    <row r="4739">
      <c r="A4739" s="29">
        <v>6312.0</v>
      </c>
      <c r="B4739" s="29" t="s">
        <v>4555</v>
      </c>
      <c r="C4739" s="29" t="s">
        <v>4891</v>
      </c>
      <c r="D4739" s="29" t="s">
        <v>4892</v>
      </c>
      <c r="E4739" s="29" t="s">
        <v>4893</v>
      </c>
      <c r="F4739" s="29" t="s">
        <v>4897</v>
      </c>
      <c r="G4739" s="20" t="str">
        <f t="shared" si="1"/>
        <v>Sporting Goods, Outdoor Recreation, Boating &amp; Water Sports, Boating &amp; RaftingKayak Accessories</v>
      </c>
    </row>
    <row r="4740">
      <c r="A4740" s="29">
        <v>1127.0</v>
      </c>
      <c r="B4740" s="29" t="s">
        <v>4555</v>
      </c>
      <c r="C4740" s="29" t="s">
        <v>4891</v>
      </c>
      <c r="D4740" s="29" t="s">
        <v>4892</v>
      </c>
      <c r="E4740" s="29" t="s">
        <v>4893</v>
      </c>
      <c r="F4740" s="29" t="s">
        <v>4898</v>
      </c>
      <c r="G4740" s="20" t="str">
        <f t="shared" si="1"/>
        <v>Sporting Goods, Outdoor Recreation, Boating &amp; Water Sports, Boating &amp; RaftingKayaks</v>
      </c>
    </row>
    <row r="4741">
      <c r="A4741" s="29">
        <v>499964.0</v>
      </c>
      <c r="B4741" s="29" t="s">
        <v>4555</v>
      </c>
      <c r="C4741" s="29" t="s">
        <v>4891</v>
      </c>
      <c r="D4741" s="29" t="s">
        <v>4892</v>
      </c>
      <c r="E4741" s="29" t="s">
        <v>4893</v>
      </c>
      <c r="F4741" s="29" t="s">
        <v>4899</v>
      </c>
      <c r="G4741" s="20" t="str">
        <f t="shared" si="1"/>
        <v>Sporting Goods, Outdoor Recreation, Boating &amp; Water Sports, Boating &amp; RaftingPaddle Leashes</v>
      </c>
    </row>
    <row r="4742">
      <c r="A4742" s="29">
        <v>1129.0</v>
      </c>
      <c r="B4742" s="29" t="s">
        <v>4555</v>
      </c>
      <c r="C4742" s="29" t="s">
        <v>4891</v>
      </c>
      <c r="D4742" s="29" t="s">
        <v>4892</v>
      </c>
      <c r="E4742" s="29" t="s">
        <v>4893</v>
      </c>
      <c r="F4742" s="29" t="s">
        <v>4900</v>
      </c>
      <c r="G4742" s="20" t="str">
        <f t="shared" si="1"/>
        <v>Sporting Goods, Outdoor Recreation, Boating &amp; Water Sports, Boating &amp; RaftingPaddles &amp; Oars</v>
      </c>
    </row>
    <row r="4743">
      <c r="A4743" s="29">
        <v>6097.0</v>
      </c>
      <c r="B4743" s="29" t="s">
        <v>4555</v>
      </c>
      <c r="C4743" s="29" t="s">
        <v>4891</v>
      </c>
      <c r="D4743" s="29" t="s">
        <v>4892</v>
      </c>
      <c r="E4743" s="29" t="s">
        <v>4893</v>
      </c>
      <c r="F4743" s="29" t="s">
        <v>4901</v>
      </c>
      <c r="G4743" s="20" t="str">
        <f t="shared" si="1"/>
        <v>Sporting Goods, Outdoor Recreation, Boating &amp; Water Sports, Boating &amp; RaftingPedal Boats</v>
      </c>
    </row>
    <row r="4744">
      <c r="A4744" s="29">
        <v>3406.0</v>
      </c>
      <c r="B4744" s="29" t="s">
        <v>4555</v>
      </c>
      <c r="C4744" s="29" t="s">
        <v>4891</v>
      </c>
      <c r="D4744" s="29" t="s">
        <v>4892</v>
      </c>
      <c r="E4744" s="29" t="s">
        <v>4893</v>
      </c>
      <c r="F4744" s="29" t="s">
        <v>4902</v>
      </c>
      <c r="G4744" s="20" t="str">
        <f t="shared" si="1"/>
        <v>Sporting Goods, Outdoor Recreation, Boating &amp; Water Sports, Boating &amp; RaftingRow Boats</v>
      </c>
    </row>
    <row r="4745">
      <c r="A4745" s="29">
        <v>3476.0</v>
      </c>
      <c r="B4745" s="29" t="s">
        <v>4555</v>
      </c>
      <c r="C4745" s="29" t="s">
        <v>4891</v>
      </c>
      <c r="D4745" s="29" t="s">
        <v>4892</v>
      </c>
      <c r="E4745" s="29" t="s">
        <v>4893</v>
      </c>
      <c r="F4745" s="29" t="s">
        <v>4903</v>
      </c>
      <c r="G4745" s="20" t="str">
        <f t="shared" si="1"/>
        <v>Sporting Goods, Outdoor Recreation, Boating &amp; Water Sports, Boating &amp; RaftingWhitewater Rafts</v>
      </c>
    </row>
    <row r="4746">
      <c r="A4746" s="29">
        <v>499813.0</v>
      </c>
      <c r="B4746" s="29" t="s">
        <v>4555</v>
      </c>
      <c r="C4746" s="29" t="s">
        <v>4891</v>
      </c>
      <c r="D4746" s="29" t="s">
        <v>4892</v>
      </c>
      <c r="E4746" s="29" t="s">
        <v>4904</v>
      </c>
      <c r="F4746" s="62"/>
      <c r="G4746" s="20" t="str">
        <f t="shared" si="1"/>
        <v>Sporting Goods, Outdoor Recreation, Boating &amp; Water Sports, Boating &amp; Water Sport Apparel</v>
      </c>
    </row>
    <row r="4747">
      <c r="A4747" s="29">
        <v>1138.0</v>
      </c>
      <c r="B4747" s="29" t="s">
        <v>4555</v>
      </c>
      <c r="C4747" s="29" t="s">
        <v>4891</v>
      </c>
      <c r="D4747" s="29" t="s">
        <v>4892</v>
      </c>
      <c r="E4747" s="29" t="s">
        <v>4904</v>
      </c>
      <c r="F4747" s="29" t="s">
        <v>4905</v>
      </c>
      <c r="G4747" s="20" t="str">
        <f t="shared" si="1"/>
        <v>Sporting Goods, Outdoor Recreation, Boating &amp; Water Sports, Boating &amp; Water Sport ApparelDrysuits</v>
      </c>
    </row>
    <row r="4748">
      <c r="A4748" s="29">
        <v>6496.0</v>
      </c>
      <c r="B4748" s="29" t="s">
        <v>4555</v>
      </c>
      <c r="C4748" s="29" t="s">
        <v>4891</v>
      </c>
      <c r="D4748" s="29" t="s">
        <v>4892</v>
      </c>
      <c r="E4748" s="29" t="s">
        <v>4904</v>
      </c>
      <c r="F4748" s="29" t="s">
        <v>4906</v>
      </c>
      <c r="G4748" s="20" t="str">
        <f t="shared" si="1"/>
        <v>Sporting Goods, Outdoor Recreation, Boating &amp; Water Sports, Boating &amp; Water Sport ApparelLife Jacket Accessories</v>
      </c>
    </row>
    <row r="4749">
      <c r="A4749" s="29">
        <v>1128.0</v>
      </c>
      <c r="B4749" s="29" t="s">
        <v>4555</v>
      </c>
      <c r="C4749" s="29" t="s">
        <v>4891</v>
      </c>
      <c r="D4749" s="29" t="s">
        <v>4892</v>
      </c>
      <c r="E4749" s="29" t="s">
        <v>4904</v>
      </c>
      <c r="F4749" s="29" t="s">
        <v>4907</v>
      </c>
      <c r="G4749" s="20" t="str">
        <f t="shared" si="1"/>
        <v>Sporting Goods, Outdoor Recreation, Boating &amp; Water Sports, Boating &amp; Water Sport ApparelLife Jackets</v>
      </c>
    </row>
    <row r="4750">
      <c r="A4750" s="29">
        <v>3376.0</v>
      </c>
      <c r="B4750" s="29" t="s">
        <v>4555</v>
      </c>
      <c r="C4750" s="29" t="s">
        <v>4891</v>
      </c>
      <c r="D4750" s="29" t="s">
        <v>4892</v>
      </c>
      <c r="E4750" s="29" t="s">
        <v>4904</v>
      </c>
      <c r="F4750" s="29" t="s">
        <v>4908</v>
      </c>
      <c r="G4750" s="20" t="str">
        <f t="shared" si="1"/>
        <v>Sporting Goods, Outdoor Recreation, Boating &amp; Water Sports, Boating &amp; Water Sport ApparelRash Guards &amp; Swim Shirts</v>
      </c>
    </row>
    <row r="4751">
      <c r="A4751" s="29">
        <v>499687.0</v>
      </c>
      <c r="B4751" s="29" t="s">
        <v>4555</v>
      </c>
      <c r="C4751" s="29" t="s">
        <v>4891</v>
      </c>
      <c r="D4751" s="29" t="s">
        <v>4892</v>
      </c>
      <c r="E4751" s="29" t="s">
        <v>4904</v>
      </c>
      <c r="F4751" s="29" t="s">
        <v>4909</v>
      </c>
      <c r="G4751" s="20" t="str">
        <f t="shared" si="1"/>
        <v>Sporting Goods, Outdoor Recreation, Boating &amp; Water Sports, Boating &amp; Water Sport ApparelWater Sport Helmets</v>
      </c>
    </row>
    <row r="4752">
      <c r="A4752" s="29">
        <v>499814.0</v>
      </c>
      <c r="B4752" s="29" t="s">
        <v>4555</v>
      </c>
      <c r="C4752" s="29" t="s">
        <v>4891</v>
      </c>
      <c r="D4752" s="29" t="s">
        <v>4892</v>
      </c>
      <c r="E4752" s="29" t="s">
        <v>4904</v>
      </c>
      <c r="F4752" s="29" t="s">
        <v>4910</v>
      </c>
      <c r="G4752" s="20" t="str">
        <f t="shared" si="1"/>
        <v>Sporting Goods, Outdoor Recreation, Boating &amp; Water Sports, Boating &amp; Water Sport ApparelWetsuit Pieces</v>
      </c>
    </row>
    <row r="4753">
      <c r="A4753" s="29">
        <v>5400.0</v>
      </c>
      <c r="B4753" s="29" t="s">
        <v>4555</v>
      </c>
      <c r="C4753" s="29" t="s">
        <v>4891</v>
      </c>
      <c r="D4753" s="29" t="s">
        <v>4892</v>
      </c>
      <c r="E4753" s="29" t="s">
        <v>4904</v>
      </c>
      <c r="F4753" s="29" t="s">
        <v>4910</v>
      </c>
      <c r="G4753" s="20" t="str">
        <f t="shared" si="1"/>
        <v>Sporting Goods, Outdoor Recreation, Boating &amp; Water Sports, Boating &amp; Water Sport ApparelWetsuit Pieces</v>
      </c>
    </row>
    <row r="4754">
      <c r="A4754" s="29">
        <v>5399.0</v>
      </c>
      <c r="B4754" s="29" t="s">
        <v>4555</v>
      </c>
      <c r="C4754" s="29" t="s">
        <v>4891</v>
      </c>
      <c r="D4754" s="29" t="s">
        <v>4892</v>
      </c>
      <c r="E4754" s="29" t="s">
        <v>4904</v>
      </c>
      <c r="F4754" s="29" t="s">
        <v>4910</v>
      </c>
      <c r="G4754" s="20" t="str">
        <f t="shared" si="1"/>
        <v>Sporting Goods, Outdoor Recreation, Boating &amp; Water Sports, Boating &amp; Water Sport ApparelWetsuit Pieces</v>
      </c>
    </row>
    <row r="4755">
      <c r="A4755" s="29">
        <v>5401.0</v>
      </c>
      <c r="B4755" s="29" t="s">
        <v>4555</v>
      </c>
      <c r="C4755" s="29" t="s">
        <v>4891</v>
      </c>
      <c r="D4755" s="29" t="s">
        <v>4892</v>
      </c>
      <c r="E4755" s="29" t="s">
        <v>4904</v>
      </c>
      <c r="F4755" s="29" t="s">
        <v>4910</v>
      </c>
      <c r="G4755" s="20" t="str">
        <f t="shared" si="1"/>
        <v>Sporting Goods, Outdoor Recreation, Boating &amp; Water Sports, Boating &amp; Water Sport ApparelWetsuit Pieces</v>
      </c>
    </row>
    <row r="4756">
      <c r="A4756" s="29">
        <v>1147.0</v>
      </c>
      <c r="B4756" s="29" t="s">
        <v>4555</v>
      </c>
      <c r="C4756" s="29" t="s">
        <v>4891</v>
      </c>
      <c r="D4756" s="29" t="s">
        <v>4892</v>
      </c>
      <c r="E4756" s="29" t="s">
        <v>4904</v>
      </c>
      <c r="F4756" s="29" t="s">
        <v>4911</v>
      </c>
      <c r="G4756" s="20" t="str">
        <f t="shared" si="1"/>
        <v>Sporting Goods, Outdoor Recreation, Boating &amp; Water Sports, Boating &amp; Water Sport ApparelWetsuits</v>
      </c>
    </row>
    <row r="4757">
      <c r="A4757" s="29">
        <v>1135.0</v>
      </c>
      <c r="B4757" s="29" t="s">
        <v>4555</v>
      </c>
      <c r="C4757" s="29" t="s">
        <v>4891</v>
      </c>
      <c r="D4757" s="29" t="s">
        <v>4892</v>
      </c>
      <c r="E4757" s="29" t="s">
        <v>4912</v>
      </c>
      <c r="F4757" s="62"/>
      <c r="G4757" s="20" t="str">
        <f t="shared" si="1"/>
        <v>Sporting Goods, Outdoor Recreation, Boating &amp; Water Sports, Diving &amp; Snorkeling</v>
      </c>
    </row>
    <row r="4758">
      <c r="A4758" s="29">
        <v>1136.0</v>
      </c>
      <c r="B4758" s="29" t="s">
        <v>4555</v>
      </c>
      <c r="C4758" s="29" t="s">
        <v>4891</v>
      </c>
      <c r="D4758" s="29" t="s">
        <v>4892</v>
      </c>
      <c r="E4758" s="29" t="s">
        <v>4912</v>
      </c>
      <c r="F4758" s="29" t="s">
        <v>4913</v>
      </c>
      <c r="G4758" s="20" t="str">
        <f t="shared" si="1"/>
        <v>Sporting Goods, Outdoor Recreation, Boating &amp; Water Sports, Diving &amp; SnorkelingBuoyancy Compensators</v>
      </c>
    </row>
    <row r="4759">
      <c r="A4759" s="29">
        <v>1137.0</v>
      </c>
      <c r="B4759" s="29" t="s">
        <v>4555</v>
      </c>
      <c r="C4759" s="29" t="s">
        <v>4891</v>
      </c>
      <c r="D4759" s="29" t="s">
        <v>4892</v>
      </c>
      <c r="E4759" s="29" t="s">
        <v>4912</v>
      </c>
      <c r="F4759" s="29" t="s">
        <v>4914</v>
      </c>
      <c r="G4759" s="20" t="str">
        <f t="shared" si="1"/>
        <v>Sporting Goods, Outdoor Recreation, Boating &amp; Water Sports, Diving &amp; SnorkelingDive Computers</v>
      </c>
    </row>
    <row r="4760">
      <c r="A4760" s="29">
        <v>499867.0</v>
      </c>
      <c r="B4760" s="29" t="s">
        <v>4555</v>
      </c>
      <c r="C4760" s="29" t="s">
        <v>4891</v>
      </c>
      <c r="D4760" s="29" t="s">
        <v>4892</v>
      </c>
      <c r="E4760" s="29" t="s">
        <v>4912</v>
      </c>
      <c r="F4760" s="29" t="s">
        <v>4915</v>
      </c>
      <c r="G4760" s="20" t="str">
        <f t="shared" si="1"/>
        <v>Sporting Goods, Outdoor Recreation, Boating &amp; Water Sports, Diving &amp; SnorkelingDiving &amp; Snorkeling Equipment Sets</v>
      </c>
    </row>
    <row r="4761">
      <c r="A4761" s="29">
        <v>1139.0</v>
      </c>
      <c r="B4761" s="29" t="s">
        <v>4555</v>
      </c>
      <c r="C4761" s="29" t="s">
        <v>4891</v>
      </c>
      <c r="D4761" s="29" t="s">
        <v>4892</v>
      </c>
      <c r="E4761" s="29" t="s">
        <v>4912</v>
      </c>
      <c r="F4761" s="29" t="s">
        <v>4916</v>
      </c>
      <c r="G4761" s="20" t="str">
        <f t="shared" si="1"/>
        <v>Sporting Goods, Outdoor Recreation, Boating &amp; Water Sports, Diving &amp; SnorkelingDiving &amp; Snorkeling Fins</v>
      </c>
    </row>
    <row r="4762">
      <c r="A4762" s="29">
        <v>1140.0</v>
      </c>
      <c r="B4762" s="29" t="s">
        <v>4555</v>
      </c>
      <c r="C4762" s="29" t="s">
        <v>4891</v>
      </c>
      <c r="D4762" s="29" t="s">
        <v>4892</v>
      </c>
      <c r="E4762" s="29" t="s">
        <v>4912</v>
      </c>
      <c r="F4762" s="29" t="s">
        <v>4917</v>
      </c>
      <c r="G4762" s="20" t="str">
        <f t="shared" si="1"/>
        <v>Sporting Goods, Outdoor Recreation, Boating &amp; Water Sports, Diving &amp; SnorkelingDiving &amp; Snorkeling Masks</v>
      </c>
    </row>
    <row r="4763">
      <c r="A4763" s="29">
        <v>6514.0</v>
      </c>
      <c r="B4763" s="29" t="s">
        <v>4555</v>
      </c>
      <c r="C4763" s="29" t="s">
        <v>4891</v>
      </c>
      <c r="D4763" s="29" t="s">
        <v>4892</v>
      </c>
      <c r="E4763" s="29" t="s">
        <v>4912</v>
      </c>
      <c r="F4763" s="29" t="s">
        <v>4918</v>
      </c>
      <c r="G4763" s="20" t="str">
        <f t="shared" si="1"/>
        <v>Sporting Goods, Outdoor Recreation, Boating &amp; Water Sports, Diving &amp; SnorkelingDiving Belts</v>
      </c>
    </row>
    <row r="4764">
      <c r="A4764" s="29">
        <v>5312.0</v>
      </c>
      <c r="B4764" s="29" t="s">
        <v>4555</v>
      </c>
      <c r="C4764" s="29" t="s">
        <v>4891</v>
      </c>
      <c r="D4764" s="29" t="s">
        <v>4892</v>
      </c>
      <c r="E4764" s="29" t="s">
        <v>4912</v>
      </c>
      <c r="F4764" s="29" t="s">
        <v>4919</v>
      </c>
      <c r="G4764" s="20" t="str">
        <f t="shared" si="1"/>
        <v>Sporting Goods, Outdoor Recreation, Boating &amp; Water Sports, Diving &amp; SnorkelingDiving Knives &amp; Shears</v>
      </c>
    </row>
    <row r="4765">
      <c r="A4765" s="29">
        <v>1141.0</v>
      </c>
      <c r="B4765" s="29" t="s">
        <v>4555</v>
      </c>
      <c r="C4765" s="29" t="s">
        <v>4891</v>
      </c>
      <c r="D4765" s="29" t="s">
        <v>4892</v>
      </c>
      <c r="E4765" s="29" t="s">
        <v>4912</v>
      </c>
      <c r="F4765" s="29" t="s">
        <v>4920</v>
      </c>
      <c r="G4765" s="20" t="str">
        <f t="shared" si="1"/>
        <v>Sporting Goods, Outdoor Recreation, Boating &amp; Water Sports, Diving &amp; SnorkelingDiving Regulators</v>
      </c>
    </row>
    <row r="4766">
      <c r="A4766" s="29">
        <v>1142.0</v>
      </c>
      <c r="B4766" s="29" t="s">
        <v>4555</v>
      </c>
      <c r="C4766" s="29" t="s">
        <v>4891</v>
      </c>
      <c r="D4766" s="29" t="s">
        <v>4892</v>
      </c>
      <c r="E4766" s="29" t="s">
        <v>4912</v>
      </c>
      <c r="F4766" s="29" t="s">
        <v>4921</v>
      </c>
      <c r="G4766" s="20" t="str">
        <f t="shared" si="1"/>
        <v>Sporting Goods, Outdoor Recreation, Boating &amp; Water Sports, Diving &amp; SnorkelingSnorkels</v>
      </c>
    </row>
    <row r="4767">
      <c r="A4767" s="29">
        <v>5579.0</v>
      </c>
      <c r="B4767" s="29" t="s">
        <v>4555</v>
      </c>
      <c r="C4767" s="29" t="s">
        <v>4891</v>
      </c>
      <c r="D4767" s="29" t="s">
        <v>4892</v>
      </c>
      <c r="E4767" s="29" t="s">
        <v>4922</v>
      </c>
      <c r="F4767" s="62"/>
      <c r="G4767" s="20" t="str">
        <f t="shared" si="1"/>
        <v>Sporting Goods, Outdoor Recreation, Boating &amp; Water Sports, Kitesurfing</v>
      </c>
    </row>
    <row r="4768">
      <c r="A4768" s="29">
        <v>5584.0</v>
      </c>
      <c r="B4768" s="29" t="s">
        <v>4555</v>
      </c>
      <c r="C4768" s="29" t="s">
        <v>4891</v>
      </c>
      <c r="D4768" s="29" t="s">
        <v>4892</v>
      </c>
      <c r="E4768" s="29" t="s">
        <v>4922</v>
      </c>
      <c r="F4768" s="29" t="s">
        <v>4923</v>
      </c>
      <c r="G4768" s="20" t="str">
        <f t="shared" si="1"/>
        <v>Sporting Goods, Outdoor Recreation, Boating &amp; Water Sports, KitesurfingKiteboard Cases</v>
      </c>
    </row>
    <row r="4769">
      <c r="A4769" s="29">
        <v>5581.0</v>
      </c>
      <c r="B4769" s="29" t="s">
        <v>4555</v>
      </c>
      <c r="C4769" s="29" t="s">
        <v>4891</v>
      </c>
      <c r="D4769" s="29" t="s">
        <v>4892</v>
      </c>
      <c r="E4769" s="29" t="s">
        <v>4922</v>
      </c>
      <c r="F4769" s="29" t="s">
        <v>4924</v>
      </c>
      <c r="G4769" s="20" t="str">
        <f t="shared" si="1"/>
        <v>Sporting Goods, Outdoor Recreation, Boating &amp; Water Sports, KitesurfingKiteboard Parts</v>
      </c>
    </row>
    <row r="4770">
      <c r="A4770" s="29">
        <v>5580.0</v>
      </c>
      <c r="B4770" s="29" t="s">
        <v>4555</v>
      </c>
      <c r="C4770" s="29" t="s">
        <v>4891</v>
      </c>
      <c r="D4770" s="29" t="s">
        <v>4892</v>
      </c>
      <c r="E4770" s="29" t="s">
        <v>4922</v>
      </c>
      <c r="F4770" s="29" t="s">
        <v>4925</v>
      </c>
      <c r="G4770" s="20" t="str">
        <f t="shared" si="1"/>
        <v>Sporting Goods, Outdoor Recreation, Boating &amp; Water Sports, KitesurfingKiteboards</v>
      </c>
    </row>
    <row r="4771">
      <c r="A4771" s="29">
        <v>5583.0</v>
      </c>
      <c r="B4771" s="29" t="s">
        <v>4555</v>
      </c>
      <c r="C4771" s="29" t="s">
        <v>4891</v>
      </c>
      <c r="D4771" s="29" t="s">
        <v>4892</v>
      </c>
      <c r="E4771" s="29" t="s">
        <v>4922</v>
      </c>
      <c r="F4771" s="29" t="s">
        <v>4926</v>
      </c>
      <c r="G4771" s="20" t="str">
        <f t="shared" si="1"/>
        <v>Sporting Goods, Outdoor Recreation, Boating &amp; Water Sports, KitesurfingKitesurfing &amp; Windsurfing Harnesses</v>
      </c>
    </row>
    <row r="4772">
      <c r="A4772" s="29">
        <v>5582.0</v>
      </c>
      <c r="B4772" s="29" t="s">
        <v>4555</v>
      </c>
      <c r="C4772" s="29" t="s">
        <v>4891</v>
      </c>
      <c r="D4772" s="29" t="s">
        <v>4892</v>
      </c>
      <c r="E4772" s="29" t="s">
        <v>4922</v>
      </c>
      <c r="F4772" s="29" t="s">
        <v>4927</v>
      </c>
      <c r="G4772" s="20" t="str">
        <f t="shared" si="1"/>
        <v>Sporting Goods, Outdoor Recreation, Boating &amp; Water Sports, KitesurfingKitesurfing Kites</v>
      </c>
    </row>
    <row r="4773">
      <c r="A4773" s="29">
        <v>1143.0</v>
      </c>
      <c r="B4773" s="29" t="s">
        <v>4555</v>
      </c>
      <c r="C4773" s="29" t="s">
        <v>4891</v>
      </c>
      <c r="D4773" s="29" t="s">
        <v>4892</v>
      </c>
      <c r="E4773" s="29" t="s">
        <v>4928</v>
      </c>
      <c r="F4773" s="62"/>
      <c r="G4773" s="20" t="str">
        <f t="shared" si="1"/>
        <v>Sporting Goods, Outdoor Recreation, Boating &amp; Water Sports, Surfing</v>
      </c>
    </row>
    <row r="4774">
      <c r="A4774" s="29">
        <v>6287.0</v>
      </c>
      <c r="B4774" s="29" t="s">
        <v>4555</v>
      </c>
      <c r="C4774" s="29" t="s">
        <v>4891</v>
      </c>
      <c r="D4774" s="29" t="s">
        <v>4892</v>
      </c>
      <c r="E4774" s="29" t="s">
        <v>4928</v>
      </c>
      <c r="F4774" s="29" t="s">
        <v>4929</v>
      </c>
      <c r="G4774" s="20" t="str">
        <f t="shared" si="1"/>
        <v>Sporting Goods, Outdoor Recreation, Boating &amp; Water Sports, SurfingBodyboards</v>
      </c>
    </row>
    <row r="4775">
      <c r="A4775" s="29">
        <v>6288.0</v>
      </c>
      <c r="B4775" s="29" t="s">
        <v>4555</v>
      </c>
      <c r="C4775" s="29" t="s">
        <v>4891</v>
      </c>
      <c r="D4775" s="29" t="s">
        <v>4892</v>
      </c>
      <c r="E4775" s="29" t="s">
        <v>4928</v>
      </c>
      <c r="F4775" s="29" t="s">
        <v>4930</v>
      </c>
      <c r="G4775" s="20" t="str">
        <f t="shared" si="1"/>
        <v>Sporting Goods, Outdoor Recreation, Boating &amp; Water Sports, SurfingPaddleboards</v>
      </c>
    </row>
    <row r="4776">
      <c r="A4776" s="29">
        <v>6286.0</v>
      </c>
      <c r="B4776" s="29" t="s">
        <v>4555</v>
      </c>
      <c r="C4776" s="29" t="s">
        <v>4891</v>
      </c>
      <c r="D4776" s="29" t="s">
        <v>4892</v>
      </c>
      <c r="E4776" s="29" t="s">
        <v>4928</v>
      </c>
      <c r="F4776" s="29" t="s">
        <v>4931</v>
      </c>
      <c r="G4776" s="20" t="str">
        <f t="shared" si="1"/>
        <v>Sporting Goods, Outdoor Recreation, Boating &amp; Water Sports, SurfingSkimboards</v>
      </c>
    </row>
    <row r="4777">
      <c r="A4777" s="29">
        <v>3649.0</v>
      </c>
      <c r="B4777" s="29" t="s">
        <v>4555</v>
      </c>
      <c r="C4777" s="29" t="s">
        <v>4891</v>
      </c>
      <c r="D4777" s="29" t="s">
        <v>4892</v>
      </c>
      <c r="E4777" s="29" t="s">
        <v>4928</v>
      </c>
      <c r="F4777" s="29" t="s">
        <v>4932</v>
      </c>
      <c r="G4777" s="20" t="str">
        <f t="shared" si="1"/>
        <v>Sporting Goods, Outdoor Recreation, Boating &amp; Water Sports, SurfingSurf Leashes</v>
      </c>
    </row>
    <row r="4778">
      <c r="A4778" s="29">
        <v>3579.0</v>
      </c>
      <c r="B4778" s="29" t="s">
        <v>4555</v>
      </c>
      <c r="C4778" s="29" t="s">
        <v>4891</v>
      </c>
      <c r="D4778" s="29" t="s">
        <v>4892</v>
      </c>
      <c r="E4778" s="29" t="s">
        <v>4928</v>
      </c>
      <c r="F4778" s="29" t="s">
        <v>4933</v>
      </c>
      <c r="G4778" s="20" t="str">
        <f t="shared" si="1"/>
        <v>Sporting Goods, Outdoor Recreation, Boating &amp; Water Sports, SurfingSurfboard Cases &amp; Bags</v>
      </c>
    </row>
    <row r="4779">
      <c r="A4779" s="29">
        <v>3525.0</v>
      </c>
      <c r="B4779" s="29" t="s">
        <v>4555</v>
      </c>
      <c r="C4779" s="29" t="s">
        <v>4891</v>
      </c>
      <c r="D4779" s="29" t="s">
        <v>4892</v>
      </c>
      <c r="E4779" s="29" t="s">
        <v>4928</v>
      </c>
      <c r="F4779" s="29" t="s">
        <v>4934</v>
      </c>
      <c r="G4779" s="20" t="str">
        <f t="shared" si="1"/>
        <v>Sporting Goods, Outdoor Recreation, Boating &amp; Water Sports, SurfingSurfboard Fins</v>
      </c>
    </row>
    <row r="4780">
      <c r="A4780" s="29">
        <v>3801.0</v>
      </c>
      <c r="B4780" s="29" t="s">
        <v>4555</v>
      </c>
      <c r="C4780" s="29" t="s">
        <v>4891</v>
      </c>
      <c r="D4780" s="29" t="s">
        <v>4892</v>
      </c>
      <c r="E4780" s="29" t="s">
        <v>4928</v>
      </c>
      <c r="F4780" s="29" t="s">
        <v>4935</v>
      </c>
      <c r="G4780" s="20" t="str">
        <f t="shared" si="1"/>
        <v>Sporting Goods, Outdoor Recreation, Boating &amp; Water Sports, SurfingSurfboard Wax</v>
      </c>
    </row>
    <row r="4781">
      <c r="A4781" s="29">
        <v>3320.0</v>
      </c>
      <c r="B4781" s="29" t="s">
        <v>4555</v>
      </c>
      <c r="C4781" s="29" t="s">
        <v>4891</v>
      </c>
      <c r="D4781" s="29" t="s">
        <v>4892</v>
      </c>
      <c r="E4781" s="29" t="s">
        <v>4928</v>
      </c>
      <c r="F4781" s="29" t="s">
        <v>4936</v>
      </c>
      <c r="G4781" s="20" t="str">
        <f t="shared" si="1"/>
        <v>Sporting Goods, Outdoor Recreation, Boating &amp; Water Sports, SurfingSurfboards</v>
      </c>
    </row>
    <row r="4782">
      <c r="A4782" s="29">
        <v>7451.0</v>
      </c>
      <c r="B4782" s="29" t="s">
        <v>4555</v>
      </c>
      <c r="C4782" s="29" t="s">
        <v>4891</v>
      </c>
      <c r="D4782" s="29" t="s">
        <v>4892</v>
      </c>
      <c r="E4782" s="29" t="s">
        <v>4928</v>
      </c>
      <c r="F4782" s="29" t="s">
        <v>4937</v>
      </c>
      <c r="G4782" s="20" t="str">
        <f t="shared" si="1"/>
        <v>Sporting Goods, Outdoor Recreation, Boating &amp; Water Sports, SurfingSurfing Gloves</v>
      </c>
    </row>
    <row r="4783">
      <c r="A4783" s="29">
        <v>3762.0</v>
      </c>
      <c r="B4783" s="29" t="s">
        <v>4555</v>
      </c>
      <c r="C4783" s="29" t="s">
        <v>4891</v>
      </c>
      <c r="D4783" s="29" t="s">
        <v>4892</v>
      </c>
      <c r="E4783" s="29" t="s">
        <v>4928</v>
      </c>
      <c r="F4783" s="29" t="s">
        <v>4938</v>
      </c>
      <c r="G4783" s="20" t="str">
        <f t="shared" si="1"/>
        <v>Sporting Goods, Outdoor Recreation, Boating &amp; Water Sports, SurfingSurfing Tail Pads</v>
      </c>
    </row>
    <row r="4784">
      <c r="A4784" s="29">
        <v>1144.0</v>
      </c>
      <c r="B4784" s="29" t="s">
        <v>4555</v>
      </c>
      <c r="C4784" s="29" t="s">
        <v>4891</v>
      </c>
      <c r="D4784" s="29" t="s">
        <v>4892</v>
      </c>
      <c r="E4784" s="29" t="s">
        <v>4939</v>
      </c>
      <c r="F4784" s="62"/>
      <c r="G4784" s="20" t="str">
        <f t="shared" si="1"/>
        <v>Sporting Goods, Outdoor Recreation, Boating &amp; Water Sports, Swimming</v>
      </c>
    </row>
    <row r="4785">
      <c r="A4785" s="29">
        <v>7104.0</v>
      </c>
      <c r="B4785" s="29" t="s">
        <v>4555</v>
      </c>
      <c r="C4785" s="29" t="s">
        <v>4891</v>
      </c>
      <c r="D4785" s="29" t="s">
        <v>4892</v>
      </c>
      <c r="E4785" s="29" t="s">
        <v>4939</v>
      </c>
      <c r="F4785" s="29" t="s">
        <v>4940</v>
      </c>
      <c r="G4785" s="20" t="str">
        <f t="shared" si="1"/>
        <v>Sporting Goods, Outdoor Recreation, Boating &amp; Water Sports, SwimmingChild Swimming Aids</v>
      </c>
    </row>
    <row r="4786">
      <c r="A4786" s="29">
        <v>6473.0</v>
      </c>
      <c r="B4786" s="29" t="s">
        <v>4555</v>
      </c>
      <c r="C4786" s="29" t="s">
        <v>4891</v>
      </c>
      <c r="D4786" s="29" t="s">
        <v>4892</v>
      </c>
      <c r="E4786" s="29" t="s">
        <v>4939</v>
      </c>
      <c r="F4786" s="29" t="s">
        <v>4941</v>
      </c>
      <c r="G4786" s="20" t="str">
        <f t="shared" si="1"/>
        <v>Sporting Goods, Outdoor Recreation, Boating &amp; Water Sports, SwimmingHand Paddles</v>
      </c>
    </row>
    <row r="4787">
      <c r="A4787" s="29">
        <v>2966.0</v>
      </c>
      <c r="B4787" s="29" t="s">
        <v>4555</v>
      </c>
      <c r="C4787" s="29" t="s">
        <v>4891</v>
      </c>
      <c r="D4787" s="29" t="s">
        <v>4892</v>
      </c>
      <c r="E4787" s="29" t="s">
        <v>4939</v>
      </c>
      <c r="F4787" s="29" t="s">
        <v>4942</v>
      </c>
      <c r="G4787" s="20" t="str">
        <f t="shared" si="1"/>
        <v>Sporting Goods, Outdoor Recreation, Boating &amp; Water Sports, SwimmingKickboards</v>
      </c>
    </row>
    <row r="4788">
      <c r="A4788" s="29">
        <v>3595.0</v>
      </c>
      <c r="B4788" s="29" t="s">
        <v>4555</v>
      </c>
      <c r="C4788" s="29" t="s">
        <v>4891</v>
      </c>
      <c r="D4788" s="29" t="s">
        <v>4892</v>
      </c>
      <c r="E4788" s="29" t="s">
        <v>4939</v>
      </c>
      <c r="F4788" s="29" t="s">
        <v>4943</v>
      </c>
      <c r="G4788" s="20" t="str">
        <f t="shared" si="1"/>
        <v>Sporting Goods, Outdoor Recreation, Boating &amp; Water Sports, SwimmingPull Buoys</v>
      </c>
    </row>
    <row r="4789">
      <c r="A4789" s="29">
        <v>6513.0</v>
      </c>
      <c r="B4789" s="29" t="s">
        <v>4555</v>
      </c>
      <c r="C4789" s="29" t="s">
        <v>4891</v>
      </c>
      <c r="D4789" s="29" t="s">
        <v>4892</v>
      </c>
      <c r="E4789" s="29" t="s">
        <v>4939</v>
      </c>
      <c r="F4789" s="29" t="s">
        <v>4944</v>
      </c>
      <c r="G4789" s="20" t="str">
        <f t="shared" si="1"/>
        <v>Sporting Goods, Outdoor Recreation, Boating &amp; Water Sports, SwimmingSwim Belts</v>
      </c>
    </row>
    <row r="4790">
      <c r="A4790" s="29">
        <v>3807.0</v>
      </c>
      <c r="B4790" s="29" t="s">
        <v>4555</v>
      </c>
      <c r="C4790" s="29" t="s">
        <v>4891</v>
      </c>
      <c r="D4790" s="29" t="s">
        <v>4892</v>
      </c>
      <c r="E4790" s="29" t="s">
        <v>4939</v>
      </c>
      <c r="F4790" s="29" t="s">
        <v>4945</v>
      </c>
      <c r="G4790" s="20" t="str">
        <f t="shared" si="1"/>
        <v>Sporting Goods, Outdoor Recreation, Boating &amp; Water Sports, SwimmingSwim Caps</v>
      </c>
    </row>
    <row r="4791">
      <c r="A4791" s="29">
        <v>3304.0</v>
      </c>
      <c r="B4791" s="29" t="s">
        <v>4555</v>
      </c>
      <c r="C4791" s="29" t="s">
        <v>4891</v>
      </c>
      <c r="D4791" s="29" t="s">
        <v>4892</v>
      </c>
      <c r="E4791" s="29" t="s">
        <v>4939</v>
      </c>
      <c r="F4791" s="29" t="s">
        <v>4946</v>
      </c>
      <c r="G4791" s="20" t="str">
        <f t="shared" si="1"/>
        <v>Sporting Goods, Outdoor Recreation, Boating &amp; Water Sports, SwimmingSwim Gloves</v>
      </c>
    </row>
    <row r="4792">
      <c r="A4792" s="29">
        <v>6330.0</v>
      </c>
      <c r="B4792" s="29" t="s">
        <v>4555</v>
      </c>
      <c r="C4792" s="29" t="s">
        <v>4891</v>
      </c>
      <c r="D4792" s="29" t="s">
        <v>4892</v>
      </c>
      <c r="E4792" s="29" t="s">
        <v>4939</v>
      </c>
      <c r="F4792" s="29" t="s">
        <v>4947</v>
      </c>
      <c r="G4792" s="20" t="str">
        <f t="shared" si="1"/>
        <v>Sporting Goods, Outdoor Recreation, Boating &amp; Water Sports, SwimmingSwim Goggle &amp; Mask Accessories</v>
      </c>
    </row>
    <row r="4793">
      <c r="A4793" s="29">
        <v>3360.0</v>
      </c>
      <c r="B4793" s="29" t="s">
        <v>4555</v>
      </c>
      <c r="C4793" s="29" t="s">
        <v>4891</v>
      </c>
      <c r="D4793" s="29" t="s">
        <v>4892</v>
      </c>
      <c r="E4793" s="29" t="s">
        <v>4939</v>
      </c>
      <c r="F4793" s="29" t="s">
        <v>4948</v>
      </c>
      <c r="G4793" s="20" t="str">
        <f t="shared" si="1"/>
        <v>Sporting Goods, Outdoor Recreation, Boating &amp; Water Sports, SwimmingSwim Goggles &amp; Masks</v>
      </c>
    </row>
    <row r="4794">
      <c r="A4794" s="29">
        <v>6550.0</v>
      </c>
      <c r="B4794" s="29" t="s">
        <v>4555</v>
      </c>
      <c r="C4794" s="29" t="s">
        <v>4891</v>
      </c>
      <c r="D4794" s="29" t="s">
        <v>4892</v>
      </c>
      <c r="E4794" s="29" t="s">
        <v>4939</v>
      </c>
      <c r="F4794" s="29" t="s">
        <v>4949</v>
      </c>
      <c r="G4794" s="20" t="str">
        <f t="shared" si="1"/>
        <v>Sporting Goods, Outdoor Recreation, Boating &amp; Water Sports, SwimmingSwim Weights</v>
      </c>
    </row>
    <row r="4795">
      <c r="A4795" s="29">
        <v>6511.0</v>
      </c>
      <c r="B4795" s="29" t="s">
        <v>4555</v>
      </c>
      <c r="C4795" s="29" t="s">
        <v>4891</v>
      </c>
      <c r="D4795" s="29" t="s">
        <v>4892</v>
      </c>
      <c r="E4795" s="29" t="s">
        <v>4939</v>
      </c>
      <c r="F4795" s="29" t="s">
        <v>4950</v>
      </c>
      <c r="G4795" s="20" t="str">
        <f t="shared" si="1"/>
        <v>Sporting Goods, Outdoor Recreation, Boating &amp; Water Sports, SwimmingSwimming Fins</v>
      </c>
    </row>
    <row r="4796">
      <c r="A4796" s="29">
        <v>6512.0</v>
      </c>
      <c r="B4796" s="29" t="s">
        <v>4555</v>
      </c>
      <c r="C4796" s="29" t="s">
        <v>4891</v>
      </c>
      <c r="D4796" s="29" t="s">
        <v>4892</v>
      </c>
      <c r="E4796" s="29" t="s">
        <v>4939</v>
      </c>
      <c r="F4796" s="29" t="s">
        <v>4950</v>
      </c>
      <c r="G4796" s="20" t="str">
        <f t="shared" si="1"/>
        <v>Sporting Goods, Outdoor Recreation, Boating &amp; Water Sports, SwimmingSwimming Fins</v>
      </c>
    </row>
    <row r="4797">
      <c r="A4797" s="29">
        <v>2512.0</v>
      </c>
      <c r="B4797" s="29" t="s">
        <v>4555</v>
      </c>
      <c r="C4797" s="29" t="s">
        <v>4891</v>
      </c>
      <c r="D4797" s="29" t="s">
        <v>4892</v>
      </c>
      <c r="E4797" s="29" t="s">
        <v>4939</v>
      </c>
      <c r="F4797" s="29" t="s">
        <v>4950</v>
      </c>
      <c r="G4797" s="20" t="str">
        <f t="shared" si="1"/>
        <v>Sporting Goods, Outdoor Recreation, Boating &amp; Water Sports, SwimmingSwimming Fins</v>
      </c>
    </row>
    <row r="4798">
      <c r="A4798" s="29">
        <v>3596.0</v>
      </c>
      <c r="B4798" s="29" t="s">
        <v>4555</v>
      </c>
      <c r="C4798" s="29" t="s">
        <v>4891</v>
      </c>
      <c r="D4798" s="29" t="s">
        <v>4892</v>
      </c>
      <c r="E4798" s="29" t="s">
        <v>4939</v>
      </c>
      <c r="F4798" s="29" t="s">
        <v>4951</v>
      </c>
      <c r="G4798" s="20" t="str">
        <f t="shared" si="1"/>
        <v>Sporting Goods, Outdoor Recreation, Boating &amp; Water Sports, SwimmingSwimming Machines</v>
      </c>
    </row>
    <row r="4799">
      <c r="A4799" s="29">
        <v>6515.0</v>
      </c>
      <c r="B4799" s="29" t="s">
        <v>4555</v>
      </c>
      <c r="C4799" s="29" t="s">
        <v>4891</v>
      </c>
      <c r="D4799" s="29" t="s">
        <v>4892</v>
      </c>
      <c r="E4799" s="29" t="s">
        <v>4939</v>
      </c>
      <c r="F4799" s="29" t="s">
        <v>4952</v>
      </c>
      <c r="G4799" s="20" t="str">
        <f t="shared" si="1"/>
        <v>Sporting Goods, Outdoor Recreation, Boating &amp; Water Sports, SwimmingSwimming Nose Clips</v>
      </c>
    </row>
    <row r="4800">
      <c r="A4800" s="29">
        <v>3195.0</v>
      </c>
      <c r="B4800" s="29" t="s">
        <v>4555</v>
      </c>
      <c r="C4800" s="29" t="s">
        <v>4891</v>
      </c>
      <c r="D4800" s="29" t="s">
        <v>4892</v>
      </c>
      <c r="E4800" s="29" t="s">
        <v>4953</v>
      </c>
      <c r="F4800" s="62"/>
      <c r="G4800" s="20" t="str">
        <f t="shared" si="1"/>
        <v>Sporting Goods, Outdoor Recreation, Boating &amp; Water Sports, Towed Water Sports</v>
      </c>
    </row>
    <row r="4801">
      <c r="A4801" s="29">
        <v>3370.0</v>
      </c>
      <c r="B4801" s="29" t="s">
        <v>4555</v>
      </c>
      <c r="C4801" s="29" t="s">
        <v>4891</v>
      </c>
      <c r="D4801" s="29" t="s">
        <v>4892</v>
      </c>
      <c r="E4801" s="29" t="s">
        <v>4953</v>
      </c>
      <c r="F4801" s="29" t="s">
        <v>4954</v>
      </c>
      <c r="G4801" s="20" t="str">
        <f t="shared" si="1"/>
        <v>Sporting Goods, Outdoor Recreation, Boating &amp; Water Sports, Towed Water SportsKneeboarding</v>
      </c>
    </row>
    <row r="4802">
      <c r="A4802" s="29">
        <v>3101.0</v>
      </c>
      <c r="B4802" s="29" t="s">
        <v>4555</v>
      </c>
      <c r="C4802" s="29" t="s">
        <v>4891</v>
      </c>
      <c r="D4802" s="29" t="s">
        <v>4892</v>
      </c>
      <c r="E4802" s="29" t="s">
        <v>4953</v>
      </c>
      <c r="F4802" s="29" t="s">
        <v>4954</v>
      </c>
      <c r="G4802" s="20" t="str">
        <f t="shared" si="1"/>
        <v>Sporting Goods, Outdoor Recreation, Boating &amp; Water Sports, Towed Water SportsKneeboarding</v>
      </c>
    </row>
    <row r="4803">
      <c r="A4803" s="29">
        <v>6301.0</v>
      </c>
      <c r="B4803" s="29" t="s">
        <v>4555</v>
      </c>
      <c r="C4803" s="29" t="s">
        <v>4891</v>
      </c>
      <c r="D4803" s="29" t="s">
        <v>4892</v>
      </c>
      <c r="E4803" s="29" t="s">
        <v>4953</v>
      </c>
      <c r="F4803" s="29" t="s">
        <v>4955</v>
      </c>
      <c r="G4803" s="20" t="str">
        <f t="shared" si="1"/>
        <v>Sporting Goods, Outdoor Recreation, Boating &amp; Water Sports, Towed Water SportsTowable Rafts &amp; Tubes</v>
      </c>
    </row>
    <row r="4804">
      <c r="A4804" s="29">
        <v>7452.0</v>
      </c>
      <c r="B4804" s="29" t="s">
        <v>4555</v>
      </c>
      <c r="C4804" s="29" t="s">
        <v>4891</v>
      </c>
      <c r="D4804" s="29" t="s">
        <v>4892</v>
      </c>
      <c r="E4804" s="29" t="s">
        <v>4953</v>
      </c>
      <c r="F4804" s="29" t="s">
        <v>4956</v>
      </c>
      <c r="G4804" s="20" t="str">
        <f t="shared" si="1"/>
        <v>Sporting Goods, Outdoor Recreation, Boating &amp; Water Sports, Towed Water SportsTowed Water Sport Gloves</v>
      </c>
    </row>
    <row r="4805">
      <c r="A4805" s="29">
        <v>3282.0</v>
      </c>
      <c r="B4805" s="29" t="s">
        <v>4555</v>
      </c>
      <c r="C4805" s="29" t="s">
        <v>4891</v>
      </c>
      <c r="D4805" s="29" t="s">
        <v>4892</v>
      </c>
      <c r="E4805" s="29" t="s">
        <v>4953</v>
      </c>
      <c r="F4805" s="29" t="s">
        <v>4957</v>
      </c>
      <c r="G4805" s="20" t="str">
        <f t="shared" si="1"/>
        <v>Sporting Goods, Outdoor Recreation, Boating &amp; Water Sports, Towed Water SportsWakeboarding</v>
      </c>
    </row>
    <row r="4806">
      <c r="A4806" s="29">
        <v>505317.0</v>
      </c>
      <c r="B4806" s="29" t="s">
        <v>4555</v>
      </c>
      <c r="C4806" s="29" t="s">
        <v>4891</v>
      </c>
      <c r="D4806" s="29" t="s">
        <v>4892</v>
      </c>
      <c r="E4806" s="29" t="s">
        <v>4953</v>
      </c>
      <c r="F4806" s="29" t="s">
        <v>4957</v>
      </c>
      <c r="G4806" s="20" t="str">
        <f t="shared" si="1"/>
        <v>Sporting Goods, Outdoor Recreation, Boating &amp; Water Sports, Towed Water SportsWakeboarding</v>
      </c>
    </row>
    <row r="4807">
      <c r="A4807" s="29">
        <v>505291.0</v>
      </c>
      <c r="B4807" s="29" t="s">
        <v>4555</v>
      </c>
      <c r="C4807" s="29" t="s">
        <v>4891</v>
      </c>
      <c r="D4807" s="29" t="s">
        <v>4892</v>
      </c>
      <c r="E4807" s="29" t="s">
        <v>4953</v>
      </c>
      <c r="F4807" s="29" t="s">
        <v>4957</v>
      </c>
      <c r="G4807" s="20" t="str">
        <f t="shared" si="1"/>
        <v>Sporting Goods, Outdoor Recreation, Boating &amp; Water Sports, Towed Water SportsWakeboarding</v>
      </c>
    </row>
    <row r="4808">
      <c r="A4808" s="29">
        <v>3353.0</v>
      </c>
      <c r="B4808" s="29" t="s">
        <v>4555</v>
      </c>
      <c r="C4808" s="29" t="s">
        <v>4891</v>
      </c>
      <c r="D4808" s="29" t="s">
        <v>4892</v>
      </c>
      <c r="E4808" s="29" t="s">
        <v>4953</v>
      </c>
      <c r="F4808" s="29" t="s">
        <v>4957</v>
      </c>
      <c r="G4808" s="20" t="str">
        <f t="shared" si="1"/>
        <v>Sporting Goods, Outdoor Recreation, Boating &amp; Water Sports, Towed Water SportsWakeboarding</v>
      </c>
    </row>
    <row r="4809">
      <c r="A4809" s="29">
        <v>1146.0</v>
      </c>
      <c r="B4809" s="29" t="s">
        <v>4555</v>
      </c>
      <c r="C4809" s="29" t="s">
        <v>4891</v>
      </c>
      <c r="D4809" s="29" t="s">
        <v>4892</v>
      </c>
      <c r="E4809" s="29" t="s">
        <v>4953</v>
      </c>
      <c r="F4809" s="29" t="s">
        <v>4958</v>
      </c>
      <c r="G4809" s="20" t="str">
        <f t="shared" si="1"/>
        <v>Sporting Goods, Outdoor Recreation, Boating &amp; Water Sports, Towed Water SportsWater Skiing</v>
      </c>
    </row>
    <row r="4810">
      <c r="A4810" s="29">
        <v>3289.0</v>
      </c>
      <c r="B4810" s="29" t="s">
        <v>4555</v>
      </c>
      <c r="C4810" s="29" t="s">
        <v>4891</v>
      </c>
      <c r="D4810" s="29" t="s">
        <v>4892</v>
      </c>
      <c r="E4810" s="29" t="s">
        <v>4953</v>
      </c>
      <c r="F4810" s="29" t="s">
        <v>4958</v>
      </c>
      <c r="G4810" s="20" t="str">
        <f t="shared" si="1"/>
        <v>Sporting Goods, Outdoor Recreation, Boating &amp; Water Sports, Towed Water SportsWater Skiing</v>
      </c>
    </row>
    <row r="4811">
      <c r="A4811" s="29">
        <v>6302.0</v>
      </c>
      <c r="B4811" s="29" t="s">
        <v>4555</v>
      </c>
      <c r="C4811" s="29" t="s">
        <v>4891</v>
      </c>
      <c r="D4811" s="29" t="s">
        <v>4892</v>
      </c>
      <c r="E4811" s="29" t="s">
        <v>4953</v>
      </c>
      <c r="F4811" s="29" t="s">
        <v>4958</v>
      </c>
      <c r="G4811" s="20" t="str">
        <f t="shared" si="1"/>
        <v>Sporting Goods, Outdoor Recreation, Boating &amp; Water Sports, Towed Water SportsWater Skiing</v>
      </c>
    </row>
    <row r="4812">
      <c r="A4812" s="29">
        <v>6296.0</v>
      </c>
      <c r="B4812" s="29" t="s">
        <v>4555</v>
      </c>
      <c r="C4812" s="29" t="s">
        <v>4891</v>
      </c>
      <c r="D4812" s="29" t="s">
        <v>4892</v>
      </c>
      <c r="E4812" s="29" t="s">
        <v>4953</v>
      </c>
      <c r="F4812" s="29" t="s">
        <v>4958</v>
      </c>
      <c r="G4812" s="20" t="str">
        <f t="shared" si="1"/>
        <v>Sporting Goods, Outdoor Recreation, Boating &amp; Water Sports, Towed Water SportsWater Skiing</v>
      </c>
    </row>
    <row r="4813">
      <c r="A4813" s="29">
        <v>3350.0</v>
      </c>
      <c r="B4813" s="29" t="s">
        <v>4555</v>
      </c>
      <c r="C4813" s="29" t="s">
        <v>4891</v>
      </c>
      <c r="D4813" s="29" t="s">
        <v>4892</v>
      </c>
      <c r="E4813" s="29" t="s">
        <v>4953</v>
      </c>
      <c r="F4813" s="29" t="s">
        <v>4958</v>
      </c>
      <c r="G4813" s="20" t="str">
        <f t="shared" si="1"/>
        <v>Sporting Goods, Outdoor Recreation, Boating &amp; Water Sports, Towed Water SportsWater Skiing</v>
      </c>
    </row>
    <row r="4814">
      <c r="A4814" s="29">
        <v>3636.0</v>
      </c>
      <c r="B4814" s="29" t="s">
        <v>4555</v>
      </c>
      <c r="C4814" s="29" t="s">
        <v>4891</v>
      </c>
      <c r="D4814" s="29" t="s">
        <v>4892</v>
      </c>
      <c r="E4814" s="29" t="s">
        <v>4953</v>
      </c>
      <c r="F4814" s="29" t="s">
        <v>4959</v>
      </c>
      <c r="G4814" s="20" t="str">
        <f t="shared" si="1"/>
        <v>Sporting Goods, Outdoor Recreation, Boating &amp; Water Sports, Towed Water SportsWater Sport Tow Cables</v>
      </c>
    </row>
    <row r="4815">
      <c r="A4815" s="29">
        <v>7178.0</v>
      </c>
      <c r="B4815" s="29" t="s">
        <v>4555</v>
      </c>
      <c r="C4815" s="29" t="s">
        <v>4891</v>
      </c>
      <c r="D4815" s="29" t="s">
        <v>4892</v>
      </c>
      <c r="E4815" s="29" t="s">
        <v>4960</v>
      </c>
      <c r="F4815" s="62"/>
      <c r="G4815" s="20" t="str">
        <f t="shared" si="1"/>
        <v>Sporting Goods, Outdoor Recreation, Boating &amp; Water Sports, Watercraft Storage Racks</v>
      </c>
    </row>
    <row r="4816">
      <c r="A4816" s="29">
        <v>8172.0</v>
      </c>
      <c r="B4816" s="29" t="s">
        <v>4555</v>
      </c>
      <c r="C4816" s="29" t="s">
        <v>4891</v>
      </c>
      <c r="D4816" s="29" t="s">
        <v>4892</v>
      </c>
      <c r="E4816" s="29" t="s">
        <v>4960</v>
      </c>
      <c r="F4816" s="29" t="s">
        <v>4961</v>
      </c>
      <c r="G4816" s="20" t="str">
        <f t="shared" si="1"/>
        <v>Sporting Goods, Outdoor Recreation, Boating &amp; Water Sports, Watercraft Storage RacksBoat Storage Racks</v>
      </c>
    </row>
    <row r="4817">
      <c r="A4817" s="29">
        <v>8173.0</v>
      </c>
      <c r="B4817" s="29" t="s">
        <v>4555</v>
      </c>
      <c r="C4817" s="29" t="s">
        <v>4891</v>
      </c>
      <c r="D4817" s="29" t="s">
        <v>4892</v>
      </c>
      <c r="E4817" s="29" t="s">
        <v>4960</v>
      </c>
      <c r="F4817" s="29" t="s">
        <v>4962</v>
      </c>
      <c r="G4817" s="20" t="str">
        <f t="shared" si="1"/>
        <v>Sporting Goods, Outdoor Recreation, Boating &amp; Water Sports, Watercraft Storage RacksWater Sport Board Storage Racks</v>
      </c>
    </row>
    <row r="4818">
      <c r="A4818" s="29">
        <v>1148.0</v>
      </c>
      <c r="B4818" s="29" t="s">
        <v>4555</v>
      </c>
      <c r="C4818" s="29" t="s">
        <v>4891</v>
      </c>
      <c r="D4818" s="29" t="s">
        <v>4892</v>
      </c>
      <c r="E4818" s="29" t="s">
        <v>4963</v>
      </c>
      <c r="F4818" s="62"/>
      <c r="G4818" s="20" t="str">
        <f t="shared" si="1"/>
        <v>Sporting Goods, Outdoor Recreation, Boating &amp; Water Sports, Windsurfing</v>
      </c>
    </row>
    <row r="4819">
      <c r="A4819" s="29">
        <v>3624.0</v>
      </c>
      <c r="B4819" s="29" t="s">
        <v>4555</v>
      </c>
      <c r="C4819" s="29" t="s">
        <v>4891</v>
      </c>
      <c r="D4819" s="29" t="s">
        <v>4892</v>
      </c>
      <c r="E4819" s="29" t="s">
        <v>4963</v>
      </c>
      <c r="F4819" s="29" t="s">
        <v>4964</v>
      </c>
      <c r="G4819" s="20" t="str">
        <f t="shared" si="1"/>
        <v>Sporting Goods, Outdoor Recreation, Boating &amp; Water Sports, WindsurfingWindsurfing Board Parts</v>
      </c>
    </row>
    <row r="4820">
      <c r="A4820" s="29">
        <v>3908.0</v>
      </c>
      <c r="B4820" s="29" t="s">
        <v>4555</v>
      </c>
      <c r="C4820" s="29" t="s">
        <v>4891</v>
      </c>
      <c r="D4820" s="29" t="s">
        <v>4892</v>
      </c>
      <c r="E4820" s="29" t="s">
        <v>4963</v>
      </c>
      <c r="F4820" s="29" t="s">
        <v>4964</v>
      </c>
      <c r="G4820" s="20" t="str">
        <f t="shared" si="1"/>
        <v>Sporting Goods, Outdoor Recreation, Boating &amp; Water Sports, WindsurfingWindsurfing Board Parts</v>
      </c>
    </row>
    <row r="4821">
      <c r="A4821" s="29">
        <v>3285.0</v>
      </c>
      <c r="B4821" s="29" t="s">
        <v>4555</v>
      </c>
      <c r="C4821" s="29" t="s">
        <v>4891</v>
      </c>
      <c r="D4821" s="29" t="s">
        <v>4892</v>
      </c>
      <c r="E4821" s="29" t="s">
        <v>4963</v>
      </c>
      <c r="F4821" s="29" t="s">
        <v>4964</v>
      </c>
      <c r="G4821" s="20" t="str">
        <f t="shared" si="1"/>
        <v>Sporting Goods, Outdoor Recreation, Boating &amp; Water Sports, WindsurfingWindsurfing Board Parts</v>
      </c>
    </row>
    <row r="4822">
      <c r="A4822" s="29">
        <v>3894.0</v>
      </c>
      <c r="B4822" s="29" t="s">
        <v>4555</v>
      </c>
      <c r="C4822" s="29" t="s">
        <v>4891</v>
      </c>
      <c r="D4822" s="29" t="s">
        <v>4892</v>
      </c>
      <c r="E4822" s="29" t="s">
        <v>4963</v>
      </c>
      <c r="F4822" s="29" t="s">
        <v>4965</v>
      </c>
      <c r="G4822" s="20" t="str">
        <f t="shared" si="1"/>
        <v>Sporting Goods, Outdoor Recreation, Boating &amp; Water Sports, WindsurfingWindsurfing Boards</v>
      </c>
    </row>
    <row r="4823">
      <c r="A4823" s="29">
        <v>3413.0</v>
      </c>
      <c r="B4823" s="29" t="s">
        <v>4555</v>
      </c>
      <c r="C4823" s="29" t="s">
        <v>4891</v>
      </c>
      <c r="D4823" s="29" t="s">
        <v>4892</v>
      </c>
      <c r="E4823" s="29" t="s">
        <v>4963</v>
      </c>
      <c r="F4823" s="29" t="s">
        <v>4966</v>
      </c>
      <c r="G4823" s="20" t="str">
        <f t="shared" si="1"/>
        <v>Sporting Goods, Outdoor Recreation, Boating &amp; Water Sports, WindsurfingWindsurfing Sails</v>
      </c>
    </row>
    <row r="4824">
      <c r="A4824" s="29">
        <v>1013.0</v>
      </c>
      <c r="B4824" s="29" t="s">
        <v>4555</v>
      </c>
      <c r="C4824" s="29" t="s">
        <v>4891</v>
      </c>
      <c r="D4824" s="29" t="s">
        <v>4967</v>
      </c>
      <c r="E4824" s="62"/>
      <c r="F4824" s="62"/>
      <c r="G4824" s="20" t="str">
        <f t="shared" si="1"/>
        <v>Sporting Goods, Outdoor Recreation, Camping &amp; Hiking, </v>
      </c>
    </row>
    <row r="4825">
      <c r="A4825" s="29">
        <v>1014.0</v>
      </c>
      <c r="B4825" s="29" t="s">
        <v>4555</v>
      </c>
      <c r="C4825" s="29" t="s">
        <v>4891</v>
      </c>
      <c r="D4825" s="29" t="s">
        <v>4967</v>
      </c>
      <c r="E4825" s="29" t="s">
        <v>4968</v>
      </c>
      <c r="F4825" s="62"/>
      <c r="G4825" s="20" t="str">
        <f t="shared" si="1"/>
        <v>Sporting Goods, Outdoor Recreation, Camping &amp; Hiking, Camp Furniture</v>
      </c>
    </row>
    <row r="4826">
      <c r="A4826" s="29">
        <v>4451.0</v>
      </c>
      <c r="B4826" s="29" t="s">
        <v>4555</v>
      </c>
      <c r="C4826" s="29" t="s">
        <v>4891</v>
      </c>
      <c r="D4826" s="29" t="s">
        <v>4967</v>
      </c>
      <c r="E4826" s="29" t="s">
        <v>4968</v>
      </c>
      <c r="F4826" s="29" t="s">
        <v>4969</v>
      </c>
      <c r="G4826" s="20" t="str">
        <f t="shared" si="1"/>
        <v>Sporting Goods, Outdoor Recreation, Camping &amp; Hiking, Camp FurnitureAir Mattress &amp; Sleeping Pad Accessories</v>
      </c>
    </row>
    <row r="4827">
      <c r="A4827" s="29">
        <v>3695.0</v>
      </c>
      <c r="B4827" s="29" t="s">
        <v>4555</v>
      </c>
      <c r="C4827" s="29" t="s">
        <v>4891</v>
      </c>
      <c r="D4827" s="29" t="s">
        <v>4967</v>
      </c>
      <c r="E4827" s="29" t="s">
        <v>4968</v>
      </c>
      <c r="F4827" s="29" t="s">
        <v>4970</v>
      </c>
      <c r="G4827" s="20" t="str">
        <f t="shared" si="1"/>
        <v>Sporting Goods, Outdoor Recreation, Camping &amp; Hiking, Camp FurnitureAir Mattresses</v>
      </c>
    </row>
    <row r="4828">
      <c r="A4828" s="29">
        <v>3089.0</v>
      </c>
      <c r="B4828" s="29" t="s">
        <v>4555</v>
      </c>
      <c r="C4828" s="29" t="s">
        <v>4891</v>
      </c>
      <c r="D4828" s="29" t="s">
        <v>4967</v>
      </c>
      <c r="E4828" s="29" t="s">
        <v>4968</v>
      </c>
      <c r="F4828" s="29" t="s">
        <v>4971</v>
      </c>
      <c r="G4828" s="20" t="str">
        <f t="shared" si="1"/>
        <v>Sporting Goods, Outdoor Recreation, Camping &amp; Hiking, Camp FurnitureCots</v>
      </c>
    </row>
    <row r="4829">
      <c r="A4829" s="29">
        <v>1016.0</v>
      </c>
      <c r="B4829" s="29" t="s">
        <v>4555</v>
      </c>
      <c r="C4829" s="29" t="s">
        <v>4891</v>
      </c>
      <c r="D4829" s="29" t="s">
        <v>4967</v>
      </c>
      <c r="E4829" s="29" t="s">
        <v>4972</v>
      </c>
      <c r="G4829" s="20" t="str">
        <f t="shared" si="1"/>
        <v>Sporting Goods, Outdoor Recreation, Camping &amp; Hiking, Camping Cookware &amp; Dinnerware</v>
      </c>
    </row>
    <row r="4830">
      <c r="A4830" s="29">
        <v>1019.0</v>
      </c>
      <c r="B4830" s="29" t="s">
        <v>4555</v>
      </c>
      <c r="C4830" s="29" t="s">
        <v>4891</v>
      </c>
      <c r="D4830" s="29" t="s">
        <v>4967</v>
      </c>
      <c r="E4830" s="29" t="s">
        <v>4973</v>
      </c>
      <c r="F4830" s="62"/>
      <c r="G4830" s="20" t="str">
        <f t="shared" si="1"/>
        <v>Sporting Goods, Outdoor Recreation, Camping &amp; Hiking, Camping Lights &amp; Lanterns</v>
      </c>
    </row>
    <row r="4831">
      <c r="A4831" s="29">
        <v>3937.0</v>
      </c>
      <c r="B4831" s="29" t="s">
        <v>4555</v>
      </c>
      <c r="C4831" s="29" t="s">
        <v>4891</v>
      </c>
      <c r="D4831" s="29" t="s">
        <v>4967</v>
      </c>
      <c r="E4831" s="29" t="s">
        <v>4974</v>
      </c>
      <c r="F4831" s="62"/>
      <c r="G4831" s="20" t="str">
        <f t="shared" si="1"/>
        <v>Sporting Goods, Outdoor Recreation, Camping &amp; Hiking, Camping Tools</v>
      </c>
    </row>
    <row r="4832">
      <c r="A4832" s="29">
        <v>3495.0</v>
      </c>
      <c r="B4832" s="29" t="s">
        <v>4555</v>
      </c>
      <c r="C4832" s="29" t="s">
        <v>4891</v>
      </c>
      <c r="D4832" s="29" t="s">
        <v>4967</v>
      </c>
      <c r="E4832" s="29" t="s">
        <v>4974</v>
      </c>
      <c r="F4832" s="29" t="s">
        <v>4975</v>
      </c>
      <c r="G4832" s="20" t="str">
        <f t="shared" si="1"/>
        <v>Sporting Goods, Outdoor Recreation, Camping &amp; Hiking, Camping ToolsHunting &amp; Survival Knives</v>
      </c>
    </row>
    <row r="4833">
      <c r="A4833" s="29">
        <v>4095.0</v>
      </c>
      <c r="B4833" s="29" t="s">
        <v>4555</v>
      </c>
      <c r="C4833" s="29" t="s">
        <v>4891</v>
      </c>
      <c r="D4833" s="29" t="s">
        <v>4967</v>
      </c>
      <c r="E4833" s="29" t="s">
        <v>4974</v>
      </c>
      <c r="F4833" s="29" t="s">
        <v>4976</v>
      </c>
      <c r="G4833" s="20" t="str">
        <f t="shared" si="1"/>
        <v>Sporting Goods, Outdoor Recreation, Camping &amp; Hiking, Camping ToolsMultifunction Tools &amp; Knives</v>
      </c>
    </row>
    <row r="4834">
      <c r="A4834" s="29">
        <v>3508.0</v>
      </c>
      <c r="B4834" s="29" t="s">
        <v>4555</v>
      </c>
      <c r="C4834" s="29" t="s">
        <v>4891</v>
      </c>
      <c r="D4834" s="29" t="s">
        <v>4967</v>
      </c>
      <c r="E4834" s="29" t="s">
        <v>4977</v>
      </c>
      <c r="F4834" s="62"/>
      <c r="G4834" s="20" t="str">
        <f t="shared" si="1"/>
        <v>Sporting Goods, Outdoor Recreation, Camping &amp; Hiking, Chemical Hand Warmers</v>
      </c>
    </row>
    <row r="4835">
      <c r="A4835" s="29">
        <v>5636.0</v>
      </c>
      <c r="B4835" s="29" t="s">
        <v>4555</v>
      </c>
      <c r="C4835" s="29" t="s">
        <v>4891</v>
      </c>
      <c r="D4835" s="29" t="s">
        <v>4967</v>
      </c>
      <c r="E4835" s="29" t="s">
        <v>4978</v>
      </c>
      <c r="F4835" s="62"/>
      <c r="G4835" s="20" t="str">
        <f t="shared" si="1"/>
        <v>Sporting Goods, Outdoor Recreation, Camping &amp; Hiking, Compression Sacks</v>
      </c>
    </row>
    <row r="4836">
      <c r="A4836" s="29">
        <v>7154.0</v>
      </c>
      <c r="B4836" s="29" t="s">
        <v>4555</v>
      </c>
      <c r="C4836" s="29" t="s">
        <v>4891</v>
      </c>
      <c r="D4836" s="29" t="s">
        <v>4967</v>
      </c>
      <c r="E4836" s="29" t="s">
        <v>4979</v>
      </c>
      <c r="F4836" s="62"/>
      <c r="G4836" s="20" t="str">
        <f t="shared" si="1"/>
        <v>Sporting Goods, Outdoor Recreation, Camping &amp; Hiking, Hiking Pole Accessories</v>
      </c>
    </row>
    <row r="4837">
      <c r="A4837" s="29">
        <v>3738.0</v>
      </c>
      <c r="B4837" s="29" t="s">
        <v>4555</v>
      </c>
      <c r="C4837" s="29" t="s">
        <v>4891</v>
      </c>
      <c r="D4837" s="29" t="s">
        <v>4967</v>
      </c>
      <c r="E4837" s="29" t="s">
        <v>4980</v>
      </c>
      <c r="F4837" s="62"/>
      <c r="G4837" s="20" t="str">
        <f t="shared" si="1"/>
        <v>Sporting Goods, Outdoor Recreation, Camping &amp; Hiking, Hiking Poles</v>
      </c>
    </row>
    <row r="4838">
      <c r="A4838" s="29">
        <v>3538.0</v>
      </c>
      <c r="B4838" s="29" t="s">
        <v>4555</v>
      </c>
      <c r="C4838" s="29" t="s">
        <v>4891</v>
      </c>
      <c r="D4838" s="29" t="s">
        <v>4967</v>
      </c>
      <c r="E4838" s="29" t="s">
        <v>4981</v>
      </c>
      <c r="F4838" s="62"/>
      <c r="G4838" s="20" t="str">
        <f t="shared" si="1"/>
        <v>Sporting Goods, Outdoor Recreation, Camping &amp; Hiking, Mosquito Nets &amp; Insect Screens</v>
      </c>
    </row>
    <row r="4839">
      <c r="A4839" s="29">
        <v>4785.0</v>
      </c>
      <c r="B4839" s="29" t="s">
        <v>4555</v>
      </c>
      <c r="C4839" s="29" t="s">
        <v>4891</v>
      </c>
      <c r="D4839" s="29" t="s">
        <v>4967</v>
      </c>
      <c r="E4839" s="29" t="s">
        <v>4982</v>
      </c>
      <c r="F4839" s="62"/>
      <c r="G4839" s="20" t="str">
        <f t="shared" si="1"/>
        <v>Sporting Goods, Outdoor Recreation, Camping &amp; Hiking, Navigational Compasses</v>
      </c>
    </row>
    <row r="4840">
      <c r="A4840" s="29">
        <v>502993.0</v>
      </c>
      <c r="B4840" s="29" t="s">
        <v>4555</v>
      </c>
      <c r="C4840" s="29" t="s">
        <v>4891</v>
      </c>
      <c r="D4840" s="29" t="s">
        <v>4967</v>
      </c>
      <c r="E4840" s="29" t="s">
        <v>4983</v>
      </c>
      <c r="F4840" s="62"/>
      <c r="G4840" s="20" t="str">
        <f t="shared" si="1"/>
        <v>Sporting Goods, Outdoor Recreation, Camping &amp; Hiking, Portable Toilets &amp; Showers</v>
      </c>
    </row>
    <row r="4841">
      <c r="A4841" s="29">
        <v>502994.0</v>
      </c>
      <c r="B4841" s="29" t="s">
        <v>4555</v>
      </c>
      <c r="C4841" s="29" t="s">
        <v>4891</v>
      </c>
      <c r="D4841" s="29" t="s">
        <v>4967</v>
      </c>
      <c r="E4841" s="29" t="s">
        <v>4983</v>
      </c>
      <c r="F4841" s="29" t="s">
        <v>4984</v>
      </c>
      <c r="G4841" s="20" t="str">
        <f t="shared" si="1"/>
        <v>Sporting Goods, Outdoor Recreation, Camping &amp; Hiking, Portable Toilets &amp; ShowersPortable Showers &amp; Privacy Enclosures</v>
      </c>
    </row>
    <row r="4842">
      <c r="A4842" s="29">
        <v>503009.0</v>
      </c>
      <c r="B4842" s="29" t="s">
        <v>4555</v>
      </c>
      <c r="C4842" s="29" t="s">
        <v>4891</v>
      </c>
      <c r="D4842" s="29" t="s">
        <v>4967</v>
      </c>
      <c r="E4842" s="29" t="s">
        <v>4983</v>
      </c>
      <c r="F4842" s="29" t="s">
        <v>4985</v>
      </c>
      <c r="G4842" s="20" t="str">
        <f t="shared" si="1"/>
        <v>Sporting Goods, Outdoor Recreation, Camping &amp; Hiking, Portable Toilets &amp; ShowersPortable Toilets &amp; Urination Devices</v>
      </c>
    </row>
    <row r="4843">
      <c r="A4843" s="29">
        <v>1023.0</v>
      </c>
      <c r="B4843" s="29" t="s">
        <v>4555</v>
      </c>
      <c r="C4843" s="29" t="s">
        <v>4891</v>
      </c>
      <c r="D4843" s="29" t="s">
        <v>4967</v>
      </c>
      <c r="E4843" s="29" t="s">
        <v>4986</v>
      </c>
      <c r="F4843" s="62"/>
      <c r="G4843" s="20" t="str">
        <f t="shared" si="1"/>
        <v>Sporting Goods, Outdoor Recreation, Camping &amp; Hiking, Portable Water Filters &amp; Purifiers</v>
      </c>
    </row>
    <row r="4844">
      <c r="A4844" s="29">
        <v>5881.0</v>
      </c>
      <c r="B4844" s="29" t="s">
        <v>4555</v>
      </c>
      <c r="C4844" s="29" t="s">
        <v>4891</v>
      </c>
      <c r="D4844" s="29" t="s">
        <v>4967</v>
      </c>
      <c r="E4844" s="29" t="s">
        <v>4987</v>
      </c>
      <c r="F4844" s="62"/>
      <c r="G4844" s="20" t="str">
        <f t="shared" si="1"/>
        <v>Sporting Goods, Outdoor Recreation, Camping &amp; Hiking, Sleeping Bag Liners</v>
      </c>
    </row>
    <row r="4845">
      <c r="A4845" s="29">
        <v>1020.0</v>
      </c>
      <c r="B4845" s="29" t="s">
        <v>4555</v>
      </c>
      <c r="C4845" s="29" t="s">
        <v>4891</v>
      </c>
      <c r="D4845" s="29" t="s">
        <v>4967</v>
      </c>
      <c r="E4845" s="29" t="s">
        <v>4988</v>
      </c>
      <c r="F4845" s="62"/>
      <c r="G4845" s="20" t="str">
        <f t="shared" si="1"/>
        <v>Sporting Goods, Outdoor Recreation, Camping &amp; Hiking, Sleeping Bags</v>
      </c>
    </row>
    <row r="4846">
      <c r="A4846" s="29">
        <v>1021.0</v>
      </c>
      <c r="B4846" s="29" t="s">
        <v>4555</v>
      </c>
      <c r="C4846" s="29" t="s">
        <v>4891</v>
      </c>
      <c r="D4846" s="29" t="s">
        <v>4967</v>
      </c>
      <c r="E4846" s="29" t="s">
        <v>4989</v>
      </c>
      <c r="F4846" s="62"/>
      <c r="G4846" s="20" t="str">
        <f t="shared" si="1"/>
        <v>Sporting Goods, Outdoor Recreation, Camping &amp; Hiking, Sleeping Pads</v>
      </c>
    </row>
    <row r="4847">
      <c r="A4847" s="29">
        <v>5655.0</v>
      </c>
      <c r="B4847" s="29" t="s">
        <v>4555</v>
      </c>
      <c r="C4847" s="29" t="s">
        <v>4891</v>
      </c>
      <c r="D4847" s="29" t="s">
        <v>4967</v>
      </c>
      <c r="E4847" s="29" t="s">
        <v>4990</v>
      </c>
      <c r="F4847" s="62"/>
      <c r="G4847" s="20" t="str">
        <f t="shared" si="1"/>
        <v>Sporting Goods, Outdoor Recreation, Camping &amp; Hiking, Tent Accessories</v>
      </c>
    </row>
    <row r="4848">
      <c r="A4848" s="29">
        <v>499680.0</v>
      </c>
      <c r="B4848" s="29" t="s">
        <v>4555</v>
      </c>
      <c r="C4848" s="29" t="s">
        <v>4891</v>
      </c>
      <c r="D4848" s="29" t="s">
        <v>4967</v>
      </c>
      <c r="E4848" s="29" t="s">
        <v>4990</v>
      </c>
      <c r="F4848" s="29" t="s">
        <v>4991</v>
      </c>
      <c r="G4848" s="20" t="str">
        <f t="shared" si="1"/>
        <v>Sporting Goods, Outdoor Recreation, Camping &amp; Hiking, Tent AccessoriesInner Tents</v>
      </c>
    </row>
    <row r="4849">
      <c r="A4849" s="29">
        <v>5656.0</v>
      </c>
      <c r="B4849" s="29" t="s">
        <v>4555</v>
      </c>
      <c r="C4849" s="29" t="s">
        <v>4891</v>
      </c>
      <c r="D4849" s="29" t="s">
        <v>4967</v>
      </c>
      <c r="E4849" s="29" t="s">
        <v>4990</v>
      </c>
      <c r="F4849" s="29" t="s">
        <v>4992</v>
      </c>
      <c r="G4849" s="20" t="str">
        <f t="shared" si="1"/>
        <v>Sporting Goods, Outdoor Recreation, Camping &amp; Hiking, Tent AccessoriesTent Footprints</v>
      </c>
    </row>
    <row r="4850">
      <c r="A4850" s="29">
        <v>5658.0</v>
      </c>
      <c r="B4850" s="29" t="s">
        <v>4555</v>
      </c>
      <c r="C4850" s="29" t="s">
        <v>4891</v>
      </c>
      <c r="D4850" s="29" t="s">
        <v>4967</v>
      </c>
      <c r="E4850" s="29" t="s">
        <v>4990</v>
      </c>
      <c r="F4850" s="29" t="s">
        <v>4993</v>
      </c>
      <c r="G4850" s="20" t="str">
        <f t="shared" si="1"/>
        <v>Sporting Goods, Outdoor Recreation, Camping &amp; Hiking, Tent AccessoriesTent Poles &amp; Stakes</v>
      </c>
    </row>
    <row r="4851">
      <c r="A4851" s="29">
        <v>5657.0</v>
      </c>
      <c r="B4851" s="29" t="s">
        <v>4555</v>
      </c>
      <c r="C4851" s="29" t="s">
        <v>4891</v>
      </c>
      <c r="D4851" s="29" t="s">
        <v>4967</v>
      </c>
      <c r="E4851" s="29" t="s">
        <v>4990</v>
      </c>
      <c r="F4851" s="29" t="s">
        <v>4994</v>
      </c>
      <c r="G4851" s="20" t="str">
        <f t="shared" si="1"/>
        <v>Sporting Goods, Outdoor Recreation, Camping &amp; Hiking, Tent AccessoriesTent Vestibules</v>
      </c>
    </row>
    <row r="4852">
      <c r="A4852" s="29">
        <v>1022.0</v>
      </c>
      <c r="B4852" s="29" t="s">
        <v>4555</v>
      </c>
      <c r="C4852" s="29" t="s">
        <v>4891</v>
      </c>
      <c r="D4852" s="29" t="s">
        <v>4967</v>
      </c>
      <c r="E4852" s="29" t="s">
        <v>4995</v>
      </c>
      <c r="F4852" s="62"/>
      <c r="G4852" s="20" t="str">
        <f t="shared" si="1"/>
        <v>Sporting Goods, Outdoor Recreation, Camping &amp; Hiking, Tents</v>
      </c>
    </row>
    <row r="4853">
      <c r="A4853" s="29">
        <v>8079.0</v>
      </c>
      <c r="B4853" s="29" t="s">
        <v>4555</v>
      </c>
      <c r="C4853" s="29" t="s">
        <v>4891</v>
      </c>
      <c r="D4853" s="29" t="s">
        <v>4967</v>
      </c>
      <c r="E4853" s="29" t="s">
        <v>4996</v>
      </c>
      <c r="F4853" s="62"/>
      <c r="G4853" s="20" t="str">
        <f t="shared" si="1"/>
        <v>Sporting Goods, Outdoor Recreation, Camping &amp; Hiking, Windbreaks</v>
      </c>
    </row>
    <row r="4854">
      <c r="A4854" s="29">
        <v>7059.0</v>
      </c>
      <c r="B4854" s="29" t="s">
        <v>4555</v>
      </c>
      <c r="C4854" s="29" t="s">
        <v>4891</v>
      </c>
      <c r="D4854" s="29" t="s">
        <v>4997</v>
      </c>
      <c r="E4854" s="62"/>
      <c r="F4854" s="62"/>
      <c r="G4854" s="20" t="str">
        <f t="shared" si="1"/>
        <v>Sporting Goods, Outdoor Recreation, Climbing, </v>
      </c>
    </row>
    <row r="4855">
      <c r="A4855" s="29">
        <v>3363.0</v>
      </c>
      <c r="B4855" s="29" t="s">
        <v>4555</v>
      </c>
      <c r="C4855" s="29" t="s">
        <v>4891</v>
      </c>
      <c r="D4855" s="29" t="s">
        <v>4997</v>
      </c>
      <c r="E4855" s="29" t="s">
        <v>4998</v>
      </c>
      <c r="F4855" s="62"/>
      <c r="G4855" s="20" t="str">
        <f t="shared" si="1"/>
        <v>Sporting Goods, Outdoor Recreation, Climbing, Belay Devices</v>
      </c>
    </row>
    <row r="4856">
      <c r="A4856" s="29">
        <v>3746.0</v>
      </c>
      <c r="B4856" s="29" t="s">
        <v>4555</v>
      </c>
      <c r="C4856" s="29" t="s">
        <v>4891</v>
      </c>
      <c r="D4856" s="29" t="s">
        <v>4997</v>
      </c>
      <c r="E4856" s="29" t="s">
        <v>4999</v>
      </c>
      <c r="F4856" s="62"/>
      <c r="G4856" s="20" t="str">
        <f t="shared" si="1"/>
        <v>Sporting Goods, Outdoor Recreation, Climbing, Carabiners</v>
      </c>
    </row>
    <row r="4857">
      <c r="A4857" s="29">
        <v>499815.0</v>
      </c>
      <c r="B4857" s="29" t="s">
        <v>4555</v>
      </c>
      <c r="C4857" s="29" t="s">
        <v>4891</v>
      </c>
      <c r="D4857" s="29" t="s">
        <v>4997</v>
      </c>
      <c r="E4857" s="29" t="s">
        <v>5000</v>
      </c>
      <c r="F4857" s="62"/>
      <c r="G4857" s="20" t="str">
        <f t="shared" si="1"/>
        <v>Sporting Goods, Outdoor Recreation, Climbing, Climbing Apparel &amp; Accessories</v>
      </c>
    </row>
    <row r="4858">
      <c r="A4858" s="29">
        <v>499816.0</v>
      </c>
      <c r="B4858" s="29" t="s">
        <v>4555</v>
      </c>
      <c r="C4858" s="29" t="s">
        <v>4891</v>
      </c>
      <c r="D4858" s="29" t="s">
        <v>4997</v>
      </c>
      <c r="E4858" s="29" t="s">
        <v>5000</v>
      </c>
      <c r="F4858" s="29" t="s">
        <v>5001</v>
      </c>
      <c r="G4858" s="20" t="str">
        <f t="shared" si="1"/>
        <v>Sporting Goods, Outdoor Recreation, Climbing, Climbing Apparel &amp; AccessoriesClimbing Gloves</v>
      </c>
    </row>
    <row r="4859">
      <c r="A4859" s="29">
        <v>3314.0</v>
      </c>
      <c r="B4859" s="29" t="s">
        <v>4555</v>
      </c>
      <c r="C4859" s="29" t="s">
        <v>4891</v>
      </c>
      <c r="D4859" s="29" t="s">
        <v>4997</v>
      </c>
      <c r="E4859" s="29" t="s">
        <v>5000</v>
      </c>
      <c r="F4859" s="29" t="s">
        <v>5002</v>
      </c>
      <c r="G4859" s="20" t="str">
        <f t="shared" si="1"/>
        <v>Sporting Goods, Outdoor Recreation, Climbing, Climbing Apparel &amp; AccessoriesClimbing Helmets</v>
      </c>
    </row>
    <row r="4860">
      <c r="A4860" s="29">
        <v>5394.0</v>
      </c>
      <c r="B4860" s="29" t="s">
        <v>4555</v>
      </c>
      <c r="C4860" s="29" t="s">
        <v>4891</v>
      </c>
      <c r="D4860" s="29" t="s">
        <v>4997</v>
      </c>
      <c r="E4860" s="29" t="s">
        <v>5000</v>
      </c>
      <c r="F4860" s="29" t="s">
        <v>5003</v>
      </c>
      <c r="G4860" s="20" t="str">
        <f t="shared" si="1"/>
        <v>Sporting Goods, Outdoor Recreation, Climbing, Climbing Apparel &amp; AccessoriesCrampons</v>
      </c>
    </row>
    <row r="4861">
      <c r="A4861" s="29">
        <v>3454.0</v>
      </c>
      <c r="B4861" s="29" t="s">
        <v>4555</v>
      </c>
      <c r="C4861" s="29" t="s">
        <v>4891</v>
      </c>
      <c r="D4861" s="29" t="s">
        <v>4997</v>
      </c>
      <c r="E4861" s="29" t="s">
        <v>5004</v>
      </c>
      <c r="G4861" s="20" t="str">
        <f t="shared" si="1"/>
        <v>Sporting Goods, Outdoor Recreation, Climbing, Climbing Ascenders &amp; Descenders</v>
      </c>
    </row>
    <row r="4862">
      <c r="A4862" s="29">
        <v>3211.0</v>
      </c>
      <c r="B4862" s="29" t="s">
        <v>4555</v>
      </c>
      <c r="C4862" s="29" t="s">
        <v>4891</v>
      </c>
      <c r="D4862" s="29" t="s">
        <v>4997</v>
      </c>
      <c r="E4862" s="29" t="s">
        <v>5005</v>
      </c>
      <c r="F4862" s="62"/>
      <c r="G4862" s="20" t="str">
        <f t="shared" si="1"/>
        <v>Sporting Goods, Outdoor Recreation, Climbing, Climbing Chalk Bags</v>
      </c>
    </row>
    <row r="4863">
      <c r="A4863" s="29">
        <v>3322.0</v>
      </c>
      <c r="B4863" s="29" t="s">
        <v>4555</v>
      </c>
      <c r="C4863" s="29" t="s">
        <v>4891</v>
      </c>
      <c r="D4863" s="29" t="s">
        <v>4997</v>
      </c>
      <c r="E4863" s="29" t="s">
        <v>5006</v>
      </c>
      <c r="F4863" s="62"/>
      <c r="G4863" s="20" t="str">
        <f t="shared" si="1"/>
        <v>Sporting Goods, Outdoor Recreation, Climbing, Climbing Crash Pads</v>
      </c>
    </row>
    <row r="4864">
      <c r="A4864" s="29">
        <v>3218.0</v>
      </c>
      <c r="B4864" s="29" t="s">
        <v>4555</v>
      </c>
      <c r="C4864" s="29" t="s">
        <v>4891</v>
      </c>
      <c r="D4864" s="29" t="s">
        <v>4997</v>
      </c>
      <c r="E4864" s="29" t="s">
        <v>5007</v>
      </c>
      <c r="F4864" s="62"/>
      <c r="G4864" s="20" t="str">
        <f t="shared" si="1"/>
        <v>Sporting Goods, Outdoor Recreation, Climbing, Climbing Harnesses</v>
      </c>
    </row>
    <row r="4865">
      <c r="A4865" s="29">
        <v>3266.0</v>
      </c>
      <c r="B4865" s="29" t="s">
        <v>4555</v>
      </c>
      <c r="C4865" s="29" t="s">
        <v>4891</v>
      </c>
      <c r="D4865" s="29" t="s">
        <v>4997</v>
      </c>
      <c r="E4865" s="29" t="s">
        <v>5008</v>
      </c>
      <c r="F4865" s="62"/>
      <c r="G4865" s="20" t="str">
        <f t="shared" si="1"/>
        <v>Sporting Goods, Outdoor Recreation, Climbing, Climbing Protection Devices</v>
      </c>
    </row>
    <row r="4866">
      <c r="A4866" s="29">
        <v>3825.0</v>
      </c>
      <c r="B4866" s="29" t="s">
        <v>4555</v>
      </c>
      <c r="C4866" s="29" t="s">
        <v>4891</v>
      </c>
      <c r="D4866" s="29" t="s">
        <v>4997</v>
      </c>
      <c r="E4866" s="29" t="s">
        <v>5009</v>
      </c>
      <c r="F4866" s="62"/>
      <c r="G4866" s="20" t="str">
        <f t="shared" si="1"/>
        <v>Sporting Goods, Outdoor Recreation, Climbing, Climbing Rope</v>
      </c>
    </row>
    <row r="4867">
      <c r="A4867" s="29">
        <v>3201.0</v>
      </c>
      <c r="B4867" s="29" t="s">
        <v>4555</v>
      </c>
      <c r="C4867" s="29" t="s">
        <v>4891</v>
      </c>
      <c r="D4867" s="29" t="s">
        <v>4997</v>
      </c>
      <c r="E4867" s="29" t="s">
        <v>5010</v>
      </c>
      <c r="F4867" s="62"/>
      <c r="G4867" s="20" t="str">
        <f t="shared" si="1"/>
        <v>Sporting Goods, Outdoor Recreation, Climbing, Climbing Rope Bags</v>
      </c>
    </row>
    <row r="4868">
      <c r="A4868" s="29">
        <v>3369.0</v>
      </c>
      <c r="B4868" s="29" t="s">
        <v>4555</v>
      </c>
      <c r="C4868" s="29" t="s">
        <v>4891</v>
      </c>
      <c r="D4868" s="29" t="s">
        <v>4997</v>
      </c>
      <c r="E4868" s="29" t="s">
        <v>5011</v>
      </c>
      <c r="F4868" s="62"/>
      <c r="G4868" s="20" t="str">
        <f t="shared" si="1"/>
        <v>Sporting Goods, Outdoor Recreation, Climbing, Climbing Webbing</v>
      </c>
    </row>
    <row r="4869">
      <c r="A4869" s="29">
        <v>7060.0</v>
      </c>
      <c r="B4869" s="29" t="s">
        <v>4555</v>
      </c>
      <c r="C4869" s="29" t="s">
        <v>4891</v>
      </c>
      <c r="D4869" s="29" t="s">
        <v>4997</v>
      </c>
      <c r="E4869" s="29" t="s">
        <v>5012</v>
      </c>
      <c r="F4869" s="62"/>
      <c r="G4869" s="20" t="str">
        <f t="shared" si="1"/>
        <v>Sporting Goods, Outdoor Recreation, Climbing, Ice Climbing Tools</v>
      </c>
    </row>
    <row r="4870">
      <c r="A4870" s="29">
        <v>7061.0</v>
      </c>
      <c r="B4870" s="29" t="s">
        <v>4555</v>
      </c>
      <c r="C4870" s="29" t="s">
        <v>4891</v>
      </c>
      <c r="D4870" s="29" t="s">
        <v>4997</v>
      </c>
      <c r="E4870" s="29" t="s">
        <v>5013</v>
      </c>
      <c r="F4870" s="62"/>
      <c r="G4870" s="20" t="str">
        <f t="shared" si="1"/>
        <v>Sporting Goods, Outdoor Recreation, Climbing, Ice Screws</v>
      </c>
    </row>
    <row r="4871">
      <c r="A4871" s="29">
        <v>3518.0</v>
      </c>
      <c r="B4871" s="29" t="s">
        <v>4555</v>
      </c>
      <c r="C4871" s="29" t="s">
        <v>4891</v>
      </c>
      <c r="D4871" s="29" t="s">
        <v>4997</v>
      </c>
      <c r="E4871" s="29" t="s">
        <v>5014</v>
      </c>
      <c r="F4871" s="62"/>
      <c r="G4871" s="20" t="str">
        <f t="shared" si="1"/>
        <v>Sporting Goods, Outdoor Recreation, Climbing, Indoor Climbing Holds</v>
      </c>
    </row>
    <row r="4872">
      <c r="A4872" s="29">
        <v>3849.0</v>
      </c>
      <c r="B4872" s="29" t="s">
        <v>4555</v>
      </c>
      <c r="C4872" s="29" t="s">
        <v>4891</v>
      </c>
      <c r="D4872" s="29" t="s">
        <v>4997</v>
      </c>
      <c r="E4872" s="29" t="s">
        <v>5015</v>
      </c>
      <c r="F4872" s="62"/>
      <c r="G4872" s="20" t="str">
        <f t="shared" si="1"/>
        <v>Sporting Goods, Outdoor Recreation, Climbing, Quickdraws</v>
      </c>
    </row>
    <row r="4873">
      <c r="A4873" s="29">
        <v>1025.0</v>
      </c>
      <c r="B4873" s="29" t="s">
        <v>4555</v>
      </c>
      <c r="C4873" s="29" t="s">
        <v>4891</v>
      </c>
      <c r="D4873" s="29" t="s">
        <v>5016</v>
      </c>
      <c r="E4873" s="62"/>
      <c r="F4873" s="62"/>
      <c r="G4873" s="20" t="str">
        <f t="shared" si="1"/>
        <v>Sporting Goods, Outdoor Recreation, Cycling, </v>
      </c>
    </row>
    <row r="4874">
      <c r="A4874" s="29">
        <v>3214.0</v>
      </c>
      <c r="B4874" s="29" t="s">
        <v>4555</v>
      </c>
      <c r="C4874" s="29" t="s">
        <v>4891</v>
      </c>
      <c r="D4874" s="29" t="s">
        <v>5016</v>
      </c>
      <c r="E4874" s="29" t="s">
        <v>5017</v>
      </c>
      <c r="F4874" s="62"/>
      <c r="G4874" s="20" t="str">
        <f t="shared" si="1"/>
        <v>Sporting Goods, Outdoor Recreation, Cycling, Bicycle Accessories</v>
      </c>
    </row>
    <row r="4875">
      <c r="A4875" s="29">
        <v>3778.0</v>
      </c>
      <c r="B4875" s="29" t="s">
        <v>4555</v>
      </c>
      <c r="C4875" s="29" t="s">
        <v>4891</v>
      </c>
      <c r="D4875" s="29" t="s">
        <v>5016</v>
      </c>
      <c r="E4875" s="29" t="s">
        <v>5017</v>
      </c>
      <c r="F4875" s="29" t="s">
        <v>5018</v>
      </c>
      <c r="G4875" s="20" t="str">
        <f t="shared" si="1"/>
        <v>Sporting Goods, Outdoor Recreation, Cycling, Bicycle AccessoriesBicycle Bags &amp; Panniers</v>
      </c>
    </row>
    <row r="4876">
      <c r="A4876" s="29">
        <v>3341.0</v>
      </c>
      <c r="B4876" s="29" t="s">
        <v>4555</v>
      </c>
      <c r="C4876" s="29" t="s">
        <v>4891</v>
      </c>
      <c r="D4876" s="29" t="s">
        <v>5016</v>
      </c>
      <c r="E4876" s="29" t="s">
        <v>5017</v>
      </c>
      <c r="F4876" s="29" t="s">
        <v>5019</v>
      </c>
      <c r="G4876" s="20" t="str">
        <f t="shared" si="1"/>
        <v>Sporting Goods, Outdoor Recreation, Cycling, Bicycle AccessoriesBicycle Baskets</v>
      </c>
    </row>
    <row r="4877">
      <c r="A4877" s="29">
        <v>3879.0</v>
      </c>
      <c r="B4877" s="29" t="s">
        <v>4555</v>
      </c>
      <c r="C4877" s="29" t="s">
        <v>4891</v>
      </c>
      <c r="D4877" s="29" t="s">
        <v>5016</v>
      </c>
      <c r="E4877" s="29" t="s">
        <v>5017</v>
      </c>
      <c r="F4877" s="29" t="s">
        <v>5020</v>
      </c>
      <c r="G4877" s="20" t="str">
        <f t="shared" si="1"/>
        <v>Sporting Goods, Outdoor Recreation, Cycling, Bicycle AccessoriesBicycle Bells &amp; Horns</v>
      </c>
    </row>
    <row r="4878">
      <c r="A4878" s="29">
        <v>4145.0</v>
      </c>
      <c r="B4878" s="29" t="s">
        <v>4555</v>
      </c>
      <c r="C4878" s="29" t="s">
        <v>4891</v>
      </c>
      <c r="D4878" s="29" t="s">
        <v>5016</v>
      </c>
      <c r="E4878" s="29" t="s">
        <v>5017</v>
      </c>
      <c r="F4878" s="29" t="s">
        <v>5021</v>
      </c>
      <c r="G4878" s="20" t="str">
        <f t="shared" si="1"/>
        <v>Sporting Goods, Outdoor Recreation, Cycling, Bicycle AccessoriesBicycle Cages</v>
      </c>
    </row>
    <row r="4879">
      <c r="A4879" s="29">
        <v>500067.0</v>
      </c>
      <c r="B4879" s="29" t="s">
        <v>4555</v>
      </c>
      <c r="C4879" s="29" t="s">
        <v>4891</v>
      </c>
      <c r="D4879" s="29" t="s">
        <v>5016</v>
      </c>
      <c r="E4879" s="29" t="s">
        <v>5017</v>
      </c>
      <c r="F4879" s="29" t="s">
        <v>5022</v>
      </c>
      <c r="G4879" s="20" t="str">
        <f t="shared" si="1"/>
        <v>Sporting Goods, Outdoor Recreation, Cycling, Bicycle AccessoriesBicycle Child Seat Accessories</v>
      </c>
    </row>
    <row r="4880">
      <c r="A4880" s="29">
        <v>5842.0</v>
      </c>
      <c r="B4880" s="29" t="s">
        <v>4555</v>
      </c>
      <c r="C4880" s="29" t="s">
        <v>4891</v>
      </c>
      <c r="D4880" s="29" t="s">
        <v>5016</v>
      </c>
      <c r="E4880" s="29" t="s">
        <v>5017</v>
      </c>
      <c r="F4880" s="29" t="s">
        <v>5023</v>
      </c>
      <c r="G4880" s="20" t="str">
        <f t="shared" si="1"/>
        <v>Sporting Goods, Outdoor Recreation, Cycling, Bicycle AccessoriesBicycle Child Seats</v>
      </c>
    </row>
    <row r="4881">
      <c r="A4881" s="29">
        <v>5540.0</v>
      </c>
      <c r="B4881" s="29" t="s">
        <v>4555</v>
      </c>
      <c r="C4881" s="29" t="s">
        <v>4891</v>
      </c>
      <c r="D4881" s="29" t="s">
        <v>5016</v>
      </c>
      <c r="E4881" s="29" t="s">
        <v>5017</v>
      </c>
      <c r="F4881" s="29" t="s">
        <v>5024</v>
      </c>
      <c r="G4881" s="20" t="str">
        <f t="shared" si="1"/>
        <v>Sporting Goods, Outdoor Recreation, Cycling, Bicycle AccessoriesBicycle Computer Accessories</v>
      </c>
    </row>
    <row r="4882">
      <c r="A4882" s="29">
        <v>3243.0</v>
      </c>
      <c r="B4882" s="29" t="s">
        <v>4555</v>
      </c>
      <c r="C4882" s="29" t="s">
        <v>4891</v>
      </c>
      <c r="D4882" s="29" t="s">
        <v>5016</v>
      </c>
      <c r="E4882" s="29" t="s">
        <v>5017</v>
      </c>
      <c r="F4882" s="29" t="s">
        <v>5025</v>
      </c>
      <c r="G4882" s="20" t="str">
        <f t="shared" si="1"/>
        <v>Sporting Goods, Outdoor Recreation, Cycling, Bicycle AccessoriesBicycle Computers</v>
      </c>
    </row>
    <row r="4883">
      <c r="A4883" s="29">
        <v>6442.0</v>
      </c>
      <c r="B4883" s="29" t="s">
        <v>4555</v>
      </c>
      <c r="C4883" s="29" t="s">
        <v>4891</v>
      </c>
      <c r="D4883" s="29" t="s">
        <v>5016</v>
      </c>
      <c r="E4883" s="29" t="s">
        <v>5017</v>
      </c>
      <c r="F4883" s="29" t="s">
        <v>5026</v>
      </c>
      <c r="G4883" s="20" t="str">
        <f t="shared" si="1"/>
        <v>Sporting Goods, Outdoor Recreation, Cycling, Bicycle AccessoriesBicycle Covers</v>
      </c>
    </row>
    <row r="4884">
      <c r="A4884" s="29">
        <v>3719.0</v>
      </c>
      <c r="B4884" s="29" t="s">
        <v>4555</v>
      </c>
      <c r="C4884" s="29" t="s">
        <v>4891</v>
      </c>
      <c r="D4884" s="29" t="s">
        <v>5016</v>
      </c>
      <c r="E4884" s="29" t="s">
        <v>5017</v>
      </c>
      <c r="F4884" s="29" t="s">
        <v>5027</v>
      </c>
      <c r="G4884" s="20" t="str">
        <f t="shared" si="1"/>
        <v>Sporting Goods, Outdoor Recreation, Cycling, Bicycle AccessoriesBicycle Fenders</v>
      </c>
    </row>
    <row r="4885">
      <c r="A4885" s="29">
        <v>1028.0</v>
      </c>
      <c r="B4885" s="29" t="s">
        <v>4555</v>
      </c>
      <c r="C4885" s="29" t="s">
        <v>4891</v>
      </c>
      <c r="D4885" s="29" t="s">
        <v>5016</v>
      </c>
      <c r="E4885" s="29" t="s">
        <v>5017</v>
      </c>
      <c r="F4885" s="29" t="s">
        <v>5028</v>
      </c>
      <c r="G4885" s="20" t="str">
        <f t="shared" si="1"/>
        <v>Sporting Goods, Outdoor Recreation, Cycling, Bicycle AccessoriesBicycle Front &amp; Rear Racks</v>
      </c>
    </row>
    <row r="4886">
      <c r="A4886" s="29">
        <v>500092.0</v>
      </c>
      <c r="B4886" s="29" t="s">
        <v>4555</v>
      </c>
      <c r="C4886" s="29" t="s">
        <v>4891</v>
      </c>
      <c r="D4886" s="29" t="s">
        <v>5016</v>
      </c>
      <c r="E4886" s="29" t="s">
        <v>5017</v>
      </c>
      <c r="F4886" s="29" t="s">
        <v>5029</v>
      </c>
      <c r="G4886" s="20" t="str">
        <f t="shared" si="1"/>
        <v>Sporting Goods, Outdoor Recreation, Cycling, Bicycle AccessoriesBicycle Handlebar Grips &amp; Decor</v>
      </c>
    </row>
    <row r="4887">
      <c r="A4887" s="29">
        <v>1027.0</v>
      </c>
      <c r="B4887" s="29" t="s">
        <v>4555</v>
      </c>
      <c r="C4887" s="29" t="s">
        <v>4891</v>
      </c>
      <c r="D4887" s="29" t="s">
        <v>5016</v>
      </c>
      <c r="E4887" s="29" t="s">
        <v>5017</v>
      </c>
      <c r="F4887" s="29" t="s">
        <v>5030</v>
      </c>
      <c r="G4887" s="20" t="str">
        <f t="shared" si="1"/>
        <v>Sporting Goods, Outdoor Recreation, Cycling, Bicycle AccessoriesBicycle Locks</v>
      </c>
    </row>
    <row r="4888">
      <c r="A4888" s="29">
        <v>3368.0</v>
      </c>
      <c r="B4888" s="29" t="s">
        <v>4555</v>
      </c>
      <c r="C4888" s="29" t="s">
        <v>4891</v>
      </c>
      <c r="D4888" s="29" t="s">
        <v>5016</v>
      </c>
      <c r="E4888" s="29" t="s">
        <v>5017</v>
      </c>
      <c r="F4888" s="29" t="s">
        <v>5031</v>
      </c>
      <c r="G4888" s="20" t="str">
        <f t="shared" si="1"/>
        <v>Sporting Goods, Outdoor Recreation, Cycling, Bicycle AccessoriesBicycle Mirrors</v>
      </c>
    </row>
    <row r="4889">
      <c r="A4889" s="29">
        <v>3827.0</v>
      </c>
      <c r="B4889" s="29" t="s">
        <v>4555</v>
      </c>
      <c r="C4889" s="29" t="s">
        <v>4891</v>
      </c>
      <c r="D4889" s="29" t="s">
        <v>5016</v>
      </c>
      <c r="E4889" s="29" t="s">
        <v>5017</v>
      </c>
      <c r="F4889" s="29" t="s">
        <v>5032</v>
      </c>
      <c r="G4889" s="20" t="str">
        <f t="shared" si="1"/>
        <v>Sporting Goods, Outdoor Recreation, Cycling, Bicycle AccessoriesBicycle Pumps</v>
      </c>
    </row>
    <row r="4890">
      <c r="A4890" s="29">
        <v>6445.0</v>
      </c>
      <c r="B4890" s="29" t="s">
        <v>4555</v>
      </c>
      <c r="C4890" s="29" t="s">
        <v>4891</v>
      </c>
      <c r="D4890" s="29" t="s">
        <v>5016</v>
      </c>
      <c r="E4890" s="29" t="s">
        <v>5017</v>
      </c>
      <c r="F4890" s="29" t="s">
        <v>5033</v>
      </c>
      <c r="G4890" s="20" t="str">
        <f t="shared" si="1"/>
        <v>Sporting Goods, Outdoor Recreation, Cycling, Bicycle AccessoriesBicycle Saddle Pads &amp; Seat Covers</v>
      </c>
    </row>
    <row r="4891">
      <c r="A4891" s="29">
        <v>6506.0</v>
      </c>
      <c r="B4891" s="29" t="s">
        <v>4555</v>
      </c>
      <c r="C4891" s="29" t="s">
        <v>4891</v>
      </c>
      <c r="D4891" s="29" t="s">
        <v>5016</v>
      </c>
      <c r="E4891" s="29" t="s">
        <v>5017</v>
      </c>
      <c r="F4891" s="29" t="s">
        <v>5034</v>
      </c>
      <c r="G4891" s="20" t="str">
        <f t="shared" si="1"/>
        <v>Sporting Goods, Outdoor Recreation, Cycling, Bicycle AccessoriesBicycle Shock Pumps</v>
      </c>
    </row>
    <row r="4892">
      <c r="A4892" s="29">
        <v>7448.0</v>
      </c>
      <c r="B4892" s="29" t="s">
        <v>4555</v>
      </c>
      <c r="C4892" s="29" t="s">
        <v>4891</v>
      </c>
      <c r="D4892" s="29" t="s">
        <v>5016</v>
      </c>
      <c r="E4892" s="29" t="s">
        <v>5017</v>
      </c>
      <c r="F4892" s="29" t="s">
        <v>5035</v>
      </c>
      <c r="G4892" s="20" t="str">
        <f t="shared" si="1"/>
        <v>Sporting Goods, Outdoor Recreation, Cycling, Bicycle AccessoriesBicycle Spoke Beads</v>
      </c>
    </row>
    <row r="4893">
      <c r="A4893" s="29">
        <v>3428.0</v>
      </c>
      <c r="B4893" s="29" t="s">
        <v>4555</v>
      </c>
      <c r="C4893" s="29" t="s">
        <v>4891</v>
      </c>
      <c r="D4893" s="29" t="s">
        <v>5016</v>
      </c>
      <c r="E4893" s="29" t="s">
        <v>5017</v>
      </c>
      <c r="F4893" s="29" t="s">
        <v>5036</v>
      </c>
      <c r="G4893" s="20" t="str">
        <f t="shared" si="1"/>
        <v>Sporting Goods, Outdoor Recreation, Cycling, Bicycle AccessoriesBicycle Stands &amp; Storage</v>
      </c>
    </row>
    <row r="4894">
      <c r="A4894" s="29">
        <v>499694.0</v>
      </c>
      <c r="B4894" s="29" t="s">
        <v>4555</v>
      </c>
      <c r="C4894" s="29" t="s">
        <v>4891</v>
      </c>
      <c r="D4894" s="29" t="s">
        <v>5016</v>
      </c>
      <c r="E4894" s="29" t="s">
        <v>5017</v>
      </c>
      <c r="F4894" s="29" t="s">
        <v>5037</v>
      </c>
      <c r="G4894" s="20" t="str">
        <f t="shared" si="1"/>
        <v>Sporting Goods, Outdoor Recreation, Cycling, Bicycle AccessoriesBicycle Tire Repair Supplies &amp; Kits</v>
      </c>
    </row>
    <row r="4895">
      <c r="A4895" s="29">
        <v>7223.0</v>
      </c>
      <c r="B4895" s="29" t="s">
        <v>4555</v>
      </c>
      <c r="C4895" s="29" t="s">
        <v>4891</v>
      </c>
      <c r="D4895" s="29" t="s">
        <v>5016</v>
      </c>
      <c r="E4895" s="29" t="s">
        <v>5017</v>
      </c>
      <c r="F4895" s="29" t="s">
        <v>5038</v>
      </c>
      <c r="G4895" s="20" t="str">
        <f t="shared" si="1"/>
        <v>Sporting Goods, Outdoor Recreation, Cycling, Bicycle AccessoriesBicycle Toe Straps &amp; Clips</v>
      </c>
    </row>
    <row r="4896">
      <c r="A4896" s="29">
        <v>505668.0</v>
      </c>
      <c r="B4896" s="29" t="s">
        <v>4555</v>
      </c>
      <c r="C4896" s="29" t="s">
        <v>4891</v>
      </c>
      <c r="D4896" s="29" t="s">
        <v>5016</v>
      </c>
      <c r="E4896" s="29" t="s">
        <v>5017</v>
      </c>
      <c r="F4896" s="29" t="s">
        <v>5039</v>
      </c>
      <c r="G4896" s="20" t="str">
        <f t="shared" si="1"/>
        <v>Sporting Goods, Outdoor Recreation, Cycling, Bicycle AccessoriesBicycle Tools</v>
      </c>
    </row>
    <row r="4897">
      <c r="A4897" s="29">
        <v>3811.0</v>
      </c>
      <c r="B4897" s="29" t="s">
        <v>4555</v>
      </c>
      <c r="C4897" s="29" t="s">
        <v>4891</v>
      </c>
      <c r="D4897" s="29" t="s">
        <v>5016</v>
      </c>
      <c r="E4897" s="29" t="s">
        <v>5017</v>
      </c>
      <c r="F4897" s="29" t="s">
        <v>5040</v>
      </c>
      <c r="G4897" s="20" t="str">
        <f t="shared" si="1"/>
        <v>Sporting Goods, Outdoor Recreation, Cycling, Bicycle AccessoriesBicycle Trailers</v>
      </c>
    </row>
    <row r="4898">
      <c r="A4898" s="29">
        <v>3868.0</v>
      </c>
      <c r="B4898" s="29" t="s">
        <v>4555</v>
      </c>
      <c r="C4898" s="29" t="s">
        <v>4891</v>
      </c>
      <c r="D4898" s="29" t="s">
        <v>5016</v>
      </c>
      <c r="E4898" s="29" t="s">
        <v>5017</v>
      </c>
      <c r="F4898" s="29" t="s">
        <v>5041</v>
      </c>
      <c r="G4898" s="20" t="str">
        <f t="shared" si="1"/>
        <v>Sporting Goods, Outdoor Recreation, Cycling, Bicycle AccessoriesBicycle Trainers</v>
      </c>
    </row>
    <row r="4899">
      <c r="A4899" s="29">
        <v>3631.0</v>
      </c>
      <c r="B4899" s="29" t="s">
        <v>4555</v>
      </c>
      <c r="C4899" s="29" t="s">
        <v>4891</v>
      </c>
      <c r="D4899" s="29" t="s">
        <v>5016</v>
      </c>
      <c r="E4899" s="29" t="s">
        <v>5017</v>
      </c>
      <c r="F4899" s="29" t="s">
        <v>5042</v>
      </c>
      <c r="G4899" s="20" t="str">
        <f t="shared" si="1"/>
        <v>Sporting Goods, Outdoor Recreation, Cycling, Bicycle AccessoriesBicycle Training Wheels</v>
      </c>
    </row>
    <row r="4900">
      <c r="A4900" s="29">
        <v>3558.0</v>
      </c>
      <c r="B4900" s="29" t="s">
        <v>4555</v>
      </c>
      <c r="C4900" s="29" t="s">
        <v>4891</v>
      </c>
      <c r="D4900" s="29" t="s">
        <v>5016</v>
      </c>
      <c r="E4900" s="29" t="s">
        <v>5017</v>
      </c>
      <c r="F4900" s="29" t="s">
        <v>5043</v>
      </c>
      <c r="G4900" s="20" t="str">
        <f t="shared" si="1"/>
        <v>Sporting Goods, Outdoor Recreation, Cycling, Bicycle AccessoriesBicycle Transport Bags &amp; Cases</v>
      </c>
    </row>
    <row r="4901">
      <c r="A4901" s="29">
        <v>6048.0</v>
      </c>
      <c r="B4901" s="29" t="s">
        <v>4555</v>
      </c>
      <c r="C4901" s="29" t="s">
        <v>4891</v>
      </c>
      <c r="D4901" s="29" t="s">
        <v>5016</v>
      </c>
      <c r="E4901" s="29" t="s">
        <v>5017</v>
      </c>
      <c r="F4901" s="29" t="s">
        <v>5044</v>
      </c>
      <c r="G4901" s="20" t="str">
        <f t="shared" si="1"/>
        <v>Sporting Goods, Outdoor Recreation, Cycling, Bicycle AccessoriesBicycle Water Sport Board Racks</v>
      </c>
    </row>
    <row r="4902">
      <c r="A4902" s="29">
        <v>500109.0</v>
      </c>
      <c r="B4902" s="29" t="s">
        <v>4555</v>
      </c>
      <c r="C4902" s="29" t="s">
        <v>4891</v>
      </c>
      <c r="D4902" s="29" t="s">
        <v>5016</v>
      </c>
      <c r="E4902" s="29" t="s">
        <v>5017</v>
      </c>
      <c r="F4902" s="29" t="s">
        <v>5045</v>
      </c>
      <c r="G4902" s="20" t="str">
        <f t="shared" si="1"/>
        <v>Sporting Goods, Outdoor Recreation, Cycling, Bicycle AccessoriesElectric Bicycle Conversion Kits</v>
      </c>
    </row>
    <row r="4903">
      <c r="A4903" s="29">
        <v>3618.0</v>
      </c>
      <c r="B4903" s="29" t="s">
        <v>4555</v>
      </c>
      <c r="C4903" s="29" t="s">
        <v>4891</v>
      </c>
      <c r="D4903" s="29" t="s">
        <v>5016</v>
      </c>
      <c r="E4903" s="29" t="s">
        <v>5046</v>
      </c>
      <c r="F4903" s="62"/>
      <c r="G4903" s="20" t="str">
        <f t="shared" si="1"/>
        <v>Sporting Goods, Outdoor Recreation, Cycling, Bicycle Parts</v>
      </c>
    </row>
    <row r="4904">
      <c r="A4904" s="29">
        <v>3740.0</v>
      </c>
      <c r="B4904" s="29" t="s">
        <v>4555</v>
      </c>
      <c r="C4904" s="29" t="s">
        <v>4891</v>
      </c>
      <c r="D4904" s="29" t="s">
        <v>5016</v>
      </c>
      <c r="E4904" s="29" t="s">
        <v>5046</v>
      </c>
      <c r="F4904" s="29" t="s">
        <v>5047</v>
      </c>
      <c r="G4904" s="20" t="str">
        <f t="shared" si="1"/>
        <v>Sporting Goods, Outdoor Recreation, Cycling, Bicycle PartsBicycle Brake Parts</v>
      </c>
    </row>
    <row r="4905">
      <c r="A4905" s="29">
        <v>4574.0</v>
      </c>
      <c r="B4905" s="29" t="s">
        <v>4555</v>
      </c>
      <c r="C4905" s="29" t="s">
        <v>4891</v>
      </c>
      <c r="D4905" s="29" t="s">
        <v>5016</v>
      </c>
      <c r="E4905" s="29" t="s">
        <v>5046</v>
      </c>
      <c r="F4905" s="29" t="s">
        <v>5047</v>
      </c>
      <c r="G4905" s="20" t="str">
        <f t="shared" si="1"/>
        <v>Sporting Goods, Outdoor Recreation, Cycling, Bicycle PartsBicycle Brake Parts</v>
      </c>
    </row>
    <row r="4906">
      <c r="A4906" s="29">
        <v>4575.0</v>
      </c>
      <c r="B4906" s="29" t="s">
        <v>4555</v>
      </c>
      <c r="C4906" s="29" t="s">
        <v>4891</v>
      </c>
      <c r="D4906" s="29" t="s">
        <v>5016</v>
      </c>
      <c r="E4906" s="29" t="s">
        <v>5046</v>
      </c>
      <c r="F4906" s="29" t="s">
        <v>5047</v>
      </c>
      <c r="G4906" s="20" t="str">
        <f t="shared" si="1"/>
        <v>Sporting Goods, Outdoor Recreation, Cycling, Bicycle PartsBicycle Brake Parts</v>
      </c>
    </row>
    <row r="4907">
      <c r="A4907" s="29">
        <v>4576.0</v>
      </c>
      <c r="B4907" s="29" t="s">
        <v>4555</v>
      </c>
      <c r="C4907" s="29" t="s">
        <v>4891</v>
      </c>
      <c r="D4907" s="29" t="s">
        <v>5016</v>
      </c>
      <c r="E4907" s="29" t="s">
        <v>5046</v>
      </c>
      <c r="F4907" s="29" t="s">
        <v>5047</v>
      </c>
      <c r="G4907" s="20" t="str">
        <f t="shared" si="1"/>
        <v>Sporting Goods, Outdoor Recreation, Cycling, Bicycle PartsBicycle Brake Parts</v>
      </c>
    </row>
    <row r="4908">
      <c r="A4908" s="29">
        <v>4577.0</v>
      </c>
      <c r="B4908" s="29" t="s">
        <v>4555</v>
      </c>
      <c r="C4908" s="29" t="s">
        <v>4891</v>
      </c>
      <c r="D4908" s="29" t="s">
        <v>5016</v>
      </c>
      <c r="E4908" s="29" t="s">
        <v>5046</v>
      </c>
      <c r="F4908" s="29" t="s">
        <v>5047</v>
      </c>
      <c r="G4908" s="20" t="str">
        <f t="shared" si="1"/>
        <v>Sporting Goods, Outdoor Recreation, Cycling, Bicycle PartsBicycle Brake Parts</v>
      </c>
    </row>
    <row r="4909">
      <c r="A4909" s="29">
        <v>499684.0</v>
      </c>
      <c r="B4909" s="29" t="s">
        <v>4555</v>
      </c>
      <c r="C4909" s="29" t="s">
        <v>4891</v>
      </c>
      <c r="D4909" s="29" t="s">
        <v>5016</v>
      </c>
      <c r="E4909" s="29" t="s">
        <v>5046</v>
      </c>
      <c r="F4909" s="29" t="s">
        <v>5048</v>
      </c>
      <c r="G4909" s="20" t="str">
        <f t="shared" si="1"/>
        <v>Sporting Goods, Outdoor Recreation, Cycling, Bicycle PartsBicycle Cable Housings</v>
      </c>
    </row>
    <row r="4910">
      <c r="A4910" s="29">
        <v>499685.0</v>
      </c>
      <c r="B4910" s="29" t="s">
        <v>4555</v>
      </c>
      <c r="C4910" s="29" t="s">
        <v>4891</v>
      </c>
      <c r="D4910" s="29" t="s">
        <v>5016</v>
      </c>
      <c r="E4910" s="29" t="s">
        <v>5046</v>
      </c>
      <c r="F4910" s="29" t="s">
        <v>5049</v>
      </c>
      <c r="G4910" s="20" t="str">
        <f t="shared" si="1"/>
        <v>Sporting Goods, Outdoor Recreation, Cycling, Bicycle PartsBicycle Cables</v>
      </c>
    </row>
    <row r="4911">
      <c r="A4911" s="29">
        <v>4585.0</v>
      </c>
      <c r="B4911" s="29" t="s">
        <v>4555</v>
      </c>
      <c r="C4911" s="29" t="s">
        <v>4891</v>
      </c>
      <c r="D4911" s="29" t="s">
        <v>5016</v>
      </c>
      <c r="E4911" s="29" t="s">
        <v>5046</v>
      </c>
      <c r="F4911" s="29" t="s">
        <v>5050</v>
      </c>
      <c r="G4911" s="20" t="str">
        <f t="shared" si="1"/>
        <v>Sporting Goods, Outdoor Recreation, Cycling, Bicycle PartsBicycle Drivetrain Parts</v>
      </c>
    </row>
    <row r="4912">
      <c r="A4912" s="29">
        <v>4590.0</v>
      </c>
      <c r="B4912" s="29" t="s">
        <v>4555</v>
      </c>
      <c r="C4912" s="29" t="s">
        <v>4891</v>
      </c>
      <c r="D4912" s="29" t="s">
        <v>5016</v>
      </c>
      <c r="E4912" s="29" t="s">
        <v>5046</v>
      </c>
      <c r="F4912" s="29" t="s">
        <v>5050</v>
      </c>
      <c r="G4912" s="20" t="str">
        <f t="shared" si="1"/>
        <v>Sporting Goods, Outdoor Recreation, Cycling, Bicycle PartsBicycle Drivetrain Parts</v>
      </c>
    </row>
    <row r="4913">
      <c r="A4913" s="29">
        <v>4586.0</v>
      </c>
      <c r="B4913" s="29" t="s">
        <v>4555</v>
      </c>
      <c r="C4913" s="29" t="s">
        <v>4891</v>
      </c>
      <c r="D4913" s="29" t="s">
        <v>5016</v>
      </c>
      <c r="E4913" s="29" t="s">
        <v>5046</v>
      </c>
      <c r="F4913" s="29" t="s">
        <v>5050</v>
      </c>
      <c r="G4913" s="20" t="str">
        <f t="shared" si="1"/>
        <v>Sporting Goods, Outdoor Recreation, Cycling, Bicycle PartsBicycle Drivetrain Parts</v>
      </c>
    </row>
    <row r="4914">
      <c r="A4914" s="29">
        <v>4591.0</v>
      </c>
      <c r="B4914" s="29" t="s">
        <v>4555</v>
      </c>
      <c r="C4914" s="29" t="s">
        <v>4891</v>
      </c>
      <c r="D4914" s="29" t="s">
        <v>5016</v>
      </c>
      <c r="E4914" s="29" t="s">
        <v>5046</v>
      </c>
      <c r="F4914" s="29" t="s">
        <v>5050</v>
      </c>
      <c r="G4914" s="20" t="str">
        <f t="shared" si="1"/>
        <v>Sporting Goods, Outdoor Recreation, Cycling, Bicycle PartsBicycle Drivetrain Parts</v>
      </c>
    </row>
    <row r="4915">
      <c r="A4915" s="29">
        <v>4587.0</v>
      </c>
      <c r="B4915" s="29" t="s">
        <v>4555</v>
      </c>
      <c r="C4915" s="29" t="s">
        <v>4891</v>
      </c>
      <c r="D4915" s="29" t="s">
        <v>5016</v>
      </c>
      <c r="E4915" s="29" t="s">
        <v>5046</v>
      </c>
      <c r="F4915" s="29" t="s">
        <v>5050</v>
      </c>
      <c r="G4915" s="20" t="str">
        <f t="shared" si="1"/>
        <v>Sporting Goods, Outdoor Recreation, Cycling, Bicycle PartsBicycle Drivetrain Parts</v>
      </c>
    </row>
    <row r="4916">
      <c r="A4916" s="29">
        <v>4592.0</v>
      </c>
      <c r="B4916" s="29" t="s">
        <v>4555</v>
      </c>
      <c r="C4916" s="29" t="s">
        <v>4891</v>
      </c>
      <c r="D4916" s="29" t="s">
        <v>5016</v>
      </c>
      <c r="E4916" s="29" t="s">
        <v>5046</v>
      </c>
      <c r="F4916" s="29" t="s">
        <v>5050</v>
      </c>
      <c r="G4916" s="20" t="str">
        <f t="shared" si="1"/>
        <v>Sporting Goods, Outdoor Recreation, Cycling, Bicycle PartsBicycle Drivetrain Parts</v>
      </c>
    </row>
    <row r="4917">
      <c r="A4917" s="29">
        <v>4588.0</v>
      </c>
      <c r="B4917" s="29" t="s">
        <v>4555</v>
      </c>
      <c r="C4917" s="29" t="s">
        <v>4891</v>
      </c>
      <c r="D4917" s="29" t="s">
        <v>5016</v>
      </c>
      <c r="E4917" s="29" t="s">
        <v>5046</v>
      </c>
      <c r="F4917" s="29" t="s">
        <v>5050</v>
      </c>
      <c r="G4917" s="20" t="str">
        <f t="shared" si="1"/>
        <v>Sporting Goods, Outdoor Recreation, Cycling, Bicycle PartsBicycle Drivetrain Parts</v>
      </c>
    </row>
    <row r="4918">
      <c r="A4918" s="29">
        <v>4593.0</v>
      </c>
      <c r="B4918" s="29" t="s">
        <v>4555</v>
      </c>
      <c r="C4918" s="29" t="s">
        <v>4891</v>
      </c>
      <c r="D4918" s="29" t="s">
        <v>5016</v>
      </c>
      <c r="E4918" s="29" t="s">
        <v>5046</v>
      </c>
      <c r="F4918" s="29" t="s">
        <v>5050</v>
      </c>
      <c r="G4918" s="20" t="str">
        <f t="shared" si="1"/>
        <v>Sporting Goods, Outdoor Recreation, Cycling, Bicycle PartsBicycle Drivetrain Parts</v>
      </c>
    </row>
    <row r="4919">
      <c r="A4919" s="29">
        <v>4594.0</v>
      </c>
      <c r="B4919" s="29" t="s">
        <v>4555</v>
      </c>
      <c r="C4919" s="29" t="s">
        <v>4891</v>
      </c>
      <c r="D4919" s="29" t="s">
        <v>5016</v>
      </c>
      <c r="E4919" s="29" t="s">
        <v>5046</v>
      </c>
      <c r="F4919" s="29" t="s">
        <v>5050</v>
      </c>
      <c r="G4919" s="20" t="str">
        <f t="shared" si="1"/>
        <v>Sporting Goods, Outdoor Recreation, Cycling, Bicycle PartsBicycle Drivetrain Parts</v>
      </c>
    </row>
    <row r="4920">
      <c r="A4920" s="29">
        <v>4603.0</v>
      </c>
      <c r="B4920" s="29" t="s">
        <v>4555</v>
      </c>
      <c r="C4920" s="29" t="s">
        <v>4891</v>
      </c>
      <c r="D4920" s="29" t="s">
        <v>5016</v>
      </c>
      <c r="E4920" s="29" t="s">
        <v>5046</v>
      </c>
      <c r="F4920" s="29" t="s">
        <v>5051</v>
      </c>
      <c r="G4920" s="20" t="str">
        <f t="shared" si="1"/>
        <v>Sporting Goods, Outdoor Recreation, Cycling, Bicycle PartsBicycle Forks</v>
      </c>
    </row>
    <row r="4921">
      <c r="A4921" s="29">
        <v>3639.0</v>
      </c>
      <c r="B4921" s="29" t="s">
        <v>4555</v>
      </c>
      <c r="C4921" s="29" t="s">
        <v>4891</v>
      </c>
      <c r="D4921" s="29" t="s">
        <v>5016</v>
      </c>
      <c r="E4921" s="29" t="s">
        <v>5046</v>
      </c>
      <c r="F4921" s="29" t="s">
        <v>5052</v>
      </c>
      <c r="G4921" s="20" t="str">
        <f t="shared" si="1"/>
        <v>Sporting Goods, Outdoor Recreation, Cycling, Bicycle PartsBicycle Frames</v>
      </c>
    </row>
    <row r="4922">
      <c r="A4922" s="29">
        <v>499868.0</v>
      </c>
      <c r="B4922" s="29" t="s">
        <v>4555</v>
      </c>
      <c r="C4922" s="29" t="s">
        <v>4891</v>
      </c>
      <c r="D4922" s="29" t="s">
        <v>5016</v>
      </c>
      <c r="E4922" s="29" t="s">
        <v>5046</v>
      </c>
      <c r="F4922" s="29" t="s">
        <v>5053</v>
      </c>
      <c r="G4922" s="20" t="str">
        <f t="shared" si="1"/>
        <v>Sporting Goods, Outdoor Recreation, Cycling, Bicycle PartsBicycle Groupsets</v>
      </c>
    </row>
    <row r="4923">
      <c r="A4923" s="29">
        <v>6960.0</v>
      </c>
      <c r="B4923" s="29" t="s">
        <v>4555</v>
      </c>
      <c r="C4923" s="29" t="s">
        <v>4891</v>
      </c>
      <c r="D4923" s="29" t="s">
        <v>5016</v>
      </c>
      <c r="E4923" s="29" t="s">
        <v>5046</v>
      </c>
      <c r="F4923" s="29" t="s">
        <v>5054</v>
      </c>
      <c r="G4923" s="20" t="str">
        <f t="shared" si="1"/>
        <v>Sporting Goods, Outdoor Recreation, Cycling, Bicycle PartsBicycle Handlebar Extensions</v>
      </c>
    </row>
    <row r="4924">
      <c r="A4924" s="29">
        <v>4582.0</v>
      </c>
      <c r="B4924" s="29" t="s">
        <v>4555</v>
      </c>
      <c r="C4924" s="29" t="s">
        <v>4891</v>
      </c>
      <c r="D4924" s="29" t="s">
        <v>5016</v>
      </c>
      <c r="E4924" s="29" t="s">
        <v>5046</v>
      </c>
      <c r="F4924" s="29" t="s">
        <v>5055</v>
      </c>
      <c r="G4924" s="20" t="str">
        <f t="shared" si="1"/>
        <v>Sporting Goods, Outdoor Recreation, Cycling, Bicycle PartsBicycle Handlebars</v>
      </c>
    </row>
    <row r="4925">
      <c r="A4925" s="29">
        <v>7478.0</v>
      </c>
      <c r="B4925" s="29" t="s">
        <v>4555</v>
      </c>
      <c r="C4925" s="29" t="s">
        <v>4891</v>
      </c>
      <c r="D4925" s="29" t="s">
        <v>5016</v>
      </c>
      <c r="E4925" s="29" t="s">
        <v>5046</v>
      </c>
      <c r="F4925" s="29" t="s">
        <v>5056</v>
      </c>
      <c r="G4925" s="20" t="str">
        <f t="shared" si="1"/>
        <v>Sporting Goods, Outdoor Recreation, Cycling, Bicycle PartsBicycle Headset Parts</v>
      </c>
    </row>
    <row r="4926">
      <c r="A4926" s="29">
        <v>7480.0</v>
      </c>
      <c r="B4926" s="29" t="s">
        <v>4555</v>
      </c>
      <c r="C4926" s="29" t="s">
        <v>4891</v>
      </c>
      <c r="D4926" s="29" t="s">
        <v>5016</v>
      </c>
      <c r="E4926" s="29" t="s">
        <v>5046</v>
      </c>
      <c r="F4926" s="29" t="s">
        <v>5056</v>
      </c>
      <c r="G4926" s="20" t="str">
        <f t="shared" si="1"/>
        <v>Sporting Goods, Outdoor Recreation, Cycling, Bicycle PartsBicycle Headset Parts</v>
      </c>
    </row>
    <row r="4927">
      <c r="A4927" s="29">
        <v>7479.0</v>
      </c>
      <c r="B4927" s="29" t="s">
        <v>4555</v>
      </c>
      <c r="C4927" s="29" t="s">
        <v>4891</v>
      </c>
      <c r="D4927" s="29" t="s">
        <v>5016</v>
      </c>
      <c r="E4927" s="29" t="s">
        <v>5046</v>
      </c>
      <c r="F4927" s="29" t="s">
        <v>5056</v>
      </c>
      <c r="G4927" s="20" t="str">
        <f t="shared" si="1"/>
        <v>Sporting Goods, Outdoor Recreation, Cycling, Bicycle PartsBicycle Headset Parts</v>
      </c>
    </row>
    <row r="4928">
      <c r="A4928" s="29">
        <v>7477.0</v>
      </c>
      <c r="B4928" s="29" t="s">
        <v>4555</v>
      </c>
      <c r="C4928" s="29" t="s">
        <v>4891</v>
      </c>
      <c r="D4928" s="29" t="s">
        <v>5016</v>
      </c>
      <c r="E4928" s="29" t="s">
        <v>5046</v>
      </c>
      <c r="F4928" s="29" t="s">
        <v>5057</v>
      </c>
      <c r="G4928" s="20" t="str">
        <f t="shared" si="1"/>
        <v>Sporting Goods, Outdoor Recreation, Cycling, Bicycle PartsBicycle Headsets</v>
      </c>
    </row>
    <row r="4929">
      <c r="A4929" s="29">
        <v>8239.0</v>
      </c>
      <c r="B4929" s="29" t="s">
        <v>4555</v>
      </c>
      <c r="C4929" s="29" t="s">
        <v>4891</v>
      </c>
      <c r="D4929" s="29" t="s">
        <v>5016</v>
      </c>
      <c r="E4929" s="29" t="s">
        <v>5046</v>
      </c>
      <c r="F4929" s="29" t="s">
        <v>5058</v>
      </c>
      <c r="G4929" s="20" t="str">
        <f t="shared" si="1"/>
        <v>Sporting Goods, Outdoor Recreation, Cycling, Bicycle PartsBicycle Kickstands</v>
      </c>
    </row>
    <row r="4930">
      <c r="A4930" s="29">
        <v>3292.0</v>
      </c>
      <c r="B4930" s="29" t="s">
        <v>4555</v>
      </c>
      <c r="C4930" s="29" t="s">
        <v>4891</v>
      </c>
      <c r="D4930" s="29" t="s">
        <v>5016</v>
      </c>
      <c r="E4930" s="29" t="s">
        <v>5046</v>
      </c>
      <c r="F4930" s="29" t="s">
        <v>5059</v>
      </c>
      <c r="G4930" s="20" t="str">
        <f t="shared" si="1"/>
        <v>Sporting Goods, Outdoor Recreation, Cycling, Bicycle PartsBicycle Saddles</v>
      </c>
    </row>
    <row r="4931">
      <c r="A4931" s="29">
        <v>4595.0</v>
      </c>
      <c r="B4931" s="29" t="s">
        <v>4555</v>
      </c>
      <c r="C4931" s="29" t="s">
        <v>4891</v>
      </c>
      <c r="D4931" s="29" t="s">
        <v>5016</v>
      </c>
      <c r="E4931" s="29" t="s">
        <v>5046</v>
      </c>
      <c r="F4931" s="29" t="s">
        <v>5060</v>
      </c>
      <c r="G4931" s="20" t="str">
        <f t="shared" si="1"/>
        <v>Sporting Goods, Outdoor Recreation, Cycling, Bicycle PartsBicycle Seatpost Clamps</v>
      </c>
    </row>
    <row r="4932">
      <c r="A4932" s="29">
        <v>4194.0</v>
      </c>
      <c r="B4932" s="29" t="s">
        <v>4555</v>
      </c>
      <c r="C4932" s="29" t="s">
        <v>4891</v>
      </c>
      <c r="D4932" s="29" t="s">
        <v>5016</v>
      </c>
      <c r="E4932" s="29" t="s">
        <v>5046</v>
      </c>
      <c r="F4932" s="29" t="s">
        <v>5061</v>
      </c>
      <c r="G4932" s="20" t="str">
        <f t="shared" si="1"/>
        <v>Sporting Goods, Outdoor Recreation, Cycling, Bicycle PartsBicycle Seatposts</v>
      </c>
    </row>
    <row r="4933">
      <c r="A4933" s="29">
        <v>4596.0</v>
      </c>
      <c r="B4933" s="29" t="s">
        <v>4555</v>
      </c>
      <c r="C4933" s="29" t="s">
        <v>4891</v>
      </c>
      <c r="D4933" s="29" t="s">
        <v>5016</v>
      </c>
      <c r="E4933" s="29" t="s">
        <v>5046</v>
      </c>
      <c r="F4933" s="29" t="s">
        <v>5062</v>
      </c>
      <c r="G4933" s="20" t="str">
        <f t="shared" si="1"/>
        <v>Sporting Goods, Outdoor Recreation, Cycling, Bicycle PartsBicycle Small Parts</v>
      </c>
    </row>
    <row r="4934">
      <c r="A4934" s="29">
        <v>4583.0</v>
      </c>
      <c r="B4934" s="29" t="s">
        <v>4555</v>
      </c>
      <c r="C4934" s="29" t="s">
        <v>4891</v>
      </c>
      <c r="D4934" s="29" t="s">
        <v>5016</v>
      </c>
      <c r="E4934" s="29" t="s">
        <v>5046</v>
      </c>
      <c r="F4934" s="29" t="s">
        <v>5063</v>
      </c>
      <c r="G4934" s="20" t="str">
        <f t="shared" si="1"/>
        <v>Sporting Goods, Outdoor Recreation, Cycling, Bicycle PartsBicycle Stems</v>
      </c>
    </row>
    <row r="4935">
      <c r="A4935" s="29">
        <v>499871.0</v>
      </c>
      <c r="B4935" s="29" t="s">
        <v>4555</v>
      </c>
      <c r="C4935" s="29" t="s">
        <v>4891</v>
      </c>
      <c r="D4935" s="29" t="s">
        <v>5016</v>
      </c>
      <c r="E4935" s="29" t="s">
        <v>5046</v>
      </c>
      <c r="F4935" s="29" t="s">
        <v>5064</v>
      </c>
      <c r="G4935" s="20" t="str">
        <f t="shared" si="1"/>
        <v>Sporting Goods, Outdoor Recreation, Cycling, Bicycle PartsBicycle Tire Valve Adapters</v>
      </c>
    </row>
    <row r="4936">
      <c r="A4936" s="29">
        <v>499869.0</v>
      </c>
      <c r="B4936" s="29" t="s">
        <v>4555</v>
      </c>
      <c r="C4936" s="29" t="s">
        <v>4891</v>
      </c>
      <c r="D4936" s="29" t="s">
        <v>5016</v>
      </c>
      <c r="E4936" s="29" t="s">
        <v>5046</v>
      </c>
      <c r="F4936" s="29" t="s">
        <v>5065</v>
      </c>
      <c r="G4936" s="20" t="str">
        <f t="shared" si="1"/>
        <v>Sporting Goods, Outdoor Recreation, Cycling, Bicycle PartsBicycle Tire Valve Caps</v>
      </c>
    </row>
    <row r="4937">
      <c r="A4937" s="29">
        <v>499870.0</v>
      </c>
      <c r="B4937" s="29" t="s">
        <v>4555</v>
      </c>
      <c r="C4937" s="29" t="s">
        <v>4891</v>
      </c>
      <c r="D4937" s="29" t="s">
        <v>5016</v>
      </c>
      <c r="E4937" s="29" t="s">
        <v>5046</v>
      </c>
      <c r="F4937" s="29" t="s">
        <v>5066</v>
      </c>
      <c r="G4937" s="20" t="str">
        <f t="shared" si="1"/>
        <v>Sporting Goods, Outdoor Recreation, Cycling, Bicycle PartsBicycle Tire Valves</v>
      </c>
    </row>
    <row r="4938">
      <c r="A4938" s="29">
        <v>4571.0</v>
      </c>
      <c r="B4938" s="29" t="s">
        <v>4555</v>
      </c>
      <c r="C4938" s="29" t="s">
        <v>4891</v>
      </c>
      <c r="D4938" s="29" t="s">
        <v>5016</v>
      </c>
      <c r="E4938" s="29" t="s">
        <v>5046</v>
      </c>
      <c r="F4938" s="29" t="s">
        <v>5067</v>
      </c>
      <c r="G4938" s="20" t="str">
        <f t="shared" si="1"/>
        <v>Sporting Goods, Outdoor Recreation, Cycling, Bicycle PartsBicycle Tires</v>
      </c>
    </row>
    <row r="4939">
      <c r="A4939" s="29">
        <v>4572.0</v>
      </c>
      <c r="B4939" s="29" t="s">
        <v>4555</v>
      </c>
      <c r="C4939" s="29" t="s">
        <v>4891</v>
      </c>
      <c r="D4939" s="29" t="s">
        <v>5016</v>
      </c>
      <c r="E4939" s="29" t="s">
        <v>5046</v>
      </c>
      <c r="F4939" s="29" t="s">
        <v>5068</v>
      </c>
      <c r="G4939" s="20" t="str">
        <f t="shared" si="1"/>
        <v>Sporting Goods, Outdoor Recreation, Cycling, Bicycle PartsBicycle Tubes</v>
      </c>
    </row>
    <row r="4940">
      <c r="A4940" s="29">
        <v>4597.0</v>
      </c>
      <c r="B4940" s="29" t="s">
        <v>4555</v>
      </c>
      <c r="C4940" s="29" t="s">
        <v>4891</v>
      </c>
      <c r="D4940" s="29" t="s">
        <v>5016</v>
      </c>
      <c r="E4940" s="29" t="s">
        <v>5046</v>
      </c>
      <c r="F4940" s="29" t="s">
        <v>5069</v>
      </c>
      <c r="G4940" s="20" t="str">
        <f t="shared" si="1"/>
        <v>Sporting Goods, Outdoor Recreation, Cycling, Bicycle PartsBicycle Wheel Parts</v>
      </c>
    </row>
    <row r="4941">
      <c r="A4941" s="29">
        <v>7538.0</v>
      </c>
      <c r="B4941" s="29" t="s">
        <v>4555</v>
      </c>
      <c r="C4941" s="29" t="s">
        <v>4891</v>
      </c>
      <c r="D4941" s="29" t="s">
        <v>5016</v>
      </c>
      <c r="E4941" s="29" t="s">
        <v>5046</v>
      </c>
      <c r="F4941" s="29" t="s">
        <v>5069</v>
      </c>
      <c r="G4941" s="20" t="str">
        <f t="shared" si="1"/>
        <v>Sporting Goods, Outdoor Recreation, Cycling, Bicycle PartsBicycle Wheel Parts</v>
      </c>
    </row>
    <row r="4942">
      <c r="A4942" s="29">
        <v>500053.0</v>
      </c>
      <c r="B4942" s="29" t="s">
        <v>4555</v>
      </c>
      <c r="C4942" s="29" t="s">
        <v>4891</v>
      </c>
      <c r="D4942" s="29" t="s">
        <v>5016</v>
      </c>
      <c r="E4942" s="29" t="s">
        <v>5046</v>
      </c>
      <c r="F4942" s="29" t="s">
        <v>5069</v>
      </c>
      <c r="G4942" s="20" t="str">
        <f t="shared" si="1"/>
        <v>Sporting Goods, Outdoor Recreation, Cycling, Bicycle PartsBicycle Wheel Parts</v>
      </c>
    </row>
    <row r="4943">
      <c r="A4943" s="29">
        <v>4599.0</v>
      </c>
      <c r="B4943" s="29" t="s">
        <v>4555</v>
      </c>
      <c r="C4943" s="29" t="s">
        <v>4891</v>
      </c>
      <c r="D4943" s="29" t="s">
        <v>5016</v>
      </c>
      <c r="E4943" s="29" t="s">
        <v>5046</v>
      </c>
      <c r="F4943" s="29" t="s">
        <v>5069</v>
      </c>
      <c r="G4943" s="20" t="str">
        <f t="shared" si="1"/>
        <v>Sporting Goods, Outdoor Recreation, Cycling, Bicycle PartsBicycle Wheel Parts</v>
      </c>
    </row>
    <row r="4944">
      <c r="A4944" s="29">
        <v>499875.0</v>
      </c>
      <c r="B4944" s="29" t="s">
        <v>4555</v>
      </c>
      <c r="C4944" s="29" t="s">
        <v>4891</v>
      </c>
      <c r="D4944" s="29" t="s">
        <v>5016</v>
      </c>
      <c r="E4944" s="29" t="s">
        <v>5046</v>
      </c>
      <c r="F4944" s="29" t="s">
        <v>5069</v>
      </c>
      <c r="G4944" s="20" t="str">
        <f t="shared" si="1"/>
        <v>Sporting Goods, Outdoor Recreation, Cycling, Bicycle PartsBicycle Wheel Parts</v>
      </c>
    </row>
    <row r="4945">
      <c r="A4945" s="29">
        <v>4600.0</v>
      </c>
      <c r="B4945" s="29" t="s">
        <v>4555</v>
      </c>
      <c r="C4945" s="29" t="s">
        <v>4891</v>
      </c>
      <c r="D4945" s="29" t="s">
        <v>5016</v>
      </c>
      <c r="E4945" s="29" t="s">
        <v>5046</v>
      </c>
      <c r="F4945" s="29" t="s">
        <v>5069</v>
      </c>
      <c r="G4945" s="20" t="str">
        <f t="shared" si="1"/>
        <v>Sporting Goods, Outdoor Recreation, Cycling, Bicycle PartsBicycle Wheel Parts</v>
      </c>
    </row>
    <row r="4946">
      <c r="A4946" s="29">
        <v>8528.0</v>
      </c>
      <c r="B4946" s="29" t="s">
        <v>4555</v>
      </c>
      <c r="C4946" s="29" t="s">
        <v>4891</v>
      </c>
      <c r="D4946" s="29" t="s">
        <v>5016</v>
      </c>
      <c r="E4946" s="29" t="s">
        <v>5046</v>
      </c>
      <c r="F4946" s="29" t="s">
        <v>5069</v>
      </c>
      <c r="G4946" s="20" t="str">
        <f t="shared" si="1"/>
        <v>Sporting Goods, Outdoor Recreation, Cycling, Bicycle PartsBicycle Wheel Parts</v>
      </c>
    </row>
    <row r="4947">
      <c r="A4947" s="29">
        <v>4601.0</v>
      </c>
      <c r="B4947" s="29" t="s">
        <v>4555</v>
      </c>
      <c r="C4947" s="29" t="s">
        <v>4891</v>
      </c>
      <c r="D4947" s="29" t="s">
        <v>5016</v>
      </c>
      <c r="E4947" s="29" t="s">
        <v>5046</v>
      </c>
      <c r="F4947" s="29" t="s">
        <v>5069</v>
      </c>
      <c r="G4947" s="20" t="str">
        <f t="shared" si="1"/>
        <v>Sporting Goods, Outdoor Recreation, Cycling, Bicycle PartsBicycle Wheel Parts</v>
      </c>
    </row>
    <row r="4948">
      <c r="A4948" s="29">
        <v>4602.0</v>
      </c>
      <c r="B4948" s="29" t="s">
        <v>4555</v>
      </c>
      <c r="C4948" s="29" t="s">
        <v>4891</v>
      </c>
      <c r="D4948" s="29" t="s">
        <v>5016</v>
      </c>
      <c r="E4948" s="29" t="s">
        <v>5046</v>
      </c>
      <c r="F4948" s="29" t="s">
        <v>5069</v>
      </c>
      <c r="G4948" s="20" t="str">
        <f t="shared" si="1"/>
        <v>Sporting Goods, Outdoor Recreation, Cycling, Bicycle PartsBicycle Wheel Parts</v>
      </c>
    </row>
    <row r="4949">
      <c r="A4949" s="29">
        <v>3216.0</v>
      </c>
      <c r="B4949" s="29" t="s">
        <v>4555</v>
      </c>
      <c r="C4949" s="29" t="s">
        <v>4891</v>
      </c>
      <c r="D4949" s="29" t="s">
        <v>5016</v>
      </c>
      <c r="E4949" s="29" t="s">
        <v>5046</v>
      </c>
      <c r="F4949" s="29" t="s">
        <v>5070</v>
      </c>
      <c r="G4949" s="20" t="str">
        <f t="shared" si="1"/>
        <v>Sporting Goods, Outdoor Recreation, Cycling, Bicycle PartsBicycle Wheels</v>
      </c>
    </row>
    <row r="4950">
      <c r="A4950" s="29">
        <v>1026.0</v>
      </c>
      <c r="B4950" s="29" t="s">
        <v>4555</v>
      </c>
      <c r="C4950" s="29" t="s">
        <v>4891</v>
      </c>
      <c r="D4950" s="29" t="s">
        <v>5016</v>
      </c>
      <c r="E4950" s="29" t="s">
        <v>5071</v>
      </c>
      <c r="F4950" s="62"/>
      <c r="G4950" s="20" t="str">
        <f t="shared" si="1"/>
        <v>Sporting Goods, Outdoor Recreation, Cycling, Bicycles</v>
      </c>
    </row>
    <row r="4951">
      <c r="A4951" s="29">
        <v>3982.0</v>
      </c>
      <c r="B4951" s="29" t="s">
        <v>4555</v>
      </c>
      <c r="C4951" s="29" t="s">
        <v>4891</v>
      </c>
      <c r="D4951" s="29" t="s">
        <v>5016</v>
      </c>
      <c r="E4951" s="29" t="s">
        <v>5072</v>
      </c>
      <c r="F4951" s="62"/>
      <c r="G4951" s="20" t="str">
        <f t="shared" si="1"/>
        <v>Sporting Goods, Outdoor Recreation, Cycling, Cycling Apparel &amp; Accessories</v>
      </c>
    </row>
    <row r="4952">
      <c r="A4952" s="29">
        <v>7474.0</v>
      </c>
      <c r="B4952" s="29" t="s">
        <v>4555</v>
      </c>
      <c r="C4952" s="29" t="s">
        <v>4891</v>
      </c>
      <c r="D4952" s="29" t="s">
        <v>5016</v>
      </c>
      <c r="E4952" s="29" t="s">
        <v>5072</v>
      </c>
      <c r="F4952" s="29" t="s">
        <v>5073</v>
      </c>
      <c r="G4952" s="20" t="str">
        <f t="shared" si="1"/>
        <v>Sporting Goods, Outdoor Recreation, Cycling, Cycling Apparel &amp; AccessoriesBicycle Cleat Accessories</v>
      </c>
    </row>
    <row r="4953">
      <c r="A4953" s="29">
        <v>7476.0</v>
      </c>
      <c r="B4953" s="29" t="s">
        <v>4555</v>
      </c>
      <c r="C4953" s="29" t="s">
        <v>4891</v>
      </c>
      <c r="D4953" s="29" t="s">
        <v>5016</v>
      </c>
      <c r="E4953" s="29" t="s">
        <v>5072</v>
      </c>
      <c r="F4953" s="29" t="s">
        <v>5073</v>
      </c>
      <c r="G4953" s="20" t="str">
        <f t="shared" si="1"/>
        <v>Sporting Goods, Outdoor Recreation, Cycling, Cycling Apparel &amp; AccessoriesBicycle Cleat Accessories</v>
      </c>
    </row>
    <row r="4954">
      <c r="A4954" s="29">
        <v>7453.0</v>
      </c>
      <c r="B4954" s="29" t="s">
        <v>4555</v>
      </c>
      <c r="C4954" s="29" t="s">
        <v>4891</v>
      </c>
      <c r="D4954" s="29" t="s">
        <v>5016</v>
      </c>
      <c r="E4954" s="29" t="s">
        <v>5072</v>
      </c>
      <c r="F4954" s="29" t="s">
        <v>5073</v>
      </c>
      <c r="G4954" s="20" t="str">
        <f t="shared" si="1"/>
        <v>Sporting Goods, Outdoor Recreation, Cycling, Cycling Apparel &amp; AccessoriesBicycle Cleat Accessories</v>
      </c>
    </row>
    <row r="4955">
      <c r="A4955" s="29">
        <v>7475.0</v>
      </c>
      <c r="B4955" s="29" t="s">
        <v>4555</v>
      </c>
      <c r="C4955" s="29" t="s">
        <v>4891</v>
      </c>
      <c r="D4955" s="29" t="s">
        <v>5016</v>
      </c>
      <c r="E4955" s="29" t="s">
        <v>5072</v>
      </c>
      <c r="F4955" s="29" t="s">
        <v>5073</v>
      </c>
      <c r="G4955" s="20" t="str">
        <f t="shared" si="1"/>
        <v>Sporting Goods, Outdoor Recreation, Cycling, Cycling Apparel &amp; AccessoriesBicycle Cleat Accessories</v>
      </c>
    </row>
    <row r="4956">
      <c r="A4956" s="29">
        <v>3118.0</v>
      </c>
      <c r="B4956" s="29" t="s">
        <v>4555</v>
      </c>
      <c r="C4956" s="29" t="s">
        <v>4891</v>
      </c>
      <c r="D4956" s="29" t="s">
        <v>5016</v>
      </c>
      <c r="E4956" s="29" t="s">
        <v>5072</v>
      </c>
      <c r="F4956" s="29" t="s">
        <v>5074</v>
      </c>
      <c r="G4956" s="20" t="str">
        <f t="shared" si="1"/>
        <v>Sporting Goods, Outdoor Recreation, Cycling, Cycling Apparel &amp; AccessoriesBicycle Cleats</v>
      </c>
    </row>
    <row r="4957">
      <c r="A4957" s="29">
        <v>3246.0</v>
      </c>
      <c r="B4957" s="29" t="s">
        <v>4555</v>
      </c>
      <c r="C4957" s="29" t="s">
        <v>4891</v>
      </c>
      <c r="D4957" s="29" t="s">
        <v>5016</v>
      </c>
      <c r="E4957" s="29" t="s">
        <v>5072</v>
      </c>
      <c r="F4957" s="29" t="s">
        <v>5075</v>
      </c>
      <c r="G4957" s="20" t="str">
        <f t="shared" si="1"/>
        <v>Sporting Goods, Outdoor Recreation, Cycling, Cycling Apparel &amp; AccessoriesBicycle Gloves</v>
      </c>
    </row>
    <row r="4958">
      <c r="A4958" s="29">
        <v>500028.0</v>
      </c>
      <c r="B4958" s="29" t="s">
        <v>4555</v>
      </c>
      <c r="C4958" s="29" t="s">
        <v>4891</v>
      </c>
      <c r="D4958" s="29" t="s">
        <v>5016</v>
      </c>
      <c r="E4958" s="29" t="s">
        <v>5072</v>
      </c>
      <c r="F4958" s="29" t="s">
        <v>5076</v>
      </c>
      <c r="G4958" s="20" t="str">
        <f t="shared" si="1"/>
        <v>Sporting Goods, Outdoor Recreation, Cycling, Cycling Apparel &amp; AccessoriesBicycle Helmet Parts &amp; Accessories</v>
      </c>
    </row>
    <row r="4959">
      <c r="A4959" s="29">
        <v>1029.0</v>
      </c>
      <c r="B4959" s="29" t="s">
        <v>4555</v>
      </c>
      <c r="C4959" s="29" t="s">
        <v>4891</v>
      </c>
      <c r="D4959" s="29" t="s">
        <v>5016</v>
      </c>
      <c r="E4959" s="29" t="s">
        <v>5072</v>
      </c>
      <c r="F4959" s="29" t="s">
        <v>5077</v>
      </c>
      <c r="G4959" s="20" t="str">
        <f t="shared" si="1"/>
        <v>Sporting Goods, Outdoor Recreation, Cycling, Cycling Apparel &amp; AccessoriesBicycle Helmets</v>
      </c>
    </row>
    <row r="4960">
      <c r="A4960" s="29">
        <v>8061.0</v>
      </c>
      <c r="B4960" s="29" t="s">
        <v>4555</v>
      </c>
      <c r="C4960" s="29" t="s">
        <v>4891</v>
      </c>
      <c r="D4960" s="29" t="s">
        <v>5016</v>
      </c>
      <c r="E4960" s="29" t="s">
        <v>5072</v>
      </c>
      <c r="F4960" s="29" t="s">
        <v>5078</v>
      </c>
      <c r="G4960" s="20" t="str">
        <f t="shared" si="1"/>
        <v>Sporting Goods, Outdoor Recreation, Cycling, Cycling Apparel &amp; AccessoriesBicycle Protective Pads</v>
      </c>
    </row>
    <row r="4961">
      <c r="A4961" s="29">
        <v>3272.0</v>
      </c>
      <c r="B4961" s="29" t="s">
        <v>4555</v>
      </c>
      <c r="C4961" s="29" t="s">
        <v>4891</v>
      </c>
      <c r="D4961" s="29" t="s">
        <v>5016</v>
      </c>
      <c r="E4961" s="29" t="s">
        <v>5072</v>
      </c>
      <c r="F4961" s="29" t="s">
        <v>5079</v>
      </c>
      <c r="G4961" s="20" t="str">
        <f t="shared" si="1"/>
        <v>Sporting Goods, Outdoor Recreation, Cycling, Cycling Apparel &amp; AccessoriesBicycle Shoe Covers</v>
      </c>
    </row>
    <row r="4962">
      <c r="A4962" s="29">
        <v>3634.0</v>
      </c>
      <c r="B4962" s="29" t="s">
        <v>4555</v>
      </c>
      <c r="C4962" s="29" t="s">
        <v>4891</v>
      </c>
      <c r="D4962" s="29" t="s">
        <v>5016</v>
      </c>
      <c r="E4962" s="29" t="s">
        <v>5080</v>
      </c>
      <c r="F4962" s="62"/>
      <c r="G4962" s="20" t="str">
        <f t="shared" si="1"/>
        <v>Sporting Goods, Outdoor Recreation, Cycling, Tricycle Accessories</v>
      </c>
    </row>
    <row r="4963">
      <c r="A4963" s="29">
        <v>3531.0</v>
      </c>
      <c r="B4963" s="29" t="s">
        <v>4555</v>
      </c>
      <c r="C4963" s="29" t="s">
        <v>4891</v>
      </c>
      <c r="D4963" s="29" t="s">
        <v>5016</v>
      </c>
      <c r="E4963" s="29" t="s">
        <v>5081</v>
      </c>
      <c r="F4963" s="62"/>
      <c r="G4963" s="20" t="str">
        <f t="shared" si="1"/>
        <v>Sporting Goods, Outdoor Recreation, Cycling, Tricycles</v>
      </c>
    </row>
    <row r="4964">
      <c r="A4964" s="29">
        <v>3070.0</v>
      </c>
      <c r="B4964" s="29" t="s">
        <v>4555</v>
      </c>
      <c r="C4964" s="29" t="s">
        <v>4891</v>
      </c>
      <c r="D4964" s="29" t="s">
        <v>5016</v>
      </c>
      <c r="E4964" s="29" t="s">
        <v>5082</v>
      </c>
      <c r="F4964" s="62"/>
      <c r="G4964" s="20" t="str">
        <f t="shared" si="1"/>
        <v>Sporting Goods, Outdoor Recreation, Cycling, Unicycle Accessories</v>
      </c>
    </row>
    <row r="4965">
      <c r="A4965" s="29">
        <v>1030.0</v>
      </c>
      <c r="B4965" s="29" t="s">
        <v>4555</v>
      </c>
      <c r="C4965" s="29" t="s">
        <v>4891</v>
      </c>
      <c r="D4965" s="29" t="s">
        <v>5016</v>
      </c>
      <c r="E4965" s="29" t="s">
        <v>5083</v>
      </c>
      <c r="F4965" s="62"/>
      <c r="G4965" s="20" t="str">
        <f t="shared" si="1"/>
        <v>Sporting Goods, Outdoor Recreation, Cycling, Unicycles</v>
      </c>
    </row>
    <row r="4966">
      <c r="A4966" s="29">
        <v>1031.0</v>
      </c>
      <c r="B4966" s="29" t="s">
        <v>4555</v>
      </c>
      <c r="C4966" s="29" t="s">
        <v>4891</v>
      </c>
      <c r="D4966" s="29" t="s">
        <v>5084</v>
      </c>
      <c r="E4966" s="62"/>
      <c r="F4966" s="62"/>
      <c r="G4966" s="20" t="str">
        <f t="shared" si="1"/>
        <v>Sporting Goods, Outdoor Recreation, Equestrian, </v>
      </c>
    </row>
    <row r="4967">
      <c r="A4967" s="29">
        <v>3257.0</v>
      </c>
      <c r="B4967" s="29" t="s">
        <v>4555</v>
      </c>
      <c r="C4967" s="29" t="s">
        <v>4891</v>
      </c>
      <c r="D4967" s="29" t="s">
        <v>5084</v>
      </c>
      <c r="E4967" s="29" t="s">
        <v>5085</v>
      </c>
      <c r="F4967" s="62"/>
      <c r="G4967" s="20" t="str">
        <f t="shared" si="1"/>
        <v>Sporting Goods, Outdoor Recreation, Equestrian, Horse Care</v>
      </c>
    </row>
    <row r="4968">
      <c r="A4968" s="29">
        <v>6898.0</v>
      </c>
      <c r="B4968" s="29" t="s">
        <v>4555</v>
      </c>
      <c r="C4968" s="29" t="s">
        <v>4891</v>
      </c>
      <c r="D4968" s="29" t="s">
        <v>5084</v>
      </c>
      <c r="E4968" s="29" t="s">
        <v>5085</v>
      </c>
      <c r="F4968" s="29" t="s">
        <v>5086</v>
      </c>
      <c r="G4968" s="20" t="str">
        <f t="shared" si="1"/>
        <v>Sporting Goods, Outdoor Recreation, Equestrian, Horse CareHorse Blankets &amp; Sheets</v>
      </c>
    </row>
    <row r="4969">
      <c r="A4969" s="29">
        <v>5569.0</v>
      </c>
      <c r="B4969" s="29" t="s">
        <v>4555</v>
      </c>
      <c r="C4969" s="29" t="s">
        <v>4891</v>
      </c>
      <c r="D4969" s="29" t="s">
        <v>5084</v>
      </c>
      <c r="E4969" s="29" t="s">
        <v>5085</v>
      </c>
      <c r="F4969" s="29" t="s">
        <v>5087</v>
      </c>
      <c r="G4969" s="20" t="str">
        <f t="shared" si="1"/>
        <v>Sporting Goods, Outdoor Recreation, Equestrian, Horse CareHorse Boots &amp; Leg Wraps</v>
      </c>
    </row>
    <row r="4970">
      <c r="A4970" s="29">
        <v>7482.0</v>
      </c>
      <c r="B4970" s="29" t="s">
        <v>4555</v>
      </c>
      <c r="C4970" s="29" t="s">
        <v>4891</v>
      </c>
      <c r="D4970" s="29" t="s">
        <v>5084</v>
      </c>
      <c r="E4970" s="29" t="s">
        <v>5085</v>
      </c>
      <c r="F4970" s="29" t="s">
        <v>5088</v>
      </c>
      <c r="G4970" s="20" t="str">
        <f t="shared" si="1"/>
        <v>Sporting Goods, Outdoor Recreation, Equestrian, Horse CareHorse Feed</v>
      </c>
    </row>
    <row r="4971">
      <c r="A4971" s="29">
        <v>499817.0</v>
      </c>
      <c r="B4971" s="29" t="s">
        <v>4555</v>
      </c>
      <c r="C4971" s="29" t="s">
        <v>4891</v>
      </c>
      <c r="D4971" s="29" t="s">
        <v>5084</v>
      </c>
      <c r="E4971" s="29" t="s">
        <v>5085</v>
      </c>
      <c r="F4971" s="29" t="s">
        <v>5089</v>
      </c>
      <c r="G4971" s="20" t="str">
        <f t="shared" si="1"/>
        <v>Sporting Goods, Outdoor Recreation, Equestrian, Horse CareHorse Fly Masks</v>
      </c>
    </row>
    <row r="4972">
      <c r="A4972" s="29">
        <v>5025.0</v>
      </c>
      <c r="B4972" s="29" t="s">
        <v>4555</v>
      </c>
      <c r="C4972" s="29" t="s">
        <v>4891</v>
      </c>
      <c r="D4972" s="29" t="s">
        <v>5084</v>
      </c>
      <c r="E4972" s="29" t="s">
        <v>5085</v>
      </c>
      <c r="F4972" s="29" t="s">
        <v>5090</v>
      </c>
      <c r="G4972" s="20" t="str">
        <f t="shared" si="1"/>
        <v>Sporting Goods, Outdoor Recreation, Equestrian, Horse CareHorse Grooming</v>
      </c>
    </row>
    <row r="4973">
      <c r="A4973" s="29">
        <v>6386.0</v>
      </c>
      <c r="B4973" s="29" t="s">
        <v>4555</v>
      </c>
      <c r="C4973" s="29" t="s">
        <v>4891</v>
      </c>
      <c r="D4973" s="29" t="s">
        <v>5084</v>
      </c>
      <c r="E4973" s="29" t="s">
        <v>5085</v>
      </c>
      <c r="F4973" s="29" t="s">
        <v>5090</v>
      </c>
      <c r="G4973" s="20" t="str">
        <f t="shared" si="1"/>
        <v>Sporting Goods, Outdoor Recreation, Equestrian, Horse CareHorse Grooming</v>
      </c>
    </row>
    <row r="4974">
      <c r="A4974" s="29">
        <v>499818.0</v>
      </c>
      <c r="B4974" s="29" t="s">
        <v>4555</v>
      </c>
      <c r="C4974" s="29" t="s">
        <v>4891</v>
      </c>
      <c r="D4974" s="29" t="s">
        <v>5084</v>
      </c>
      <c r="E4974" s="29" t="s">
        <v>5085</v>
      </c>
      <c r="F4974" s="29" t="s">
        <v>5090</v>
      </c>
      <c r="G4974" s="20" t="str">
        <f t="shared" si="1"/>
        <v>Sporting Goods, Outdoor Recreation, Equestrian, Horse CareHorse Grooming</v>
      </c>
    </row>
    <row r="4975">
      <c r="A4975" s="29">
        <v>7481.0</v>
      </c>
      <c r="B4975" s="29" t="s">
        <v>4555</v>
      </c>
      <c r="C4975" s="29" t="s">
        <v>4891</v>
      </c>
      <c r="D4975" s="29" t="s">
        <v>5084</v>
      </c>
      <c r="E4975" s="29" t="s">
        <v>5085</v>
      </c>
      <c r="F4975" s="29" t="s">
        <v>5091</v>
      </c>
      <c r="G4975" s="20" t="str">
        <f t="shared" si="1"/>
        <v>Sporting Goods, Outdoor Recreation, Equestrian, Horse CareHorse Treats</v>
      </c>
    </row>
    <row r="4976">
      <c r="A4976" s="29">
        <v>7459.0</v>
      </c>
      <c r="B4976" s="29" t="s">
        <v>4555</v>
      </c>
      <c r="C4976" s="29" t="s">
        <v>4891</v>
      </c>
      <c r="D4976" s="29" t="s">
        <v>5084</v>
      </c>
      <c r="E4976" s="29" t="s">
        <v>5085</v>
      </c>
      <c r="F4976" s="29" t="s">
        <v>5092</v>
      </c>
      <c r="G4976" s="20" t="str">
        <f t="shared" si="1"/>
        <v>Sporting Goods, Outdoor Recreation, Equestrian, Horse CareHorse Vitamins &amp; Supplements</v>
      </c>
    </row>
    <row r="4977">
      <c r="A4977" s="29">
        <v>499819.0</v>
      </c>
      <c r="B4977" s="29" t="s">
        <v>4555</v>
      </c>
      <c r="C4977" s="29" t="s">
        <v>4891</v>
      </c>
      <c r="D4977" s="29" t="s">
        <v>5084</v>
      </c>
      <c r="E4977" s="29" t="s">
        <v>5085</v>
      </c>
      <c r="F4977" s="29" t="s">
        <v>5093</v>
      </c>
      <c r="G4977" s="20" t="str">
        <f t="shared" si="1"/>
        <v>Sporting Goods, Outdoor Recreation, Equestrian, Horse CareHorse Wormers</v>
      </c>
    </row>
    <row r="4978">
      <c r="A4978" s="29">
        <v>5593.0</v>
      </c>
      <c r="B4978" s="29" t="s">
        <v>4555</v>
      </c>
      <c r="C4978" s="29" t="s">
        <v>4891</v>
      </c>
      <c r="D4978" s="29" t="s">
        <v>5084</v>
      </c>
      <c r="E4978" s="29" t="s">
        <v>5094</v>
      </c>
      <c r="F4978" s="62"/>
      <c r="G4978" s="20" t="str">
        <f t="shared" si="1"/>
        <v>Sporting Goods, Outdoor Recreation, Equestrian, Horse Tack</v>
      </c>
    </row>
    <row r="4979">
      <c r="A4979" s="29">
        <v>4018.0</v>
      </c>
      <c r="B4979" s="29" t="s">
        <v>4555</v>
      </c>
      <c r="C4979" s="29" t="s">
        <v>4891</v>
      </c>
      <c r="D4979" s="29" t="s">
        <v>5084</v>
      </c>
      <c r="E4979" s="29" t="s">
        <v>5094</v>
      </c>
      <c r="F4979" s="29" t="s">
        <v>5095</v>
      </c>
      <c r="G4979" s="20" t="str">
        <f t="shared" si="1"/>
        <v>Sporting Goods, Outdoor Recreation, Equestrian, Horse TackBridle Bits</v>
      </c>
    </row>
    <row r="4980">
      <c r="A4980" s="29">
        <v>3426.0</v>
      </c>
      <c r="B4980" s="29" t="s">
        <v>4555</v>
      </c>
      <c r="C4980" s="29" t="s">
        <v>4891</v>
      </c>
      <c r="D4980" s="29" t="s">
        <v>5084</v>
      </c>
      <c r="E4980" s="29" t="s">
        <v>5094</v>
      </c>
      <c r="F4980" s="29" t="s">
        <v>5096</v>
      </c>
      <c r="G4980" s="20" t="str">
        <f t="shared" si="1"/>
        <v>Sporting Goods, Outdoor Recreation, Equestrian, Horse TackBridles</v>
      </c>
    </row>
    <row r="4981">
      <c r="A4981" s="29">
        <v>1491.0</v>
      </c>
      <c r="B4981" s="29" t="s">
        <v>4555</v>
      </c>
      <c r="C4981" s="29" t="s">
        <v>4891</v>
      </c>
      <c r="D4981" s="29" t="s">
        <v>5084</v>
      </c>
      <c r="E4981" s="29" t="s">
        <v>5094</v>
      </c>
      <c r="F4981" s="29" t="s">
        <v>5097</v>
      </c>
      <c r="G4981" s="20" t="str">
        <f t="shared" si="1"/>
        <v>Sporting Goods, Outdoor Recreation, Equestrian, Horse TackCinches</v>
      </c>
    </row>
    <row r="4982">
      <c r="A4982" s="29">
        <v>499710.0</v>
      </c>
      <c r="B4982" s="29" t="s">
        <v>4555</v>
      </c>
      <c r="C4982" s="29" t="s">
        <v>4891</v>
      </c>
      <c r="D4982" s="29" t="s">
        <v>5084</v>
      </c>
      <c r="E4982" s="29" t="s">
        <v>5094</v>
      </c>
      <c r="F4982" s="29" t="s">
        <v>5098</v>
      </c>
      <c r="G4982" s="20" t="str">
        <f t="shared" si="1"/>
        <v>Sporting Goods, Outdoor Recreation, Equestrian, Horse TackHorse Halters</v>
      </c>
    </row>
    <row r="4983">
      <c r="A4983" s="29">
        <v>2756.0</v>
      </c>
      <c r="B4983" s="29" t="s">
        <v>4555</v>
      </c>
      <c r="C4983" s="29" t="s">
        <v>4891</v>
      </c>
      <c r="D4983" s="29" t="s">
        <v>5084</v>
      </c>
      <c r="E4983" s="29" t="s">
        <v>5094</v>
      </c>
      <c r="F4983" s="29" t="s">
        <v>5099</v>
      </c>
      <c r="G4983" s="20" t="str">
        <f t="shared" si="1"/>
        <v>Sporting Goods, Outdoor Recreation, Equestrian, Horse TackHorse Harnesses</v>
      </c>
    </row>
    <row r="4984">
      <c r="A4984" s="29">
        <v>499709.0</v>
      </c>
      <c r="B4984" s="29" t="s">
        <v>4555</v>
      </c>
      <c r="C4984" s="29" t="s">
        <v>4891</v>
      </c>
      <c r="D4984" s="29" t="s">
        <v>5084</v>
      </c>
      <c r="E4984" s="29" t="s">
        <v>5094</v>
      </c>
      <c r="F4984" s="29" t="s">
        <v>5100</v>
      </c>
      <c r="G4984" s="20" t="str">
        <f t="shared" si="1"/>
        <v>Sporting Goods, Outdoor Recreation, Equestrian, Horse TackHorse Leads</v>
      </c>
    </row>
    <row r="4985">
      <c r="A4985" s="29">
        <v>1754.0</v>
      </c>
      <c r="B4985" s="29" t="s">
        <v>4555</v>
      </c>
      <c r="C4985" s="29" t="s">
        <v>4891</v>
      </c>
      <c r="D4985" s="29" t="s">
        <v>5084</v>
      </c>
      <c r="E4985" s="29" t="s">
        <v>5094</v>
      </c>
      <c r="F4985" s="29" t="s">
        <v>5101</v>
      </c>
      <c r="G4985" s="20" t="str">
        <f t="shared" si="1"/>
        <v>Sporting Goods, Outdoor Recreation, Equestrian, Horse TackReins</v>
      </c>
    </row>
    <row r="4986">
      <c r="A4986" s="29">
        <v>2210.0</v>
      </c>
      <c r="B4986" s="29" t="s">
        <v>4555</v>
      </c>
      <c r="C4986" s="29" t="s">
        <v>4891</v>
      </c>
      <c r="D4986" s="29" t="s">
        <v>5084</v>
      </c>
      <c r="E4986" s="29" t="s">
        <v>5094</v>
      </c>
      <c r="F4986" s="29" t="s">
        <v>5102</v>
      </c>
      <c r="G4986" s="20" t="str">
        <f t="shared" si="1"/>
        <v>Sporting Goods, Outdoor Recreation, Equestrian, Horse TackSaddles</v>
      </c>
    </row>
    <row r="4987">
      <c r="A4987" s="29">
        <v>8109.0</v>
      </c>
      <c r="B4987" s="29" t="s">
        <v>4555</v>
      </c>
      <c r="C4987" s="29" t="s">
        <v>4891</v>
      </c>
      <c r="D4987" s="29" t="s">
        <v>5084</v>
      </c>
      <c r="E4987" s="29" t="s">
        <v>5094</v>
      </c>
      <c r="F4987" s="29" t="s">
        <v>5103</v>
      </c>
      <c r="G4987" s="20" t="str">
        <f t="shared" si="1"/>
        <v>Sporting Goods, Outdoor Recreation, Equestrian, Horse TackStirrups</v>
      </c>
    </row>
    <row r="4988">
      <c r="A4988" s="29">
        <v>7215.0</v>
      </c>
      <c r="B4988" s="29" t="s">
        <v>4555</v>
      </c>
      <c r="C4988" s="29" t="s">
        <v>4891</v>
      </c>
      <c r="D4988" s="29" t="s">
        <v>5084</v>
      </c>
      <c r="E4988" s="29" t="s">
        <v>5104</v>
      </c>
      <c r="F4988" s="62"/>
      <c r="G4988" s="20" t="str">
        <f t="shared" si="1"/>
        <v>Sporting Goods, Outdoor Recreation, Equestrian, Horse Tack Accessories</v>
      </c>
    </row>
    <row r="4989">
      <c r="A4989" s="29">
        <v>499820.0</v>
      </c>
      <c r="B4989" s="29" t="s">
        <v>4555</v>
      </c>
      <c r="C4989" s="29" t="s">
        <v>4891</v>
      </c>
      <c r="D4989" s="29" t="s">
        <v>5084</v>
      </c>
      <c r="E4989" s="29" t="s">
        <v>5104</v>
      </c>
      <c r="F4989" s="29" t="s">
        <v>5105</v>
      </c>
      <c r="G4989" s="20" t="str">
        <f t="shared" si="1"/>
        <v>Sporting Goods, Outdoor Recreation, Equestrian, Horse Tack AccessoriesHorse Tack Boxes</v>
      </c>
    </row>
    <row r="4990">
      <c r="A4990" s="29">
        <v>8107.0</v>
      </c>
      <c r="B4990" s="29" t="s">
        <v>4555</v>
      </c>
      <c r="C4990" s="29" t="s">
        <v>4891</v>
      </c>
      <c r="D4990" s="29" t="s">
        <v>5084</v>
      </c>
      <c r="E4990" s="29" t="s">
        <v>5104</v>
      </c>
      <c r="F4990" s="29" t="s">
        <v>5106</v>
      </c>
      <c r="G4990" s="20" t="str">
        <f t="shared" si="1"/>
        <v>Sporting Goods, Outdoor Recreation, Equestrian, Horse Tack AccessoriesSaddle Accessories</v>
      </c>
    </row>
    <row r="4991">
      <c r="A4991" s="29">
        <v>326122.0</v>
      </c>
      <c r="B4991" s="29" t="s">
        <v>4555</v>
      </c>
      <c r="C4991" s="29" t="s">
        <v>4891</v>
      </c>
      <c r="D4991" s="29" t="s">
        <v>5084</v>
      </c>
      <c r="E4991" s="29" t="s">
        <v>5104</v>
      </c>
      <c r="F4991" s="29" t="s">
        <v>5106</v>
      </c>
      <c r="G4991" s="20" t="str">
        <f t="shared" si="1"/>
        <v>Sporting Goods, Outdoor Recreation, Equestrian, Horse Tack AccessoriesSaddle Accessories</v>
      </c>
    </row>
    <row r="4992">
      <c r="A4992" s="29">
        <v>499959.0</v>
      </c>
      <c r="B4992" s="29" t="s">
        <v>4555</v>
      </c>
      <c r="C4992" s="29" t="s">
        <v>4891</v>
      </c>
      <c r="D4992" s="29" t="s">
        <v>5084</v>
      </c>
      <c r="E4992" s="29" t="s">
        <v>5104</v>
      </c>
      <c r="F4992" s="29" t="s">
        <v>5106</v>
      </c>
      <c r="G4992" s="20" t="str">
        <f t="shared" si="1"/>
        <v>Sporting Goods, Outdoor Recreation, Equestrian, Horse Tack AccessoriesSaddle Accessories</v>
      </c>
    </row>
    <row r="4993">
      <c r="A4993" s="29">
        <v>8108.0</v>
      </c>
      <c r="B4993" s="29" t="s">
        <v>4555</v>
      </c>
      <c r="C4993" s="29" t="s">
        <v>4891</v>
      </c>
      <c r="D4993" s="29" t="s">
        <v>5084</v>
      </c>
      <c r="E4993" s="29" t="s">
        <v>5104</v>
      </c>
      <c r="F4993" s="29" t="s">
        <v>5106</v>
      </c>
      <c r="G4993" s="20" t="str">
        <f t="shared" si="1"/>
        <v>Sporting Goods, Outdoor Recreation, Equestrian, Horse Tack AccessoriesSaddle Accessories</v>
      </c>
    </row>
    <row r="4994">
      <c r="A4994" s="29">
        <v>7216.0</v>
      </c>
      <c r="B4994" s="29" t="s">
        <v>4555</v>
      </c>
      <c r="C4994" s="29" t="s">
        <v>4891</v>
      </c>
      <c r="D4994" s="29" t="s">
        <v>5084</v>
      </c>
      <c r="E4994" s="29" t="s">
        <v>5104</v>
      </c>
      <c r="F4994" s="29" t="s">
        <v>5106</v>
      </c>
      <c r="G4994" s="20" t="str">
        <f t="shared" si="1"/>
        <v>Sporting Goods, Outdoor Recreation, Equestrian, Horse Tack AccessoriesSaddle Accessories</v>
      </c>
    </row>
    <row r="4995">
      <c r="A4995" s="29">
        <v>5594.0</v>
      </c>
      <c r="B4995" s="29" t="s">
        <v>4555</v>
      </c>
      <c r="C4995" s="29" t="s">
        <v>4891</v>
      </c>
      <c r="D4995" s="29" t="s">
        <v>5084</v>
      </c>
      <c r="E4995" s="29" t="s">
        <v>5107</v>
      </c>
      <c r="F4995" s="62"/>
      <c r="G4995" s="20" t="str">
        <f t="shared" si="1"/>
        <v>Sporting Goods, Outdoor Recreation, Equestrian, Riding Apparel &amp; Accessories</v>
      </c>
    </row>
    <row r="4996">
      <c r="A4996" s="29">
        <v>3084.0</v>
      </c>
      <c r="B4996" s="29" t="s">
        <v>4555</v>
      </c>
      <c r="C4996" s="29" t="s">
        <v>4891</v>
      </c>
      <c r="D4996" s="29" t="s">
        <v>5084</v>
      </c>
      <c r="E4996" s="29" t="s">
        <v>5107</v>
      </c>
      <c r="F4996" s="29" t="s">
        <v>5108</v>
      </c>
      <c r="G4996" s="20" t="str">
        <f t="shared" si="1"/>
        <v>Sporting Goods, Outdoor Recreation, Equestrian, Riding Apparel &amp; AccessoriesEquestrian Gloves</v>
      </c>
    </row>
    <row r="4997">
      <c r="A4997" s="29">
        <v>3821.0</v>
      </c>
      <c r="B4997" s="29" t="s">
        <v>4555</v>
      </c>
      <c r="C4997" s="29" t="s">
        <v>4891</v>
      </c>
      <c r="D4997" s="29" t="s">
        <v>5084</v>
      </c>
      <c r="E4997" s="29" t="s">
        <v>5107</v>
      </c>
      <c r="F4997" s="29" t="s">
        <v>5109</v>
      </c>
      <c r="G4997" s="20" t="str">
        <f t="shared" si="1"/>
        <v>Sporting Goods, Outdoor Recreation, Equestrian, Riding Apparel &amp; AccessoriesEquestrian Helmets</v>
      </c>
    </row>
    <row r="4998">
      <c r="A4998" s="29">
        <v>3265.0</v>
      </c>
      <c r="B4998" s="29" t="s">
        <v>4555</v>
      </c>
      <c r="C4998" s="29" t="s">
        <v>4891</v>
      </c>
      <c r="D4998" s="29" t="s">
        <v>5084</v>
      </c>
      <c r="E4998" s="29" t="s">
        <v>5107</v>
      </c>
      <c r="F4998" s="29" t="s">
        <v>5110</v>
      </c>
      <c r="G4998" s="20" t="str">
        <f t="shared" si="1"/>
        <v>Sporting Goods, Outdoor Recreation, Equestrian, Riding Apparel &amp; AccessoriesRiding Crops &amp; Whips</v>
      </c>
    </row>
    <row r="4999">
      <c r="A4999" s="29">
        <v>6914.0</v>
      </c>
      <c r="B4999" s="29" t="s">
        <v>4555</v>
      </c>
      <c r="C4999" s="29" t="s">
        <v>4891</v>
      </c>
      <c r="D4999" s="29" t="s">
        <v>5084</v>
      </c>
      <c r="E4999" s="29" t="s">
        <v>5107</v>
      </c>
      <c r="F4999" s="29" t="s">
        <v>5111</v>
      </c>
      <c r="G4999" s="20" t="str">
        <f t="shared" si="1"/>
        <v>Sporting Goods, Outdoor Recreation, Equestrian, Riding Apparel &amp; AccessoriesRiding Pants</v>
      </c>
    </row>
    <row r="5000">
      <c r="A5000" s="29">
        <v>3334.0</v>
      </c>
      <c r="B5000" s="29" t="s">
        <v>4555</v>
      </c>
      <c r="C5000" s="29" t="s">
        <v>4891</v>
      </c>
      <c r="D5000" s="29" t="s">
        <v>5112</v>
      </c>
      <c r="E5000" s="62"/>
      <c r="F5000" s="62"/>
      <c r="G5000" s="20" t="str">
        <f t="shared" si="1"/>
        <v>Sporting Goods, Outdoor Recreation, Fishing, </v>
      </c>
    </row>
    <row r="5001">
      <c r="A5001" s="29">
        <v>8064.0</v>
      </c>
      <c r="B5001" s="29" t="s">
        <v>4555</v>
      </c>
      <c r="C5001" s="29" t="s">
        <v>4891</v>
      </c>
      <c r="D5001" s="29" t="s">
        <v>5112</v>
      </c>
      <c r="E5001" s="29" t="s">
        <v>5113</v>
      </c>
      <c r="F5001" s="62"/>
      <c r="G5001" s="20" t="str">
        <f t="shared" si="1"/>
        <v>Sporting Goods, Outdoor Recreation, Fishing, Bite Alarms</v>
      </c>
    </row>
    <row r="5002">
      <c r="A5002" s="29">
        <v>5406.0</v>
      </c>
      <c r="B5002" s="29" t="s">
        <v>4555</v>
      </c>
      <c r="C5002" s="29" t="s">
        <v>4891</v>
      </c>
      <c r="D5002" s="29" t="s">
        <v>5112</v>
      </c>
      <c r="E5002" s="29" t="s">
        <v>5114</v>
      </c>
      <c r="F5002" s="62"/>
      <c r="G5002" s="20" t="str">
        <f t="shared" si="1"/>
        <v>Sporting Goods, Outdoor Recreation, Fishing, Fishing &amp; Hunting Waders</v>
      </c>
    </row>
    <row r="5003">
      <c r="A5003" s="29">
        <v>6495.0</v>
      </c>
      <c r="B5003" s="29" t="s">
        <v>4555</v>
      </c>
      <c r="C5003" s="29" t="s">
        <v>4891</v>
      </c>
      <c r="D5003" s="29" t="s">
        <v>5112</v>
      </c>
      <c r="E5003" s="29" t="s">
        <v>5115</v>
      </c>
      <c r="F5003" s="62"/>
      <c r="G5003" s="20" t="str">
        <f t="shared" si="1"/>
        <v>Sporting Goods, Outdoor Recreation, Fishing, Fishing Bait &amp; Chum Containers</v>
      </c>
    </row>
    <row r="5004">
      <c r="A5004" s="29">
        <v>7342.0</v>
      </c>
      <c r="B5004" s="29" t="s">
        <v>4555</v>
      </c>
      <c r="C5004" s="29" t="s">
        <v>4891</v>
      </c>
      <c r="D5004" s="29" t="s">
        <v>5112</v>
      </c>
      <c r="E5004" s="29" t="s">
        <v>5116</v>
      </c>
      <c r="F5004" s="62"/>
      <c r="G5004" s="20" t="str">
        <f t="shared" si="1"/>
        <v>Sporting Goods, Outdoor Recreation, Fishing, Fishing Gaffs</v>
      </c>
    </row>
    <row r="5005">
      <c r="A5005" s="29">
        <v>7344.0</v>
      </c>
      <c r="B5005" s="29" t="s">
        <v>4555</v>
      </c>
      <c r="C5005" s="29" t="s">
        <v>4891</v>
      </c>
      <c r="D5005" s="29" t="s">
        <v>5112</v>
      </c>
      <c r="E5005" s="29" t="s">
        <v>5117</v>
      </c>
      <c r="F5005" s="62"/>
      <c r="G5005" s="20" t="str">
        <f t="shared" si="1"/>
        <v>Sporting Goods, Outdoor Recreation, Fishing, Fishing Hook Removal Tools</v>
      </c>
    </row>
    <row r="5006">
      <c r="A5006" s="29">
        <v>1037.0</v>
      </c>
      <c r="B5006" s="29" t="s">
        <v>4555</v>
      </c>
      <c r="C5006" s="29" t="s">
        <v>4891</v>
      </c>
      <c r="D5006" s="29" t="s">
        <v>5112</v>
      </c>
      <c r="E5006" s="29" t="s">
        <v>5118</v>
      </c>
      <c r="F5006" s="62"/>
      <c r="G5006" s="20" t="str">
        <f t="shared" si="1"/>
        <v>Sporting Goods, Outdoor Recreation, Fishing, Fishing Lines &amp; Leaders</v>
      </c>
    </row>
    <row r="5007">
      <c r="A5007" s="29">
        <v>3614.0</v>
      </c>
      <c r="B5007" s="29" t="s">
        <v>4555</v>
      </c>
      <c r="C5007" s="29" t="s">
        <v>4891</v>
      </c>
      <c r="D5007" s="29" t="s">
        <v>5112</v>
      </c>
      <c r="E5007" s="29" t="s">
        <v>5119</v>
      </c>
      <c r="F5007" s="62"/>
      <c r="G5007" s="20" t="str">
        <f t="shared" si="1"/>
        <v>Sporting Goods, Outdoor Recreation, Fishing, Fishing Nets</v>
      </c>
    </row>
    <row r="5008">
      <c r="A5008" s="29">
        <v>8092.0</v>
      </c>
      <c r="B5008" s="29" t="s">
        <v>4555</v>
      </c>
      <c r="C5008" s="29" t="s">
        <v>4891</v>
      </c>
      <c r="D5008" s="29" t="s">
        <v>5112</v>
      </c>
      <c r="E5008" s="29" t="s">
        <v>5120</v>
      </c>
      <c r="F5008" s="62"/>
      <c r="G5008" s="20" t="str">
        <f t="shared" si="1"/>
        <v>Sporting Goods, Outdoor Recreation, Fishing, Fishing Reel Accessories</v>
      </c>
    </row>
    <row r="5009">
      <c r="A5009" s="29">
        <v>8273.0</v>
      </c>
      <c r="B5009" s="29" t="s">
        <v>4555</v>
      </c>
      <c r="C5009" s="29" t="s">
        <v>4891</v>
      </c>
      <c r="D5009" s="29" t="s">
        <v>5112</v>
      </c>
      <c r="E5009" s="29" t="s">
        <v>5120</v>
      </c>
      <c r="F5009" s="29" t="s">
        <v>5121</v>
      </c>
      <c r="G5009" s="20" t="str">
        <f t="shared" si="1"/>
        <v>Sporting Goods, Outdoor Recreation, Fishing, Fishing Reel AccessoriesFishing Reel Bags &amp; Cases</v>
      </c>
    </row>
    <row r="5010">
      <c r="A5010" s="29">
        <v>8094.0</v>
      </c>
      <c r="B5010" s="29" t="s">
        <v>4555</v>
      </c>
      <c r="C5010" s="29" t="s">
        <v>4891</v>
      </c>
      <c r="D5010" s="29" t="s">
        <v>5112</v>
      </c>
      <c r="E5010" s="29" t="s">
        <v>5120</v>
      </c>
      <c r="F5010" s="29" t="s">
        <v>5122</v>
      </c>
      <c r="G5010" s="20" t="str">
        <f t="shared" si="1"/>
        <v>Sporting Goods, Outdoor Recreation, Fishing, Fishing Reel AccessoriesFishing Reel Lubricants</v>
      </c>
    </row>
    <row r="5011">
      <c r="A5011" s="29">
        <v>8208.0</v>
      </c>
      <c r="B5011" s="29" t="s">
        <v>4555</v>
      </c>
      <c r="C5011" s="29" t="s">
        <v>4891</v>
      </c>
      <c r="D5011" s="29" t="s">
        <v>5112</v>
      </c>
      <c r="E5011" s="29" t="s">
        <v>5120</v>
      </c>
      <c r="F5011" s="29" t="s">
        <v>5123</v>
      </c>
      <c r="G5011" s="20" t="str">
        <f t="shared" si="1"/>
        <v>Sporting Goods, Outdoor Recreation, Fishing, Fishing Reel AccessoriesFishing Reel Replacement Spools</v>
      </c>
    </row>
    <row r="5012">
      <c r="A5012" s="29">
        <v>4926.0</v>
      </c>
      <c r="B5012" s="29" t="s">
        <v>4555</v>
      </c>
      <c r="C5012" s="29" t="s">
        <v>4891</v>
      </c>
      <c r="D5012" s="29" t="s">
        <v>5112</v>
      </c>
      <c r="E5012" s="29" t="s">
        <v>5124</v>
      </c>
      <c r="F5012" s="62"/>
      <c r="G5012" s="20" t="str">
        <f t="shared" si="1"/>
        <v>Sporting Goods, Outdoor Recreation, Fishing, Fishing Reels</v>
      </c>
    </row>
    <row r="5013">
      <c r="A5013" s="29">
        <v>8093.0</v>
      </c>
      <c r="B5013" s="29" t="s">
        <v>4555</v>
      </c>
      <c r="C5013" s="29" t="s">
        <v>4891</v>
      </c>
      <c r="D5013" s="29" t="s">
        <v>5112</v>
      </c>
      <c r="E5013" s="29" t="s">
        <v>5125</v>
      </c>
      <c r="F5013" s="62"/>
      <c r="G5013" s="20" t="str">
        <f t="shared" si="1"/>
        <v>Sporting Goods, Outdoor Recreation, Fishing, Fishing Rod Accessories</v>
      </c>
    </row>
    <row r="5014">
      <c r="A5014" s="29">
        <v>8272.0</v>
      </c>
      <c r="B5014" s="29" t="s">
        <v>4555</v>
      </c>
      <c r="C5014" s="29" t="s">
        <v>4891</v>
      </c>
      <c r="D5014" s="29" t="s">
        <v>5112</v>
      </c>
      <c r="E5014" s="29" t="s">
        <v>5125</v>
      </c>
      <c r="F5014" s="29" t="s">
        <v>5126</v>
      </c>
      <c r="G5014" s="20" t="str">
        <f t="shared" si="1"/>
        <v>Sporting Goods, Outdoor Recreation, Fishing, Fishing Rod AccessoriesFishing Rod Bags &amp; Cases</v>
      </c>
    </row>
    <row r="5015">
      <c r="A5015" s="29">
        <v>499942.0</v>
      </c>
      <c r="B5015" s="29" t="s">
        <v>4555</v>
      </c>
      <c r="C5015" s="29" t="s">
        <v>4891</v>
      </c>
      <c r="D5015" s="29" t="s">
        <v>5112</v>
      </c>
      <c r="E5015" s="29" t="s">
        <v>5125</v>
      </c>
      <c r="F5015" s="29" t="s">
        <v>5127</v>
      </c>
      <c r="G5015" s="20" t="str">
        <f t="shared" si="1"/>
        <v>Sporting Goods, Outdoor Recreation, Fishing, Fishing Rod AccessoriesFishing Rod Holders &amp; Storage Racks</v>
      </c>
    </row>
    <row r="5016">
      <c r="A5016" s="29">
        <v>4927.0</v>
      </c>
      <c r="B5016" s="29" t="s">
        <v>4555</v>
      </c>
      <c r="C5016" s="29" t="s">
        <v>4891</v>
      </c>
      <c r="D5016" s="29" t="s">
        <v>5112</v>
      </c>
      <c r="E5016" s="29" t="s">
        <v>5128</v>
      </c>
      <c r="F5016" s="62"/>
      <c r="G5016" s="20" t="str">
        <f t="shared" si="1"/>
        <v>Sporting Goods, Outdoor Recreation, Fishing, Fishing Rods</v>
      </c>
    </row>
    <row r="5017">
      <c r="A5017" s="29">
        <v>7343.0</v>
      </c>
      <c r="B5017" s="29" t="s">
        <v>4555</v>
      </c>
      <c r="C5017" s="29" t="s">
        <v>4891</v>
      </c>
      <c r="D5017" s="29" t="s">
        <v>5112</v>
      </c>
      <c r="E5017" s="29" t="s">
        <v>5129</v>
      </c>
      <c r="F5017" s="62"/>
      <c r="G5017" s="20" t="str">
        <f t="shared" si="1"/>
        <v>Sporting Goods, Outdoor Recreation, Fishing, Fishing Spears</v>
      </c>
    </row>
    <row r="5018">
      <c r="A5018" s="29">
        <v>499823.0</v>
      </c>
      <c r="B5018" s="29" t="s">
        <v>4555</v>
      </c>
      <c r="C5018" s="29" t="s">
        <v>4891</v>
      </c>
      <c r="D5018" s="29" t="s">
        <v>5112</v>
      </c>
      <c r="E5018" s="29" t="s">
        <v>5130</v>
      </c>
      <c r="F5018" s="62"/>
      <c r="G5018" s="20" t="str">
        <f t="shared" si="1"/>
        <v>Sporting Goods, Outdoor Recreation, Fishing, Fishing Tackle</v>
      </c>
    </row>
    <row r="5019">
      <c r="A5019" s="29">
        <v>3603.0</v>
      </c>
      <c r="B5019" s="29" t="s">
        <v>4555</v>
      </c>
      <c r="C5019" s="29" t="s">
        <v>4891</v>
      </c>
      <c r="D5019" s="29" t="s">
        <v>5112</v>
      </c>
      <c r="E5019" s="29" t="s">
        <v>5130</v>
      </c>
      <c r="F5019" s="29" t="s">
        <v>5131</v>
      </c>
      <c r="G5019" s="20" t="str">
        <f t="shared" si="1"/>
        <v>Sporting Goods, Outdoor Recreation, Fishing, Fishing TackleFishing Baits &amp; Lures</v>
      </c>
    </row>
    <row r="5020">
      <c r="A5020" s="29">
        <v>3859.0</v>
      </c>
      <c r="B5020" s="29" t="s">
        <v>4555</v>
      </c>
      <c r="C5020" s="29" t="s">
        <v>4891</v>
      </c>
      <c r="D5020" s="29" t="s">
        <v>5112</v>
      </c>
      <c r="E5020" s="29" t="s">
        <v>5130</v>
      </c>
      <c r="F5020" s="29" t="s">
        <v>5132</v>
      </c>
      <c r="G5020" s="20" t="str">
        <f t="shared" si="1"/>
        <v>Sporting Goods, Outdoor Recreation, Fishing, Fishing TackleFishing Floats</v>
      </c>
    </row>
    <row r="5021">
      <c r="A5021" s="29">
        <v>3359.0</v>
      </c>
      <c r="B5021" s="29" t="s">
        <v>4555</v>
      </c>
      <c r="C5021" s="29" t="s">
        <v>4891</v>
      </c>
      <c r="D5021" s="29" t="s">
        <v>5112</v>
      </c>
      <c r="E5021" s="29" t="s">
        <v>5130</v>
      </c>
      <c r="F5021" s="29" t="s">
        <v>5133</v>
      </c>
      <c r="G5021" s="20" t="str">
        <f t="shared" si="1"/>
        <v>Sporting Goods, Outdoor Recreation, Fishing, Fishing TackleFishing Hooks</v>
      </c>
    </row>
    <row r="5022">
      <c r="A5022" s="29">
        <v>3651.0</v>
      </c>
      <c r="B5022" s="29" t="s">
        <v>4555</v>
      </c>
      <c r="C5022" s="29" t="s">
        <v>4891</v>
      </c>
      <c r="D5022" s="29" t="s">
        <v>5112</v>
      </c>
      <c r="E5022" s="29" t="s">
        <v>5130</v>
      </c>
      <c r="F5022" s="29" t="s">
        <v>5134</v>
      </c>
      <c r="G5022" s="20" t="str">
        <f t="shared" si="1"/>
        <v>Sporting Goods, Outdoor Recreation, Fishing, Fishing TackleFishing Sinkers</v>
      </c>
    </row>
    <row r="5023">
      <c r="A5023" s="29">
        <v>7222.0</v>
      </c>
      <c r="B5023" s="29" t="s">
        <v>4555</v>
      </c>
      <c r="C5023" s="29" t="s">
        <v>4891</v>
      </c>
      <c r="D5023" s="29" t="s">
        <v>5112</v>
      </c>
      <c r="E5023" s="29" t="s">
        <v>5130</v>
      </c>
      <c r="F5023" s="29" t="s">
        <v>5135</v>
      </c>
      <c r="G5023" s="20" t="str">
        <f t="shared" si="1"/>
        <v>Sporting Goods, Outdoor Recreation, Fishing, Fishing TackleFishing Snaps &amp; Swivels</v>
      </c>
    </row>
    <row r="5024">
      <c r="A5024" s="29">
        <v>7221.0</v>
      </c>
      <c r="B5024" s="29" t="s">
        <v>4555</v>
      </c>
      <c r="C5024" s="29" t="s">
        <v>4891</v>
      </c>
      <c r="D5024" s="29" t="s">
        <v>5112</v>
      </c>
      <c r="E5024" s="29" t="s">
        <v>5136</v>
      </c>
      <c r="F5024" s="62"/>
      <c r="G5024" s="20" t="str">
        <f t="shared" si="1"/>
        <v>Sporting Goods, Outdoor Recreation, Fishing, Fishing Traps</v>
      </c>
    </row>
    <row r="5025">
      <c r="A5025" s="29">
        <v>7217.0</v>
      </c>
      <c r="B5025" s="29" t="s">
        <v>4555</v>
      </c>
      <c r="C5025" s="29" t="s">
        <v>4891</v>
      </c>
      <c r="D5025" s="29" t="s">
        <v>5112</v>
      </c>
      <c r="E5025" s="29" t="s">
        <v>5137</v>
      </c>
      <c r="F5025" s="62"/>
      <c r="G5025" s="20" t="str">
        <f t="shared" si="1"/>
        <v>Sporting Goods, Outdoor Recreation, Fishing, Fly Tying Materials</v>
      </c>
    </row>
    <row r="5026">
      <c r="A5026" s="29">
        <v>7125.0</v>
      </c>
      <c r="B5026" s="29" t="s">
        <v>4555</v>
      </c>
      <c r="C5026" s="29" t="s">
        <v>4891</v>
      </c>
      <c r="D5026" s="29" t="s">
        <v>5112</v>
      </c>
      <c r="E5026" s="29" t="s">
        <v>5137</v>
      </c>
      <c r="F5026" s="29" t="s">
        <v>5138</v>
      </c>
      <c r="G5026" s="20" t="str">
        <f t="shared" si="1"/>
        <v>Sporting Goods, Outdoor Recreation, Fishing, Fly Tying MaterialsFishing Beads</v>
      </c>
    </row>
    <row r="5027">
      <c r="A5027" s="29">
        <v>6440.0</v>
      </c>
      <c r="B5027" s="29" t="s">
        <v>4555</v>
      </c>
      <c r="C5027" s="29" t="s">
        <v>4891</v>
      </c>
      <c r="D5027" s="29" t="s">
        <v>5112</v>
      </c>
      <c r="E5027" s="29" t="s">
        <v>5137</v>
      </c>
      <c r="F5027" s="29" t="s">
        <v>5139</v>
      </c>
      <c r="G5027" s="20" t="str">
        <f t="shared" si="1"/>
        <v>Sporting Goods, Outdoor Recreation, Fishing, Fly Tying MaterialsFishing Yarn</v>
      </c>
    </row>
    <row r="5028">
      <c r="A5028" s="29">
        <v>3096.0</v>
      </c>
      <c r="B5028" s="29" t="s">
        <v>4555</v>
      </c>
      <c r="C5028" s="29" t="s">
        <v>4891</v>
      </c>
      <c r="D5028" s="29" t="s">
        <v>5112</v>
      </c>
      <c r="E5028" s="29" t="s">
        <v>5140</v>
      </c>
      <c r="F5028" s="62"/>
      <c r="G5028" s="20" t="str">
        <f t="shared" si="1"/>
        <v>Sporting Goods, Outdoor Recreation, Fishing, Live Bait</v>
      </c>
    </row>
    <row r="5029">
      <c r="A5029" s="29">
        <v>1041.0</v>
      </c>
      <c r="B5029" s="29" t="s">
        <v>4555</v>
      </c>
      <c r="C5029" s="29" t="s">
        <v>4891</v>
      </c>
      <c r="D5029" s="29" t="s">
        <v>5112</v>
      </c>
      <c r="E5029" s="29" t="s">
        <v>5141</v>
      </c>
      <c r="F5029" s="62"/>
      <c r="G5029" s="20" t="str">
        <f t="shared" si="1"/>
        <v>Sporting Goods, Outdoor Recreation, Fishing, Tackle Bags &amp; Boxes</v>
      </c>
    </row>
    <row r="5030">
      <c r="A5030" s="29">
        <v>1043.0</v>
      </c>
      <c r="B5030" s="29" t="s">
        <v>4555</v>
      </c>
      <c r="C5030" s="29" t="s">
        <v>4891</v>
      </c>
      <c r="D5030" s="29" t="s">
        <v>5142</v>
      </c>
      <c r="E5030" s="62"/>
      <c r="F5030" s="62"/>
      <c r="G5030" s="20" t="str">
        <f t="shared" si="1"/>
        <v>Sporting Goods, Outdoor Recreation, Golf, </v>
      </c>
    </row>
    <row r="5031">
      <c r="A5031" s="29">
        <v>8044.0</v>
      </c>
      <c r="B5031" s="29" t="s">
        <v>4555</v>
      </c>
      <c r="C5031" s="29" t="s">
        <v>4891</v>
      </c>
      <c r="D5031" s="29" t="s">
        <v>5142</v>
      </c>
      <c r="E5031" s="29" t="s">
        <v>5143</v>
      </c>
      <c r="F5031" s="62"/>
      <c r="G5031" s="20" t="str">
        <f t="shared" si="1"/>
        <v>Sporting Goods, Outdoor Recreation, Golf, Divot Tools</v>
      </c>
    </row>
    <row r="5032">
      <c r="A5032" s="29">
        <v>7314.0</v>
      </c>
      <c r="B5032" s="29" t="s">
        <v>4555</v>
      </c>
      <c r="C5032" s="29" t="s">
        <v>4891</v>
      </c>
      <c r="D5032" s="29" t="s">
        <v>5142</v>
      </c>
      <c r="E5032" s="29" t="s">
        <v>5144</v>
      </c>
      <c r="F5032" s="62"/>
      <c r="G5032" s="20" t="str">
        <f t="shared" si="1"/>
        <v>Sporting Goods, Outdoor Recreation, Golf, Golf Accessory Sets</v>
      </c>
    </row>
    <row r="5033">
      <c r="A5033" s="29">
        <v>4605.0</v>
      </c>
      <c r="B5033" s="29" t="s">
        <v>4555</v>
      </c>
      <c r="C5033" s="29" t="s">
        <v>4891</v>
      </c>
      <c r="D5033" s="29" t="s">
        <v>5142</v>
      </c>
      <c r="E5033" s="29" t="s">
        <v>5145</v>
      </c>
      <c r="F5033" s="62"/>
      <c r="G5033" s="20" t="str">
        <f t="shared" si="1"/>
        <v>Sporting Goods, Outdoor Recreation, Golf, Golf Bag Accessories</v>
      </c>
    </row>
    <row r="5034">
      <c r="A5034" s="29">
        <v>4537.0</v>
      </c>
      <c r="B5034" s="29" t="s">
        <v>4555</v>
      </c>
      <c r="C5034" s="29" t="s">
        <v>4891</v>
      </c>
      <c r="D5034" s="29" t="s">
        <v>5142</v>
      </c>
      <c r="E5034" s="29" t="s">
        <v>5145</v>
      </c>
      <c r="F5034" s="29" t="s">
        <v>5146</v>
      </c>
      <c r="G5034" s="20" t="str">
        <f t="shared" si="1"/>
        <v>Sporting Goods, Outdoor Recreation, Golf, Golf Bag AccessoriesGolf Bag Carts</v>
      </c>
    </row>
    <row r="5035">
      <c r="A5035" s="29">
        <v>4525.0</v>
      </c>
      <c r="B5035" s="29" t="s">
        <v>4555</v>
      </c>
      <c r="C5035" s="29" t="s">
        <v>4891</v>
      </c>
      <c r="D5035" s="29" t="s">
        <v>5142</v>
      </c>
      <c r="E5035" s="29" t="s">
        <v>5145</v>
      </c>
      <c r="F5035" s="29" t="s">
        <v>5147</v>
      </c>
      <c r="G5035" s="20" t="str">
        <f t="shared" si="1"/>
        <v>Sporting Goods, Outdoor Recreation, Golf, Golf Bag AccessoriesGolf Bag Covers &amp; Cases</v>
      </c>
    </row>
    <row r="5036">
      <c r="A5036" s="29">
        <v>1044.0</v>
      </c>
      <c r="B5036" s="29" t="s">
        <v>4555</v>
      </c>
      <c r="C5036" s="29" t="s">
        <v>4891</v>
      </c>
      <c r="D5036" s="29" t="s">
        <v>5142</v>
      </c>
      <c r="E5036" s="29" t="s">
        <v>5148</v>
      </c>
      <c r="F5036" s="62"/>
      <c r="G5036" s="20" t="str">
        <f t="shared" si="1"/>
        <v>Sporting Goods, Outdoor Recreation, Golf, Golf Bags</v>
      </c>
    </row>
    <row r="5037">
      <c r="A5037" s="29">
        <v>6864.0</v>
      </c>
      <c r="B5037" s="29" t="s">
        <v>4555</v>
      </c>
      <c r="C5037" s="29" t="s">
        <v>4891</v>
      </c>
      <c r="D5037" s="29" t="s">
        <v>5142</v>
      </c>
      <c r="E5037" s="29" t="s">
        <v>5149</v>
      </c>
      <c r="F5037" s="62"/>
      <c r="G5037" s="20" t="str">
        <f t="shared" si="1"/>
        <v>Sporting Goods, Outdoor Recreation, Golf, Golf Ball Markers</v>
      </c>
    </row>
    <row r="5038">
      <c r="A5038" s="29">
        <v>1045.0</v>
      </c>
      <c r="B5038" s="29" t="s">
        <v>4555</v>
      </c>
      <c r="C5038" s="29" t="s">
        <v>4891</v>
      </c>
      <c r="D5038" s="29" t="s">
        <v>5142</v>
      </c>
      <c r="E5038" s="29" t="s">
        <v>5150</v>
      </c>
      <c r="F5038" s="62"/>
      <c r="G5038" s="20" t="str">
        <f t="shared" si="1"/>
        <v>Sporting Goods, Outdoor Recreation, Golf, Golf Balls</v>
      </c>
    </row>
    <row r="5039">
      <c r="A5039" s="29">
        <v>3642.0</v>
      </c>
      <c r="B5039" s="29" t="s">
        <v>4555</v>
      </c>
      <c r="C5039" s="29" t="s">
        <v>4891</v>
      </c>
      <c r="D5039" s="29" t="s">
        <v>5142</v>
      </c>
      <c r="E5039" s="29" t="s">
        <v>5151</v>
      </c>
      <c r="F5039" s="62"/>
      <c r="G5039" s="20" t="str">
        <f t="shared" si="1"/>
        <v>Sporting Goods, Outdoor Recreation, Golf, Golf Club Parts &amp; Accessories</v>
      </c>
    </row>
    <row r="5040">
      <c r="A5040" s="29">
        <v>4254.0</v>
      </c>
      <c r="B5040" s="29" t="s">
        <v>4555</v>
      </c>
      <c r="C5040" s="29" t="s">
        <v>4891</v>
      </c>
      <c r="D5040" s="29" t="s">
        <v>5142</v>
      </c>
      <c r="E5040" s="29" t="s">
        <v>5151</v>
      </c>
      <c r="F5040" s="29" t="s">
        <v>5152</v>
      </c>
      <c r="G5040" s="20" t="str">
        <f t="shared" si="1"/>
        <v>Sporting Goods, Outdoor Recreation, Golf, Golf Club Parts &amp; AccessoriesGolf Club Grips</v>
      </c>
    </row>
    <row r="5041">
      <c r="A5041" s="29">
        <v>4043.0</v>
      </c>
      <c r="B5041" s="29" t="s">
        <v>4555</v>
      </c>
      <c r="C5041" s="29" t="s">
        <v>4891</v>
      </c>
      <c r="D5041" s="29" t="s">
        <v>5142</v>
      </c>
      <c r="E5041" s="29" t="s">
        <v>5151</v>
      </c>
      <c r="F5041" s="29" t="s">
        <v>5153</v>
      </c>
      <c r="G5041" s="20" t="str">
        <f t="shared" si="1"/>
        <v>Sporting Goods, Outdoor Recreation, Golf, Golf Club Parts &amp; AccessoriesGolf Club Headcovers</v>
      </c>
    </row>
    <row r="5042">
      <c r="A5042" s="29">
        <v>499780.0</v>
      </c>
      <c r="B5042" s="29" t="s">
        <v>4555</v>
      </c>
      <c r="C5042" s="29" t="s">
        <v>4891</v>
      </c>
      <c r="D5042" s="29" t="s">
        <v>5142</v>
      </c>
      <c r="E5042" s="29" t="s">
        <v>5151</v>
      </c>
      <c r="F5042" s="29" t="s">
        <v>5154</v>
      </c>
      <c r="G5042" s="20" t="str">
        <f t="shared" si="1"/>
        <v>Sporting Goods, Outdoor Recreation, Golf, Golf Club Parts &amp; AccessoriesGolf Club Shafts</v>
      </c>
    </row>
    <row r="5043">
      <c r="A5043" s="29">
        <v>1046.0</v>
      </c>
      <c r="B5043" s="29" t="s">
        <v>4555</v>
      </c>
      <c r="C5043" s="29" t="s">
        <v>4891</v>
      </c>
      <c r="D5043" s="29" t="s">
        <v>5142</v>
      </c>
      <c r="E5043" s="29" t="s">
        <v>5155</v>
      </c>
      <c r="F5043" s="62"/>
      <c r="G5043" s="20" t="str">
        <f t="shared" si="1"/>
        <v>Sporting Goods, Outdoor Recreation, Golf, Golf Clubs</v>
      </c>
    </row>
    <row r="5044">
      <c r="A5044" s="29">
        <v>3578.0</v>
      </c>
      <c r="B5044" s="29" t="s">
        <v>4555</v>
      </c>
      <c r="C5044" s="29" t="s">
        <v>4891</v>
      </c>
      <c r="D5044" s="29" t="s">
        <v>5142</v>
      </c>
      <c r="E5044" s="29" t="s">
        <v>5156</v>
      </c>
      <c r="F5044" s="62"/>
      <c r="G5044" s="20" t="str">
        <f t="shared" si="1"/>
        <v>Sporting Goods, Outdoor Recreation, Golf, Golf Flags</v>
      </c>
    </row>
    <row r="5045">
      <c r="A5045" s="29">
        <v>4466.0</v>
      </c>
      <c r="B5045" s="29" t="s">
        <v>4555</v>
      </c>
      <c r="C5045" s="29" t="s">
        <v>4891</v>
      </c>
      <c r="D5045" s="29" t="s">
        <v>5142</v>
      </c>
      <c r="E5045" s="29" t="s">
        <v>5157</v>
      </c>
      <c r="F5045" s="62"/>
      <c r="G5045" s="20" t="str">
        <f t="shared" si="1"/>
        <v>Sporting Goods, Outdoor Recreation, Golf, Golf Gloves</v>
      </c>
    </row>
    <row r="5046">
      <c r="A5046" s="29">
        <v>3106.0</v>
      </c>
      <c r="B5046" s="29" t="s">
        <v>4555</v>
      </c>
      <c r="C5046" s="29" t="s">
        <v>4891</v>
      </c>
      <c r="D5046" s="29" t="s">
        <v>5142</v>
      </c>
      <c r="E5046" s="29" t="s">
        <v>5158</v>
      </c>
      <c r="F5046" s="62"/>
      <c r="G5046" s="20" t="str">
        <f t="shared" si="1"/>
        <v>Sporting Goods, Outdoor Recreation, Golf, Golf Tees</v>
      </c>
    </row>
    <row r="5047">
      <c r="A5047" s="29">
        <v>4467.0</v>
      </c>
      <c r="B5047" s="29" t="s">
        <v>4555</v>
      </c>
      <c r="C5047" s="29" t="s">
        <v>4891</v>
      </c>
      <c r="D5047" s="29" t="s">
        <v>5142</v>
      </c>
      <c r="E5047" s="29" t="s">
        <v>5159</v>
      </c>
      <c r="F5047" s="62"/>
      <c r="G5047" s="20" t="str">
        <f t="shared" si="1"/>
        <v>Sporting Goods, Outdoor Recreation, Golf, Golf Towels</v>
      </c>
    </row>
    <row r="5048">
      <c r="A5048" s="29">
        <v>3772.0</v>
      </c>
      <c r="B5048" s="29" t="s">
        <v>4555</v>
      </c>
      <c r="C5048" s="29" t="s">
        <v>4891</v>
      </c>
      <c r="D5048" s="29" t="s">
        <v>5142</v>
      </c>
      <c r="E5048" s="29" t="s">
        <v>5160</v>
      </c>
      <c r="F5048" s="62"/>
      <c r="G5048" s="20" t="str">
        <f t="shared" si="1"/>
        <v>Sporting Goods, Outdoor Recreation, Golf, Golf Training Aids</v>
      </c>
    </row>
    <row r="5049">
      <c r="A5049" s="29">
        <v>3789.0</v>
      </c>
      <c r="B5049" s="29" t="s">
        <v>4555</v>
      </c>
      <c r="C5049" s="29" t="s">
        <v>4891</v>
      </c>
      <c r="D5049" s="29" t="s">
        <v>5161</v>
      </c>
      <c r="E5049" s="62"/>
      <c r="F5049" s="62"/>
      <c r="G5049" s="20" t="str">
        <f t="shared" si="1"/>
        <v>Sporting Goods, Outdoor Recreation, Hang Gliding &amp; Skydiving, </v>
      </c>
    </row>
    <row r="5050">
      <c r="A5050" s="29">
        <v>5877.0</v>
      </c>
      <c r="B5050" s="29" t="s">
        <v>4555</v>
      </c>
      <c r="C5050" s="29" t="s">
        <v>4891</v>
      </c>
      <c r="D5050" s="29" t="s">
        <v>5161</v>
      </c>
      <c r="E5050" s="29" t="s">
        <v>5162</v>
      </c>
      <c r="F5050" s="62"/>
      <c r="G5050" s="20" t="str">
        <f t="shared" si="1"/>
        <v>Sporting Goods, Outdoor Recreation, Hang Gliding &amp; Skydiving, Air Suits</v>
      </c>
    </row>
    <row r="5051">
      <c r="A5051" s="29">
        <v>4327.0</v>
      </c>
      <c r="B5051" s="29" t="s">
        <v>4555</v>
      </c>
      <c r="C5051" s="29" t="s">
        <v>4891</v>
      </c>
      <c r="D5051" s="29" t="s">
        <v>5161</v>
      </c>
      <c r="E5051" s="29" t="s">
        <v>5163</v>
      </c>
      <c r="F5051" s="62"/>
      <c r="G5051" s="20" t="str">
        <f t="shared" si="1"/>
        <v>Sporting Goods, Outdoor Recreation, Hang Gliding &amp; Skydiving, Hang Gliders</v>
      </c>
    </row>
    <row r="5052">
      <c r="A5052" s="29">
        <v>4023.0</v>
      </c>
      <c r="B5052" s="29" t="s">
        <v>4555</v>
      </c>
      <c r="C5052" s="29" t="s">
        <v>4891</v>
      </c>
      <c r="D5052" s="29" t="s">
        <v>5161</v>
      </c>
      <c r="E5052" s="29" t="s">
        <v>5164</v>
      </c>
      <c r="F5052" s="62"/>
      <c r="G5052" s="20" t="str">
        <f t="shared" si="1"/>
        <v>Sporting Goods, Outdoor Recreation, Hang Gliding &amp; Skydiving, Parachutes</v>
      </c>
    </row>
    <row r="5053">
      <c r="A5053" s="29">
        <v>499824.0</v>
      </c>
      <c r="B5053" s="29" t="s">
        <v>4555</v>
      </c>
      <c r="C5053" s="29" t="s">
        <v>4891</v>
      </c>
      <c r="D5053" s="29" t="s">
        <v>5165</v>
      </c>
      <c r="E5053" s="62"/>
      <c r="F5053" s="62"/>
      <c r="G5053" s="20" t="str">
        <f t="shared" si="1"/>
        <v>Sporting Goods, Outdoor Recreation, Hunting &amp; Shooting, </v>
      </c>
    </row>
    <row r="5054">
      <c r="A5054" s="29">
        <v>1033.0</v>
      </c>
      <c r="B5054" s="29" t="s">
        <v>4555</v>
      </c>
      <c r="C5054" s="29" t="s">
        <v>4891</v>
      </c>
      <c r="D5054" s="29" t="s">
        <v>5165</v>
      </c>
      <c r="E5054" s="29" t="s">
        <v>5166</v>
      </c>
      <c r="F5054" s="62"/>
      <c r="G5054" s="20" t="str">
        <f t="shared" si="1"/>
        <v>Sporting Goods, Outdoor Recreation, Hunting &amp; Shooting, Archery</v>
      </c>
    </row>
    <row r="5055">
      <c r="A5055" s="29">
        <v>3773.0</v>
      </c>
      <c r="B5055" s="29" t="s">
        <v>4555</v>
      </c>
      <c r="C5055" s="29" t="s">
        <v>4891</v>
      </c>
      <c r="D5055" s="29" t="s">
        <v>5165</v>
      </c>
      <c r="E5055" s="29" t="s">
        <v>5166</v>
      </c>
      <c r="F5055" s="29" t="s">
        <v>5167</v>
      </c>
      <c r="G5055" s="20" t="str">
        <f t="shared" si="1"/>
        <v>Sporting Goods, Outdoor Recreation, Hunting &amp; Shooting, ArcheryArchery Armguards</v>
      </c>
    </row>
    <row r="5056">
      <c r="A5056" s="29">
        <v>499833.0</v>
      </c>
      <c r="B5056" s="29" t="s">
        <v>4555</v>
      </c>
      <c r="C5056" s="29" t="s">
        <v>4891</v>
      </c>
      <c r="D5056" s="29" t="s">
        <v>5165</v>
      </c>
      <c r="E5056" s="29" t="s">
        <v>5166</v>
      </c>
      <c r="F5056" s="29" t="s">
        <v>5168</v>
      </c>
      <c r="G5056" s="20" t="str">
        <f t="shared" si="1"/>
        <v>Sporting Goods, Outdoor Recreation, Hunting &amp; Shooting, ArcheryArchery Gloves &amp; Releases</v>
      </c>
    </row>
    <row r="5057">
      <c r="A5057" s="29">
        <v>3883.0</v>
      </c>
      <c r="B5057" s="29" t="s">
        <v>4555</v>
      </c>
      <c r="C5057" s="29" t="s">
        <v>4891</v>
      </c>
      <c r="D5057" s="29" t="s">
        <v>5165</v>
      </c>
      <c r="E5057" s="29" t="s">
        <v>5166</v>
      </c>
      <c r="F5057" s="29" t="s">
        <v>5169</v>
      </c>
      <c r="G5057" s="20" t="str">
        <f t="shared" si="1"/>
        <v>Sporting Goods, Outdoor Recreation, Hunting &amp; Shooting, ArcheryArchery Targets</v>
      </c>
    </row>
    <row r="5058">
      <c r="A5058" s="29">
        <v>3291.0</v>
      </c>
      <c r="B5058" s="29" t="s">
        <v>4555</v>
      </c>
      <c r="C5058" s="29" t="s">
        <v>4891</v>
      </c>
      <c r="D5058" s="29" t="s">
        <v>5165</v>
      </c>
      <c r="E5058" s="29" t="s">
        <v>5166</v>
      </c>
      <c r="F5058" s="29" t="s">
        <v>5170</v>
      </c>
      <c r="G5058" s="20" t="str">
        <f t="shared" si="1"/>
        <v>Sporting Goods, Outdoor Recreation, Hunting &amp; Shooting, ArcheryArrow Parts &amp; Accessories</v>
      </c>
    </row>
    <row r="5059">
      <c r="A5059" s="29">
        <v>499831.0</v>
      </c>
      <c r="B5059" s="29" t="s">
        <v>4555</v>
      </c>
      <c r="C5059" s="29" t="s">
        <v>4891</v>
      </c>
      <c r="D5059" s="29" t="s">
        <v>5165</v>
      </c>
      <c r="E5059" s="29" t="s">
        <v>5166</v>
      </c>
      <c r="F5059" s="29" t="s">
        <v>5170</v>
      </c>
      <c r="G5059" s="20" t="str">
        <f t="shared" si="1"/>
        <v>Sporting Goods, Outdoor Recreation, Hunting &amp; Shooting, ArcheryArrow Parts &amp; Accessories</v>
      </c>
    </row>
    <row r="5060">
      <c r="A5060" s="29">
        <v>499832.0</v>
      </c>
      <c r="B5060" s="29" t="s">
        <v>4555</v>
      </c>
      <c r="C5060" s="29" t="s">
        <v>4891</v>
      </c>
      <c r="D5060" s="29" t="s">
        <v>5165</v>
      </c>
      <c r="E5060" s="29" t="s">
        <v>5166</v>
      </c>
      <c r="F5060" s="29" t="s">
        <v>5170</v>
      </c>
      <c r="G5060" s="20" t="str">
        <f t="shared" si="1"/>
        <v>Sporting Goods, Outdoor Recreation, Hunting &amp; Shooting, ArcheryArrow Parts &amp; Accessories</v>
      </c>
    </row>
    <row r="5061">
      <c r="A5061" s="29">
        <v>499830.0</v>
      </c>
      <c r="B5061" s="29" t="s">
        <v>4555</v>
      </c>
      <c r="C5061" s="29" t="s">
        <v>4891</v>
      </c>
      <c r="D5061" s="29" t="s">
        <v>5165</v>
      </c>
      <c r="E5061" s="29" t="s">
        <v>5166</v>
      </c>
      <c r="F5061" s="29" t="s">
        <v>5170</v>
      </c>
      <c r="G5061" s="20" t="str">
        <f t="shared" si="1"/>
        <v>Sporting Goods, Outdoor Recreation, Hunting &amp; Shooting, ArcheryArrow Parts &amp; Accessories</v>
      </c>
    </row>
    <row r="5062">
      <c r="A5062" s="29">
        <v>3533.0</v>
      </c>
      <c r="B5062" s="29" t="s">
        <v>4555</v>
      </c>
      <c r="C5062" s="29" t="s">
        <v>4891</v>
      </c>
      <c r="D5062" s="29" t="s">
        <v>5165</v>
      </c>
      <c r="E5062" s="29" t="s">
        <v>5166</v>
      </c>
      <c r="F5062" s="29" t="s">
        <v>5171</v>
      </c>
      <c r="G5062" s="20" t="str">
        <f t="shared" si="1"/>
        <v>Sporting Goods, Outdoor Recreation, Hunting &amp; Shooting, ArcheryArrows &amp; Bolts</v>
      </c>
    </row>
    <row r="5063">
      <c r="A5063" s="29">
        <v>499826.0</v>
      </c>
      <c r="B5063" s="29" t="s">
        <v>4555</v>
      </c>
      <c r="C5063" s="29" t="s">
        <v>4891</v>
      </c>
      <c r="D5063" s="29" t="s">
        <v>5165</v>
      </c>
      <c r="E5063" s="29" t="s">
        <v>5166</v>
      </c>
      <c r="F5063" s="29" t="s">
        <v>5172</v>
      </c>
      <c r="G5063" s="20" t="str">
        <f t="shared" si="1"/>
        <v>Sporting Goods, Outdoor Recreation, Hunting &amp; Shooting, ArcheryBow &amp; Crossbow Accessories</v>
      </c>
    </row>
    <row r="5064">
      <c r="A5064" s="29">
        <v>499825.0</v>
      </c>
      <c r="B5064" s="29" t="s">
        <v>4555</v>
      </c>
      <c r="C5064" s="29" t="s">
        <v>4891</v>
      </c>
      <c r="D5064" s="29" t="s">
        <v>5165</v>
      </c>
      <c r="E5064" s="29" t="s">
        <v>5166</v>
      </c>
      <c r="F5064" s="29" t="s">
        <v>5173</v>
      </c>
      <c r="G5064" s="20" t="str">
        <f t="shared" si="1"/>
        <v>Sporting Goods, Outdoor Recreation, Hunting &amp; Shooting, ArcheryBows &amp; Crossbows</v>
      </c>
    </row>
    <row r="5065">
      <c r="A5065" s="29">
        <v>3332.0</v>
      </c>
      <c r="B5065" s="29" t="s">
        <v>4555</v>
      </c>
      <c r="C5065" s="29" t="s">
        <v>4891</v>
      </c>
      <c r="D5065" s="29" t="s">
        <v>5165</v>
      </c>
      <c r="E5065" s="29" t="s">
        <v>5166</v>
      </c>
      <c r="F5065" s="29" t="s">
        <v>5173</v>
      </c>
      <c r="G5065" s="20" t="str">
        <f t="shared" si="1"/>
        <v>Sporting Goods, Outdoor Recreation, Hunting &amp; Shooting, ArcheryBows &amp; Crossbows</v>
      </c>
    </row>
    <row r="5066">
      <c r="A5066" s="29">
        <v>3505.0</v>
      </c>
      <c r="B5066" s="29" t="s">
        <v>4555</v>
      </c>
      <c r="C5066" s="29" t="s">
        <v>4891</v>
      </c>
      <c r="D5066" s="29" t="s">
        <v>5165</v>
      </c>
      <c r="E5066" s="29" t="s">
        <v>5166</v>
      </c>
      <c r="F5066" s="29" t="s">
        <v>5173</v>
      </c>
      <c r="G5066" s="20" t="str">
        <f t="shared" si="1"/>
        <v>Sporting Goods, Outdoor Recreation, Hunting &amp; Shooting, ArcheryBows &amp; Crossbows</v>
      </c>
    </row>
    <row r="5067">
      <c r="A5067" s="29">
        <v>3715.0</v>
      </c>
      <c r="B5067" s="29" t="s">
        <v>4555</v>
      </c>
      <c r="C5067" s="29" t="s">
        <v>4891</v>
      </c>
      <c r="D5067" s="29" t="s">
        <v>5165</v>
      </c>
      <c r="E5067" s="29" t="s">
        <v>5166</v>
      </c>
      <c r="F5067" s="29" t="s">
        <v>5173</v>
      </c>
      <c r="G5067" s="20" t="str">
        <f t="shared" si="1"/>
        <v>Sporting Goods, Outdoor Recreation, Hunting &amp; Shooting, ArcheryBows &amp; Crossbows</v>
      </c>
    </row>
    <row r="5068">
      <c r="A5068" s="29">
        <v>3757.0</v>
      </c>
      <c r="B5068" s="29" t="s">
        <v>4555</v>
      </c>
      <c r="C5068" s="29" t="s">
        <v>4891</v>
      </c>
      <c r="D5068" s="29" t="s">
        <v>5165</v>
      </c>
      <c r="E5068" s="29" t="s">
        <v>5166</v>
      </c>
      <c r="F5068" s="29" t="s">
        <v>5174</v>
      </c>
      <c r="G5068" s="20" t="str">
        <f t="shared" si="1"/>
        <v>Sporting Goods, Outdoor Recreation, Hunting &amp; Shooting, ArcheryQuivers</v>
      </c>
    </row>
    <row r="5069">
      <c r="A5069" s="29">
        <v>3125.0</v>
      </c>
      <c r="B5069" s="29" t="s">
        <v>4555</v>
      </c>
      <c r="C5069" s="29" t="s">
        <v>4891</v>
      </c>
      <c r="D5069" s="29" t="s">
        <v>5165</v>
      </c>
      <c r="E5069" s="29" t="s">
        <v>5175</v>
      </c>
      <c r="F5069" s="62"/>
      <c r="G5069" s="20" t="str">
        <f t="shared" si="1"/>
        <v>Sporting Goods, Outdoor Recreation, Hunting &amp; Shooting, Clay Pigeon Shooting</v>
      </c>
    </row>
    <row r="5070">
      <c r="A5070" s="29">
        <v>3305.0</v>
      </c>
      <c r="B5070" s="29" t="s">
        <v>4555</v>
      </c>
      <c r="C5070" s="29" t="s">
        <v>4891</v>
      </c>
      <c r="D5070" s="29" t="s">
        <v>5165</v>
      </c>
      <c r="E5070" s="29" t="s">
        <v>5175</v>
      </c>
      <c r="F5070" s="29" t="s">
        <v>5176</v>
      </c>
      <c r="G5070" s="20" t="str">
        <f t="shared" si="1"/>
        <v>Sporting Goods, Outdoor Recreation, Hunting &amp; Shooting, Clay Pigeon ShootingClay Pigeon Throwers</v>
      </c>
    </row>
    <row r="5071">
      <c r="A5071" s="29">
        <v>3528.0</v>
      </c>
      <c r="B5071" s="29" t="s">
        <v>4555</v>
      </c>
      <c r="C5071" s="29" t="s">
        <v>4891</v>
      </c>
      <c r="D5071" s="29" t="s">
        <v>5165</v>
      </c>
      <c r="E5071" s="29" t="s">
        <v>5175</v>
      </c>
      <c r="F5071" s="29" t="s">
        <v>5177</v>
      </c>
      <c r="G5071" s="20" t="str">
        <f t="shared" si="1"/>
        <v>Sporting Goods, Outdoor Recreation, Hunting &amp; Shooting, Clay Pigeon ShootingClay Pigeons</v>
      </c>
    </row>
    <row r="5072">
      <c r="A5072" s="29">
        <v>3136.0</v>
      </c>
      <c r="B5072" s="29" t="s">
        <v>4555</v>
      </c>
      <c r="C5072" s="29" t="s">
        <v>4891</v>
      </c>
      <c r="D5072" s="29" t="s">
        <v>5165</v>
      </c>
      <c r="E5072" s="29" t="s">
        <v>5178</v>
      </c>
      <c r="F5072" s="62"/>
      <c r="G5072" s="20" t="str">
        <f t="shared" si="1"/>
        <v>Sporting Goods, Outdoor Recreation, Hunting &amp; Shooting, Hunting</v>
      </c>
    </row>
    <row r="5073">
      <c r="A5073" s="29">
        <v>7460.0</v>
      </c>
      <c r="B5073" s="29" t="s">
        <v>4555</v>
      </c>
      <c r="C5073" s="29" t="s">
        <v>4891</v>
      </c>
      <c r="D5073" s="29" t="s">
        <v>5165</v>
      </c>
      <c r="E5073" s="29" t="s">
        <v>5179</v>
      </c>
      <c r="G5073" s="20" t="str">
        <f t="shared" si="1"/>
        <v>Sporting Goods, Outdoor Recreation, Hunting &amp; Shooting, Hunting &amp; Shooting Protective Gear</v>
      </c>
    </row>
    <row r="5074">
      <c r="A5074" s="29">
        <v>7461.0</v>
      </c>
      <c r="B5074" s="29" t="s">
        <v>4555</v>
      </c>
      <c r="C5074" s="29" t="s">
        <v>4891</v>
      </c>
      <c r="D5074" s="29" t="s">
        <v>5165</v>
      </c>
      <c r="E5074" s="29" t="s">
        <v>5179</v>
      </c>
      <c r="F5074" s="29" t="s">
        <v>5180</v>
      </c>
      <c r="G5074" s="20" t="str">
        <f t="shared" si="1"/>
        <v>Sporting Goods, Outdoor Recreation, Hunting &amp; Shooting, Hunting &amp; Shooting Protective GearHunting &amp; Shooting Gloves</v>
      </c>
    </row>
    <row r="5075">
      <c r="A5075" s="29">
        <v>7518.0</v>
      </c>
      <c r="B5075" s="29" t="s">
        <v>4555</v>
      </c>
      <c r="C5075" s="29" t="s">
        <v>4891</v>
      </c>
      <c r="D5075" s="29" t="s">
        <v>5165</v>
      </c>
      <c r="E5075" s="29" t="s">
        <v>5179</v>
      </c>
      <c r="F5075" s="29" t="s">
        <v>5181</v>
      </c>
      <c r="G5075" s="20" t="str">
        <f t="shared" si="1"/>
        <v>Sporting Goods, Outdoor Recreation, Hunting &amp; Shooting, Hunting &amp; Shooting Protective GearHunting &amp; Shooting Jackets</v>
      </c>
    </row>
    <row r="5076">
      <c r="A5076" s="29">
        <v>3674.0</v>
      </c>
      <c r="B5076" s="29" t="s">
        <v>4555</v>
      </c>
      <c r="C5076" s="29" t="s">
        <v>4891</v>
      </c>
      <c r="D5076" s="29" t="s">
        <v>5165</v>
      </c>
      <c r="E5076" s="29" t="s">
        <v>5178</v>
      </c>
      <c r="F5076" s="29" t="s">
        <v>5182</v>
      </c>
      <c r="G5076" s="20" t="str">
        <f t="shared" si="1"/>
        <v>Sporting Goods, Outdoor Recreation, Hunting &amp; Shooting, HuntingAnimal Traps</v>
      </c>
    </row>
    <row r="5077">
      <c r="A5077" s="29">
        <v>7373.0</v>
      </c>
      <c r="B5077" s="29" t="s">
        <v>4555</v>
      </c>
      <c r="C5077" s="29" t="s">
        <v>4891</v>
      </c>
      <c r="D5077" s="29" t="s">
        <v>5165</v>
      </c>
      <c r="E5077" s="29" t="s">
        <v>5178</v>
      </c>
      <c r="F5077" s="29" t="s">
        <v>5183</v>
      </c>
      <c r="G5077" s="20" t="str">
        <f t="shared" si="1"/>
        <v>Sporting Goods, Outdoor Recreation, Hunting &amp; Shooting, HuntingHearing Enhancers</v>
      </c>
    </row>
    <row r="5078">
      <c r="A5078" s="29">
        <v>1034.0</v>
      </c>
      <c r="B5078" s="29" t="s">
        <v>4555</v>
      </c>
      <c r="C5078" s="29" t="s">
        <v>4891</v>
      </c>
      <c r="D5078" s="29" t="s">
        <v>5165</v>
      </c>
      <c r="E5078" s="29" t="s">
        <v>5178</v>
      </c>
      <c r="F5078" s="29" t="s">
        <v>5184</v>
      </c>
      <c r="G5078" s="20" t="str">
        <f t="shared" si="1"/>
        <v>Sporting Goods, Outdoor Recreation, Hunting &amp; Shooting, HuntingHunting Blinds &amp; Screens</v>
      </c>
    </row>
    <row r="5079">
      <c r="A5079" s="29">
        <v>5917.0</v>
      </c>
      <c r="B5079" s="29" t="s">
        <v>4555</v>
      </c>
      <c r="C5079" s="29" t="s">
        <v>4891</v>
      </c>
      <c r="D5079" s="29" t="s">
        <v>5165</v>
      </c>
      <c r="E5079" s="29" t="s">
        <v>5178</v>
      </c>
      <c r="F5079" s="29" t="s">
        <v>5185</v>
      </c>
      <c r="G5079" s="20" t="str">
        <f t="shared" si="1"/>
        <v>Sporting Goods, Outdoor Recreation, Hunting &amp; Shooting, HuntingHunting Dog Equipment</v>
      </c>
    </row>
    <row r="5080">
      <c r="A5080" s="29">
        <v>3748.0</v>
      </c>
      <c r="B5080" s="29" t="s">
        <v>4555</v>
      </c>
      <c r="C5080" s="29" t="s">
        <v>4891</v>
      </c>
      <c r="D5080" s="29" t="s">
        <v>5165</v>
      </c>
      <c r="E5080" s="29" t="s">
        <v>5178</v>
      </c>
      <c r="F5080" s="29" t="s">
        <v>5186</v>
      </c>
      <c r="G5080" s="20" t="str">
        <f t="shared" si="1"/>
        <v>Sporting Goods, Outdoor Recreation, Hunting &amp; Shooting, HuntingTree Stands</v>
      </c>
    </row>
    <row r="5081">
      <c r="A5081" s="29">
        <v>6992.0</v>
      </c>
      <c r="B5081" s="29" t="s">
        <v>4555</v>
      </c>
      <c r="C5081" s="29" t="s">
        <v>4891</v>
      </c>
      <c r="D5081" s="29" t="s">
        <v>5165</v>
      </c>
      <c r="E5081" s="29" t="s">
        <v>5178</v>
      </c>
      <c r="F5081" s="29" t="s">
        <v>5187</v>
      </c>
      <c r="G5081" s="20" t="str">
        <f t="shared" si="1"/>
        <v>Sporting Goods, Outdoor Recreation, Hunting &amp; Shooting, HuntingWild Game Feeders</v>
      </c>
    </row>
    <row r="5082">
      <c r="A5082" s="29">
        <v>8011.0</v>
      </c>
      <c r="B5082" s="29" t="s">
        <v>4555</v>
      </c>
      <c r="C5082" s="29" t="s">
        <v>4891</v>
      </c>
      <c r="D5082" s="29" t="s">
        <v>5165</v>
      </c>
      <c r="E5082" s="29" t="s">
        <v>5178</v>
      </c>
      <c r="F5082" s="29" t="s">
        <v>5188</v>
      </c>
      <c r="G5082" s="20" t="str">
        <f t="shared" si="1"/>
        <v>Sporting Goods, Outdoor Recreation, Hunting &amp; Shooting, HuntingWildlife Attractants</v>
      </c>
    </row>
    <row r="5083">
      <c r="A5083" s="29">
        <v>8080.0</v>
      </c>
      <c r="B5083" s="29" t="s">
        <v>4555</v>
      </c>
      <c r="C5083" s="29" t="s">
        <v>4891</v>
      </c>
      <c r="D5083" s="29" t="s">
        <v>5165</v>
      </c>
      <c r="E5083" s="29" t="s">
        <v>5178</v>
      </c>
      <c r="F5083" s="29" t="s">
        <v>5188</v>
      </c>
      <c r="G5083" s="20" t="str">
        <f t="shared" si="1"/>
        <v>Sporting Goods, Outdoor Recreation, Hunting &amp; Shooting, HuntingWildlife Attractants</v>
      </c>
    </row>
    <row r="5084">
      <c r="A5084" s="29">
        <v>3756.0</v>
      </c>
      <c r="B5084" s="29" t="s">
        <v>4555</v>
      </c>
      <c r="C5084" s="29" t="s">
        <v>4891</v>
      </c>
      <c r="D5084" s="29" t="s">
        <v>5165</v>
      </c>
      <c r="E5084" s="29" t="s">
        <v>5178</v>
      </c>
      <c r="F5084" s="29" t="s">
        <v>5188</v>
      </c>
      <c r="G5084" s="20" t="str">
        <f t="shared" si="1"/>
        <v>Sporting Goods, Outdoor Recreation, Hunting &amp; Shooting, HuntingWildlife Attractants</v>
      </c>
    </row>
    <row r="5085">
      <c r="A5085" s="29">
        <v>3583.0</v>
      </c>
      <c r="B5085" s="29" t="s">
        <v>4555</v>
      </c>
      <c r="C5085" s="29" t="s">
        <v>4891</v>
      </c>
      <c r="D5085" s="29" t="s">
        <v>5165</v>
      </c>
      <c r="E5085" s="29" t="s">
        <v>5178</v>
      </c>
      <c r="F5085" s="29" t="s">
        <v>5188</v>
      </c>
      <c r="G5085" s="20" t="str">
        <f t="shared" si="1"/>
        <v>Sporting Goods, Outdoor Recreation, Hunting &amp; Shooting, HuntingWildlife Attractants</v>
      </c>
    </row>
    <row r="5086">
      <c r="A5086" s="29">
        <v>8081.0</v>
      </c>
      <c r="B5086" s="29" t="s">
        <v>4555</v>
      </c>
      <c r="C5086" s="29" t="s">
        <v>4891</v>
      </c>
      <c r="D5086" s="29" t="s">
        <v>5165</v>
      </c>
      <c r="E5086" s="29" t="s">
        <v>5178</v>
      </c>
      <c r="F5086" s="29" t="s">
        <v>5188</v>
      </c>
      <c r="G5086" s="20" t="str">
        <f t="shared" si="1"/>
        <v>Sporting Goods, Outdoor Recreation, Hunting &amp; Shooting, HuntingWildlife Attractants</v>
      </c>
    </row>
    <row r="5087">
      <c r="A5087" s="29">
        <v>499834.0</v>
      </c>
      <c r="B5087" s="29" t="s">
        <v>4555</v>
      </c>
      <c r="C5087" s="29" t="s">
        <v>4891</v>
      </c>
      <c r="D5087" s="29" t="s">
        <v>5165</v>
      </c>
      <c r="E5087" s="29" t="s">
        <v>5189</v>
      </c>
      <c r="F5087" s="62"/>
      <c r="G5087" s="20" t="str">
        <f t="shared" si="1"/>
        <v>Sporting Goods, Outdoor Recreation, Hunting &amp; Shooting, Paintball &amp; Airsoft</v>
      </c>
    </row>
    <row r="5088">
      <c r="A5088" s="29">
        <v>2443.0</v>
      </c>
      <c r="B5088" s="29" t="s">
        <v>4555</v>
      </c>
      <c r="C5088" s="29" t="s">
        <v>4891</v>
      </c>
      <c r="D5088" s="29" t="s">
        <v>5165</v>
      </c>
      <c r="E5088" s="29" t="s">
        <v>5189</v>
      </c>
      <c r="F5088" s="29" t="s">
        <v>5190</v>
      </c>
      <c r="G5088" s="20" t="str">
        <f t="shared" si="1"/>
        <v>Sporting Goods, Outdoor Recreation, Hunting &amp; Shooting, Paintball &amp; AirsoftAirsoft</v>
      </c>
    </row>
    <row r="5089">
      <c r="A5089" s="29">
        <v>3116.0</v>
      </c>
      <c r="B5089" s="29" t="s">
        <v>4555</v>
      </c>
      <c r="C5089" s="29" t="s">
        <v>4891</v>
      </c>
      <c r="D5089" s="29" t="s">
        <v>5165</v>
      </c>
      <c r="E5089" s="29" t="s">
        <v>5189</v>
      </c>
      <c r="F5089" s="29" t="s">
        <v>5190</v>
      </c>
      <c r="G5089" s="20" t="str">
        <f t="shared" si="1"/>
        <v>Sporting Goods, Outdoor Recreation, Hunting &amp; Shooting, Paintball &amp; AirsoftAirsoft</v>
      </c>
    </row>
    <row r="5090">
      <c r="A5090" s="29">
        <v>8005.0</v>
      </c>
      <c r="B5090" s="29" t="s">
        <v>4555</v>
      </c>
      <c r="C5090" s="29" t="s">
        <v>4891</v>
      </c>
      <c r="D5090" s="29" t="s">
        <v>5165</v>
      </c>
      <c r="E5090" s="29" t="s">
        <v>5189</v>
      </c>
      <c r="F5090" s="29" t="s">
        <v>5190</v>
      </c>
      <c r="G5090" s="20" t="str">
        <f t="shared" si="1"/>
        <v>Sporting Goods, Outdoor Recreation, Hunting &amp; Shooting, Paintball &amp; AirsoftAirsoft</v>
      </c>
    </row>
    <row r="5091">
      <c r="A5091" s="29">
        <v>3093.0</v>
      </c>
      <c r="B5091" s="29" t="s">
        <v>4555</v>
      </c>
      <c r="C5091" s="29" t="s">
        <v>4891</v>
      </c>
      <c r="D5091" s="29" t="s">
        <v>5165</v>
      </c>
      <c r="E5091" s="29" t="s">
        <v>5189</v>
      </c>
      <c r="F5091" s="29" t="s">
        <v>5190</v>
      </c>
      <c r="G5091" s="20" t="str">
        <f t="shared" si="1"/>
        <v>Sporting Goods, Outdoor Recreation, Hunting &amp; Shooting, Paintball &amp; AirsoftAirsoft</v>
      </c>
    </row>
    <row r="5092">
      <c r="A5092" s="29">
        <v>3925.0</v>
      </c>
      <c r="B5092" s="29" t="s">
        <v>4555</v>
      </c>
      <c r="C5092" s="29" t="s">
        <v>4891</v>
      </c>
      <c r="D5092" s="29" t="s">
        <v>5165</v>
      </c>
      <c r="E5092" s="29" t="s">
        <v>5189</v>
      </c>
      <c r="F5092" s="29" t="s">
        <v>5190</v>
      </c>
      <c r="G5092" s="20" t="str">
        <f t="shared" si="1"/>
        <v>Sporting Goods, Outdoor Recreation, Hunting &amp; Shooting, Paintball &amp; AirsoftAirsoft</v>
      </c>
    </row>
    <row r="5093">
      <c r="A5093" s="29">
        <v>1049.0</v>
      </c>
      <c r="B5093" s="29" t="s">
        <v>4555</v>
      </c>
      <c r="C5093" s="29" t="s">
        <v>4891</v>
      </c>
      <c r="D5093" s="29" t="s">
        <v>5165</v>
      </c>
      <c r="E5093" s="29" t="s">
        <v>5189</v>
      </c>
      <c r="F5093" s="29" t="s">
        <v>5191</v>
      </c>
      <c r="G5093" s="20" t="str">
        <f t="shared" si="1"/>
        <v>Sporting Goods, Outdoor Recreation, Hunting &amp; Shooting, Paintball &amp; AirsoftPaintball</v>
      </c>
    </row>
    <row r="5094">
      <c r="A5094" s="29">
        <v>499835.0</v>
      </c>
      <c r="B5094" s="29" t="s">
        <v>4555</v>
      </c>
      <c r="C5094" s="29" t="s">
        <v>4891</v>
      </c>
      <c r="D5094" s="29" t="s">
        <v>5165</v>
      </c>
      <c r="E5094" s="29" t="s">
        <v>5189</v>
      </c>
      <c r="F5094" s="29" t="s">
        <v>5192</v>
      </c>
      <c r="G5094" s="20" t="str">
        <f t="shared" si="1"/>
        <v>Sporting Goods, Outdoor Recreation, Hunting &amp; Shooting, Paintball &amp; AirsoftPaintball &amp; Airsoft Protective Gear</v>
      </c>
    </row>
    <row r="5095">
      <c r="A5095" s="29">
        <v>499836.0</v>
      </c>
      <c r="B5095" s="29" t="s">
        <v>4555</v>
      </c>
      <c r="C5095" s="29" t="s">
        <v>4891</v>
      </c>
      <c r="D5095" s="29" t="s">
        <v>5165</v>
      </c>
      <c r="E5095" s="29" t="s">
        <v>5189</v>
      </c>
      <c r="F5095" s="29" t="s">
        <v>5192</v>
      </c>
      <c r="G5095" s="20" t="str">
        <f t="shared" si="1"/>
        <v>Sporting Goods, Outdoor Recreation, Hunting &amp; Shooting, Paintball &amp; AirsoftPaintball &amp; Airsoft Protective Gear</v>
      </c>
    </row>
    <row r="5096">
      <c r="A5096" s="29">
        <v>499838.0</v>
      </c>
      <c r="B5096" s="29" t="s">
        <v>4555</v>
      </c>
      <c r="C5096" s="29" t="s">
        <v>4891</v>
      </c>
      <c r="D5096" s="29" t="s">
        <v>5165</v>
      </c>
      <c r="E5096" s="29" t="s">
        <v>5189</v>
      </c>
      <c r="F5096" s="29" t="s">
        <v>5192</v>
      </c>
      <c r="G5096" s="20" t="str">
        <f t="shared" si="1"/>
        <v>Sporting Goods, Outdoor Recreation, Hunting &amp; Shooting, Paintball &amp; AirsoftPaintball &amp; Airsoft Protective Gear</v>
      </c>
    </row>
    <row r="5097">
      <c r="A5097" s="29">
        <v>499839.0</v>
      </c>
      <c r="B5097" s="29" t="s">
        <v>4555</v>
      </c>
      <c r="C5097" s="29" t="s">
        <v>4891</v>
      </c>
      <c r="D5097" s="29" t="s">
        <v>5165</v>
      </c>
      <c r="E5097" s="29" t="s">
        <v>5189</v>
      </c>
      <c r="F5097" s="29" t="s">
        <v>5192</v>
      </c>
      <c r="G5097" s="20" t="str">
        <f t="shared" si="1"/>
        <v>Sporting Goods, Outdoor Recreation, Hunting &amp; Shooting, Paintball &amp; AirsoftPaintball &amp; Airsoft Protective Gear</v>
      </c>
    </row>
    <row r="5098">
      <c r="A5098" s="29">
        <v>499837.0</v>
      </c>
      <c r="B5098" s="29" t="s">
        <v>4555</v>
      </c>
      <c r="C5098" s="29" t="s">
        <v>4891</v>
      </c>
      <c r="D5098" s="29" t="s">
        <v>5165</v>
      </c>
      <c r="E5098" s="29" t="s">
        <v>5189</v>
      </c>
      <c r="F5098" s="29" t="s">
        <v>5192</v>
      </c>
      <c r="G5098" s="20" t="str">
        <f t="shared" si="1"/>
        <v>Sporting Goods, Outdoor Recreation, Hunting &amp; Shooting, Paintball &amp; AirsoftPaintball &amp; Airsoft Protective Gear</v>
      </c>
    </row>
    <row r="5099">
      <c r="A5099" s="29">
        <v>6748.0</v>
      </c>
      <c r="B5099" s="29" t="s">
        <v>4555</v>
      </c>
      <c r="C5099" s="29" t="s">
        <v>4891</v>
      </c>
      <c r="D5099" s="29" t="s">
        <v>5165</v>
      </c>
      <c r="E5099" s="29" t="s">
        <v>5189</v>
      </c>
      <c r="F5099" s="29" t="s">
        <v>5191</v>
      </c>
      <c r="G5099" s="20" t="str">
        <f t="shared" si="1"/>
        <v>Sporting Goods, Outdoor Recreation, Hunting &amp; Shooting, Paintball &amp; AirsoftPaintball</v>
      </c>
    </row>
    <row r="5100">
      <c r="A5100" s="29">
        <v>3408.0</v>
      </c>
      <c r="B5100" s="29" t="s">
        <v>4555</v>
      </c>
      <c r="C5100" s="29" t="s">
        <v>4891</v>
      </c>
      <c r="D5100" s="29" t="s">
        <v>5165</v>
      </c>
      <c r="E5100" s="29" t="s">
        <v>5189</v>
      </c>
      <c r="F5100" s="29" t="s">
        <v>5191</v>
      </c>
      <c r="G5100" s="20" t="str">
        <f t="shared" si="1"/>
        <v>Sporting Goods, Outdoor Recreation, Hunting &amp; Shooting, Paintball &amp; AirsoftPaintball</v>
      </c>
    </row>
    <row r="5101">
      <c r="A5101" s="29">
        <v>3187.0</v>
      </c>
      <c r="B5101" s="29" t="s">
        <v>4555</v>
      </c>
      <c r="C5101" s="29" t="s">
        <v>4891</v>
      </c>
      <c r="D5101" s="29" t="s">
        <v>5165</v>
      </c>
      <c r="E5101" s="29" t="s">
        <v>5189</v>
      </c>
      <c r="F5101" s="29" t="s">
        <v>5191</v>
      </c>
      <c r="G5101" s="20" t="str">
        <f t="shared" si="1"/>
        <v>Sporting Goods, Outdoor Recreation, Hunting &amp; Shooting, Paintball &amp; AirsoftPaintball</v>
      </c>
    </row>
    <row r="5102">
      <c r="A5102" s="29">
        <v>3244.0</v>
      </c>
      <c r="B5102" s="29" t="s">
        <v>4555</v>
      </c>
      <c r="C5102" s="29" t="s">
        <v>4891</v>
      </c>
      <c r="D5102" s="29" t="s">
        <v>5165</v>
      </c>
      <c r="E5102" s="29" t="s">
        <v>5189</v>
      </c>
      <c r="F5102" s="29" t="s">
        <v>5191</v>
      </c>
      <c r="G5102" s="20" t="str">
        <f t="shared" si="1"/>
        <v>Sporting Goods, Outdoor Recreation, Hunting &amp; Shooting, Paintball &amp; AirsoftPaintball</v>
      </c>
    </row>
    <row r="5103">
      <c r="A5103" s="29">
        <v>3690.0</v>
      </c>
      <c r="B5103" s="29" t="s">
        <v>4555</v>
      </c>
      <c r="C5103" s="29" t="s">
        <v>4891</v>
      </c>
      <c r="D5103" s="29" t="s">
        <v>5165</v>
      </c>
      <c r="E5103" s="29" t="s">
        <v>5189</v>
      </c>
      <c r="F5103" s="29" t="s">
        <v>5191</v>
      </c>
      <c r="G5103" s="20" t="str">
        <f t="shared" si="1"/>
        <v>Sporting Goods, Outdoor Recreation, Hunting &amp; Shooting, Paintball &amp; AirsoftPaintball</v>
      </c>
    </row>
    <row r="5104">
      <c r="A5104" s="29">
        <v>8514.0</v>
      </c>
      <c r="B5104" s="29" t="s">
        <v>4555</v>
      </c>
      <c r="C5104" s="29" t="s">
        <v>4891</v>
      </c>
      <c r="D5104" s="29" t="s">
        <v>5165</v>
      </c>
      <c r="E5104" s="29" t="s">
        <v>5189</v>
      </c>
      <c r="F5104" s="29" t="s">
        <v>5191</v>
      </c>
      <c r="G5104" s="20" t="str">
        <f t="shared" si="1"/>
        <v>Sporting Goods, Outdoor Recreation, Hunting &amp; Shooting, Paintball &amp; AirsoftPaintball</v>
      </c>
    </row>
    <row r="5105">
      <c r="A5105" s="29">
        <v>3152.0</v>
      </c>
      <c r="B5105" s="29" t="s">
        <v>4555</v>
      </c>
      <c r="C5105" s="29" t="s">
        <v>4891</v>
      </c>
      <c r="D5105" s="29" t="s">
        <v>5165</v>
      </c>
      <c r="E5105" s="29" t="s">
        <v>5189</v>
      </c>
      <c r="F5105" s="29" t="s">
        <v>5191</v>
      </c>
      <c r="G5105" s="20" t="str">
        <f t="shared" si="1"/>
        <v>Sporting Goods, Outdoor Recreation, Hunting &amp; Shooting, Paintball &amp; AirsoftPaintball</v>
      </c>
    </row>
    <row r="5106">
      <c r="A5106" s="29">
        <v>3234.0</v>
      </c>
      <c r="B5106" s="29" t="s">
        <v>4555</v>
      </c>
      <c r="C5106" s="29" t="s">
        <v>4891</v>
      </c>
      <c r="D5106" s="29" t="s">
        <v>5165</v>
      </c>
      <c r="E5106" s="29" t="s">
        <v>5189</v>
      </c>
      <c r="F5106" s="29" t="s">
        <v>5191</v>
      </c>
      <c r="G5106" s="20" t="str">
        <f t="shared" si="1"/>
        <v>Sporting Goods, Outdoor Recreation, Hunting &amp; Shooting, Paintball &amp; AirsoftPaintball</v>
      </c>
    </row>
    <row r="5107">
      <c r="A5107" s="29">
        <v>6781.0</v>
      </c>
      <c r="B5107" s="29" t="s">
        <v>4555</v>
      </c>
      <c r="C5107" s="29" t="s">
        <v>4891</v>
      </c>
      <c r="D5107" s="29" t="s">
        <v>5165</v>
      </c>
      <c r="E5107" s="29" t="s">
        <v>5189</v>
      </c>
      <c r="F5107" s="29" t="s">
        <v>5191</v>
      </c>
      <c r="G5107" s="20" t="str">
        <f t="shared" si="1"/>
        <v>Sporting Goods, Outdoor Recreation, Hunting &amp; Shooting, Paintball &amp; AirsoftPaintball</v>
      </c>
    </row>
    <row r="5108">
      <c r="A5108" s="29">
        <v>3438.0</v>
      </c>
      <c r="B5108" s="29" t="s">
        <v>4555</v>
      </c>
      <c r="C5108" s="29" t="s">
        <v>4891</v>
      </c>
      <c r="D5108" s="29" t="s">
        <v>5165</v>
      </c>
      <c r="E5108" s="29" t="s">
        <v>5189</v>
      </c>
      <c r="F5108" s="29" t="s">
        <v>5191</v>
      </c>
      <c r="G5108" s="20" t="str">
        <f t="shared" si="1"/>
        <v>Sporting Goods, Outdoor Recreation, Hunting &amp; Shooting, Paintball &amp; AirsoftPaintball</v>
      </c>
    </row>
    <row r="5109">
      <c r="A5109" s="29">
        <v>499840.0</v>
      </c>
      <c r="B5109" s="29" t="s">
        <v>4555</v>
      </c>
      <c r="C5109" s="29" t="s">
        <v>4891</v>
      </c>
      <c r="D5109" s="29" t="s">
        <v>5165</v>
      </c>
      <c r="E5109" s="29" t="s">
        <v>5193</v>
      </c>
      <c r="F5109" s="62"/>
      <c r="G5109" s="20" t="str">
        <f t="shared" si="1"/>
        <v>Sporting Goods, Outdoor Recreation, Hunting &amp; Shooting, Shooting &amp; Range Accessories</v>
      </c>
    </row>
    <row r="5110">
      <c r="A5110" s="29">
        <v>499842.0</v>
      </c>
      <c r="B5110" s="29" t="s">
        <v>4555</v>
      </c>
      <c r="C5110" s="29" t="s">
        <v>4891</v>
      </c>
      <c r="D5110" s="29" t="s">
        <v>5165</v>
      </c>
      <c r="E5110" s="29" t="s">
        <v>5193</v>
      </c>
      <c r="F5110" s="29" t="s">
        <v>5194</v>
      </c>
      <c r="G5110" s="20" t="str">
        <f t="shared" si="1"/>
        <v>Sporting Goods, Outdoor Recreation, Hunting &amp; Shooting, Shooting &amp; Range AccessoriesShooting Rests</v>
      </c>
    </row>
    <row r="5111">
      <c r="A5111" s="29">
        <v>499841.0</v>
      </c>
      <c r="B5111" s="29" t="s">
        <v>4555</v>
      </c>
      <c r="C5111" s="29" t="s">
        <v>4891</v>
      </c>
      <c r="D5111" s="29" t="s">
        <v>5165</v>
      </c>
      <c r="E5111" s="29" t="s">
        <v>5193</v>
      </c>
      <c r="F5111" s="29" t="s">
        <v>5195</v>
      </c>
      <c r="G5111" s="20" t="str">
        <f t="shared" si="1"/>
        <v>Sporting Goods, Outdoor Recreation, Hunting &amp; Shooting, Shooting &amp; Range AccessoriesShooting Sticks &amp; Bipods</v>
      </c>
    </row>
    <row r="5112">
      <c r="A5112" s="29">
        <v>3170.0</v>
      </c>
      <c r="B5112" s="29" t="s">
        <v>4555</v>
      </c>
      <c r="C5112" s="29" t="s">
        <v>4891</v>
      </c>
      <c r="D5112" s="29" t="s">
        <v>5165</v>
      </c>
      <c r="E5112" s="29" t="s">
        <v>5193</v>
      </c>
      <c r="F5112" s="29" t="s">
        <v>5196</v>
      </c>
      <c r="G5112" s="20" t="str">
        <f t="shared" si="1"/>
        <v>Sporting Goods, Outdoor Recreation, Hunting &amp; Shooting, Shooting &amp; Range AccessoriesShooting Targets</v>
      </c>
    </row>
    <row r="5113">
      <c r="A5113" s="29">
        <v>5998.0</v>
      </c>
      <c r="B5113" s="29" t="s">
        <v>4555</v>
      </c>
      <c r="C5113" s="29" t="s">
        <v>4891</v>
      </c>
      <c r="D5113" s="29" t="s">
        <v>5197</v>
      </c>
      <c r="F5113" s="62"/>
      <c r="G5113" s="20" t="str">
        <f t="shared" si="1"/>
        <v>Sporting Goods, Outdoor Recreation, Hydration System Accessories, </v>
      </c>
    </row>
    <row r="5114">
      <c r="A5114" s="29">
        <v>5635.0</v>
      </c>
      <c r="B5114" s="29" t="s">
        <v>4555</v>
      </c>
      <c r="C5114" s="29" t="s">
        <v>4891</v>
      </c>
      <c r="D5114" s="29" t="s">
        <v>5198</v>
      </c>
      <c r="E5114" s="62"/>
      <c r="F5114" s="62"/>
      <c r="G5114" s="20" t="str">
        <f t="shared" si="1"/>
        <v>Sporting Goods, Outdoor Recreation, Hydration Systems, </v>
      </c>
    </row>
    <row r="5115">
      <c r="A5115" s="29">
        <v>499761.0</v>
      </c>
      <c r="B5115" s="29" t="s">
        <v>4555</v>
      </c>
      <c r="C5115" s="29" t="s">
        <v>4891</v>
      </c>
      <c r="D5115" s="29" t="s">
        <v>5199</v>
      </c>
      <c r="E5115" s="62"/>
      <c r="F5115" s="62"/>
      <c r="G5115" s="20" t="str">
        <f t="shared" si="1"/>
        <v>Sporting Goods, Outdoor Recreation, Inline &amp; Roller Skating, </v>
      </c>
    </row>
    <row r="5116">
      <c r="A5116" s="29">
        <v>499771.0</v>
      </c>
      <c r="B5116" s="29" t="s">
        <v>4555</v>
      </c>
      <c r="C5116" s="29" t="s">
        <v>4891</v>
      </c>
      <c r="D5116" s="29" t="s">
        <v>5199</v>
      </c>
      <c r="E5116" s="29" t="s">
        <v>5200</v>
      </c>
      <c r="G5116" s="20" t="str">
        <f t="shared" si="1"/>
        <v>Sporting Goods, Outdoor Recreation, Inline &amp; Roller Skating, Inline &amp; Roller Skating Protective Gear</v>
      </c>
    </row>
    <row r="5117">
      <c r="A5117" s="29">
        <v>499775.0</v>
      </c>
      <c r="B5117" s="29" t="s">
        <v>4555</v>
      </c>
      <c r="C5117" s="29" t="s">
        <v>4891</v>
      </c>
      <c r="D5117" s="29" t="s">
        <v>5199</v>
      </c>
      <c r="E5117" s="29" t="s">
        <v>5200</v>
      </c>
      <c r="F5117" s="29" t="s">
        <v>5201</v>
      </c>
      <c r="G5117" s="20" t="str">
        <f t="shared" si="1"/>
        <v>Sporting Goods, Outdoor Recreation, Inline &amp; Roller Skating, Inline &amp; Roller Skating Protective GearRoller Skating Pads</v>
      </c>
    </row>
    <row r="5118">
      <c r="A5118" s="29">
        <v>499759.0</v>
      </c>
      <c r="B5118" s="29" t="s">
        <v>4555</v>
      </c>
      <c r="C5118" s="29" t="s">
        <v>4891</v>
      </c>
      <c r="D5118" s="29" t="s">
        <v>5199</v>
      </c>
      <c r="E5118" s="29" t="s">
        <v>5202</v>
      </c>
      <c r="F5118" s="62"/>
      <c r="G5118" s="20" t="str">
        <f t="shared" si="1"/>
        <v>Sporting Goods, Outdoor Recreation, Inline &amp; Roller Skating, Inline Skate Parts</v>
      </c>
    </row>
    <row r="5119">
      <c r="A5119" s="29">
        <v>1058.0</v>
      </c>
      <c r="B5119" s="29" t="s">
        <v>4555</v>
      </c>
      <c r="C5119" s="29" t="s">
        <v>4891</v>
      </c>
      <c r="D5119" s="29" t="s">
        <v>5199</v>
      </c>
      <c r="E5119" s="29" t="s">
        <v>5203</v>
      </c>
      <c r="F5119" s="62"/>
      <c r="G5119" s="20" t="str">
        <f t="shared" si="1"/>
        <v>Sporting Goods, Outdoor Recreation, Inline &amp; Roller Skating, Inline Skates</v>
      </c>
    </row>
    <row r="5120">
      <c r="A5120" s="29">
        <v>499760.0</v>
      </c>
      <c r="B5120" s="29" t="s">
        <v>4555</v>
      </c>
      <c r="C5120" s="29" t="s">
        <v>4891</v>
      </c>
      <c r="D5120" s="29" t="s">
        <v>5199</v>
      </c>
      <c r="E5120" s="29" t="s">
        <v>5204</v>
      </c>
      <c r="F5120" s="62"/>
      <c r="G5120" s="20" t="str">
        <f t="shared" si="1"/>
        <v>Sporting Goods, Outdoor Recreation, Inline &amp; Roller Skating, Roller Skate Parts</v>
      </c>
    </row>
    <row r="5121">
      <c r="A5121" s="29">
        <v>2837.0</v>
      </c>
      <c r="B5121" s="29" t="s">
        <v>4555</v>
      </c>
      <c r="C5121" s="29" t="s">
        <v>4891</v>
      </c>
      <c r="D5121" s="29" t="s">
        <v>5199</v>
      </c>
      <c r="E5121" s="29" t="s">
        <v>5205</v>
      </c>
      <c r="F5121" s="62"/>
      <c r="G5121" s="20" t="str">
        <f t="shared" si="1"/>
        <v>Sporting Goods, Outdoor Recreation, Inline &amp; Roller Skating, Roller Skates</v>
      </c>
    </row>
    <row r="5122">
      <c r="A5122" s="29">
        <v>500029.0</v>
      </c>
      <c r="B5122" s="29" t="s">
        <v>4555</v>
      </c>
      <c r="C5122" s="29" t="s">
        <v>4891</v>
      </c>
      <c r="D5122" s="29" t="s">
        <v>5199</v>
      </c>
      <c r="E5122" s="29" t="s">
        <v>5206</v>
      </c>
      <c r="F5122" s="62"/>
      <c r="G5122" s="20" t="str">
        <f t="shared" si="1"/>
        <v>Sporting Goods, Outdoor Recreation, Inline &amp; Roller Skating, Roller Skis</v>
      </c>
    </row>
    <row r="5123">
      <c r="A5123" s="29">
        <v>7375.0</v>
      </c>
      <c r="B5123" s="29" t="s">
        <v>4555</v>
      </c>
      <c r="C5123" s="29" t="s">
        <v>4891</v>
      </c>
      <c r="D5123" s="29" t="s">
        <v>5207</v>
      </c>
      <c r="E5123" s="62"/>
      <c r="F5123" s="62"/>
      <c r="G5123" s="20" t="str">
        <f t="shared" si="1"/>
        <v>Sporting Goods, Outdoor Recreation, Kite Buggying, </v>
      </c>
    </row>
    <row r="5124">
      <c r="A5124" s="29">
        <v>7376.0</v>
      </c>
      <c r="B5124" s="29" t="s">
        <v>4555</v>
      </c>
      <c r="C5124" s="29" t="s">
        <v>4891</v>
      </c>
      <c r="D5124" s="29" t="s">
        <v>5207</v>
      </c>
      <c r="E5124" s="29" t="s">
        <v>5208</v>
      </c>
      <c r="F5124" s="62"/>
      <c r="G5124" s="20" t="str">
        <f t="shared" si="1"/>
        <v>Sporting Goods, Outdoor Recreation, Kite Buggying, Kite Buggies</v>
      </c>
    </row>
    <row r="5125">
      <c r="A5125" s="29">
        <v>7377.0</v>
      </c>
      <c r="B5125" s="29" t="s">
        <v>4555</v>
      </c>
      <c r="C5125" s="29" t="s">
        <v>4891</v>
      </c>
      <c r="D5125" s="29" t="s">
        <v>5207</v>
      </c>
      <c r="E5125" s="29" t="s">
        <v>5209</v>
      </c>
      <c r="F5125" s="62"/>
      <c r="G5125" s="20" t="str">
        <f t="shared" si="1"/>
        <v>Sporting Goods, Outdoor Recreation, Kite Buggying, Kite Buggy Accessories</v>
      </c>
    </row>
    <row r="5126">
      <c r="A5126" s="29">
        <v>499846.0</v>
      </c>
      <c r="B5126" s="29" t="s">
        <v>4555</v>
      </c>
      <c r="C5126" s="29" t="s">
        <v>4891</v>
      </c>
      <c r="D5126" s="29" t="s">
        <v>5210</v>
      </c>
      <c r="E5126" s="62"/>
      <c r="F5126" s="62"/>
      <c r="G5126" s="20" t="str">
        <f t="shared" si="1"/>
        <v>Sporting Goods, Outdoor Recreation, Outdoor Games, </v>
      </c>
    </row>
    <row r="5127">
      <c r="A5127" s="29">
        <v>1062.0</v>
      </c>
      <c r="B5127" s="29" t="s">
        <v>4555</v>
      </c>
      <c r="C5127" s="29" t="s">
        <v>4891</v>
      </c>
      <c r="D5127" s="29" t="s">
        <v>5210</v>
      </c>
      <c r="E5127" s="29" t="s">
        <v>5211</v>
      </c>
      <c r="F5127" s="62"/>
      <c r="G5127" s="20" t="str">
        <f t="shared" si="1"/>
        <v>Sporting Goods, Outdoor Recreation, Outdoor Games, Badminton</v>
      </c>
    </row>
    <row r="5128">
      <c r="A5128" s="29">
        <v>3107.0</v>
      </c>
      <c r="B5128" s="29" t="s">
        <v>4555</v>
      </c>
      <c r="C5128" s="29" t="s">
        <v>4891</v>
      </c>
      <c r="D5128" s="29" t="s">
        <v>5210</v>
      </c>
      <c r="E5128" s="29" t="s">
        <v>5211</v>
      </c>
      <c r="F5128" s="29" t="s">
        <v>5212</v>
      </c>
      <c r="G5128" s="20" t="str">
        <f t="shared" si="1"/>
        <v>Sporting Goods, Outdoor Recreation, Outdoor Games, BadmintonBadminton Nets</v>
      </c>
    </row>
    <row r="5129">
      <c r="A5129" s="29">
        <v>3950.0</v>
      </c>
      <c r="B5129" s="29" t="s">
        <v>4555</v>
      </c>
      <c r="C5129" s="29" t="s">
        <v>4891</v>
      </c>
      <c r="D5129" s="29" t="s">
        <v>5210</v>
      </c>
      <c r="E5129" s="29" t="s">
        <v>5211</v>
      </c>
      <c r="F5129" s="29" t="s">
        <v>5213</v>
      </c>
      <c r="G5129" s="20" t="str">
        <f t="shared" si="1"/>
        <v>Sporting Goods, Outdoor Recreation, Outdoor Games, BadmintonBadminton Racquets &amp; Sets</v>
      </c>
    </row>
    <row r="5130">
      <c r="A5130" s="29">
        <v>3907.0</v>
      </c>
      <c r="B5130" s="29" t="s">
        <v>4555</v>
      </c>
      <c r="C5130" s="29" t="s">
        <v>4891</v>
      </c>
      <c r="D5130" s="29" t="s">
        <v>5210</v>
      </c>
      <c r="E5130" s="29" t="s">
        <v>5211</v>
      </c>
      <c r="F5130" s="29" t="s">
        <v>5214</v>
      </c>
      <c r="G5130" s="20" t="str">
        <f t="shared" si="1"/>
        <v>Sporting Goods, Outdoor Recreation, Outdoor Games, BadmintonShuttlecocks</v>
      </c>
    </row>
    <row r="5131">
      <c r="A5131" s="29">
        <v>3787.0</v>
      </c>
      <c r="B5131" s="29" t="s">
        <v>4555</v>
      </c>
      <c r="C5131" s="29" t="s">
        <v>4891</v>
      </c>
      <c r="D5131" s="29" t="s">
        <v>5210</v>
      </c>
      <c r="E5131" s="29" t="s">
        <v>5215</v>
      </c>
      <c r="F5131" s="62"/>
      <c r="G5131" s="20" t="str">
        <f t="shared" si="1"/>
        <v>Sporting Goods, Outdoor Recreation, Outdoor Games, Deck Shuffleboard</v>
      </c>
    </row>
    <row r="5132">
      <c r="A5132" s="29">
        <v>3689.0</v>
      </c>
      <c r="B5132" s="29" t="s">
        <v>4555</v>
      </c>
      <c r="C5132" s="29" t="s">
        <v>4891</v>
      </c>
      <c r="D5132" s="29" t="s">
        <v>5210</v>
      </c>
      <c r="E5132" s="29" t="s">
        <v>5215</v>
      </c>
      <c r="F5132" s="29" t="s">
        <v>5216</v>
      </c>
      <c r="G5132" s="20" t="str">
        <f t="shared" si="1"/>
        <v>Sporting Goods, Outdoor Recreation, Outdoor Games, Deck ShuffleboardDeck Shuffleboard Cues</v>
      </c>
    </row>
    <row r="5133">
      <c r="A5133" s="29">
        <v>3190.0</v>
      </c>
      <c r="B5133" s="29" t="s">
        <v>4555</v>
      </c>
      <c r="C5133" s="29" t="s">
        <v>4891</v>
      </c>
      <c r="D5133" s="29" t="s">
        <v>5210</v>
      </c>
      <c r="E5133" s="29" t="s">
        <v>5215</v>
      </c>
      <c r="F5133" s="29" t="s">
        <v>5217</v>
      </c>
      <c r="G5133" s="20" t="str">
        <f t="shared" si="1"/>
        <v>Sporting Goods, Outdoor Recreation, Outdoor Games, Deck ShuffleboardDeck Shuffleboard Pucks</v>
      </c>
    </row>
    <row r="5134">
      <c r="A5134" s="29">
        <v>3484.0</v>
      </c>
      <c r="B5134" s="29" t="s">
        <v>4555</v>
      </c>
      <c r="C5134" s="29" t="s">
        <v>4891</v>
      </c>
      <c r="D5134" s="29" t="s">
        <v>5210</v>
      </c>
      <c r="E5134" s="29" t="s">
        <v>5218</v>
      </c>
      <c r="F5134" s="62"/>
      <c r="G5134" s="20" t="str">
        <f t="shared" si="1"/>
        <v>Sporting Goods, Outdoor Recreation, Outdoor Games, Disc Golf</v>
      </c>
    </row>
    <row r="5135">
      <c r="A5135" s="29">
        <v>3993.0</v>
      </c>
      <c r="B5135" s="29" t="s">
        <v>4555</v>
      </c>
      <c r="C5135" s="29" t="s">
        <v>4891</v>
      </c>
      <c r="D5135" s="29" t="s">
        <v>5210</v>
      </c>
      <c r="E5135" s="29" t="s">
        <v>5218</v>
      </c>
      <c r="F5135" s="29" t="s">
        <v>5219</v>
      </c>
      <c r="G5135" s="20" t="str">
        <f t="shared" si="1"/>
        <v>Sporting Goods, Outdoor Recreation, Outdoor Games, Disc GolfDisc Golf Bags</v>
      </c>
    </row>
    <row r="5136">
      <c r="A5136" s="29">
        <v>3227.0</v>
      </c>
      <c r="B5136" s="29" t="s">
        <v>4555</v>
      </c>
      <c r="C5136" s="29" t="s">
        <v>4891</v>
      </c>
      <c r="D5136" s="29" t="s">
        <v>5210</v>
      </c>
      <c r="E5136" s="29" t="s">
        <v>5218</v>
      </c>
      <c r="F5136" s="29" t="s">
        <v>5220</v>
      </c>
      <c r="G5136" s="20" t="str">
        <f t="shared" si="1"/>
        <v>Sporting Goods, Outdoor Recreation, Outdoor Games, Disc GolfDisc Golf Baskets</v>
      </c>
    </row>
    <row r="5137">
      <c r="A5137" s="29">
        <v>3405.0</v>
      </c>
      <c r="B5137" s="29" t="s">
        <v>4555</v>
      </c>
      <c r="C5137" s="29" t="s">
        <v>4891</v>
      </c>
      <c r="D5137" s="29" t="s">
        <v>5210</v>
      </c>
      <c r="E5137" s="29" t="s">
        <v>5221</v>
      </c>
      <c r="F5137" s="62"/>
      <c r="G5137" s="20" t="str">
        <f t="shared" si="1"/>
        <v>Sporting Goods, Outdoor Recreation, Outdoor Games, Lawn Games</v>
      </c>
    </row>
    <row r="5138">
      <c r="A5138" s="29">
        <v>7430.0</v>
      </c>
      <c r="B5138" s="29" t="s">
        <v>4555</v>
      </c>
      <c r="C5138" s="29" t="s">
        <v>4891</v>
      </c>
      <c r="D5138" s="29" t="s">
        <v>5210</v>
      </c>
      <c r="E5138" s="29" t="s">
        <v>5222</v>
      </c>
      <c r="F5138" s="62"/>
      <c r="G5138" s="20" t="str">
        <f t="shared" si="1"/>
        <v>Sporting Goods, Outdoor Recreation, Outdoor Games, Paddle Ball Sets</v>
      </c>
    </row>
    <row r="5139">
      <c r="A5139" s="29">
        <v>3390.0</v>
      </c>
      <c r="B5139" s="29" t="s">
        <v>4555</v>
      </c>
      <c r="C5139" s="29" t="s">
        <v>4891</v>
      </c>
      <c r="D5139" s="29" t="s">
        <v>5210</v>
      </c>
      <c r="E5139" s="29" t="s">
        <v>5223</v>
      </c>
      <c r="F5139" s="62"/>
      <c r="G5139" s="20" t="str">
        <f t="shared" si="1"/>
        <v>Sporting Goods, Outdoor Recreation, Outdoor Games, Pickleball</v>
      </c>
    </row>
    <row r="5140">
      <c r="A5140" s="29">
        <v>499848.0</v>
      </c>
      <c r="B5140" s="29" t="s">
        <v>4555</v>
      </c>
      <c r="C5140" s="29" t="s">
        <v>4891</v>
      </c>
      <c r="D5140" s="29" t="s">
        <v>5210</v>
      </c>
      <c r="E5140" s="29" t="s">
        <v>5223</v>
      </c>
      <c r="F5140" s="29" t="s">
        <v>5224</v>
      </c>
      <c r="G5140" s="20" t="str">
        <f t="shared" si="1"/>
        <v>Sporting Goods, Outdoor Recreation, Outdoor Games, PickleballPickleball Paddles</v>
      </c>
    </row>
    <row r="5141">
      <c r="A5141" s="29">
        <v>499847.0</v>
      </c>
      <c r="B5141" s="29" t="s">
        <v>4555</v>
      </c>
      <c r="C5141" s="29" t="s">
        <v>4891</v>
      </c>
      <c r="D5141" s="29" t="s">
        <v>5210</v>
      </c>
      <c r="E5141" s="29" t="s">
        <v>5223</v>
      </c>
      <c r="F5141" s="29" t="s">
        <v>5225</v>
      </c>
      <c r="G5141" s="20" t="str">
        <f t="shared" si="1"/>
        <v>Sporting Goods, Outdoor Recreation, Outdoor Games, PickleballPickleballs</v>
      </c>
    </row>
    <row r="5142">
      <c r="A5142" s="29">
        <v>499904.0</v>
      </c>
      <c r="B5142" s="29" t="s">
        <v>4555</v>
      </c>
      <c r="C5142" s="29" t="s">
        <v>4891</v>
      </c>
      <c r="D5142" s="29" t="s">
        <v>5210</v>
      </c>
      <c r="E5142" s="29" t="s">
        <v>5226</v>
      </c>
      <c r="F5142" s="62"/>
      <c r="G5142" s="20" t="str">
        <f t="shared" si="1"/>
        <v>Sporting Goods, Outdoor Recreation, Outdoor Games, Platform &amp; Paddle Tennis</v>
      </c>
    </row>
    <row r="5143">
      <c r="A5143" s="29">
        <v>499850.0</v>
      </c>
      <c r="B5143" s="29" t="s">
        <v>4555</v>
      </c>
      <c r="C5143" s="29" t="s">
        <v>4891</v>
      </c>
      <c r="D5143" s="29" t="s">
        <v>5210</v>
      </c>
      <c r="E5143" s="29" t="s">
        <v>5226</v>
      </c>
      <c r="F5143" s="29" t="s">
        <v>5227</v>
      </c>
      <c r="G5143" s="20" t="str">
        <f t="shared" si="1"/>
        <v>Sporting Goods, Outdoor Recreation, Outdoor Games, Platform &amp; Paddle TennisPlatform &amp; Paddle Tennis Paddles</v>
      </c>
    </row>
    <row r="5144">
      <c r="A5144" s="29">
        <v>499849.0</v>
      </c>
      <c r="B5144" s="29" t="s">
        <v>4555</v>
      </c>
      <c r="C5144" s="29" t="s">
        <v>4891</v>
      </c>
      <c r="D5144" s="29" t="s">
        <v>5210</v>
      </c>
      <c r="E5144" s="29" t="s">
        <v>5226</v>
      </c>
      <c r="F5144" s="29" t="s">
        <v>5228</v>
      </c>
      <c r="G5144" s="20" t="str">
        <f t="shared" si="1"/>
        <v>Sporting Goods, Outdoor Recreation, Outdoor Games, Platform &amp; Paddle TennisPlatform Tennis Balls</v>
      </c>
    </row>
    <row r="5145">
      <c r="A5145" s="29">
        <v>3126.0</v>
      </c>
      <c r="B5145" s="29" t="s">
        <v>4555</v>
      </c>
      <c r="C5145" s="29" t="s">
        <v>4891</v>
      </c>
      <c r="D5145" s="29" t="s">
        <v>5210</v>
      </c>
      <c r="E5145" s="29" t="s">
        <v>5229</v>
      </c>
      <c r="F5145" s="62"/>
      <c r="G5145" s="20" t="str">
        <f t="shared" si="1"/>
        <v>Sporting Goods, Outdoor Recreation, Outdoor Games, Tetherball</v>
      </c>
    </row>
    <row r="5146">
      <c r="A5146" s="29">
        <v>499882.0</v>
      </c>
      <c r="B5146" s="29" t="s">
        <v>4555</v>
      </c>
      <c r="C5146" s="29" t="s">
        <v>4891</v>
      </c>
      <c r="D5146" s="29" t="s">
        <v>5210</v>
      </c>
      <c r="E5146" s="29" t="s">
        <v>5229</v>
      </c>
      <c r="F5146" s="29" t="s">
        <v>5230</v>
      </c>
      <c r="G5146" s="20" t="str">
        <f t="shared" si="1"/>
        <v>Sporting Goods, Outdoor Recreation, Outdoor Games, TetherballTetherball Poles</v>
      </c>
    </row>
    <row r="5147">
      <c r="A5147" s="29">
        <v>499883.0</v>
      </c>
      <c r="B5147" s="29" t="s">
        <v>4555</v>
      </c>
      <c r="C5147" s="29" t="s">
        <v>4891</v>
      </c>
      <c r="D5147" s="29" t="s">
        <v>5210</v>
      </c>
      <c r="E5147" s="29" t="s">
        <v>5229</v>
      </c>
      <c r="F5147" s="29" t="s">
        <v>5231</v>
      </c>
      <c r="G5147" s="20" t="str">
        <f t="shared" si="1"/>
        <v>Sporting Goods, Outdoor Recreation, Outdoor Games, TetherballTetherball Sets</v>
      </c>
    </row>
    <row r="5148">
      <c r="A5148" s="29">
        <v>499884.0</v>
      </c>
      <c r="B5148" s="29" t="s">
        <v>4555</v>
      </c>
      <c r="C5148" s="29" t="s">
        <v>4891</v>
      </c>
      <c r="D5148" s="29" t="s">
        <v>5210</v>
      </c>
      <c r="E5148" s="29" t="s">
        <v>5229</v>
      </c>
      <c r="F5148" s="29" t="s">
        <v>5232</v>
      </c>
      <c r="G5148" s="20" t="str">
        <f t="shared" si="1"/>
        <v>Sporting Goods, Outdoor Recreation, Outdoor Games, TetherballTetherballs</v>
      </c>
    </row>
    <row r="5149">
      <c r="A5149" s="29">
        <v>5879.0</v>
      </c>
      <c r="B5149" s="29" t="s">
        <v>4555</v>
      </c>
      <c r="C5149" s="29" t="s">
        <v>4891</v>
      </c>
      <c r="D5149" s="29" t="s">
        <v>5233</v>
      </c>
      <c r="E5149" s="62"/>
      <c r="F5149" s="62"/>
      <c r="G5149" s="20" t="str">
        <f t="shared" si="1"/>
        <v>Sporting Goods, Outdoor Recreation, Riding Scooters, </v>
      </c>
    </row>
    <row r="5150">
      <c r="A5150" s="29">
        <v>3276.0</v>
      </c>
      <c r="B5150" s="29" t="s">
        <v>4555</v>
      </c>
      <c r="C5150" s="29" t="s">
        <v>4891</v>
      </c>
      <c r="D5150" s="29" t="s">
        <v>5234</v>
      </c>
      <c r="E5150" s="62"/>
      <c r="F5150" s="62"/>
      <c r="G5150" s="20" t="str">
        <f t="shared" si="1"/>
        <v>Sporting Goods, Outdoor Recreation, Skateboarding, </v>
      </c>
    </row>
    <row r="5151">
      <c r="A5151" s="29">
        <v>3127.0</v>
      </c>
      <c r="B5151" s="29" t="s">
        <v>4555</v>
      </c>
      <c r="C5151" s="29" t="s">
        <v>4891</v>
      </c>
      <c r="D5151" s="29" t="s">
        <v>5234</v>
      </c>
      <c r="E5151" s="29" t="s">
        <v>5235</v>
      </c>
      <c r="F5151" s="62"/>
      <c r="G5151" s="20" t="str">
        <f t="shared" si="1"/>
        <v>Sporting Goods, Outdoor Recreation, Skateboarding, Skate Rails</v>
      </c>
    </row>
    <row r="5152">
      <c r="A5152" s="29">
        <v>3626.0</v>
      </c>
      <c r="B5152" s="29" t="s">
        <v>4555</v>
      </c>
      <c r="C5152" s="29" t="s">
        <v>4891</v>
      </c>
      <c r="D5152" s="29" t="s">
        <v>5234</v>
      </c>
      <c r="E5152" s="29" t="s">
        <v>5236</v>
      </c>
      <c r="F5152" s="62"/>
      <c r="G5152" s="20" t="str">
        <f t="shared" si="1"/>
        <v>Sporting Goods, Outdoor Recreation, Skateboarding, Skate Ramps</v>
      </c>
    </row>
    <row r="5153">
      <c r="A5153" s="29">
        <v>3670.0</v>
      </c>
      <c r="B5153" s="29" t="s">
        <v>4555</v>
      </c>
      <c r="C5153" s="29" t="s">
        <v>4891</v>
      </c>
      <c r="D5153" s="29" t="s">
        <v>5234</v>
      </c>
      <c r="E5153" s="29" t="s">
        <v>5237</v>
      </c>
      <c r="F5153" s="62"/>
      <c r="G5153" s="20" t="str">
        <f t="shared" si="1"/>
        <v>Sporting Goods, Outdoor Recreation, Skateboarding, Skateboard Parts</v>
      </c>
    </row>
    <row r="5154">
      <c r="A5154" s="29">
        <v>3869.0</v>
      </c>
      <c r="B5154" s="29" t="s">
        <v>4555</v>
      </c>
      <c r="C5154" s="29" t="s">
        <v>4891</v>
      </c>
      <c r="D5154" s="29" t="s">
        <v>5234</v>
      </c>
      <c r="E5154" s="29" t="s">
        <v>5237</v>
      </c>
      <c r="F5154" s="29" t="s">
        <v>5238</v>
      </c>
      <c r="G5154" s="20" t="str">
        <f t="shared" si="1"/>
        <v>Sporting Goods, Outdoor Recreation, Skateboarding, Skateboard PartsSkateboard Decks</v>
      </c>
    </row>
    <row r="5155">
      <c r="A5155" s="29">
        <v>505817.0</v>
      </c>
      <c r="B5155" s="29" t="s">
        <v>4555</v>
      </c>
      <c r="C5155" s="29" t="s">
        <v>4891</v>
      </c>
      <c r="D5155" s="29" t="s">
        <v>5234</v>
      </c>
      <c r="E5155" s="29" t="s">
        <v>5237</v>
      </c>
      <c r="F5155" s="29" t="s">
        <v>5239</v>
      </c>
      <c r="G5155" s="20" t="str">
        <f t="shared" si="1"/>
        <v>Sporting Goods, Outdoor Recreation, Skateboarding, Skateboard PartsSkateboard Small Parts</v>
      </c>
    </row>
    <row r="5156">
      <c r="A5156" s="29">
        <v>3192.0</v>
      </c>
      <c r="B5156" s="29" t="s">
        <v>4555</v>
      </c>
      <c r="C5156" s="29" t="s">
        <v>4891</v>
      </c>
      <c r="D5156" s="29" t="s">
        <v>5234</v>
      </c>
      <c r="E5156" s="29" t="s">
        <v>5237</v>
      </c>
      <c r="F5156" s="29" t="s">
        <v>5240</v>
      </c>
      <c r="G5156" s="20" t="str">
        <f t="shared" si="1"/>
        <v>Sporting Goods, Outdoor Recreation, Skateboarding, Skateboard PartsSkateboard Trucks</v>
      </c>
    </row>
    <row r="5157">
      <c r="A5157" s="29">
        <v>3637.0</v>
      </c>
      <c r="B5157" s="29" t="s">
        <v>4555</v>
      </c>
      <c r="C5157" s="29" t="s">
        <v>4891</v>
      </c>
      <c r="D5157" s="29" t="s">
        <v>5234</v>
      </c>
      <c r="E5157" s="29" t="s">
        <v>5237</v>
      </c>
      <c r="F5157" s="29" t="s">
        <v>5241</v>
      </c>
      <c r="G5157" s="20" t="str">
        <f t="shared" si="1"/>
        <v>Sporting Goods, Outdoor Recreation, Skateboarding, Skateboard PartsSkateboard Wheels</v>
      </c>
    </row>
    <row r="5158">
      <c r="A5158" s="29">
        <v>3067.0</v>
      </c>
      <c r="B5158" s="29" t="s">
        <v>4555</v>
      </c>
      <c r="C5158" s="29" t="s">
        <v>4891</v>
      </c>
      <c r="D5158" s="29" t="s">
        <v>5234</v>
      </c>
      <c r="E5158" s="29" t="s">
        <v>5242</v>
      </c>
      <c r="F5158" s="62"/>
      <c r="G5158" s="20" t="str">
        <f t="shared" si="1"/>
        <v>Sporting Goods, Outdoor Recreation, Skateboarding, Skateboarding Protective Gear</v>
      </c>
    </row>
    <row r="5159">
      <c r="A5159" s="29">
        <v>499776.0</v>
      </c>
      <c r="B5159" s="29" t="s">
        <v>4555</v>
      </c>
      <c r="C5159" s="29" t="s">
        <v>4891</v>
      </c>
      <c r="D5159" s="29" t="s">
        <v>5234</v>
      </c>
      <c r="E5159" s="29" t="s">
        <v>5242</v>
      </c>
      <c r="F5159" s="29" t="s">
        <v>5243</v>
      </c>
      <c r="G5159" s="20" t="str">
        <f t="shared" si="1"/>
        <v>Sporting Goods, Outdoor Recreation, Skateboarding, Skateboarding Protective GearSkate Helmets</v>
      </c>
    </row>
    <row r="5160">
      <c r="A5160" s="29">
        <v>7789.0</v>
      </c>
      <c r="B5160" s="29" t="s">
        <v>4555</v>
      </c>
      <c r="C5160" s="29" t="s">
        <v>4891</v>
      </c>
      <c r="D5160" s="29" t="s">
        <v>5234</v>
      </c>
      <c r="E5160" s="29" t="s">
        <v>5242</v>
      </c>
      <c r="F5160" s="29" t="s">
        <v>5244</v>
      </c>
      <c r="G5160" s="20" t="str">
        <f t="shared" si="1"/>
        <v>Sporting Goods, Outdoor Recreation, Skateboarding, Skateboarding Protective GearSkateboarding Gloves</v>
      </c>
    </row>
    <row r="5161">
      <c r="A5161" s="29">
        <v>3488.0</v>
      </c>
      <c r="B5161" s="29" t="s">
        <v>4555</v>
      </c>
      <c r="C5161" s="29" t="s">
        <v>4891</v>
      </c>
      <c r="D5161" s="29" t="s">
        <v>5234</v>
      </c>
      <c r="E5161" s="29" t="s">
        <v>5242</v>
      </c>
      <c r="F5161" s="29" t="s">
        <v>5245</v>
      </c>
      <c r="G5161" s="20" t="str">
        <f t="shared" si="1"/>
        <v>Sporting Goods, Outdoor Recreation, Skateboarding, Skateboarding Protective GearSkateboarding Pads</v>
      </c>
    </row>
    <row r="5162">
      <c r="A5162" s="29">
        <v>1059.0</v>
      </c>
      <c r="B5162" s="29" t="s">
        <v>4555</v>
      </c>
      <c r="C5162" s="29" t="s">
        <v>4891</v>
      </c>
      <c r="D5162" s="29" t="s">
        <v>5234</v>
      </c>
      <c r="E5162" s="29" t="s">
        <v>5246</v>
      </c>
      <c r="F5162" s="62"/>
      <c r="G5162" s="20" t="str">
        <f t="shared" si="1"/>
        <v>Sporting Goods, Outdoor Recreation, Skateboarding, Skateboards</v>
      </c>
    </row>
    <row r="5163">
      <c r="A5163" s="29">
        <v>499844.0</v>
      </c>
      <c r="B5163" s="29" t="s">
        <v>4555</v>
      </c>
      <c r="C5163" s="29" t="s">
        <v>4891</v>
      </c>
      <c r="D5163" s="29" t="s">
        <v>5247</v>
      </c>
      <c r="E5163" s="62"/>
      <c r="F5163" s="62"/>
      <c r="G5163" s="20" t="str">
        <f t="shared" si="1"/>
        <v>Sporting Goods, Outdoor Recreation, Winter Sports &amp; Activities, </v>
      </c>
    </row>
    <row r="5164">
      <c r="A5164" s="29">
        <v>499951.0</v>
      </c>
      <c r="B5164" s="29" t="s">
        <v>4555</v>
      </c>
      <c r="C5164" s="29" t="s">
        <v>4891</v>
      </c>
      <c r="D5164" s="29" t="s">
        <v>5247</v>
      </c>
      <c r="E5164" s="29" t="s">
        <v>5248</v>
      </c>
      <c r="F5164" s="62"/>
      <c r="G5164" s="20" t="str">
        <f t="shared" si="1"/>
        <v>Sporting Goods, Outdoor Recreation, Winter Sports &amp; Activities, Avalanche Safety</v>
      </c>
    </row>
    <row r="5165">
      <c r="A5165" s="29">
        <v>499952.0</v>
      </c>
      <c r="B5165" s="29" t="s">
        <v>4555</v>
      </c>
      <c r="C5165" s="29" t="s">
        <v>4891</v>
      </c>
      <c r="D5165" s="29" t="s">
        <v>5247</v>
      </c>
      <c r="E5165" s="29" t="s">
        <v>5248</v>
      </c>
      <c r="F5165" s="29" t="s">
        <v>5249</v>
      </c>
      <c r="G5165" s="20" t="str">
        <f t="shared" si="1"/>
        <v>Sporting Goods, Outdoor Recreation, Winter Sports &amp; Activities, Avalanche SafetyAvalanche Probes</v>
      </c>
    </row>
    <row r="5166">
      <c r="A5166" s="29">
        <v>499877.0</v>
      </c>
      <c r="B5166" s="29" t="s">
        <v>4555</v>
      </c>
      <c r="C5166" s="29" t="s">
        <v>4891</v>
      </c>
      <c r="D5166" s="29" t="s">
        <v>5247</v>
      </c>
      <c r="E5166" s="29" t="s">
        <v>5248</v>
      </c>
      <c r="F5166" s="29" t="s">
        <v>5250</v>
      </c>
      <c r="G5166" s="20" t="str">
        <f t="shared" si="1"/>
        <v>Sporting Goods, Outdoor Recreation, Winter Sports &amp; Activities, Avalanche SafetyAvalanche Safety Airbags</v>
      </c>
    </row>
    <row r="5167">
      <c r="A5167" s="29">
        <v>499845.0</v>
      </c>
      <c r="B5167" s="29" t="s">
        <v>4555</v>
      </c>
      <c r="C5167" s="29" t="s">
        <v>4891</v>
      </c>
      <c r="D5167" s="29" t="s">
        <v>5247</v>
      </c>
      <c r="E5167" s="29" t="s">
        <v>5251</v>
      </c>
      <c r="F5167" s="62"/>
      <c r="G5167" s="20" t="str">
        <f t="shared" si="1"/>
        <v>Sporting Goods, Outdoor Recreation, Winter Sports &amp; Activities, Skiing &amp; Snowboarding</v>
      </c>
    </row>
    <row r="5168">
      <c r="A5168" s="29">
        <v>7224.0</v>
      </c>
      <c r="B5168" s="29" t="s">
        <v>4555</v>
      </c>
      <c r="C5168" s="29" t="s">
        <v>4891</v>
      </c>
      <c r="D5168" s="29" t="s">
        <v>5247</v>
      </c>
      <c r="E5168" s="29" t="s">
        <v>5251</v>
      </c>
      <c r="F5168" s="29" t="s">
        <v>5252</v>
      </c>
      <c r="G5168" s="20" t="str">
        <f t="shared" si="1"/>
        <v>Sporting Goods, Outdoor Recreation, Winter Sports &amp; Activities, Skiing &amp; SnowboardingSki &amp; Snowboard Bags</v>
      </c>
    </row>
    <row r="5169">
      <c r="A5169" s="29">
        <v>8203.0</v>
      </c>
      <c r="B5169" s="29" t="s">
        <v>4555</v>
      </c>
      <c r="C5169" s="29" t="s">
        <v>4891</v>
      </c>
      <c r="D5169" s="29" t="s">
        <v>5247</v>
      </c>
      <c r="E5169" s="29" t="s">
        <v>5251</v>
      </c>
      <c r="F5169" s="29" t="s">
        <v>5253</v>
      </c>
      <c r="G5169" s="20" t="str">
        <f t="shared" si="1"/>
        <v>Sporting Goods, Outdoor Recreation, Winter Sports &amp; Activities, Skiing &amp; SnowboardingSki &amp; Snowboard Goggle Accessories</v>
      </c>
    </row>
    <row r="5170">
      <c r="A5170" s="29">
        <v>5050.0</v>
      </c>
      <c r="B5170" s="29" t="s">
        <v>4555</v>
      </c>
      <c r="C5170" s="29" t="s">
        <v>4891</v>
      </c>
      <c r="D5170" s="29" t="s">
        <v>5247</v>
      </c>
      <c r="E5170" s="29" t="s">
        <v>5251</v>
      </c>
      <c r="F5170" s="29" t="s">
        <v>5253</v>
      </c>
      <c r="G5170" s="20" t="str">
        <f t="shared" si="1"/>
        <v>Sporting Goods, Outdoor Recreation, Winter Sports &amp; Activities, Skiing &amp; SnowboardingSki &amp; Snowboard Goggle Accessories</v>
      </c>
    </row>
    <row r="5171">
      <c r="A5171" s="29">
        <v>3550.0</v>
      </c>
      <c r="B5171" s="29" t="s">
        <v>4555</v>
      </c>
      <c r="C5171" s="29" t="s">
        <v>4891</v>
      </c>
      <c r="D5171" s="29" t="s">
        <v>5247</v>
      </c>
      <c r="E5171" s="29" t="s">
        <v>5251</v>
      </c>
      <c r="F5171" s="29" t="s">
        <v>5254</v>
      </c>
      <c r="G5171" s="20" t="str">
        <f t="shared" si="1"/>
        <v>Sporting Goods, Outdoor Recreation, Winter Sports &amp; Activities, Skiing &amp; SnowboardingSki &amp; Snowboard Goggles</v>
      </c>
    </row>
    <row r="5172">
      <c r="A5172" s="29">
        <v>1161.0</v>
      </c>
      <c r="B5172" s="29" t="s">
        <v>4555</v>
      </c>
      <c r="C5172" s="29" t="s">
        <v>4891</v>
      </c>
      <c r="D5172" s="29" t="s">
        <v>5247</v>
      </c>
      <c r="E5172" s="29" t="s">
        <v>5251</v>
      </c>
      <c r="F5172" s="29" t="s">
        <v>5255</v>
      </c>
      <c r="G5172" s="20" t="str">
        <f t="shared" si="1"/>
        <v>Sporting Goods, Outdoor Recreation, Winter Sports &amp; Activities, Skiing &amp; SnowboardingSki &amp; Snowboard Helmets</v>
      </c>
    </row>
    <row r="5173">
      <c r="A5173" s="29">
        <v>499681.0</v>
      </c>
      <c r="B5173" s="29" t="s">
        <v>4555</v>
      </c>
      <c r="C5173" s="29" t="s">
        <v>4891</v>
      </c>
      <c r="D5173" s="29" t="s">
        <v>5247</v>
      </c>
      <c r="E5173" s="29" t="s">
        <v>5251</v>
      </c>
      <c r="F5173" s="29" t="s">
        <v>5256</v>
      </c>
      <c r="G5173" s="20" t="str">
        <f t="shared" si="1"/>
        <v>Sporting Goods, Outdoor Recreation, Winter Sports &amp; Activities, Skiing &amp; SnowboardingSki &amp; Snowboard Leashes</v>
      </c>
    </row>
    <row r="5174">
      <c r="A5174" s="29">
        <v>7558.0</v>
      </c>
      <c r="B5174" s="29" t="s">
        <v>4555</v>
      </c>
      <c r="C5174" s="29" t="s">
        <v>4891</v>
      </c>
      <c r="D5174" s="29" t="s">
        <v>5247</v>
      </c>
      <c r="E5174" s="29" t="s">
        <v>5251</v>
      </c>
      <c r="F5174" s="29" t="s">
        <v>5257</v>
      </c>
      <c r="G5174" s="20" t="str">
        <f t="shared" si="1"/>
        <v>Sporting Goods, Outdoor Recreation, Winter Sports &amp; Activities, Skiing &amp; SnowboardingSki &amp; Snowboard Storage Racks</v>
      </c>
    </row>
    <row r="5175">
      <c r="A5175" s="29">
        <v>505772.0</v>
      </c>
      <c r="B5175" s="29" t="s">
        <v>4555</v>
      </c>
      <c r="C5175" s="29" t="s">
        <v>4891</v>
      </c>
      <c r="D5175" s="29" t="s">
        <v>5247</v>
      </c>
      <c r="E5175" s="29" t="s">
        <v>5251</v>
      </c>
      <c r="F5175" s="29" t="s">
        <v>5258</v>
      </c>
      <c r="G5175" s="20" t="str">
        <f t="shared" si="1"/>
        <v>Sporting Goods, Outdoor Recreation, Winter Sports &amp; Activities, Skiing &amp; SnowboardingSki &amp; Snowboard Tuning Tools</v>
      </c>
    </row>
    <row r="5176">
      <c r="A5176" s="29">
        <v>8074.0</v>
      </c>
      <c r="B5176" s="29" t="s">
        <v>4555</v>
      </c>
      <c r="C5176" s="29" t="s">
        <v>4891</v>
      </c>
      <c r="D5176" s="29" t="s">
        <v>5247</v>
      </c>
      <c r="E5176" s="29" t="s">
        <v>5251</v>
      </c>
      <c r="F5176" s="29" t="s">
        <v>5259</v>
      </c>
      <c r="G5176" s="20" t="str">
        <f t="shared" si="1"/>
        <v>Sporting Goods, Outdoor Recreation, Winter Sports &amp; Activities, Skiing &amp; SnowboardingSki &amp; Snowboard Wax</v>
      </c>
    </row>
    <row r="5177">
      <c r="A5177" s="29">
        <v>505296.0</v>
      </c>
      <c r="B5177" s="29" t="s">
        <v>4555</v>
      </c>
      <c r="C5177" s="29" t="s">
        <v>4891</v>
      </c>
      <c r="D5177" s="29" t="s">
        <v>5247</v>
      </c>
      <c r="E5177" s="29" t="s">
        <v>5251</v>
      </c>
      <c r="F5177" s="29" t="s">
        <v>5260</v>
      </c>
      <c r="G5177" s="20" t="str">
        <f t="shared" si="1"/>
        <v>Sporting Goods, Outdoor Recreation, Winter Sports &amp; Activities, Skiing &amp; SnowboardingSki Binding Parts</v>
      </c>
    </row>
    <row r="5178">
      <c r="A5178" s="29">
        <v>6063.0</v>
      </c>
      <c r="B5178" s="29" t="s">
        <v>4555</v>
      </c>
      <c r="C5178" s="29" t="s">
        <v>4891</v>
      </c>
      <c r="D5178" s="29" t="s">
        <v>5247</v>
      </c>
      <c r="E5178" s="29" t="s">
        <v>5251</v>
      </c>
      <c r="F5178" s="29" t="s">
        <v>5261</v>
      </c>
      <c r="G5178" s="20" t="str">
        <f t="shared" si="1"/>
        <v>Sporting Goods, Outdoor Recreation, Winter Sports &amp; Activities, Skiing &amp; SnowboardingSki Bindings</v>
      </c>
    </row>
    <row r="5179">
      <c r="A5179" s="29">
        <v>6062.0</v>
      </c>
      <c r="B5179" s="29" t="s">
        <v>4555</v>
      </c>
      <c r="C5179" s="29" t="s">
        <v>4891</v>
      </c>
      <c r="D5179" s="29" t="s">
        <v>5247</v>
      </c>
      <c r="E5179" s="29" t="s">
        <v>5251</v>
      </c>
      <c r="F5179" s="29" t="s">
        <v>5262</v>
      </c>
      <c r="G5179" s="20" t="str">
        <f t="shared" si="1"/>
        <v>Sporting Goods, Outdoor Recreation, Winter Sports &amp; Activities, Skiing &amp; SnowboardingSki Boots</v>
      </c>
    </row>
    <row r="5180">
      <c r="A5180" s="29">
        <v>1157.0</v>
      </c>
      <c r="B5180" s="29" t="s">
        <v>4555</v>
      </c>
      <c r="C5180" s="29" t="s">
        <v>4891</v>
      </c>
      <c r="D5180" s="29" t="s">
        <v>5247</v>
      </c>
      <c r="E5180" s="29" t="s">
        <v>5251</v>
      </c>
      <c r="F5180" s="29" t="s">
        <v>5263</v>
      </c>
      <c r="G5180" s="20" t="str">
        <f t="shared" si="1"/>
        <v>Sporting Goods, Outdoor Recreation, Winter Sports &amp; Activities, Skiing &amp; SnowboardingSki Poles</v>
      </c>
    </row>
    <row r="5181">
      <c r="A5181" s="29">
        <v>6064.0</v>
      </c>
      <c r="B5181" s="29" t="s">
        <v>4555</v>
      </c>
      <c r="C5181" s="29" t="s">
        <v>4891</v>
      </c>
      <c r="D5181" s="29" t="s">
        <v>5247</v>
      </c>
      <c r="E5181" s="29" t="s">
        <v>5251</v>
      </c>
      <c r="F5181" s="29" t="s">
        <v>5264</v>
      </c>
      <c r="G5181" s="20" t="str">
        <f t="shared" si="1"/>
        <v>Sporting Goods, Outdoor Recreation, Winter Sports &amp; Activities, Skiing &amp; SnowboardingSkis</v>
      </c>
    </row>
    <row r="5182">
      <c r="A5182" s="29">
        <v>3331.0</v>
      </c>
      <c r="B5182" s="29" t="s">
        <v>4555</v>
      </c>
      <c r="C5182" s="29" t="s">
        <v>4891</v>
      </c>
      <c r="D5182" s="29" t="s">
        <v>5247</v>
      </c>
      <c r="E5182" s="29" t="s">
        <v>5251</v>
      </c>
      <c r="F5182" s="29" t="s">
        <v>5264</v>
      </c>
      <c r="G5182" s="20" t="str">
        <f t="shared" si="1"/>
        <v>Sporting Goods, Outdoor Recreation, Winter Sports &amp; Activities, Skiing &amp; SnowboardingSkis</v>
      </c>
    </row>
    <row r="5183">
      <c r="A5183" s="29">
        <v>1158.0</v>
      </c>
      <c r="B5183" s="29" t="s">
        <v>4555</v>
      </c>
      <c r="C5183" s="29" t="s">
        <v>4891</v>
      </c>
      <c r="D5183" s="29" t="s">
        <v>5247</v>
      </c>
      <c r="E5183" s="29" t="s">
        <v>5251</v>
      </c>
      <c r="F5183" s="29" t="s">
        <v>5264</v>
      </c>
      <c r="G5183" s="20" t="str">
        <f t="shared" si="1"/>
        <v>Sporting Goods, Outdoor Recreation, Winter Sports &amp; Activities, Skiing &amp; SnowboardingSkis</v>
      </c>
    </row>
    <row r="5184">
      <c r="A5184" s="29">
        <v>5088.0</v>
      </c>
      <c r="B5184" s="29" t="s">
        <v>4555</v>
      </c>
      <c r="C5184" s="29" t="s">
        <v>4891</v>
      </c>
      <c r="D5184" s="29" t="s">
        <v>5247</v>
      </c>
      <c r="E5184" s="29" t="s">
        <v>5251</v>
      </c>
      <c r="F5184" s="29" t="s">
        <v>5265</v>
      </c>
      <c r="G5184" s="20" t="str">
        <f t="shared" si="1"/>
        <v>Sporting Goods, Outdoor Recreation, Winter Sports &amp; Activities, Skiing &amp; SnowboardingSnowboard Binding Parts</v>
      </c>
    </row>
    <row r="5185">
      <c r="A5185" s="29">
        <v>1162.0</v>
      </c>
      <c r="B5185" s="29" t="s">
        <v>4555</v>
      </c>
      <c r="C5185" s="29" t="s">
        <v>4891</v>
      </c>
      <c r="D5185" s="29" t="s">
        <v>5247</v>
      </c>
      <c r="E5185" s="29" t="s">
        <v>5251</v>
      </c>
      <c r="F5185" s="29" t="s">
        <v>5266</v>
      </c>
      <c r="G5185" s="20" t="str">
        <f t="shared" si="1"/>
        <v>Sporting Goods, Outdoor Recreation, Winter Sports &amp; Activities, Skiing &amp; SnowboardingSnowboard Bindings</v>
      </c>
    </row>
    <row r="5186">
      <c r="A5186" s="29">
        <v>1163.0</v>
      </c>
      <c r="B5186" s="29" t="s">
        <v>4555</v>
      </c>
      <c r="C5186" s="29" t="s">
        <v>4891</v>
      </c>
      <c r="D5186" s="29" t="s">
        <v>5247</v>
      </c>
      <c r="E5186" s="29" t="s">
        <v>5251</v>
      </c>
      <c r="F5186" s="29" t="s">
        <v>5267</v>
      </c>
      <c r="G5186" s="20" t="str">
        <f t="shared" si="1"/>
        <v>Sporting Goods, Outdoor Recreation, Winter Sports &amp; Activities, Skiing &amp; SnowboardingSnowboard Boots</v>
      </c>
    </row>
    <row r="5187">
      <c r="A5187" s="29">
        <v>1164.0</v>
      </c>
      <c r="B5187" s="29" t="s">
        <v>4555</v>
      </c>
      <c r="C5187" s="29" t="s">
        <v>4891</v>
      </c>
      <c r="D5187" s="29" t="s">
        <v>5247</v>
      </c>
      <c r="E5187" s="29" t="s">
        <v>5251</v>
      </c>
      <c r="F5187" s="29" t="s">
        <v>5268</v>
      </c>
      <c r="G5187" s="20" t="str">
        <f t="shared" si="1"/>
        <v>Sporting Goods, Outdoor Recreation, Winter Sports &amp; Activities, Skiing &amp; SnowboardingSnowboards</v>
      </c>
    </row>
    <row r="5188">
      <c r="A5188" s="29">
        <v>7539.0</v>
      </c>
      <c r="B5188" s="29" t="s">
        <v>4555</v>
      </c>
      <c r="C5188" s="29" t="s">
        <v>4891</v>
      </c>
      <c r="D5188" s="29" t="s">
        <v>5247</v>
      </c>
      <c r="E5188" s="29" t="s">
        <v>5269</v>
      </c>
      <c r="F5188" s="62"/>
      <c r="G5188" s="20" t="str">
        <f t="shared" si="1"/>
        <v>Sporting Goods, Outdoor Recreation, Winter Sports &amp; Activities, Sleds</v>
      </c>
    </row>
    <row r="5189">
      <c r="A5189" s="29">
        <v>1166.0</v>
      </c>
      <c r="B5189" s="29" t="s">
        <v>4555</v>
      </c>
      <c r="C5189" s="29" t="s">
        <v>4891</v>
      </c>
      <c r="D5189" s="29" t="s">
        <v>5247</v>
      </c>
      <c r="E5189" s="29" t="s">
        <v>5270</v>
      </c>
      <c r="F5189" s="62"/>
      <c r="G5189" s="20" t="str">
        <f t="shared" si="1"/>
        <v>Sporting Goods, Outdoor Recreation, Winter Sports &amp; Activities, Snowshoeing</v>
      </c>
    </row>
    <row r="5190">
      <c r="A5190" s="29">
        <v>3073.0</v>
      </c>
      <c r="B5190" s="29" t="s">
        <v>4555</v>
      </c>
      <c r="C5190" s="29" t="s">
        <v>4891</v>
      </c>
      <c r="D5190" s="29" t="s">
        <v>5247</v>
      </c>
      <c r="E5190" s="29" t="s">
        <v>5270</v>
      </c>
      <c r="F5190" s="29" t="s">
        <v>5271</v>
      </c>
      <c r="G5190" s="20" t="str">
        <f t="shared" si="1"/>
        <v>Sporting Goods, Outdoor Recreation, Winter Sports &amp; Activities, SnowshoeingSnowshoe Bindings</v>
      </c>
    </row>
    <row r="5191">
      <c r="A5191" s="29">
        <v>3064.0</v>
      </c>
      <c r="B5191" s="29" t="s">
        <v>4555</v>
      </c>
      <c r="C5191" s="29" t="s">
        <v>4891</v>
      </c>
      <c r="D5191" s="29" t="s">
        <v>5247</v>
      </c>
      <c r="E5191" s="29" t="s">
        <v>5270</v>
      </c>
      <c r="F5191" s="29" t="s">
        <v>5272</v>
      </c>
      <c r="G5191" s="20" t="str">
        <f t="shared" si="1"/>
        <v>Sporting Goods, Outdoor Recreation, Winter Sports &amp; Activities, SnowshoeingSnowshoes</v>
      </c>
    </row>
    <row r="5192">
      <c r="A5192" s="29">
        <v>1239.0</v>
      </c>
      <c r="B5192" s="29" t="s">
        <v>118</v>
      </c>
      <c r="C5192" s="62"/>
      <c r="D5192" s="62"/>
      <c r="E5192" s="62"/>
      <c r="F5192" s="62"/>
      <c r="G5192" s="20" t="str">
        <f t="shared" si="1"/>
        <v>Toys &amp; Games, , , </v>
      </c>
    </row>
    <row r="5193">
      <c r="A5193" s="29">
        <v>4648.0</v>
      </c>
      <c r="B5193" s="29" t="s">
        <v>118</v>
      </c>
      <c r="C5193" s="29" t="s">
        <v>5273</v>
      </c>
      <c r="D5193" s="62"/>
      <c r="E5193" s="62"/>
      <c r="F5193" s="62"/>
      <c r="G5193" s="20" t="str">
        <f t="shared" si="1"/>
        <v>Toys &amp; Games, Game Timers, , </v>
      </c>
    </row>
    <row r="5194">
      <c r="A5194" s="29">
        <v>3793.0</v>
      </c>
      <c r="B5194" s="29" t="s">
        <v>118</v>
      </c>
      <c r="C5194" s="29" t="s">
        <v>5274</v>
      </c>
      <c r="D5194" s="62"/>
      <c r="E5194" s="62"/>
      <c r="F5194" s="62"/>
      <c r="G5194" s="20" t="str">
        <f t="shared" si="1"/>
        <v>Toys &amp; Games, Games, , </v>
      </c>
    </row>
    <row r="5195">
      <c r="A5195" s="29">
        <v>6794.0</v>
      </c>
      <c r="B5195" s="29" t="s">
        <v>118</v>
      </c>
      <c r="C5195" s="29" t="s">
        <v>5274</v>
      </c>
      <c r="D5195" s="29" t="s">
        <v>5275</v>
      </c>
      <c r="E5195" s="62"/>
      <c r="F5195" s="62"/>
      <c r="G5195" s="20" t="str">
        <f t="shared" si="1"/>
        <v>Toys &amp; Games, Games, Battle Top Accessories, </v>
      </c>
    </row>
    <row r="5196">
      <c r="A5196" s="29">
        <v>6329.0</v>
      </c>
      <c r="B5196" s="29" t="s">
        <v>118</v>
      </c>
      <c r="C5196" s="29" t="s">
        <v>5274</v>
      </c>
      <c r="D5196" s="29" t="s">
        <v>5276</v>
      </c>
      <c r="E5196" s="62"/>
      <c r="F5196" s="62"/>
      <c r="G5196" s="20" t="str">
        <f t="shared" si="1"/>
        <v>Toys &amp; Games, Games, Battle Tops, </v>
      </c>
    </row>
    <row r="5197">
      <c r="A5197" s="29">
        <v>3749.0</v>
      </c>
      <c r="B5197" s="29" t="s">
        <v>118</v>
      </c>
      <c r="C5197" s="29" t="s">
        <v>5274</v>
      </c>
      <c r="D5197" s="29" t="s">
        <v>5277</v>
      </c>
      <c r="E5197" s="62"/>
      <c r="F5197" s="62"/>
      <c r="G5197" s="20" t="str">
        <f t="shared" si="1"/>
        <v>Toys &amp; Games, Games, Bingo Sets, </v>
      </c>
    </row>
    <row r="5198">
      <c r="A5198" s="29">
        <v>7411.0</v>
      </c>
      <c r="B5198" s="29" t="s">
        <v>118</v>
      </c>
      <c r="C5198" s="29" t="s">
        <v>5274</v>
      </c>
      <c r="D5198" s="29" t="s">
        <v>5278</v>
      </c>
      <c r="E5198" s="62"/>
      <c r="F5198" s="62"/>
      <c r="G5198" s="20" t="str">
        <f t="shared" si="1"/>
        <v>Toys &amp; Games, Games, Blackjack &amp; Craps Sets, </v>
      </c>
    </row>
    <row r="5199">
      <c r="A5199" s="29">
        <v>1246.0</v>
      </c>
      <c r="B5199" s="29" t="s">
        <v>118</v>
      </c>
      <c r="C5199" s="29" t="s">
        <v>5274</v>
      </c>
      <c r="D5199" s="29" t="s">
        <v>5279</v>
      </c>
      <c r="E5199" s="62"/>
      <c r="F5199" s="62"/>
      <c r="G5199" s="20" t="str">
        <f t="shared" si="1"/>
        <v>Toys &amp; Games, Games, Board Games, </v>
      </c>
    </row>
    <row r="5200">
      <c r="A5200" s="29">
        <v>6853.0</v>
      </c>
      <c r="B5200" s="29" t="s">
        <v>118</v>
      </c>
      <c r="C5200" s="29" t="s">
        <v>5274</v>
      </c>
      <c r="D5200" s="29" t="s">
        <v>5280</v>
      </c>
      <c r="E5200" s="62"/>
      <c r="F5200" s="62"/>
      <c r="G5200" s="20" t="str">
        <f t="shared" si="1"/>
        <v>Toys &amp; Games, Games, Card Game Accessories, </v>
      </c>
    </row>
    <row r="5201">
      <c r="A5201" s="29">
        <v>1247.0</v>
      </c>
      <c r="B5201" s="29" t="s">
        <v>118</v>
      </c>
      <c r="C5201" s="29" t="s">
        <v>5274</v>
      </c>
      <c r="D5201" s="29" t="s">
        <v>5281</v>
      </c>
      <c r="E5201" s="62"/>
      <c r="F5201" s="62"/>
      <c r="G5201" s="20" t="str">
        <f t="shared" si="1"/>
        <v>Toys &amp; Games, Games, Card Games, </v>
      </c>
    </row>
    <row r="5202">
      <c r="A5202" s="29">
        <v>6054.0</v>
      </c>
      <c r="B5202" s="29" t="s">
        <v>118</v>
      </c>
      <c r="C5202" s="29" t="s">
        <v>5274</v>
      </c>
      <c r="D5202" s="29" t="s">
        <v>5282</v>
      </c>
      <c r="E5202" s="62"/>
      <c r="F5202" s="62"/>
      <c r="G5202" s="20" t="str">
        <f t="shared" si="1"/>
        <v>Toys &amp; Games, Games, Dexterity Games, </v>
      </c>
    </row>
    <row r="5203">
      <c r="A5203" s="29">
        <v>6037.0</v>
      </c>
      <c r="B5203" s="29" t="s">
        <v>118</v>
      </c>
      <c r="C5203" s="29" t="s">
        <v>5274</v>
      </c>
      <c r="D5203" s="29" t="s">
        <v>5283</v>
      </c>
      <c r="E5203" s="62"/>
      <c r="F5203" s="62"/>
      <c r="G5203" s="20" t="str">
        <f t="shared" si="1"/>
        <v>Toys &amp; Games, Games, Dice Sets &amp; Games, </v>
      </c>
    </row>
    <row r="5204">
      <c r="A5204" s="29">
        <v>7383.0</v>
      </c>
      <c r="B5204" s="29" t="s">
        <v>118</v>
      </c>
      <c r="C5204" s="29" t="s">
        <v>5274</v>
      </c>
      <c r="D5204" s="29" t="s">
        <v>5284</v>
      </c>
      <c r="E5204" s="62"/>
      <c r="F5204" s="62"/>
      <c r="G5204" s="20" t="str">
        <f t="shared" si="1"/>
        <v>Toys &amp; Games, Games, Poker Chip Accessories, </v>
      </c>
    </row>
    <row r="5205">
      <c r="A5205" s="29">
        <v>7384.0</v>
      </c>
      <c r="B5205" s="29" t="s">
        <v>118</v>
      </c>
      <c r="C5205" s="29" t="s">
        <v>5274</v>
      </c>
      <c r="D5205" s="29" t="s">
        <v>5284</v>
      </c>
      <c r="E5205" s="29" t="s">
        <v>5285</v>
      </c>
      <c r="F5205" s="62"/>
      <c r="G5205" s="20" t="str">
        <f t="shared" si="1"/>
        <v>Toys &amp; Games, Games, Poker Chip Accessories, Poker Chip Carriers &amp; Trays</v>
      </c>
    </row>
    <row r="5206">
      <c r="A5206" s="29">
        <v>5403.0</v>
      </c>
      <c r="B5206" s="29" t="s">
        <v>118</v>
      </c>
      <c r="C5206" s="29" t="s">
        <v>5274</v>
      </c>
      <c r="D5206" s="29" t="s">
        <v>5286</v>
      </c>
      <c r="E5206" s="62"/>
      <c r="F5206" s="62"/>
      <c r="G5206" s="20" t="str">
        <f t="shared" si="1"/>
        <v>Toys &amp; Games, Games, Poker Chips &amp; Sets, </v>
      </c>
    </row>
    <row r="5207">
      <c r="A5207" s="29">
        <v>4554.0</v>
      </c>
      <c r="B5207" s="29" t="s">
        <v>118</v>
      </c>
      <c r="C5207" s="29" t="s">
        <v>5274</v>
      </c>
      <c r="D5207" s="29" t="s">
        <v>5287</v>
      </c>
      <c r="F5207" s="62"/>
      <c r="G5207" s="20" t="str">
        <f t="shared" si="1"/>
        <v>Toys &amp; Games, Games, Portable Electronic Games, </v>
      </c>
    </row>
    <row r="5208">
      <c r="A5208" s="29">
        <v>7412.0</v>
      </c>
      <c r="B5208" s="29" t="s">
        <v>118</v>
      </c>
      <c r="C5208" s="29" t="s">
        <v>5274</v>
      </c>
      <c r="D5208" s="29" t="s">
        <v>5288</v>
      </c>
      <c r="E5208" s="62"/>
      <c r="F5208" s="62"/>
      <c r="G5208" s="20" t="str">
        <f t="shared" si="1"/>
        <v>Toys &amp; Games, Games, Roulette Wheels &amp; Sets, </v>
      </c>
    </row>
    <row r="5209">
      <c r="A5209" s="29">
        <v>8472.0</v>
      </c>
      <c r="B5209" s="29" t="s">
        <v>118</v>
      </c>
      <c r="C5209" s="29" t="s">
        <v>5274</v>
      </c>
      <c r="D5209" s="29" t="s">
        <v>5289</v>
      </c>
      <c r="E5209" s="62"/>
      <c r="F5209" s="62"/>
      <c r="G5209" s="20" t="str">
        <f t="shared" si="1"/>
        <v>Toys &amp; Games, Games, Slot Machines, </v>
      </c>
    </row>
    <row r="5210">
      <c r="A5210" s="29">
        <v>6038.0</v>
      </c>
      <c r="B5210" s="29" t="s">
        <v>118</v>
      </c>
      <c r="C5210" s="29" t="s">
        <v>5274</v>
      </c>
      <c r="D5210" s="29" t="s">
        <v>5290</v>
      </c>
      <c r="E5210" s="62"/>
      <c r="F5210" s="62"/>
      <c r="G5210" s="20" t="str">
        <f t="shared" si="1"/>
        <v>Toys &amp; Games, Games, Tile Games, </v>
      </c>
    </row>
    <row r="5211">
      <c r="A5211" s="29">
        <v>1249.0</v>
      </c>
      <c r="B5211" s="29" t="s">
        <v>118</v>
      </c>
      <c r="C5211" s="29" t="s">
        <v>5291</v>
      </c>
      <c r="D5211" s="62"/>
      <c r="E5211" s="62"/>
      <c r="F5211" s="62"/>
      <c r="G5211" s="20" t="str">
        <f t="shared" si="1"/>
        <v>Toys &amp; Games, Outdoor Play Equipment, , </v>
      </c>
    </row>
    <row r="5212">
      <c r="A5212" s="29">
        <v>7219.0</v>
      </c>
      <c r="B5212" s="29" t="s">
        <v>118</v>
      </c>
      <c r="C5212" s="29" t="s">
        <v>5291</v>
      </c>
      <c r="D5212" s="29" t="s">
        <v>5292</v>
      </c>
      <c r="F5212" s="62"/>
      <c r="G5212" s="20" t="str">
        <f t="shared" si="1"/>
        <v>Toys &amp; Games, Outdoor Play Equipment, Inflatable Bouncer Accessories, </v>
      </c>
    </row>
    <row r="5213">
      <c r="A5213" s="29">
        <v>6396.0</v>
      </c>
      <c r="B5213" s="29" t="s">
        <v>118</v>
      </c>
      <c r="C5213" s="29" t="s">
        <v>5291</v>
      </c>
      <c r="D5213" s="29" t="s">
        <v>5293</v>
      </c>
      <c r="E5213" s="62"/>
      <c r="F5213" s="62"/>
      <c r="G5213" s="20" t="str">
        <f t="shared" si="1"/>
        <v>Toys &amp; Games, Outdoor Play Equipment, Inflatable Bouncers, </v>
      </c>
    </row>
    <row r="5214">
      <c r="A5214" s="29">
        <v>6270.0</v>
      </c>
      <c r="B5214" s="29" t="s">
        <v>118</v>
      </c>
      <c r="C5214" s="29" t="s">
        <v>5291</v>
      </c>
      <c r="D5214" s="29" t="s">
        <v>5294</v>
      </c>
      <c r="E5214" s="62"/>
      <c r="F5214" s="62"/>
      <c r="G5214" s="20" t="str">
        <f t="shared" si="1"/>
        <v>Toys &amp; Games, Outdoor Play Equipment, Play Swings, </v>
      </c>
    </row>
    <row r="5215">
      <c r="A5215" s="29">
        <v>6397.0</v>
      </c>
      <c r="B5215" s="29" t="s">
        <v>118</v>
      </c>
      <c r="C5215" s="29" t="s">
        <v>5291</v>
      </c>
      <c r="D5215" s="29" t="s">
        <v>5295</v>
      </c>
      <c r="E5215" s="62"/>
      <c r="F5215" s="62"/>
      <c r="G5215" s="20" t="str">
        <f t="shared" si="1"/>
        <v>Toys &amp; Games, Outdoor Play Equipment, Play Tents &amp; Tunnels, </v>
      </c>
    </row>
    <row r="5216">
      <c r="A5216" s="29">
        <v>1251.0</v>
      </c>
      <c r="B5216" s="29" t="s">
        <v>118</v>
      </c>
      <c r="C5216" s="29" t="s">
        <v>5291</v>
      </c>
      <c r="D5216" s="29" t="s">
        <v>5296</v>
      </c>
      <c r="E5216" s="62"/>
      <c r="F5216" s="62"/>
      <c r="G5216" s="20" t="str">
        <f t="shared" si="1"/>
        <v>Toys &amp; Games, Outdoor Play Equipment, Playhouses, </v>
      </c>
    </row>
    <row r="5217">
      <c r="A5217" s="29">
        <v>1863.0</v>
      </c>
      <c r="B5217" s="29" t="s">
        <v>118</v>
      </c>
      <c r="C5217" s="29" t="s">
        <v>5291</v>
      </c>
      <c r="D5217" s="29" t="s">
        <v>5297</v>
      </c>
      <c r="E5217" s="62"/>
      <c r="F5217" s="62"/>
      <c r="G5217" s="20" t="str">
        <f t="shared" si="1"/>
        <v>Toys &amp; Games, Outdoor Play Equipment, Pogo Sticks, </v>
      </c>
    </row>
    <row r="5218">
      <c r="A5218" s="29">
        <v>2743.0</v>
      </c>
      <c r="B5218" s="29" t="s">
        <v>118</v>
      </c>
      <c r="C5218" s="29" t="s">
        <v>5291</v>
      </c>
      <c r="D5218" s="29" t="s">
        <v>5298</v>
      </c>
      <c r="E5218" s="62"/>
      <c r="F5218" s="62"/>
      <c r="G5218" s="20" t="str">
        <f t="shared" si="1"/>
        <v>Toys &amp; Games, Outdoor Play Equipment, Sandboxes, </v>
      </c>
    </row>
    <row r="5219">
      <c r="A5219" s="29">
        <v>6450.0</v>
      </c>
      <c r="B5219" s="29" t="s">
        <v>118</v>
      </c>
      <c r="C5219" s="29" t="s">
        <v>5291</v>
      </c>
      <c r="D5219" s="29" t="s">
        <v>5299</v>
      </c>
      <c r="E5219" s="62"/>
      <c r="F5219" s="62"/>
      <c r="G5219" s="20" t="str">
        <f t="shared" si="1"/>
        <v>Toys &amp; Games, Outdoor Play Equipment, See Saws, </v>
      </c>
    </row>
    <row r="5220">
      <c r="A5220" s="29">
        <v>2867.0</v>
      </c>
      <c r="B5220" s="29" t="s">
        <v>118</v>
      </c>
      <c r="C5220" s="29" t="s">
        <v>5291</v>
      </c>
      <c r="D5220" s="29" t="s">
        <v>5300</v>
      </c>
      <c r="E5220" s="62"/>
      <c r="F5220" s="62"/>
      <c r="G5220" s="20" t="str">
        <f t="shared" si="1"/>
        <v>Toys &amp; Games, Outdoor Play Equipment, Slides, </v>
      </c>
    </row>
    <row r="5221">
      <c r="A5221" s="29">
        <v>3948.0</v>
      </c>
      <c r="B5221" s="29" t="s">
        <v>118</v>
      </c>
      <c r="C5221" s="29" t="s">
        <v>5291</v>
      </c>
      <c r="D5221" s="29" t="s">
        <v>5301</v>
      </c>
      <c r="E5221" s="62"/>
      <c r="F5221" s="62"/>
      <c r="G5221" s="20" t="str">
        <f t="shared" si="1"/>
        <v>Toys &amp; Games, Outdoor Play Equipment, Stilts, </v>
      </c>
    </row>
    <row r="5222">
      <c r="A5222" s="29">
        <v>6269.0</v>
      </c>
      <c r="B5222" s="29" t="s">
        <v>118</v>
      </c>
      <c r="C5222" s="29" t="s">
        <v>5291</v>
      </c>
      <c r="D5222" s="29" t="s">
        <v>5302</v>
      </c>
      <c r="F5222" s="62"/>
      <c r="G5222" s="20" t="str">
        <f t="shared" si="1"/>
        <v>Toys &amp; Games, Outdoor Play Equipment, Swing Set &amp; Playset Accessories, </v>
      </c>
    </row>
    <row r="5223">
      <c r="A5223" s="29">
        <v>6271.0</v>
      </c>
      <c r="B5223" s="29" t="s">
        <v>118</v>
      </c>
      <c r="C5223" s="29" t="s">
        <v>5291</v>
      </c>
      <c r="D5223" s="29" t="s">
        <v>5303</v>
      </c>
      <c r="E5223" s="62"/>
      <c r="F5223" s="62"/>
      <c r="G5223" s="20" t="str">
        <f t="shared" si="1"/>
        <v>Toys &amp; Games, Outdoor Play Equipment, Swing Sets &amp; Playsets, </v>
      </c>
    </row>
    <row r="5224">
      <c r="A5224" s="29">
        <v>5524.0</v>
      </c>
      <c r="B5224" s="29" t="s">
        <v>118</v>
      </c>
      <c r="C5224" s="29" t="s">
        <v>5291</v>
      </c>
      <c r="D5224" s="29" t="s">
        <v>5304</v>
      </c>
      <c r="E5224" s="62"/>
      <c r="F5224" s="62"/>
      <c r="G5224" s="20" t="str">
        <f t="shared" si="1"/>
        <v>Toys &amp; Games, Outdoor Play Equipment, Trampoline Accessories, </v>
      </c>
    </row>
    <row r="5225">
      <c r="A5225" s="29">
        <v>1738.0</v>
      </c>
      <c r="B5225" s="29" t="s">
        <v>118</v>
      </c>
      <c r="C5225" s="29" t="s">
        <v>5291</v>
      </c>
      <c r="D5225" s="29" t="s">
        <v>5305</v>
      </c>
      <c r="E5225" s="62"/>
      <c r="F5225" s="62"/>
      <c r="G5225" s="20" t="str">
        <f t="shared" si="1"/>
        <v>Toys &amp; Games, Outdoor Play Equipment, Trampolines, </v>
      </c>
    </row>
    <row r="5226">
      <c r="A5226" s="29">
        <v>6464.0</v>
      </c>
      <c r="B5226" s="29" t="s">
        <v>118</v>
      </c>
      <c r="C5226" s="29" t="s">
        <v>5291</v>
      </c>
      <c r="D5226" s="29" t="s">
        <v>5306</v>
      </c>
      <c r="E5226" s="62"/>
      <c r="F5226" s="62"/>
      <c r="G5226" s="20" t="str">
        <f t="shared" si="1"/>
        <v>Toys &amp; Games, Outdoor Play Equipment, Water Play Equipment, </v>
      </c>
    </row>
    <row r="5227">
      <c r="A5227" s="29">
        <v>6465.0</v>
      </c>
      <c r="B5227" s="29" t="s">
        <v>118</v>
      </c>
      <c r="C5227" s="29" t="s">
        <v>5291</v>
      </c>
      <c r="D5227" s="29" t="s">
        <v>5306</v>
      </c>
      <c r="E5227" s="29" t="s">
        <v>5307</v>
      </c>
      <c r="F5227" s="62"/>
      <c r="G5227" s="20" t="str">
        <f t="shared" si="1"/>
        <v>Toys &amp; Games, Outdoor Play Equipment, Water Play Equipment, Play Sprinkers</v>
      </c>
    </row>
    <row r="5228">
      <c r="A5228" s="29">
        <v>500095.0</v>
      </c>
      <c r="B5228" s="29" t="s">
        <v>118</v>
      </c>
      <c r="C5228" s="29" t="s">
        <v>5291</v>
      </c>
      <c r="D5228" s="29" t="s">
        <v>5306</v>
      </c>
      <c r="E5228" s="29" t="s">
        <v>5308</v>
      </c>
      <c r="F5228" s="62"/>
      <c r="G5228" s="20" t="str">
        <f t="shared" si="1"/>
        <v>Toys &amp; Games, Outdoor Play Equipment, Water Play Equipment, Water Parks &amp; Slides</v>
      </c>
    </row>
    <row r="5229">
      <c r="A5229" s="29">
        <v>3556.0</v>
      </c>
      <c r="B5229" s="29" t="s">
        <v>118</v>
      </c>
      <c r="C5229" s="29" t="s">
        <v>5291</v>
      </c>
      <c r="D5229" s="29" t="s">
        <v>5306</v>
      </c>
      <c r="E5229" s="29" t="s">
        <v>5309</v>
      </c>
      <c r="F5229" s="62"/>
      <c r="G5229" s="20" t="str">
        <f t="shared" si="1"/>
        <v>Toys &amp; Games, Outdoor Play Equipment, Water Play Equipment, Water Tables</v>
      </c>
    </row>
    <row r="5230">
      <c r="A5230" s="29">
        <v>3867.0</v>
      </c>
      <c r="B5230" s="29" t="s">
        <v>118</v>
      </c>
      <c r="C5230" s="29" t="s">
        <v>5310</v>
      </c>
      <c r="D5230" s="62"/>
      <c r="E5230" s="62"/>
      <c r="F5230" s="62"/>
      <c r="G5230" s="20" t="str">
        <f t="shared" si="1"/>
        <v>Toys &amp; Games, Puzzles, , </v>
      </c>
    </row>
    <row r="5231">
      <c r="A5231" s="29">
        <v>7081.0</v>
      </c>
      <c r="B5231" s="29" t="s">
        <v>118</v>
      </c>
      <c r="C5231" s="29" t="s">
        <v>5310</v>
      </c>
      <c r="D5231" s="29" t="s">
        <v>5311</v>
      </c>
      <c r="F5231" s="62"/>
      <c r="G5231" s="20" t="str">
        <f t="shared" si="1"/>
        <v>Toys &amp; Games, Puzzles, Jigsaw Puzzle Accessories, </v>
      </c>
    </row>
    <row r="5232">
      <c r="A5232" s="29">
        <v>2618.0</v>
      </c>
      <c r="B5232" s="29" t="s">
        <v>118</v>
      </c>
      <c r="C5232" s="29" t="s">
        <v>5310</v>
      </c>
      <c r="D5232" s="29" t="s">
        <v>5312</v>
      </c>
      <c r="E5232" s="62"/>
      <c r="F5232" s="62"/>
      <c r="G5232" s="20" t="str">
        <f t="shared" si="1"/>
        <v>Toys &amp; Games, Puzzles, Jigsaw Puzzles, </v>
      </c>
    </row>
    <row r="5233">
      <c r="A5233" s="29">
        <v>4011.0</v>
      </c>
      <c r="B5233" s="29" t="s">
        <v>118</v>
      </c>
      <c r="C5233" s="29" t="s">
        <v>5310</v>
      </c>
      <c r="D5233" s="29" t="s">
        <v>5313</v>
      </c>
      <c r="E5233" s="62"/>
      <c r="F5233" s="62"/>
      <c r="G5233" s="20" t="str">
        <f t="shared" si="1"/>
        <v>Toys &amp; Games, Puzzles, Mechanical Puzzles, </v>
      </c>
    </row>
    <row r="5234">
      <c r="A5234" s="29">
        <v>6725.0</v>
      </c>
      <c r="B5234" s="29" t="s">
        <v>118</v>
      </c>
      <c r="C5234" s="29" t="s">
        <v>5310</v>
      </c>
      <c r="D5234" s="29" t="s">
        <v>5314</v>
      </c>
      <c r="F5234" s="62"/>
      <c r="G5234" s="20" t="str">
        <f t="shared" si="1"/>
        <v>Toys &amp; Games, Puzzles, Wooden &amp; Pegged Puzzles, </v>
      </c>
    </row>
    <row r="5235">
      <c r="A5235" s="29">
        <v>1253.0</v>
      </c>
      <c r="B5235" s="29" t="s">
        <v>118</v>
      </c>
      <c r="C5235" s="29" t="s">
        <v>5315</v>
      </c>
      <c r="D5235" s="62"/>
      <c r="E5235" s="62"/>
      <c r="F5235" s="62"/>
      <c r="G5235" s="20" t="str">
        <f t="shared" si="1"/>
        <v>Toys &amp; Games, Toys, , </v>
      </c>
    </row>
    <row r="5236">
      <c r="A5236" s="29">
        <v>4352.0</v>
      </c>
      <c r="B5236" s="29" t="s">
        <v>118</v>
      </c>
      <c r="C5236" s="29" t="s">
        <v>5315</v>
      </c>
      <c r="D5236" s="29" t="s">
        <v>5316</v>
      </c>
      <c r="E5236" s="62"/>
      <c r="F5236" s="62"/>
      <c r="G5236" s="20" t="str">
        <f t="shared" si="1"/>
        <v>Toys &amp; Games, Toys, Activity Toys, </v>
      </c>
    </row>
    <row r="5237">
      <c r="A5237" s="29">
        <v>7519.0</v>
      </c>
      <c r="B5237" s="29" t="s">
        <v>118</v>
      </c>
      <c r="C5237" s="29" t="s">
        <v>5315</v>
      </c>
      <c r="D5237" s="29" t="s">
        <v>5316</v>
      </c>
      <c r="E5237" s="29" t="s">
        <v>5317</v>
      </c>
      <c r="F5237" s="62"/>
      <c r="G5237" s="20" t="str">
        <f t="shared" si="1"/>
        <v>Toys &amp; Games, Toys, Activity Toys, Ball &amp; Cup Games</v>
      </c>
    </row>
    <row r="5238">
      <c r="A5238" s="29">
        <v>3733.0</v>
      </c>
      <c r="B5238" s="29" t="s">
        <v>118</v>
      </c>
      <c r="C5238" s="29" t="s">
        <v>5315</v>
      </c>
      <c r="D5238" s="29" t="s">
        <v>5316</v>
      </c>
      <c r="E5238" s="29" t="s">
        <v>5318</v>
      </c>
      <c r="F5238" s="62"/>
      <c r="G5238" s="20" t="str">
        <f t="shared" si="1"/>
        <v>Toys &amp; Games, Toys, Activity Toys, Bouncy Balls</v>
      </c>
    </row>
    <row r="5239">
      <c r="A5239" s="29">
        <v>3212.0</v>
      </c>
      <c r="B5239" s="29" t="s">
        <v>118</v>
      </c>
      <c r="C5239" s="29" t="s">
        <v>5315</v>
      </c>
      <c r="D5239" s="29" t="s">
        <v>5316</v>
      </c>
      <c r="E5239" s="29" t="s">
        <v>5319</v>
      </c>
      <c r="F5239" s="62"/>
      <c r="G5239" s="20" t="str">
        <f t="shared" si="1"/>
        <v>Toys &amp; Games, Toys, Activity Toys, Bubble Blowing Solution</v>
      </c>
    </row>
    <row r="5240">
      <c r="A5240" s="29">
        <v>3874.0</v>
      </c>
      <c r="B5240" s="29" t="s">
        <v>118</v>
      </c>
      <c r="C5240" s="29" t="s">
        <v>5315</v>
      </c>
      <c r="D5240" s="29" t="s">
        <v>5316</v>
      </c>
      <c r="E5240" s="29" t="s">
        <v>5320</v>
      </c>
      <c r="F5240" s="62"/>
      <c r="G5240" s="20" t="str">
        <f t="shared" si="1"/>
        <v>Toys &amp; Games, Toys, Activity Toys, Bubble Blowing Toys</v>
      </c>
    </row>
    <row r="5241">
      <c r="A5241" s="29">
        <v>4177.0</v>
      </c>
      <c r="B5241" s="29" t="s">
        <v>118</v>
      </c>
      <c r="C5241" s="29" t="s">
        <v>5315</v>
      </c>
      <c r="D5241" s="29" t="s">
        <v>5316</v>
      </c>
      <c r="E5241" s="29" t="s">
        <v>5321</v>
      </c>
      <c r="F5241" s="62"/>
      <c r="G5241" s="20" t="str">
        <f t="shared" si="1"/>
        <v>Toys &amp; Games, Toys, Activity Toys, Coiled Spring Toys</v>
      </c>
    </row>
    <row r="5242">
      <c r="A5242" s="29">
        <v>3534.0</v>
      </c>
      <c r="B5242" s="29" t="s">
        <v>118</v>
      </c>
      <c r="C5242" s="29" t="s">
        <v>5315</v>
      </c>
      <c r="D5242" s="29" t="s">
        <v>5316</v>
      </c>
      <c r="E5242" s="29" t="s">
        <v>5322</v>
      </c>
      <c r="F5242" s="62"/>
      <c r="G5242" s="20" t="str">
        <f t="shared" si="1"/>
        <v>Toys &amp; Games, Toys, Activity Toys, Marbles</v>
      </c>
    </row>
    <row r="5243">
      <c r="A5243" s="29">
        <v>7425.0</v>
      </c>
      <c r="B5243" s="29" t="s">
        <v>118</v>
      </c>
      <c r="C5243" s="29" t="s">
        <v>5315</v>
      </c>
      <c r="D5243" s="29" t="s">
        <v>5316</v>
      </c>
      <c r="E5243" s="29" t="s">
        <v>5323</v>
      </c>
      <c r="F5243" s="62"/>
      <c r="G5243" s="20" t="str">
        <f t="shared" si="1"/>
        <v>Toys &amp; Games, Toys, Activity Toys, Paddle Ball Toys</v>
      </c>
    </row>
    <row r="5244">
      <c r="A5244" s="29">
        <v>7473.0</v>
      </c>
      <c r="B5244" s="29" t="s">
        <v>118</v>
      </c>
      <c r="C5244" s="29" t="s">
        <v>5315</v>
      </c>
      <c r="D5244" s="29" t="s">
        <v>5316</v>
      </c>
      <c r="E5244" s="29" t="s">
        <v>5324</v>
      </c>
      <c r="F5244" s="62"/>
      <c r="G5244" s="20" t="str">
        <f t="shared" si="1"/>
        <v>Toys &amp; Games, Toys, Activity Toys, Ribbon &amp; Streamer Toys</v>
      </c>
    </row>
    <row r="5245">
      <c r="A5245" s="29">
        <v>3466.0</v>
      </c>
      <c r="B5245" s="29" t="s">
        <v>118</v>
      </c>
      <c r="C5245" s="29" t="s">
        <v>5315</v>
      </c>
      <c r="D5245" s="29" t="s">
        <v>5316</v>
      </c>
      <c r="E5245" s="29" t="s">
        <v>5325</v>
      </c>
      <c r="F5245" s="62"/>
      <c r="G5245" s="20" t="str">
        <f t="shared" si="1"/>
        <v>Toys &amp; Games, Toys, Activity Toys, Spinning Tops</v>
      </c>
    </row>
    <row r="5246">
      <c r="A5246" s="29">
        <v>4216.0</v>
      </c>
      <c r="B5246" s="29" t="s">
        <v>118</v>
      </c>
      <c r="C5246" s="29" t="s">
        <v>5315</v>
      </c>
      <c r="D5246" s="29" t="s">
        <v>5316</v>
      </c>
      <c r="E5246" s="29" t="s">
        <v>5326</v>
      </c>
      <c r="F5246" s="62"/>
      <c r="G5246" s="20" t="str">
        <f t="shared" si="1"/>
        <v>Toys &amp; Games, Toys, Activity Toys, Toy Jacks</v>
      </c>
    </row>
    <row r="5247">
      <c r="A5247" s="29">
        <v>7148.0</v>
      </c>
      <c r="B5247" s="29" t="s">
        <v>118</v>
      </c>
      <c r="C5247" s="29" t="s">
        <v>5315</v>
      </c>
      <c r="D5247" s="29" t="s">
        <v>5316</v>
      </c>
      <c r="E5247" s="29" t="s">
        <v>5327</v>
      </c>
      <c r="F5247" s="62"/>
      <c r="G5247" s="20" t="str">
        <f t="shared" si="1"/>
        <v>Toys &amp; Games, Toys, Activity Toys, Yo-Yo Parts &amp; Accessories</v>
      </c>
    </row>
    <row r="5248">
      <c r="A5248" s="29">
        <v>3929.0</v>
      </c>
      <c r="B5248" s="29" t="s">
        <v>118</v>
      </c>
      <c r="C5248" s="29" t="s">
        <v>5315</v>
      </c>
      <c r="D5248" s="29" t="s">
        <v>5316</v>
      </c>
      <c r="E5248" s="29" t="s">
        <v>5328</v>
      </c>
      <c r="F5248" s="62"/>
      <c r="G5248" s="20" t="str">
        <f t="shared" si="1"/>
        <v>Toys &amp; Games, Toys, Activity Toys, Yo-Yos</v>
      </c>
    </row>
    <row r="5249">
      <c r="A5249" s="29">
        <v>3731.0</v>
      </c>
      <c r="B5249" s="29" t="s">
        <v>118</v>
      </c>
      <c r="C5249" s="29" t="s">
        <v>5315</v>
      </c>
      <c r="D5249" s="29" t="s">
        <v>5329</v>
      </c>
      <c r="E5249" s="62"/>
      <c r="F5249" s="62"/>
      <c r="G5249" s="20" t="str">
        <f t="shared" si="1"/>
        <v>Toys &amp; Games, Toys, Art &amp; Drawing Toys, </v>
      </c>
    </row>
    <row r="5250">
      <c r="A5250" s="29">
        <v>505818.0</v>
      </c>
      <c r="B5250" s="29" t="s">
        <v>118</v>
      </c>
      <c r="C5250" s="29" t="s">
        <v>5315</v>
      </c>
      <c r="D5250" s="29" t="s">
        <v>5329</v>
      </c>
      <c r="E5250" s="29" t="s">
        <v>5330</v>
      </c>
      <c r="F5250" s="62"/>
      <c r="G5250" s="20" t="str">
        <f t="shared" si="1"/>
        <v>Toys &amp; Games, Toys, Art &amp; Drawing Toys, Play Dough &amp; Putty</v>
      </c>
    </row>
    <row r="5251">
      <c r="A5251" s="29">
        <v>3079.0</v>
      </c>
      <c r="B5251" s="29" t="s">
        <v>118</v>
      </c>
      <c r="C5251" s="29" t="s">
        <v>5315</v>
      </c>
      <c r="D5251" s="29" t="s">
        <v>5329</v>
      </c>
      <c r="E5251" s="29" t="s">
        <v>5331</v>
      </c>
      <c r="F5251" s="62"/>
      <c r="G5251" s="20" t="str">
        <f t="shared" si="1"/>
        <v>Toys &amp; Games, Toys, Art &amp; Drawing Toys, Toy Drawing Tablets</v>
      </c>
    </row>
    <row r="5252">
      <c r="A5252" s="29">
        <v>7311.0</v>
      </c>
      <c r="B5252" s="29" t="s">
        <v>118</v>
      </c>
      <c r="C5252" s="29" t="s">
        <v>5315</v>
      </c>
      <c r="D5252" s="29" t="s">
        <v>5332</v>
      </c>
      <c r="E5252" s="62"/>
      <c r="F5252" s="62"/>
      <c r="G5252" s="20" t="str">
        <f t="shared" si="1"/>
        <v>Toys &amp; Games, Toys, Ball Pit Accessories, </v>
      </c>
    </row>
    <row r="5253">
      <c r="A5253" s="29">
        <v>7312.0</v>
      </c>
      <c r="B5253" s="29" t="s">
        <v>118</v>
      </c>
      <c r="C5253" s="29" t="s">
        <v>5315</v>
      </c>
      <c r="D5253" s="29" t="s">
        <v>5332</v>
      </c>
      <c r="E5253" s="29" t="s">
        <v>5333</v>
      </c>
      <c r="F5253" s="62"/>
      <c r="G5253" s="20" t="str">
        <f t="shared" si="1"/>
        <v>Toys &amp; Games, Toys, Ball Pit Accessories, Ball Pit Balls</v>
      </c>
    </row>
    <row r="5254">
      <c r="A5254" s="29">
        <v>3207.0</v>
      </c>
      <c r="B5254" s="29" t="s">
        <v>118</v>
      </c>
      <c r="C5254" s="29" t="s">
        <v>5315</v>
      </c>
      <c r="D5254" s="29" t="s">
        <v>5334</v>
      </c>
      <c r="E5254" s="62"/>
      <c r="F5254" s="62"/>
      <c r="G5254" s="20" t="str">
        <f t="shared" si="1"/>
        <v>Toys &amp; Games, Toys, Ball Pits, </v>
      </c>
    </row>
    <row r="5255">
      <c r="A5255" s="29">
        <v>3911.0</v>
      </c>
      <c r="B5255" s="29" t="s">
        <v>118</v>
      </c>
      <c r="C5255" s="29" t="s">
        <v>5315</v>
      </c>
      <c r="D5255" s="29" t="s">
        <v>5335</v>
      </c>
      <c r="E5255" s="62"/>
      <c r="F5255" s="62"/>
      <c r="G5255" s="20" t="str">
        <f t="shared" si="1"/>
        <v>Toys &amp; Games, Toys, Bath Toys, </v>
      </c>
    </row>
    <row r="5256">
      <c r="A5256" s="29">
        <v>1268.0</v>
      </c>
      <c r="B5256" s="29" t="s">
        <v>118</v>
      </c>
      <c r="C5256" s="29" t="s">
        <v>5315</v>
      </c>
      <c r="D5256" s="29" t="s">
        <v>5336</v>
      </c>
      <c r="E5256" s="62"/>
      <c r="F5256" s="62"/>
      <c r="G5256" s="20" t="str">
        <f t="shared" si="1"/>
        <v>Toys &amp; Games, Toys, Beach &amp; Sand Toys, </v>
      </c>
    </row>
    <row r="5257">
      <c r="A5257" s="29">
        <v>1254.0</v>
      </c>
      <c r="B5257" s="29" t="s">
        <v>118</v>
      </c>
      <c r="C5257" s="29" t="s">
        <v>5315</v>
      </c>
      <c r="D5257" s="29" t="s">
        <v>5337</v>
      </c>
      <c r="E5257" s="62"/>
      <c r="F5257" s="62"/>
      <c r="G5257" s="20" t="str">
        <f t="shared" si="1"/>
        <v>Toys &amp; Games, Toys, Building Toys, </v>
      </c>
    </row>
    <row r="5258">
      <c r="A5258" s="29">
        <v>3805.0</v>
      </c>
      <c r="B5258" s="29" t="s">
        <v>118</v>
      </c>
      <c r="C5258" s="29" t="s">
        <v>5315</v>
      </c>
      <c r="D5258" s="29" t="s">
        <v>5337</v>
      </c>
      <c r="E5258" s="29" t="s">
        <v>5338</v>
      </c>
      <c r="F5258" s="62"/>
      <c r="G5258" s="20" t="str">
        <f t="shared" si="1"/>
        <v>Toys &amp; Games, Toys, Building Toys, Construction Set Toys</v>
      </c>
    </row>
    <row r="5259">
      <c r="A5259" s="29">
        <v>3172.0</v>
      </c>
      <c r="B5259" s="29" t="s">
        <v>118</v>
      </c>
      <c r="C5259" s="29" t="s">
        <v>5315</v>
      </c>
      <c r="D5259" s="29" t="s">
        <v>5337</v>
      </c>
      <c r="E5259" s="29" t="s">
        <v>5339</v>
      </c>
      <c r="F5259" s="62"/>
      <c r="G5259" s="20" t="str">
        <f t="shared" si="1"/>
        <v>Toys &amp; Games, Toys, Building Toys, Foam Blocks</v>
      </c>
    </row>
    <row r="5260">
      <c r="A5260" s="29">
        <v>3287.0</v>
      </c>
      <c r="B5260" s="29" t="s">
        <v>118</v>
      </c>
      <c r="C5260" s="29" t="s">
        <v>5315</v>
      </c>
      <c r="D5260" s="29" t="s">
        <v>5337</v>
      </c>
      <c r="E5260" s="29" t="s">
        <v>5340</v>
      </c>
      <c r="F5260" s="62"/>
      <c r="G5260" s="20" t="str">
        <f t="shared" si="1"/>
        <v>Toys &amp; Games, Toys, Building Toys, Interlocking Blocks</v>
      </c>
    </row>
    <row r="5261">
      <c r="A5261" s="29">
        <v>3163.0</v>
      </c>
      <c r="B5261" s="29" t="s">
        <v>118</v>
      </c>
      <c r="C5261" s="29" t="s">
        <v>5315</v>
      </c>
      <c r="D5261" s="29" t="s">
        <v>5337</v>
      </c>
      <c r="E5261" s="29" t="s">
        <v>5341</v>
      </c>
      <c r="F5261" s="62"/>
      <c r="G5261" s="20" t="str">
        <f t="shared" si="1"/>
        <v>Toys &amp; Games, Toys, Building Toys, Marble Track Sets</v>
      </c>
    </row>
    <row r="5262">
      <c r="A5262" s="29">
        <v>3617.0</v>
      </c>
      <c r="B5262" s="29" t="s">
        <v>118</v>
      </c>
      <c r="C5262" s="29" t="s">
        <v>5315</v>
      </c>
      <c r="D5262" s="29" t="s">
        <v>5337</v>
      </c>
      <c r="E5262" s="29" t="s">
        <v>5342</v>
      </c>
      <c r="F5262" s="62"/>
      <c r="G5262" s="20" t="str">
        <f t="shared" si="1"/>
        <v>Toys &amp; Games, Toys, Building Toys, Wooden Blocks</v>
      </c>
    </row>
    <row r="5263">
      <c r="A5263" s="29">
        <v>1255.0</v>
      </c>
      <c r="B5263" s="29" t="s">
        <v>118</v>
      </c>
      <c r="C5263" s="29" t="s">
        <v>5315</v>
      </c>
      <c r="D5263" s="29" t="s">
        <v>5343</v>
      </c>
      <c r="F5263" s="62"/>
      <c r="G5263" s="20" t="str">
        <f t="shared" si="1"/>
        <v>Toys &amp; Games, Toys, Dolls, Playsets &amp; Toy Figures, </v>
      </c>
    </row>
    <row r="5264">
      <c r="A5264" s="29">
        <v>6058.0</v>
      </c>
      <c r="B5264" s="29" t="s">
        <v>118</v>
      </c>
      <c r="C5264" s="29" t="s">
        <v>5315</v>
      </c>
      <c r="D5264" s="29" t="s">
        <v>5343</v>
      </c>
      <c r="E5264" s="29" t="s">
        <v>5344</v>
      </c>
      <c r="F5264" s="62"/>
      <c r="G5264" s="20" t="str">
        <f t="shared" si="1"/>
        <v>Toys &amp; Games, Toys, Dolls, Playsets &amp; Toy Figures, Action &amp; Toy Figures</v>
      </c>
    </row>
    <row r="5265">
      <c r="A5265" s="29">
        <v>7114.0</v>
      </c>
      <c r="B5265" s="29" t="s">
        <v>118</v>
      </c>
      <c r="C5265" s="29" t="s">
        <v>5315</v>
      </c>
      <c r="D5265" s="29" t="s">
        <v>5343</v>
      </c>
      <c r="E5265" s="29" t="s">
        <v>5345</v>
      </c>
      <c r="F5265" s="62"/>
      <c r="G5265" s="20" t="str">
        <f t="shared" si="1"/>
        <v>Toys &amp; Games, Toys, Dolls, Playsets &amp; Toy Figures, Bobblehead Figures</v>
      </c>
    </row>
    <row r="5266">
      <c r="A5266" s="29">
        <v>3584.0</v>
      </c>
      <c r="B5266" s="29" t="s">
        <v>118</v>
      </c>
      <c r="C5266" s="29" t="s">
        <v>5315</v>
      </c>
      <c r="D5266" s="29" t="s">
        <v>5343</v>
      </c>
      <c r="E5266" s="29" t="s">
        <v>5346</v>
      </c>
      <c r="F5266" s="62"/>
      <c r="G5266" s="20" t="str">
        <f t="shared" si="1"/>
        <v>Toys &amp; Games, Toys, Dolls, Playsets &amp; Toy Figures, Doll &amp; Action Figure Accessories</v>
      </c>
    </row>
    <row r="5267">
      <c r="A5267" s="29">
        <v>2497.0</v>
      </c>
      <c r="B5267" s="29" t="s">
        <v>118</v>
      </c>
      <c r="C5267" s="29" t="s">
        <v>5315</v>
      </c>
      <c r="D5267" s="29" t="s">
        <v>5343</v>
      </c>
      <c r="E5267" s="29" t="s">
        <v>5347</v>
      </c>
      <c r="F5267" s="62"/>
      <c r="G5267" s="20" t="str">
        <f t="shared" si="1"/>
        <v>Toys &amp; Games, Toys, Dolls, Playsets &amp; Toy Figures, Dollhouse Accessories</v>
      </c>
    </row>
    <row r="5268">
      <c r="A5268" s="29">
        <v>2499.0</v>
      </c>
      <c r="B5268" s="29" t="s">
        <v>118</v>
      </c>
      <c r="C5268" s="29" t="s">
        <v>5315</v>
      </c>
      <c r="D5268" s="29" t="s">
        <v>5343</v>
      </c>
      <c r="E5268" s="29" t="s">
        <v>5348</v>
      </c>
      <c r="F5268" s="62"/>
      <c r="G5268" s="20" t="str">
        <f t="shared" si="1"/>
        <v>Toys &amp; Games, Toys, Dolls, Playsets &amp; Toy Figures, Dollhouses</v>
      </c>
    </row>
    <row r="5269">
      <c r="A5269" s="29">
        <v>1257.0</v>
      </c>
      <c r="B5269" s="29" t="s">
        <v>118</v>
      </c>
      <c r="C5269" s="29" t="s">
        <v>5315</v>
      </c>
      <c r="D5269" s="29" t="s">
        <v>5343</v>
      </c>
      <c r="E5269" s="29" t="s">
        <v>5349</v>
      </c>
      <c r="F5269" s="62"/>
      <c r="G5269" s="20" t="str">
        <f t="shared" si="1"/>
        <v>Toys &amp; Games, Toys, Dolls, Playsets &amp; Toy Figures, Dolls</v>
      </c>
    </row>
    <row r="5270">
      <c r="A5270" s="29">
        <v>8021.0</v>
      </c>
      <c r="B5270" s="29" t="s">
        <v>118</v>
      </c>
      <c r="C5270" s="29" t="s">
        <v>5315</v>
      </c>
      <c r="D5270" s="29" t="s">
        <v>5343</v>
      </c>
      <c r="E5270" s="29" t="s">
        <v>5350</v>
      </c>
      <c r="F5270" s="62"/>
      <c r="G5270" s="20" t="str">
        <f t="shared" si="1"/>
        <v>Toys &amp; Games, Toys, Dolls, Playsets &amp; Toy Figures, Paper &amp; Magnetic Dolls</v>
      </c>
    </row>
    <row r="5271">
      <c r="A5271" s="29">
        <v>6056.0</v>
      </c>
      <c r="B5271" s="29" t="s">
        <v>118</v>
      </c>
      <c r="C5271" s="29" t="s">
        <v>5315</v>
      </c>
      <c r="D5271" s="29" t="s">
        <v>5343</v>
      </c>
      <c r="E5271" s="29" t="s">
        <v>5351</v>
      </c>
      <c r="G5271" s="20" t="str">
        <f t="shared" si="1"/>
        <v>Toys &amp; Games, Toys, Dolls, Playsets &amp; Toy Figures, Puppet &amp; Puppet Theater Accessories</v>
      </c>
    </row>
    <row r="5272">
      <c r="A5272" s="29">
        <v>6057.0</v>
      </c>
      <c r="B5272" s="29" t="s">
        <v>118</v>
      </c>
      <c r="C5272" s="29" t="s">
        <v>5315</v>
      </c>
      <c r="D5272" s="29" t="s">
        <v>5343</v>
      </c>
      <c r="E5272" s="29" t="s">
        <v>5352</v>
      </c>
      <c r="F5272" s="62"/>
      <c r="G5272" s="20" t="str">
        <f t="shared" si="1"/>
        <v>Toys &amp; Games, Toys, Dolls, Playsets &amp; Toy Figures, Puppet Theaters</v>
      </c>
    </row>
    <row r="5273">
      <c r="A5273" s="29">
        <v>1258.0</v>
      </c>
      <c r="B5273" s="29" t="s">
        <v>118</v>
      </c>
      <c r="C5273" s="29" t="s">
        <v>5315</v>
      </c>
      <c r="D5273" s="29" t="s">
        <v>5343</v>
      </c>
      <c r="E5273" s="29" t="s">
        <v>5353</v>
      </c>
      <c r="F5273" s="62"/>
      <c r="G5273" s="20" t="str">
        <f t="shared" si="1"/>
        <v>Toys &amp; Games, Toys, Dolls, Playsets &amp; Toy Figures, Puppets &amp; Marionettes</v>
      </c>
    </row>
    <row r="5274">
      <c r="A5274" s="29">
        <v>1259.0</v>
      </c>
      <c r="B5274" s="29" t="s">
        <v>118</v>
      </c>
      <c r="C5274" s="29" t="s">
        <v>5315</v>
      </c>
      <c r="D5274" s="29" t="s">
        <v>5343</v>
      </c>
      <c r="E5274" s="29" t="s">
        <v>5354</v>
      </c>
      <c r="F5274" s="62"/>
      <c r="G5274" s="20" t="str">
        <f t="shared" si="1"/>
        <v>Toys &amp; Games, Toys, Dolls, Playsets &amp; Toy Figures, Stuffed Animals</v>
      </c>
    </row>
    <row r="5275">
      <c r="A5275" s="29">
        <v>3166.0</v>
      </c>
      <c r="B5275" s="29" t="s">
        <v>118</v>
      </c>
      <c r="C5275" s="29" t="s">
        <v>5315</v>
      </c>
      <c r="D5275" s="29" t="s">
        <v>5343</v>
      </c>
      <c r="E5275" s="29" t="s">
        <v>5355</v>
      </c>
      <c r="F5275" s="62"/>
      <c r="G5275" s="20" t="str">
        <f t="shared" si="1"/>
        <v>Toys &amp; Games, Toys, Dolls, Playsets &amp; Toy Figures, Toy Playsets</v>
      </c>
    </row>
    <row r="5276">
      <c r="A5276" s="29">
        <v>1262.0</v>
      </c>
      <c r="B5276" s="29" t="s">
        <v>118</v>
      </c>
      <c r="C5276" s="29" t="s">
        <v>5315</v>
      </c>
      <c r="D5276" s="29" t="s">
        <v>5356</v>
      </c>
      <c r="E5276" s="62"/>
      <c r="F5276" s="62"/>
      <c r="G5276" s="20" t="str">
        <f t="shared" si="1"/>
        <v>Toys &amp; Games, Toys, Educational Toys, </v>
      </c>
    </row>
    <row r="5277">
      <c r="A5277" s="29">
        <v>3088.0</v>
      </c>
      <c r="B5277" s="29" t="s">
        <v>118</v>
      </c>
      <c r="C5277" s="29" t="s">
        <v>5315</v>
      </c>
      <c r="D5277" s="29" t="s">
        <v>5356</v>
      </c>
      <c r="E5277" s="29" t="s">
        <v>5357</v>
      </c>
      <c r="F5277" s="62"/>
      <c r="G5277" s="20" t="str">
        <f t="shared" si="1"/>
        <v>Toys &amp; Games, Toys, Educational Toys, Ant Farms</v>
      </c>
    </row>
    <row r="5278">
      <c r="A5278" s="29">
        <v>499938.0</v>
      </c>
      <c r="B5278" s="29" t="s">
        <v>118</v>
      </c>
      <c r="C5278" s="29" t="s">
        <v>5315</v>
      </c>
      <c r="D5278" s="29" t="s">
        <v>5356</v>
      </c>
      <c r="E5278" s="29" t="s">
        <v>5358</v>
      </c>
      <c r="F5278" s="62"/>
      <c r="G5278" s="20" t="str">
        <f t="shared" si="1"/>
        <v>Toys &amp; Games, Toys, Educational Toys, Astronomy Toys &amp; Models</v>
      </c>
    </row>
    <row r="5279">
      <c r="A5279" s="29">
        <v>3928.0</v>
      </c>
      <c r="B5279" s="29" t="s">
        <v>118</v>
      </c>
      <c r="C5279" s="29" t="s">
        <v>5315</v>
      </c>
      <c r="D5279" s="29" t="s">
        <v>5356</v>
      </c>
      <c r="E5279" s="29" t="s">
        <v>5359</v>
      </c>
      <c r="F5279" s="62"/>
      <c r="G5279" s="20" t="str">
        <f t="shared" si="1"/>
        <v>Toys &amp; Games, Toys, Educational Toys, Bug Collecting Kits</v>
      </c>
    </row>
    <row r="5280">
      <c r="A5280" s="29">
        <v>500015.0</v>
      </c>
      <c r="B5280" s="29" t="s">
        <v>118</v>
      </c>
      <c r="C5280" s="29" t="s">
        <v>5315</v>
      </c>
      <c r="D5280" s="29" t="s">
        <v>5356</v>
      </c>
      <c r="E5280" s="29" t="s">
        <v>5360</v>
      </c>
      <c r="F5280" s="62"/>
      <c r="G5280" s="20" t="str">
        <f t="shared" si="1"/>
        <v>Toys &amp; Games, Toys, Educational Toys, Educational Flash Cards</v>
      </c>
    </row>
    <row r="5281">
      <c r="A5281" s="29">
        <v>5529.0</v>
      </c>
      <c r="B5281" s="29" t="s">
        <v>118</v>
      </c>
      <c r="C5281" s="29" t="s">
        <v>5315</v>
      </c>
      <c r="D5281" s="29" t="s">
        <v>5356</v>
      </c>
      <c r="E5281" s="29" t="s">
        <v>5361</v>
      </c>
      <c r="F5281" s="62"/>
      <c r="G5281" s="20" t="str">
        <f t="shared" si="1"/>
        <v>Toys &amp; Games, Toys, Educational Toys, Reading Toys</v>
      </c>
    </row>
    <row r="5282">
      <c r="A5282" s="29">
        <v>3500.0</v>
      </c>
      <c r="B5282" s="29" t="s">
        <v>118</v>
      </c>
      <c r="C5282" s="29" t="s">
        <v>5315</v>
      </c>
      <c r="D5282" s="29" t="s">
        <v>5356</v>
      </c>
      <c r="E5282" s="29" t="s">
        <v>5362</v>
      </c>
      <c r="F5282" s="62"/>
      <c r="G5282" s="20" t="str">
        <f t="shared" si="1"/>
        <v>Toys &amp; Games, Toys, Educational Toys, Science &amp; Exploration Sets</v>
      </c>
    </row>
    <row r="5283">
      <c r="A5283" s="29">
        <v>6466.0</v>
      </c>
      <c r="B5283" s="29" t="s">
        <v>118</v>
      </c>
      <c r="C5283" s="29" t="s">
        <v>5315</v>
      </c>
      <c r="D5283" s="29" t="s">
        <v>5356</v>
      </c>
      <c r="E5283" s="29" t="s">
        <v>5363</v>
      </c>
      <c r="F5283" s="62"/>
      <c r="G5283" s="20" t="str">
        <f t="shared" si="1"/>
        <v>Toys &amp; Games, Toys, Educational Toys, Toy Abacuses</v>
      </c>
    </row>
    <row r="5284">
      <c r="A5284" s="29">
        <v>3074.0</v>
      </c>
      <c r="B5284" s="29" t="s">
        <v>118</v>
      </c>
      <c r="C5284" s="29" t="s">
        <v>5315</v>
      </c>
      <c r="D5284" s="29" t="s">
        <v>5364</v>
      </c>
      <c r="E5284" s="62"/>
      <c r="F5284" s="62"/>
      <c r="G5284" s="20" t="str">
        <f t="shared" si="1"/>
        <v>Toys &amp; Games, Toys, Executive Toys, </v>
      </c>
    </row>
    <row r="5285">
      <c r="A5285" s="29">
        <v>5872.0</v>
      </c>
      <c r="B5285" s="29" t="s">
        <v>118</v>
      </c>
      <c r="C5285" s="29" t="s">
        <v>5315</v>
      </c>
      <c r="D5285" s="29" t="s">
        <v>5364</v>
      </c>
      <c r="E5285" s="29" t="s">
        <v>5365</v>
      </c>
      <c r="F5285" s="62"/>
      <c r="G5285" s="20" t="str">
        <f t="shared" si="1"/>
        <v>Toys &amp; Games, Toys, Executive Toys, Magnet Toys</v>
      </c>
    </row>
    <row r="5286">
      <c r="A5286" s="29">
        <v>7366.0</v>
      </c>
      <c r="B5286" s="29" t="s">
        <v>118</v>
      </c>
      <c r="C5286" s="29" t="s">
        <v>5315</v>
      </c>
      <c r="D5286" s="29" t="s">
        <v>5366</v>
      </c>
      <c r="E5286" s="62"/>
      <c r="F5286" s="62"/>
      <c r="G5286" s="20" t="str">
        <f t="shared" si="1"/>
        <v>Toys &amp; Games, Toys, Flying Toy Accessories, </v>
      </c>
    </row>
    <row r="5287">
      <c r="A5287" s="29">
        <v>7368.0</v>
      </c>
      <c r="B5287" s="29" t="s">
        <v>118</v>
      </c>
      <c r="C5287" s="29" t="s">
        <v>5315</v>
      </c>
      <c r="D5287" s="29" t="s">
        <v>5366</v>
      </c>
      <c r="E5287" s="29" t="s">
        <v>5367</v>
      </c>
      <c r="F5287" s="62"/>
      <c r="G5287" s="20" t="str">
        <f t="shared" si="1"/>
        <v>Toys &amp; Games, Toys, Flying Toy Accessories, Kite Accessories</v>
      </c>
    </row>
    <row r="5288">
      <c r="A5288" s="29">
        <v>7371.0</v>
      </c>
      <c r="B5288" s="29" t="s">
        <v>118</v>
      </c>
      <c r="C5288" s="29" t="s">
        <v>5315</v>
      </c>
      <c r="D5288" s="29" t="s">
        <v>5366</v>
      </c>
      <c r="E5288" s="29" t="s">
        <v>5367</v>
      </c>
      <c r="F5288" s="29" t="s">
        <v>5368</v>
      </c>
      <c r="G5288" s="20" t="str">
        <f t="shared" si="1"/>
        <v>Toys &amp; Games, Toys, Flying Toy Accessories, Kite AccessoriesKite Line Reels &amp; Winders</v>
      </c>
    </row>
    <row r="5289">
      <c r="A5289" s="29">
        <v>1261.0</v>
      </c>
      <c r="B5289" s="29" t="s">
        <v>118</v>
      </c>
      <c r="C5289" s="29" t="s">
        <v>5315</v>
      </c>
      <c r="D5289" s="29" t="s">
        <v>5369</v>
      </c>
      <c r="E5289" s="62"/>
      <c r="F5289" s="62"/>
      <c r="G5289" s="20" t="str">
        <f t="shared" si="1"/>
        <v>Toys &amp; Games, Toys, Flying Toys, </v>
      </c>
    </row>
    <row r="5290">
      <c r="A5290" s="29">
        <v>3966.0</v>
      </c>
      <c r="B5290" s="29" t="s">
        <v>118</v>
      </c>
      <c r="C5290" s="29" t="s">
        <v>5315</v>
      </c>
      <c r="D5290" s="29" t="s">
        <v>5369</v>
      </c>
      <c r="E5290" s="29" t="s">
        <v>5370</v>
      </c>
      <c r="F5290" s="62"/>
      <c r="G5290" s="20" t="str">
        <f t="shared" si="1"/>
        <v>Toys &amp; Games, Toys, Flying Toys, Air &amp; Water Rockets</v>
      </c>
    </row>
    <row r="5291">
      <c r="A5291" s="29">
        <v>3460.0</v>
      </c>
      <c r="B5291" s="29" t="s">
        <v>118</v>
      </c>
      <c r="C5291" s="29" t="s">
        <v>5315</v>
      </c>
      <c r="D5291" s="29" t="s">
        <v>5369</v>
      </c>
      <c r="E5291" s="29" t="s">
        <v>5371</v>
      </c>
      <c r="F5291" s="62"/>
      <c r="G5291" s="20" t="str">
        <f t="shared" si="1"/>
        <v>Toys &amp; Games, Toys, Flying Toys, Kites</v>
      </c>
    </row>
    <row r="5292">
      <c r="A5292" s="29">
        <v>3378.0</v>
      </c>
      <c r="B5292" s="29" t="s">
        <v>118</v>
      </c>
      <c r="C5292" s="29" t="s">
        <v>5315</v>
      </c>
      <c r="D5292" s="29" t="s">
        <v>5369</v>
      </c>
      <c r="E5292" s="29" t="s">
        <v>5372</v>
      </c>
      <c r="F5292" s="62"/>
      <c r="G5292" s="20" t="str">
        <f t="shared" si="1"/>
        <v>Toys &amp; Games, Toys, Flying Toys, Toy Gliders</v>
      </c>
    </row>
    <row r="5293">
      <c r="A5293" s="29">
        <v>3263.0</v>
      </c>
      <c r="B5293" s="29" t="s">
        <v>118</v>
      </c>
      <c r="C5293" s="29" t="s">
        <v>5315</v>
      </c>
      <c r="D5293" s="29" t="s">
        <v>5369</v>
      </c>
      <c r="E5293" s="29" t="s">
        <v>5373</v>
      </c>
      <c r="F5293" s="62"/>
      <c r="G5293" s="20" t="str">
        <f t="shared" si="1"/>
        <v>Toys &amp; Games, Toys, Flying Toys, Toy Parachutes</v>
      </c>
    </row>
    <row r="5294">
      <c r="A5294" s="29">
        <v>1264.0</v>
      </c>
      <c r="B5294" s="29" t="s">
        <v>118</v>
      </c>
      <c r="C5294" s="29" t="s">
        <v>5315</v>
      </c>
      <c r="D5294" s="29" t="s">
        <v>5374</v>
      </c>
      <c r="E5294" s="62"/>
      <c r="F5294" s="62"/>
      <c r="G5294" s="20" t="str">
        <f t="shared" si="1"/>
        <v>Toys &amp; Games, Toys, Musical Toys, </v>
      </c>
    </row>
    <row r="5295">
      <c r="A5295" s="29">
        <v>3252.0</v>
      </c>
      <c r="B5295" s="29" t="s">
        <v>118</v>
      </c>
      <c r="C5295" s="29" t="s">
        <v>5315</v>
      </c>
      <c r="D5295" s="29" t="s">
        <v>5374</v>
      </c>
      <c r="E5295" s="29" t="s">
        <v>5375</v>
      </c>
      <c r="F5295" s="62"/>
      <c r="G5295" s="20" t="str">
        <f t="shared" si="1"/>
        <v>Toys &amp; Games, Toys, Musical Toys, Toy Instruments</v>
      </c>
    </row>
    <row r="5296">
      <c r="A5296" s="29">
        <v>5970.0</v>
      </c>
      <c r="B5296" s="29" t="s">
        <v>118</v>
      </c>
      <c r="C5296" s="29" t="s">
        <v>5315</v>
      </c>
      <c r="D5296" s="29" t="s">
        <v>5376</v>
      </c>
      <c r="E5296" s="62"/>
      <c r="F5296" s="62"/>
      <c r="G5296" s="20" t="str">
        <f t="shared" si="1"/>
        <v>Toys &amp; Games, Toys, Play Vehicle Accessories, </v>
      </c>
    </row>
    <row r="5297">
      <c r="A5297" s="29">
        <v>5971.0</v>
      </c>
      <c r="B5297" s="29" t="s">
        <v>118</v>
      </c>
      <c r="C5297" s="29" t="s">
        <v>5315</v>
      </c>
      <c r="D5297" s="29" t="s">
        <v>5376</v>
      </c>
      <c r="E5297" s="29" t="s">
        <v>5377</v>
      </c>
      <c r="G5297" s="20" t="str">
        <f t="shared" si="1"/>
        <v>Toys &amp; Games, Toys, Play Vehicle Accessories, Toy Race Car &amp; Track Accessories</v>
      </c>
    </row>
    <row r="5298">
      <c r="A5298" s="29">
        <v>5153.0</v>
      </c>
      <c r="B5298" s="29" t="s">
        <v>118</v>
      </c>
      <c r="C5298" s="29" t="s">
        <v>5315</v>
      </c>
      <c r="D5298" s="29" t="s">
        <v>5376</v>
      </c>
      <c r="E5298" s="29" t="s">
        <v>5378</v>
      </c>
      <c r="F5298" s="62"/>
      <c r="G5298" s="20" t="str">
        <f t="shared" si="1"/>
        <v>Toys &amp; Games, Toys, Play Vehicle Accessories, Toy Train Accessories</v>
      </c>
    </row>
    <row r="5299">
      <c r="A5299" s="29">
        <v>2505.0</v>
      </c>
      <c r="B5299" s="29" t="s">
        <v>118</v>
      </c>
      <c r="C5299" s="29" t="s">
        <v>5315</v>
      </c>
      <c r="D5299" s="29" t="s">
        <v>5379</v>
      </c>
      <c r="E5299" s="62"/>
      <c r="F5299" s="62"/>
      <c r="G5299" s="20" t="str">
        <f t="shared" si="1"/>
        <v>Toys &amp; Games, Toys, Play Vehicles, </v>
      </c>
    </row>
    <row r="5300">
      <c r="A5300" s="29">
        <v>3444.0</v>
      </c>
      <c r="B5300" s="29" t="s">
        <v>118</v>
      </c>
      <c r="C5300" s="29" t="s">
        <v>5315</v>
      </c>
      <c r="D5300" s="29" t="s">
        <v>5379</v>
      </c>
      <c r="E5300" s="29" t="s">
        <v>5380</v>
      </c>
      <c r="F5300" s="62"/>
      <c r="G5300" s="20" t="str">
        <f t="shared" si="1"/>
        <v>Toys &amp; Games, Toys, Play Vehicles, Toy Airplanes</v>
      </c>
    </row>
    <row r="5301">
      <c r="A5301" s="29">
        <v>3792.0</v>
      </c>
      <c r="B5301" s="29" t="s">
        <v>118</v>
      </c>
      <c r="C5301" s="29" t="s">
        <v>5315</v>
      </c>
      <c r="D5301" s="29" t="s">
        <v>5379</v>
      </c>
      <c r="E5301" s="29" t="s">
        <v>5381</v>
      </c>
      <c r="F5301" s="62"/>
      <c r="G5301" s="20" t="str">
        <f t="shared" si="1"/>
        <v>Toys &amp; Games, Toys, Play Vehicles, Toy Boats</v>
      </c>
    </row>
    <row r="5302">
      <c r="A5302" s="29">
        <v>3551.0</v>
      </c>
      <c r="B5302" s="29" t="s">
        <v>118</v>
      </c>
      <c r="C5302" s="29" t="s">
        <v>5315</v>
      </c>
      <c r="D5302" s="29" t="s">
        <v>5379</v>
      </c>
      <c r="E5302" s="29" t="s">
        <v>5382</v>
      </c>
      <c r="F5302" s="62"/>
      <c r="G5302" s="20" t="str">
        <f t="shared" si="1"/>
        <v>Toys &amp; Games, Toys, Play Vehicles, Toy Cars</v>
      </c>
    </row>
    <row r="5303">
      <c r="A5303" s="29">
        <v>3506.0</v>
      </c>
      <c r="B5303" s="29" t="s">
        <v>118</v>
      </c>
      <c r="C5303" s="29" t="s">
        <v>5315</v>
      </c>
      <c r="D5303" s="29" t="s">
        <v>5379</v>
      </c>
      <c r="E5303" s="29" t="s">
        <v>5383</v>
      </c>
      <c r="F5303" s="62"/>
      <c r="G5303" s="20" t="str">
        <f t="shared" si="1"/>
        <v>Toys &amp; Games, Toys, Play Vehicles, Toy Helicopters</v>
      </c>
    </row>
    <row r="5304">
      <c r="A5304" s="29">
        <v>3590.0</v>
      </c>
      <c r="B5304" s="29" t="s">
        <v>118</v>
      </c>
      <c r="C5304" s="29" t="s">
        <v>5315</v>
      </c>
      <c r="D5304" s="29" t="s">
        <v>5379</v>
      </c>
      <c r="E5304" s="29" t="s">
        <v>5384</v>
      </c>
      <c r="F5304" s="62"/>
      <c r="G5304" s="20" t="str">
        <f t="shared" si="1"/>
        <v>Toys &amp; Games, Toys, Play Vehicles, Toy Motorcycles</v>
      </c>
    </row>
    <row r="5305">
      <c r="A5305" s="29">
        <v>3474.0</v>
      </c>
      <c r="B5305" s="29" t="s">
        <v>118</v>
      </c>
      <c r="C5305" s="29" t="s">
        <v>5315</v>
      </c>
      <c r="D5305" s="29" t="s">
        <v>5379</v>
      </c>
      <c r="E5305" s="29" t="s">
        <v>5385</v>
      </c>
      <c r="F5305" s="62"/>
      <c r="G5305" s="20" t="str">
        <f t="shared" si="1"/>
        <v>Toys &amp; Games, Toys, Play Vehicles, Toy Race Car &amp; Track Sets</v>
      </c>
    </row>
    <row r="5306">
      <c r="A5306" s="29">
        <v>3589.0</v>
      </c>
      <c r="B5306" s="29" t="s">
        <v>118</v>
      </c>
      <c r="C5306" s="29" t="s">
        <v>5315</v>
      </c>
      <c r="D5306" s="29" t="s">
        <v>5379</v>
      </c>
      <c r="E5306" s="29" t="s">
        <v>5386</v>
      </c>
      <c r="F5306" s="62"/>
      <c r="G5306" s="20" t="str">
        <f t="shared" si="1"/>
        <v>Toys &amp; Games, Toys, Play Vehicles, Toy Spaceships</v>
      </c>
    </row>
    <row r="5307">
      <c r="A5307" s="29">
        <v>5152.0</v>
      </c>
      <c r="B5307" s="29" t="s">
        <v>118</v>
      </c>
      <c r="C5307" s="29" t="s">
        <v>5315</v>
      </c>
      <c r="D5307" s="29" t="s">
        <v>5379</v>
      </c>
      <c r="E5307" s="29" t="s">
        <v>5387</v>
      </c>
      <c r="F5307" s="62"/>
      <c r="G5307" s="20" t="str">
        <f t="shared" si="1"/>
        <v>Toys &amp; Games, Toys, Play Vehicles, Toy Trains &amp; Train Sets</v>
      </c>
    </row>
    <row r="5308">
      <c r="A5308" s="29">
        <v>3296.0</v>
      </c>
      <c r="B5308" s="29" t="s">
        <v>118</v>
      </c>
      <c r="C5308" s="29" t="s">
        <v>5315</v>
      </c>
      <c r="D5308" s="29" t="s">
        <v>5379</v>
      </c>
      <c r="E5308" s="29" t="s">
        <v>5388</v>
      </c>
      <c r="G5308" s="20" t="str">
        <f t="shared" si="1"/>
        <v>Toys &amp; Games, Toys, Play Vehicles, Toy Trucks &amp; Construction Vehicles</v>
      </c>
    </row>
    <row r="5309">
      <c r="A5309" s="29">
        <v>3229.0</v>
      </c>
      <c r="B5309" s="29" t="s">
        <v>118</v>
      </c>
      <c r="C5309" s="29" t="s">
        <v>5315</v>
      </c>
      <c r="D5309" s="29" t="s">
        <v>5389</v>
      </c>
      <c r="E5309" s="62"/>
      <c r="F5309" s="62"/>
      <c r="G5309" s="20" t="str">
        <f t="shared" si="1"/>
        <v>Toys &amp; Games, Toys, Pretend Play, </v>
      </c>
    </row>
    <row r="5310">
      <c r="A5310" s="29">
        <v>3680.0</v>
      </c>
      <c r="B5310" s="29" t="s">
        <v>118</v>
      </c>
      <c r="C5310" s="29" t="s">
        <v>5315</v>
      </c>
      <c r="D5310" s="29" t="s">
        <v>5389</v>
      </c>
      <c r="E5310" s="29" t="s">
        <v>5390</v>
      </c>
      <c r="F5310" s="62"/>
      <c r="G5310" s="20" t="str">
        <f t="shared" si="1"/>
        <v>Toys &amp; Games, Toys, Pretend Play, Play Money &amp; Banking</v>
      </c>
    </row>
    <row r="5311">
      <c r="A5311" s="29">
        <v>3659.0</v>
      </c>
      <c r="B5311" s="29" t="s">
        <v>118</v>
      </c>
      <c r="C5311" s="29" t="s">
        <v>5315</v>
      </c>
      <c r="D5311" s="29" t="s">
        <v>5389</v>
      </c>
      <c r="E5311" s="29" t="s">
        <v>5391</v>
      </c>
      <c r="F5311" s="62"/>
      <c r="G5311" s="20" t="str">
        <f t="shared" si="1"/>
        <v>Toys &amp; Games, Toys, Pretend Play, Pretend Electronics</v>
      </c>
    </row>
    <row r="5312">
      <c r="A5312" s="29">
        <v>4004.0</v>
      </c>
      <c r="B5312" s="29" t="s">
        <v>118</v>
      </c>
      <c r="C5312" s="29" t="s">
        <v>5315</v>
      </c>
      <c r="D5312" s="29" t="s">
        <v>5389</v>
      </c>
      <c r="E5312" s="29" t="s">
        <v>5392</v>
      </c>
      <c r="F5312" s="62"/>
      <c r="G5312" s="20" t="str">
        <f t="shared" si="1"/>
        <v>Toys &amp; Games, Toys, Pretend Play, Pretend Housekeeping</v>
      </c>
    </row>
    <row r="5313">
      <c r="A5313" s="29">
        <v>3288.0</v>
      </c>
      <c r="B5313" s="29" t="s">
        <v>118</v>
      </c>
      <c r="C5313" s="29" t="s">
        <v>5315</v>
      </c>
      <c r="D5313" s="29" t="s">
        <v>5389</v>
      </c>
      <c r="E5313" s="29" t="s">
        <v>5393</v>
      </c>
      <c r="F5313" s="62"/>
      <c r="G5313" s="20" t="str">
        <f t="shared" si="1"/>
        <v>Toys &amp; Games, Toys, Pretend Play, Pretend Lawn &amp; Garden</v>
      </c>
    </row>
    <row r="5314">
      <c r="A5314" s="29">
        <v>3129.0</v>
      </c>
      <c r="B5314" s="29" t="s">
        <v>118</v>
      </c>
      <c r="C5314" s="29" t="s">
        <v>5315</v>
      </c>
      <c r="D5314" s="29" t="s">
        <v>5389</v>
      </c>
      <c r="E5314" s="29" t="s">
        <v>5394</v>
      </c>
      <c r="G5314" s="20" t="str">
        <f t="shared" si="1"/>
        <v>Toys &amp; Games, Toys, Pretend Play, Pretend Professions &amp; Role Playing</v>
      </c>
    </row>
    <row r="5315">
      <c r="A5315" s="29">
        <v>8295.0</v>
      </c>
      <c r="B5315" s="29" t="s">
        <v>118</v>
      </c>
      <c r="C5315" s="29" t="s">
        <v>5315</v>
      </c>
      <c r="D5315" s="29" t="s">
        <v>5389</v>
      </c>
      <c r="E5315" s="29" t="s">
        <v>5395</v>
      </c>
      <c r="F5315" s="62"/>
      <c r="G5315" s="20" t="str">
        <f t="shared" si="1"/>
        <v>Toys &amp; Games, Toys, Pretend Play, Pretend Shopping &amp; Grocery</v>
      </c>
    </row>
    <row r="5316">
      <c r="A5316" s="29">
        <v>3298.0</v>
      </c>
      <c r="B5316" s="29" t="s">
        <v>118</v>
      </c>
      <c r="C5316" s="29" t="s">
        <v>5315</v>
      </c>
      <c r="D5316" s="29" t="s">
        <v>5389</v>
      </c>
      <c r="E5316" s="29" t="s">
        <v>5396</v>
      </c>
      <c r="F5316" s="62"/>
      <c r="G5316" s="20" t="str">
        <f t="shared" si="1"/>
        <v>Toys &amp; Games, Toys, Pretend Play, Toy Kitchens &amp; Play Food</v>
      </c>
    </row>
    <row r="5317">
      <c r="A5317" s="29">
        <v>543624.0</v>
      </c>
      <c r="B5317" s="29" t="s">
        <v>118</v>
      </c>
      <c r="C5317" s="29" t="s">
        <v>5315</v>
      </c>
      <c r="D5317" s="29" t="s">
        <v>5389</v>
      </c>
      <c r="E5317" s="29" t="s">
        <v>5396</v>
      </c>
      <c r="F5317" s="29" t="s">
        <v>5397</v>
      </c>
      <c r="G5317" s="20" t="str">
        <f t="shared" si="1"/>
        <v>Toys &amp; Games, Toys, Pretend Play, Toy Kitchens &amp; Play FoodPlay Food</v>
      </c>
    </row>
    <row r="5318">
      <c r="A5318" s="29">
        <v>543690.0</v>
      </c>
      <c r="B5318" s="29" t="s">
        <v>118</v>
      </c>
      <c r="C5318" s="29" t="s">
        <v>5315</v>
      </c>
      <c r="D5318" s="29" t="s">
        <v>5389</v>
      </c>
      <c r="E5318" s="29" t="s">
        <v>5396</v>
      </c>
      <c r="F5318" s="29" t="s">
        <v>5398</v>
      </c>
      <c r="G5318" s="20" t="str">
        <f t="shared" si="1"/>
        <v>Toys &amp; Games, Toys, Pretend Play, Toy Kitchens &amp; Play FoodToy Cookware</v>
      </c>
    </row>
    <row r="5319">
      <c r="A5319" s="29">
        <v>543622.0</v>
      </c>
      <c r="B5319" s="29" t="s">
        <v>118</v>
      </c>
      <c r="C5319" s="29" t="s">
        <v>5315</v>
      </c>
      <c r="D5319" s="29" t="s">
        <v>5389</v>
      </c>
      <c r="E5319" s="29" t="s">
        <v>5396</v>
      </c>
      <c r="F5319" s="29" t="s">
        <v>5399</v>
      </c>
      <c r="G5319" s="20" t="str">
        <f t="shared" si="1"/>
        <v>Toys &amp; Games, Toys, Pretend Play, Toy Kitchens &amp; Play FoodToy Kitchens</v>
      </c>
    </row>
    <row r="5320">
      <c r="A5320" s="29">
        <v>543623.0</v>
      </c>
      <c r="B5320" s="29" t="s">
        <v>118</v>
      </c>
      <c r="C5320" s="29" t="s">
        <v>5315</v>
      </c>
      <c r="D5320" s="29" t="s">
        <v>5389</v>
      </c>
      <c r="E5320" s="29" t="s">
        <v>5396</v>
      </c>
      <c r="F5320" s="29" t="s">
        <v>5400</v>
      </c>
      <c r="G5320" s="20" t="str">
        <f t="shared" si="1"/>
        <v>Toys &amp; Games, Toys, Pretend Play, Toy Kitchens &amp; Play FoodToy Tableware</v>
      </c>
    </row>
    <row r="5321">
      <c r="A5321" s="29">
        <v>3751.0</v>
      </c>
      <c r="B5321" s="29" t="s">
        <v>118</v>
      </c>
      <c r="C5321" s="29" t="s">
        <v>5315</v>
      </c>
      <c r="D5321" s="29" t="s">
        <v>5389</v>
      </c>
      <c r="E5321" s="29" t="s">
        <v>5401</v>
      </c>
      <c r="F5321" s="62"/>
      <c r="G5321" s="20" t="str">
        <f t="shared" si="1"/>
        <v>Toys &amp; Games, Toys, Pretend Play, Toy Tools</v>
      </c>
    </row>
    <row r="5322">
      <c r="A5322" s="29">
        <v>2778.0</v>
      </c>
      <c r="B5322" s="29" t="s">
        <v>118</v>
      </c>
      <c r="C5322" s="29" t="s">
        <v>5315</v>
      </c>
      <c r="D5322" s="29" t="s">
        <v>5402</v>
      </c>
      <c r="F5322" s="62"/>
      <c r="G5322" s="20" t="str">
        <f t="shared" si="1"/>
        <v>Toys &amp; Games, Toys, Remote Control Toy Accessories, </v>
      </c>
    </row>
    <row r="5323">
      <c r="A5323" s="29">
        <v>2546.0</v>
      </c>
      <c r="B5323" s="29" t="s">
        <v>118</v>
      </c>
      <c r="C5323" s="29" t="s">
        <v>5315</v>
      </c>
      <c r="D5323" s="29" t="s">
        <v>5403</v>
      </c>
      <c r="E5323" s="62"/>
      <c r="F5323" s="62"/>
      <c r="G5323" s="20" t="str">
        <f t="shared" si="1"/>
        <v>Toys &amp; Games, Toys, Remote Control Toys, </v>
      </c>
    </row>
    <row r="5324">
      <c r="A5324" s="29">
        <v>7090.0</v>
      </c>
      <c r="B5324" s="29" t="s">
        <v>118</v>
      </c>
      <c r="C5324" s="29" t="s">
        <v>5315</v>
      </c>
      <c r="D5324" s="29" t="s">
        <v>5403</v>
      </c>
      <c r="E5324" s="29" t="s">
        <v>5404</v>
      </c>
      <c r="F5324" s="62"/>
      <c r="G5324" s="20" t="str">
        <f t="shared" si="1"/>
        <v>Toys &amp; Games, Toys, Remote Control Toys, Remote Control Airships &amp; Blimps</v>
      </c>
    </row>
    <row r="5325">
      <c r="A5325" s="29">
        <v>3532.0</v>
      </c>
      <c r="B5325" s="29" t="s">
        <v>118</v>
      </c>
      <c r="C5325" s="29" t="s">
        <v>5315</v>
      </c>
      <c r="D5325" s="29" t="s">
        <v>5403</v>
      </c>
      <c r="E5325" s="29" t="s">
        <v>5405</v>
      </c>
      <c r="G5325" s="20" t="str">
        <f t="shared" si="1"/>
        <v>Toys &amp; Games, Toys, Remote Control Toys, Remote Control Boats &amp; Watercraft</v>
      </c>
    </row>
    <row r="5326">
      <c r="A5326" s="29">
        <v>3601.0</v>
      </c>
      <c r="B5326" s="29" t="s">
        <v>118</v>
      </c>
      <c r="C5326" s="29" t="s">
        <v>5315</v>
      </c>
      <c r="D5326" s="29" t="s">
        <v>5403</v>
      </c>
      <c r="E5326" s="29" t="s">
        <v>5406</v>
      </c>
      <c r="F5326" s="62"/>
      <c r="G5326" s="20" t="str">
        <f t="shared" si="1"/>
        <v>Toys &amp; Games, Toys, Remote Control Toys, Remote Control Cars &amp; Trucks</v>
      </c>
    </row>
    <row r="5327">
      <c r="A5327" s="29">
        <v>3554.0</v>
      </c>
      <c r="B5327" s="29" t="s">
        <v>118</v>
      </c>
      <c r="C5327" s="29" t="s">
        <v>5315</v>
      </c>
      <c r="D5327" s="29" t="s">
        <v>5403</v>
      </c>
      <c r="E5327" s="29" t="s">
        <v>5407</v>
      </c>
      <c r="F5327" s="62"/>
      <c r="G5327" s="20" t="str">
        <f t="shared" si="1"/>
        <v>Toys &amp; Games, Toys, Remote Control Toys, Remote Control Helicopters</v>
      </c>
    </row>
    <row r="5328">
      <c r="A5328" s="29">
        <v>5968.0</v>
      </c>
      <c r="B5328" s="29" t="s">
        <v>118</v>
      </c>
      <c r="C5328" s="29" t="s">
        <v>5315</v>
      </c>
      <c r="D5328" s="29" t="s">
        <v>5403</v>
      </c>
      <c r="E5328" s="29" t="s">
        <v>5408</v>
      </c>
      <c r="F5328" s="62"/>
      <c r="G5328" s="20" t="str">
        <f t="shared" si="1"/>
        <v>Toys &amp; Games, Toys, Remote Control Toys, Remote Control Motorcycles</v>
      </c>
    </row>
    <row r="5329">
      <c r="A5329" s="29">
        <v>3677.0</v>
      </c>
      <c r="B5329" s="29" t="s">
        <v>118</v>
      </c>
      <c r="C5329" s="29" t="s">
        <v>5315</v>
      </c>
      <c r="D5329" s="29" t="s">
        <v>5403</v>
      </c>
      <c r="E5329" s="29" t="s">
        <v>5409</v>
      </c>
      <c r="F5329" s="62"/>
      <c r="G5329" s="20" t="str">
        <f t="shared" si="1"/>
        <v>Toys &amp; Games, Toys, Remote Control Toys, Remote Control Planes</v>
      </c>
    </row>
    <row r="5330">
      <c r="A5330" s="29">
        <v>6059.0</v>
      </c>
      <c r="B5330" s="29" t="s">
        <v>118</v>
      </c>
      <c r="C5330" s="29" t="s">
        <v>5315</v>
      </c>
      <c r="D5330" s="29" t="s">
        <v>5403</v>
      </c>
      <c r="E5330" s="29" t="s">
        <v>5410</v>
      </c>
      <c r="F5330" s="62"/>
      <c r="G5330" s="20" t="str">
        <f t="shared" si="1"/>
        <v>Toys &amp; Games, Toys, Remote Control Toys, Remote Control Robots</v>
      </c>
    </row>
    <row r="5331">
      <c r="A5331" s="29">
        <v>5969.0</v>
      </c>
      <c r="B5331" s="29" t="s">
        <v>118</v>
      </c>
      <c r="C5331" s="29" t="s">
        <v>5315</v>
      </c>
      <c r="D5331" s="29" t="s">
        <v>5403</v>
      </c>
      <c r="E5331" s="29" t="s">
        <v>5411</v>
      </c>
      <c r="F5331" s="62"/>
      <c r="G5331" s="20" t="str">
        <f t="shared" si="1"/>
        <v>Toys &amp; Games, Toys, Remote Control Toys, Remote Control Tanks</v>
      </c>
    </row>
    <row r="5332">
      <c r="A5332" s="29">
        <v>7202.0</v>
      </c>
      <c r="B5332" s="29" t="s">
        <v>118</v>
      </c>
      <c r="C5332" s="29" t="s">
        <v>5315</v>
      </c>
      <c r="D5332" s="29" t="s">
        <v>5412</v>
      </c>
      <c r="E5332" s="62"/>
      <c r="F5332" s="62"/>
      <c r="G5332" s="20" t="str">
        <f t="shared" si="1"/>
        <v>Toys &amp; Games, Toys, Riding Toy Accessories, </v>
      </c>
    </row>
    <row r="5333">
      <c r="A5333" s="29">
        <v>2799.0</v>
      </c>
      <c r="B5333" s="29" t="s">
        <v>118</v>
      </c>
      <c r="C5333" s="29" t="s">
        <v>5315</v>
      </c>
      <c r="D5333" s="29" t="s">
        <v>5413</v>
      </c>
      <c r="E5333" s="62"/>
      <c r="F5333" s="62"/>
      <c r="G5333" s="20" t="str">
        <f t="shared" si="1"/>
        <v>Toys &amp; Games, Toys, Riding Toys, </v>
      </c>
    </row>
    <row r="5334">
      <c r="A5334" s="29">
        <v>2753.0</v>
      </c>
      <c r="B5334" s="29" t="s">
        <v>118</v>
      </c>
      <c r="C5334" s="29" t="s">
        <v>5315</v>
      </c>
      <c r="D5334" s="29" t="s">
        <v>5413</v>
      </c>
      <c r="E5334" s="29" t="s">
        <v>5414</v>
      </c>
      <c r="F5334" s="62"/>
      <c r="G5334" s="20" t="str">
        <f t="shared" si="1"/>
        <v>Toys &amp; Games, Toys, Riding Toys, Electric Riding Vehicles</v>
      </c>
    </row>
    <row r="5335">
      <c r="A5335" s="29">
        <v>6407.0</v>
      </c>
      <c r="B5335" s="29" t="s">
        <v>118</v>
      </c>
      <c r="C5335" s="29" t="s">
        <v>5315</v>
      </c>
      <c r="D5335" s="29" t="s">
        <v>5413</v>
      </c>
      <c r="E5335" s="29" t="s">
        <v>5415</v>
      </c>
      <c r="F5335" s="62"/>
      <c r="G5335" s="20" t="str">
        <f t="shared" si="1"/>
        <v>Toys &amp; Games, Toys, Riding Toys, Hobby Horses</v>
      </c>
    </row>
    <row r="5336">
      <c r="A5336" s="29">
        <v>2724.0</v>
      </c>
      <c r="B5336" s="29" t="s">
        <v>118</v>
      </c>
      <c r="C5336" s="29" t="s">
        <v>5315</v>
      </c>
      <c r="D5336" s="29" t="s">
        <v>5413</v>
      </c>
      <c r="E5336" s="29" t="s">
        <v>5416</v>
      </c>
      <c r="F5336" s="62"/>
      <c r="G5336" s="20" t="str">
        <f t="shared" si="1"/>
        <v>Toys &amp; Games, Toys, Riding Toys, Push &amp; Pedal Riding Vehicles</v>
      </c>
    </row>
    <row r="5337">
      <c r="A5337" s="29">
        <v>3441.0</v>
      </c>
      <c r="B5337" s="29" t="s">
        <v>118</v>
      </c>
      <c r="C5337" s="29" t="s">
        <v>5315</v>
      </c>
      <c r="D5337" s="29" t="s">
        <v>5413</v>
      </c>
      <c r="E5337" s="29" t="s">
        <v>5417</v>
      </c>
      <c r="F5337" s="62"/>
      <c r="G5337" s="20" t="str">
        <f t="shared" si="1"/>
        <v>Toys &amp; Games, Toys, Riding Toys, Rocking &amp; Spring Riding Toys</v>
      </c>
    </row>
    <row r="5338">
      <c r="A5338" s="29">
        <v>6379.0</v>
      </c>
      <c r="B5338" s="29" t="s">
        <v>118</v>
      </c>
      <c r="C5338" s="29" t="s">
        <v>5315</v>
      </c>
      <c r="D5338" s="29" t="s">
        <v>5413</v>
      </c>
      <c r="E5338" s="29" t="s">
        <v>5418</v>
      </c>
      <c r="F5338" s="62"/>
      <c r="G5338" s="20" t="str">
        <f t="shared" si="1"/>
        <v>Toys &amp; Games, Toys, Riding Toys, Wagons</v>
      </c>
    </row>
    <row r="5339">
      <c r="A5339" s="29">
        <v>3625.0</v>
      </c>
      <c r="B5339" s="29" t="s">
        <v>118</v>
      </c>
      <c r="C5339" s="29" t="s">
        <v>5315</v>
      </c>
      <c r="D5339" s="29" t="s">
        <v>5419</v>
      </c>
      <c r="E5339" s="62"/>
      <c r="F5339" s="62"/>
      <c r="G5339" s="20" t="str">
        <f t="shared" si="1"/>
        <v>Toys &amp; Games, Toys, Robotic Toys, </v>
      </c>
    </row>
    <row r="5340">
      <c r="A5340" s="29">
        <v>8127.0</v>
      </c>
      <c r="B5340" s="29" t="s">
        <v>118</v>
      </c>
      <c r="C5340" s="29" t="s">
        <v>5315</v>
      </c>
      <c r="D5340" s="29" t="s">
        <v>5420</v>
      </c>
      <c r="E5340" s="62"/>
      <c r="F5340" s="62"/>
      <c r="G5340" s="20" t="str">
        <f t="shared" si="1"/>
        <v>Toys &amp; Games, Toys, Sports Toy Accessories, </v>
      </c>
    </row>
    <row r="5341">
      <c r="A5341" s="29">
        <v>8129.0</v>
      </c>
      <c r="B5341" s="29" t="s">
        <v>118</v>
      </c>
      <c r="C5341" s="29" t="s">
        <v>5315</v>
      </c>
      <c r="D5341" s="29" t="s">
        <v>5420</v>
      </c>
      <c r="E5341" s="29" t="s">
        <v>5421</v>
      </c>
      <c r="F5341" s="62"/>
      <c r="G5341" s="20" t="str">
        <f t="shared" si="1"/>
        <v>Toys &amp; Games, Toys, Sports Toy Accessories, Fitness Toy Accessories</v>
      </c>
    </row>
    <row r="5342">
      <c r="A5342" s="29">
        <v>8128.0</v>
      </c>
      <c r="B5342" s="29" t="s">
        <v>118</v>
      </c>
      <c r="C5342" s="29" t="s">
        <v>5315</v>
      </c>
      <c r="D5342" s="29" t="s">
        <v>5420</v>
      </c>
      <c r="E5342" s="29" t="s">
        <v>5421</v>
      </c>
      <c r="F5342" s="29" t="s">
        <v>5422</v>
      </c>
      <c r="G5342" s="20" t="str">
        <f t="shared" si="1"/>
        <v>Toys &amp; Games, Toys, Sports Toy Accessories, Fitness Toy AccessoriesHula Hoop Accessories</v>
      </c>
    </row>
    <row r="5343">
      <c r="A5343" s="29">
        <v>1266.0</v>
      </c>
      <c r="B5343" s="29" t="s">
        <v>118</v>
      </c>
      <c r="C5343" s="29" t="s">
        <v>5315</v>
      </c>
      <c r="D5343" s="29" t="s">
        <v>5423</v>
      </c>
      <c r="E5343" s="62"/>
      <c r="F5343" s="62"/>
      <c r="G5343" s="20" t="str">
        <f t="shared" si="1"/>
        <v>Toys &amp; Games, Toys, Sports Toys, </v>
      </c>
    </row>
    <row r="5344">
      <c r="A5344" s="29">
        <v>3371.0</v>
      </c>
      <c r="B5344" s="29" t="s">
        <v>118</v>
      </c>
      <c r="C5344" s="29" t="s">
        <v>5315</v>
      </c>
      <c r="D5344" s="29" t="s">
        <v>5423</v>
      </c>
      <c r="E5344" s="29" t="s">
        <v>5424</v>
      </c>
      <c r="F5344" s="62"/>
      <c r="G5344" s="20" t="str">
        <f t="shared" si="1"/>
        <v>Toys &amp; Games, Toys, Sports Toys, American Football Toys</v>
      </c>
    </row>
    <row r="5345">
      <c r="A5345" s="29">
        <v>3776.0</v>
      </c>
      <c r="B5345" s="29" t="s">
        <v>118</v>
      </c>
      <c r="C5345" s="29" t="s">
        <v>5315</v>
      </c>
      <c r="D5345" s="29" t="s">
        <v>5423</v>
      </c>
      <c r="E5345" s="29" t="s">
        <v>5425</v>
      </c>
      <c r="F5345" s="62"/>
      <c r="G5345" s="20" t="str">
        <f t="shared" si="1"/>
        <v>Toys &amp; Games, Toys, Sports Toys, Baseball Toys</v>
      </c>
    </row>
    <row r="5346">
      <c r="A5346" s="29">
        <v>3552.0</v>
      </c>
      <c r="B5346" s="29" t="s">
        <v>118</v>
      </c>
      <c r="C5346" s="29" t="s">
        <v>5315</v>
      </c>
      <c r="D5346" s="29" t="s">
        <v>5423</v>
      </c>
      <c r="E5346" s="29" t="s">
        <v>5426</v>
      </c>
      <c r="F5346" s="62"/>
      <c r="G5346" s="20" t="str">
        <f t="shared" si="1"/>
        <v>Toys &amp; Games, Toys, Sports Toys, Basketball Toys</v>
      </c>
    </row>
    <row r="5347">
      <c r="A5347" s="29">
        <v>3675.0</v>
      </c>
      <c r="B5347" s="29" t="s">
        <v>118</v>
      </c>
      <c r="C5347" s="29" t="s">
        <v>5315</v>
      </c>
      <c r="D5347" s="29" t="s">
        <v>5423</v>
      </c>
      <c r="E5347" s="29" t="s">
        <v>5427</v>
      </c>
      <c r="F5347" s="62"/>
      <c r="G5347" s="20" t="str">
        <f t="shared" si="1"/>
        <v>Toys &amp; Games, Toys, Sports Toys, Boomerangs</v>
      </c>
    </row>
    <row r="5348">
      <c r="A5348" s="29">
        <v>3665.0</v>
      </c>
      <c r="B5348" s="29" t="s">
        <v>118</v>
      </c>
      <c r="C5348" s="29" t="s">
        <v>5315</v>
      </c>
      <c r="D5348" s="29" t="s">
        <v>5423</v>
      </c>
      <c r="E5348" s="29" t="s">
        <v>5428</v>
      </c>
      <c r="F5348" s="62"/>
      <c r="G5348" s="20" t="str">
        <f t="shared" si="1"/>
        <v>Toys &amp; Games, Toys, Sports Toys, Bowling Toys</v>
      </c>
    </row>
    <row r="5349">
      <c r="A5349" s="29">
        <v>500113.0</v>
      </c>
      <c r="B5349" s="29" t="s">
        <v>118</v>
      </c>
      <c r="C5349" s="29" t="s">
        <v>5315</v>
      </c>
      <c r="D5349" s="29" t="s">
        <v>5423</v>
      </c>
      <c r="E5349" s="29" t="s">
        <v>5429</v>
      </c>
      <c r="F5349" s="62"/>
      <c r="G5349" s="20" t="str">
        <f t="shared" si="1"/>
        <v>Toys &amp; Games, Toys, Sports Toys, Fingerboards &amp; Fingerboard Sets</v>
      </c>
    </row>
    <row r="5350">
      <c r="A5350" s="29">
        <v>8529.0</v>
      </c>
      <c r="B5350" s="29" t="s">
        <v>118</v>
      </c>
      <c r="C5350" s="29" t="s">
        <v>5315</v>
      </c>
      <c r="D5350" s="29" t="s">
        <v>5423</v>
      </c>
      <c r="E5350" s="29" t="s">
        <v>5430</v>
      </c>
      <c r="F5350" s="62"/>
      <c r="G5350" s="20" t="str">
        <f t="shared" si="1"/>
        <v>Toys &amp; Games, Toys, Sports Toys, Fishing Toys</v>
      </c>
    </row>
    <row r="5351">
      <c r="A5351" s="29">
        <v>3199.0</v>
      </c>
      <c r="B5351" s="29" t="s">
        <v>118</v>
      </c>
      <c r="C5351" s="29" t="s">
        <v>5315</v>
      </c>
      <c r="D5351" s="29" t="s">
        <v>5423</v>
      </c>
      <c r="E5351" s="29" t="s">
        <v>5431</v>
      </c>
      <c r="F5351" s="62"/>
      <c r="G5351" s="20" t="str">
        <f t="shared" si="1"/>
        <v>Toys &amp; Games, Toys, Sports Toys, Fitness Toys</v>
      </c>
    </row>
    <row r="5352">
      <c r="A5352" s="29">
        <v>3215.0</v>
      </c>
      <c r="B5352" s="29" t="s">
        <v>118</v>
      </c>
      <c r="C5352" s="29" t="s">
        <v>5315</v>
      </c>
      <c r="D5352" s="29" t="s">
        <v>5423</v>
      </c>
      <c r="E5352" s="29" t="s">
        <v>5431</v>
      </c>
      <c r="F5352" s="29" t="s">
        <v>5432</v>
      </c>
      <c r="G5352" s="20" t="str">
        <f t="shared" si="1"/>
        <v>Toys &amp; Games, Toys, Sports Toys, Fitness ToysHula Hoops</v>
      </c>
    </row>
    <row r="5353">
      <c r="A5353" s="29">
        <v>4167.0</v>
      </c>
      <c r="B5353" s="29" t="s">
        <v>118</v>
      </c>
      <c r="C5353" s="29" t="s">
        <v>5315</v>
      </c>
      <c r="D5353" s="29" t="s">
        <v>5423</v>
      </c>
      <c r="E5353" s="29" t="s">
        <v>5433</v>
      </c>
      <c r="F5353" s="62"/>
      <c r="G5353" s="20" t="str">
        <f t="shared" si="1"/>
        <v>Toys &amp; Games, Toys, Sports Toys, Flying Discs</v>
      </c>
    </row>
    <row r="5354">
      <c r="A5354" s="29">
        <v>3909.0</v>
      </c>
      <c r="B5354" s="29" t="s">
        <v>118</v>
      </c>
      <c r="C5354" s="29" t="s">
        <v>5315</v>
      </c>
      <c r="D5354" s="29" t="s">
        <v>5423</v>
      </c>
      <c r="E5354" s="29" t="s">
        <v>5434</v>
      </c>
      <c r="F5354" s="62"/>
      <c r="G5354" s="20" t="str">
        <f t="shared" si="1"/>
        <v>Toys &amp; Games, Toys, Sports Toys, Footbags</v>
      </c>
    </row>
    <row r="5355">
      <c r="A5355" s="29">
        <v>3226.0</v>
      </c>
      <c r="B5355" s="29" t="s">
        <v>118</v>
      </c>
      <c r="C5355" s="29" t="s">
        <v>5315</v>
      </c>
      <c r="D5355" s="29" t="s">
        <v>5423</v>
      </c>
      <c r="E5355" s="29" t="s">
        <v>5435</v>
      </c>
      <c r="F5355" s="62"/>
      <c r="G5355" s="20" t="str">
        <f t="shared" si="1"/>
        <v>Toys &amp; Games, Toys, Sports Toys, Golf Toys</v>
      </c>
    </row>
    <row r="5356">
      <c r="A5356" s="29">
        <v>3943.0</v>
      </c>
      <c r="B5356" s="29" t="s">
        <v>118</v>
      </c>
      <c r="C5356" s="29" t="s">
        <v>5315</v>
      </c>
      <c r="D5356" s="29" t="s">
        <v>5423</v>
      </c>
      <c r="E5356" s="29" t="s">
        <v>5436</v>
      </c>
      <c r="F5356" s="62"/>
      <c r="G5356" s="20" t="str">
        <f t="shared" si="1"/>
        <v>Toys &amp; Games, Toys, Sports Toys, Hockey Toys</v>
      </c>
    </row>
    <row r="5357">
      <c r="A5357" s="29">
        <v>499965.0</v>
      </c>
      <c r="B5357" s="29" t="s">
        <v>118</v>
      </c>
      <c r="C5357" s="29" t="s">
        <v>5315</v>
      </c>
      <c r="D5357" s="29" t="s">
        <v>5423</v>
      </c>
      <c r="E5357" s="29" t="s">
        <v>5437</v>
      </c>
      <c r="F5357" s="62"/>
      <c r="G5357" s="20" t="str">
        <f t="shared" si="1"/>
        <v>Toys &amp; Games, Toys, Sports Toys, Playground Balls</v>
      </c>
    </row>
    <row r="5358">
      <c r="A5358" s="29">
        <v>505284.0</v>
      </c>
      <c r="B5358" s="29" t="s">
        <v>118</v>
      </c>
      <c r="C5358" s="29" t="s">
        <v>5315</v>
      </c>
      <c r="D5358" s="29" t="s">
        <v>5423</v>
      </c>
      <c r="E5358" s="29" t="s">
        <v>5438</v>
      </c>
      <c r="F5358" s="62"/>
      <c r="G5358" s="20" t="str">
        <f t="shared" si="1"/>
        <v>Toys &amp; Games, Toys, Sports Toys, Racquet Sport Toys</v>
      </c>
    </row>
    <row r="5359">
      <c r="A5359" s="29">
        <v>499712.0</v>
      </c>
      <c r="B5359" s="29" t="s">
        <v>118</v>
      </c>
      <c r="C5359" s="29" t="s">
        <v>5315</v>
      </c>
      <c r="D5359" s="29" t="s">
        <v>5439</v>
      </c>
      <c r="E5359" s="62"/>
      <c r="F5359" s="62"/>
      <c r="G5359" s="20" t="str">
        <f t="shared" si="1"/>
        <v>Toys &amp; Games, Toys, Toy Gift Baskets, </v>
      </c>
    </row>
    <row r="5360">
      <c r="A5360" s="29">
        <v>500005.0</v>
      </c>
      <c r="B5360" s="29" t="s">
        <v>118</v>
      </c>
      <c r="C5360" s="29" t="s">
        <v>5315</v>
      </c>
      <c r="D5360" s="29" t="s">
        <v>5440</v>
      </c>
      <c r="F5360" s="62"/>
      <c r="G5360" s="20" t="str">
        <f t="shared" si="1"/>
        <v>Toys &amp; Games, Toys, Toy Weapon &amp; Gadget Accessories, </v>
      </c>
    </row>
    <row r="5361">
      <c r="A5361" s="29">
        <v>3627.0</v>
      </c>
      <c r="B5361" s="29" t="s">
        <v>118</v>
      </c>
      <c r="C5361" s="29" t="s">
        <v>5315</v>
      </c>
      <c r="D5361" s="29" t="s">
        <v>5441</v>
      </c>
      <c r="E5361" s="62"/>
      <c r="F5361" s="62"/>
      <c r="G5361" s="20" t="str">
        <f t="shared" si="1"/>
        <v>Toys &amp; Games, Toys, Toy Weapons &amp; Gadgets, </v>
      </c>
    </row>
    <row r="5362">
      <c r="A5362" s="29">
        <v>3562.0</v>
      </c>
      <c r="B5362" s="29" t="s">
        <v>118</v>
      </c>
      <c r="C5362" s="29" t="s">
        <v>5315</v>
      </c>
      <c r="D5362" s="29" t="s">
        <v>5442</v>
      </c>
      <c r="E5362" s="62"/>
      <c r="F5362" s="62"/>
      <c r="G5362" s="20" t="str">
        <f t="shared" si="1"/>
        <v>Toys &amp; Games, Toys, Visual Toys, </v>
      </c>
    </row>
    <row r="5363">
      <c r="A5363" s="29">
        <v>3301.0</v>
      </c>
      <c r="B5363" s="29" t="s">
        <v>118</v>
      </c>
      <c r="C5363" s="29" t="s">
        <v>5315</v>
      </c>
      <c r="D5363" s="29" t="s">
        <v>5442</v>
      </c>
      <c r="E5363" s="29" t="s">
        <v>5443</v>
      </c>
      <c r="F5363" s="62"/>
      <c r="G5363" s="20" t="str">
        <f t="shared" si="1"/>
        <v>Toys &amp; Games, Toys, Visual Toys, Kaleidoscopes</v>
      </c>
    </row>
    <row r="5364">
      <c r="A5364" s="29">
        <v>3782.0</v>
      </c>
      <c r="B5364" s="29" t="s">
        <v>118</v>
      </c>
      <c r="C5364" s="29" t="s">
        <v>5315</v>
      </c>
      <c r="D5364" s="29" t="s">
        <v>5442</v>
      </c>
      <c r="E5364" s="29" t="s">
        <v>5444</v>
      </c>
      <c r="F5364" s="62"/>
      <c r="G5364" s="20" t="str">
        <f t="shared" si="1"/>
        <v>Toys &amp; Games, Toys, Visual Toys, Prisms</v>
      </c>
    </row>
    <row r="5365">
      <c r="A5365" s="29">
        <v>2953.0</v>
      </c>
      <c r="B5365" s="29" t="s">
        <v>118</v>
      </c>
      <c r="C5365" s="29" t="s">
        <v>5315</v>
      </c>
      <c r="D5365" s="29" t="s">
        <v>5445</v>
      </c>
      <c r="E5365" s="62"/>
      <c r="F5365" s="62"/>
      <c r="G5365" s="20" t="str">
        <f t="shared" si="1"/>
        <v>Toys &amp; Games, Toys, Wind-Up Toys, </v>
      </c>
    </row>
    <row r="5366">
      <c r="A5366" s="29">
        <v>888.0</v>
      </c>
      <c r="B5366" s="29" t="s">
        <v>5446</v>
      </c>
      <c r="C5366" s="62"/>
      <c r="D5366" s="62"/>
      <c r="E5366" s="62"/>
      <c r="F5366" s="62"/>
      <c r="G5366" s="20" t="str">
        <f t="shared" si="1"/>
        <v>Vehicles &amp; Parts, , , </v>
      </c>
    </row>
    <row r="5367">
      <c r="A5367" s="29">
        <v>5613.0</v>
      </c>
      <c r="B5367" s="29" t="s">
        <v>5446</v>
      </c>
      <c r="C5367" s="29" t="s">
        <v>5447</v>
      </c>
      <c r="D5367" s="62"/>
      <c r="E5367" s="62"/>
      <c r="F5367" s="62"/>
      <c r="G5367" s="20" t="str">
        <f t="shared" si="1"/>
        <v>Vehicles &amp; Parts, Vehicle Parts &amp; Accessories, , </v>
      </c>
    </row>
    <row r="5368">
      <c r="A5368" s="29">
        <v>3977.0</v>
      </c>
      <c r="B5368" s="29" t="s">
        <v>5446</v>
      </c>
      <c r="C5368" s="29" t="s">
        <v>5447</v>
      </c>
      <c r="D5368" s="29" t="s">
        <v>5448</v>
      </c>
      <c r="F5368" s="62"/>
      <c r="G5368" s="20" t="str">
        <f t="shared" si="1"/>
        <v>Vehicles &amp; Parts, Vehicle Parts &amp; Accessories, Aircraft Parts &amp; Accessories, </v>
      </c>
    </row>
    <row r="5369">
      <c r="A5369" s="29">
        <v>8526.0</v>
      </c>
      <c r="B5369" s="29" t="s">
        <v>5446</v>
      </c>
      <c r="C5369" s="29" t="s">
        <v>5447</v>
      </c>
      <c r="D5369" s="29" t="s">
        <v>5449</v>
      </c>
      <c r="E5369" s="62"/>
      <c r="F5369" s="62"/>
      <c r="G5369" s="20" t="str">
        <f t="shared" si="1"/>
        <v>Vehicles &amp; Parts, Vehicle Parts &amp; Accessories, Motor Vehicle Electronics, </v>
      </c>
    </row>
    <row r="5370">
      <c r="A5370" s="29">
        <v>505766.0</v>
      </c>
      <c r="B5370" s="29" t="s">
        <v>5446</v>
      </c>
      <c r="C5370" s="29" t="s">
        <v>5447</v>
      </c>
      <c r="D5370" s="29" t="s">
        <v>5449</v>
      </c>
      <c r="E5370" s="29" t="s">
        <v>5450</v>
      </c>
      <c r="G5370" s="20" t="str">
        <f t="shared" si="1"/>
        <v>Vehicles &amp; Parts, Vehicle Parts &amp; Accessories, Motor Vehicle Electronics, Motor Vehicle A/V Players &amp; In-Dash Systems</v>
      </c>
    </row>
    <row r="5371">
      <c r="A5371" s="29">
        <v>891.0</v>
      </c>
      <c r="B5371" s="29" t="s">
        <v>5446</v>
      </c>
      <c r="C5371" s="29" t="s">
        <v>5447</v>
      </c>
      <c r="D5371" s="29" t="s">
        <v>5449</v>
      </c>
      <c r="E5371" s="29" t="s">
        <v>5451</v>
      </c>
      <c r="F5371" s="62"/>
      <c r="G5371" s="20" t="str">
        <f t="shared" si="1"/>
        <v>Vehicles &amp; Parts, Vehicle Parts &amp; Accessories, Motor Vehicle Electronics, Motor Vehicle Amplifiers</v>
      </c>
    </row>
    <row r="5372">
      <c r="A5372" s="29">
        <v>5525.0</v>
      </c>
      <c r="B5372" s="29" t="s">
        <v>5446</v>
      </c>
      <c r="C5372" s="29" t="s">
        <v>5447</v>
      </c>
      <c r="D5372" s="29" t="s">
        <v>5449</v>
      </c>
      <c r="E5372" s="29" t="s">
        <v>5452</v>
      </c>
      <c r="F5372" s="62"/>
      <c r="G5372" s="20" t="str">
        <f t="shared" si="1"/>
        <v>Vehicles &amp; Parts, Vehicle Parts &amp; Accessories, Motor Vehicle Electronics, Motor Vehicle Cassette Adapters</v>
      </c>
    </row>
    <row r="5373">
      <c r="A5373" s="29">
        <v>5438.0</v>
      </c>
      <c r="B5373" s="29" t="s">
        <v>5446</v>
      </c>
      <c r="C5373" s="29" t="s">
        <v>5447</v>
      </c>
      <c r="D5373" s="29" t="s">
        <v>5449</v>
      </c>
      <c r="E5373" s="29" t="s">
        <v>5453</v>
      </c>
      <c r="F5373" s="62"/>
      <c r="G5373" s="20" t="str">
        <f t="shared" si="1"/>
        <v>Vehicles &amp; Parts, Vehicle Parts &amp; Accessories, Motor Vehicle Electronics, Motor Vehicle Cassette Players</v>
      </c>
    </row>
    <row r="5374">
      <c r="A5374" s="29">
        <v>894.0</v>
      </c>
      <c r="B5374" s="29" t="s">
        <v>5446</v>
      </c>
      <c r="C5374" s="29" t="s">
        <v>5447</v>
      </c>
      <c r="D5374" s="29" t="s">
        <v>5449</v>
      </c>
      <c r="E5374" s="29" t="s">
        <v>5454</v>
      </c>
      <c r="G5374" s="20" t="str">
        <f t="shared" si="1"/>
        <v>Vehicles &amp; Parts, Vehicle Parts &amp; Accessories, Motor Vehicle Electronics, Motor Vehicle Equalizers &amp; Crossovers</v>
      </c>
    </row>
    <row r="5375">
      <c r="A5375" s="29">
        <v>6968.0</v>
      </c>
      <c r="B5375" s="29" t="s">
        <v>5446</v>
      </c>
      <c r="C5375" s="29" t="s">
        <v>5447</v>
      </c>
      <c r="D5375" s="29" t="s">
        <v>5449</v>
      </c>
      <c r="E5375" s="29" t="s">
        <v>5455</v>
      </c>
      <c r="F5375" s="62"/>
      <c r="G5375" s="20" t="str">
        <f t="shared" si="1"/>
        <v>Vehicles &amp; Parts, Vehicle Parts &amp; Accessories, Motor Vehicle Electronics, Motor Vehicle Parking Cameras</v>
      </c>
    </row>
    <row r="5376">
      <c r="A5376" s="29">
        <v>5572.0</v>
      </c>
      <c r="B5376" s="29" t="s">
        <v>5446</v>
      </c>
      <c r="C5376" s="29" t="s">
        <v>5447</v>
      </c>
      <c r="D5376" s="29" t="s">
        <v>5449</v>
      </c>
      <c r="E5376" s="29" t="s">
        <v>5456</v>
      </c>
      <c r="F5376" s="62"/>
      <c r="G5376" s="20" t="str">
        <f t="shared" si="1"/>
        <v>Vehicles &amp; Parts, Vehicle Parts &amp; Accessories, Motor Vehicle Electronics, Motor Vehicle Speakerphones</v>
      </c>
    </row>
    <row r="5377">
      <c r="A5377" s="29">
        <v>895.0</v>
      </c>
      <c r="B5377" s="29" t="s">
        <v>5446</v>
      </c>
      <c r="C5377" s="29" t="s">
        <v>5447</v>
      </c>
      <c r="D5377" s="29" t="s">
        <v>5449</v>
      </c>
      <c r="E5377" s="29" t="s">
        <v>5457</v>
      </c>
      <c r="F5377" s="62"/>
      <c r="G5377" s="20" t="str">
        <f t="shared" si="1"/>
        <v>Vehicles &amp; Parts, Vehicle Parts &amp; Accessories, Motor Vehicle Electronics, Motor Vehicle Speakers</v>
      </c>
    </row>
    <row r="5378">
      <c r="A5378" s="29">
        <v>2833.0</v>
      </c>
      <c r="B5378" s="29" t="s">
        <v>5446</v>
      </c>
      <c r="C5378" s="29" t="s">
        <v>5447</v>
      </c>
      <c r="D5378" s="29" t="s">
        <v>5449</v>
      </c>
      <c r="E5378" s="29" t="s">
        <v>5458</v>
      </c>
      <c r="F5378" s="62"/>
      <c r="G5378" s="20" t="str">
        <f t="shared" si="1"/>
        <v>Vehicles &amp; Parts, Vehicle Parts &amp; Accessories, Motor Vehicle Electronics, Motor Vehicle Subwoofers</v>
      </c>
    </row>
    <row r="5379">
      <c r="A5379" s="29">
        <v>8483.0</v>
      </c>
      <c r="B5379" s="29" t="s">
        <v>5446</v>
      </c>
      <c r="C5379" s="29" t="s">
        <v>5447</v>
      </c>
      <c r="D5379" s="29" t="s">
        <v>5449</v>
      </c>
      <c r="E5379" s="29" t="s">
        <v>5459</v>
      </c>
      <c r="G5379" s="20" t="str">
        <f t="shared" si="1"/>
        <v>Vehicles &amp; Parts, Vehicle Parts &amp; Accessories, Motor Vehicle Electronics, Motor Vehicle Video Monitor Mounts</v>
      </c>
    </row>
    <row r="5380">
      <c r="A5380" s="29">
        <v>899.0</v>
      </c>
      <c r="B5380" s="29" t="s">
        <v>5446</v>
      </c>
      <c r="C5380" s="29" t="s">
        <v>5447</v>
      </c>
      <c r="D5380" s="29" t="s">
        <v>5460</v>
      </c>
      <c r="E5380" s="62"/>
      <c r="F5380" s="62"/>
      <c r="G5380" s="20" t="str">
        <f t="shared" si="1"/>
        <v>Vehicles &amp; Parts, Vehicle Parts &amp; Accessories, Motor Vehicle Parts, </v>
      </c>
    </row>
    <row r="5381">
      <c r="A5381" s="29">
        <v>2977.0</v>
      </c>
      <c r="B5381" s="29" t="s">
        <v>5446</v>
      </c>
      <c r="C5381" s="29" t="s">
        <v>5447</v>
      </c>
      <c r="D5381" s="29" t="s">
        <v>5460</v>
      </c>
      <c r="E5381" s="29" t="s">
        <v>5461</v>
      </c>
      <c r="F5381" s="62"/>
      <c r="G5381" s="20" t="str">
        <f t="shared" si="1"/>
        <v>Vehicles &amp; Parts, Vehicle Parts &amp; Accessories, Motor Vehicle Parts, Motor Vehicle Braking</v>
      </c>
    </row>
    <row r="5382">
      <c r="A5382" s="29">
        <v>8232.0</v>
      </c>
      <c r="B5382" s="29" t="s">
        <v>5446</v>
      </c>
      <c r="C5382" s="29" t="s">
        <v>5447</v>
      </c>
      <c r="D5382" s="29" t="s">
        <v>5460</v>
      </c>
      <c r="E5382" s="29" t="s">
        <v>5462</v>
      </c>
      <c r="G5382" s="20" t="str">
        <f t="shared" si="1"/>
        <v>Vehicles &amp; Parts, Vehicle Parts &amp; Accessories, Motor Vehicle Parts, Motor Vehicle Carpet &amp; Upholstery</v>
      </c>
    </row>
    <row r="5383">
      <c r="A5383" s="29">
        <v>2805.0</v>
      </c>
      <c r="B5383" s="29" t="s">
        <v>5446</v>
      </c>
      <c r="C5383" s="29" t="s">
        <v>5447</v>
      </c>
      <c r="D5383" s="29" t="s">
        <v>5460</v>
      </c>
      <c r="E5383" s="29" t="s">
        <v>5463</v>
      </c>
      <c r="F5383" s="62"/>
      <c r="G5383" s="20" t="str">
        <f t="shared" si="1"/>
        <v>Vehicles &amp; Parts, Vehicle Parts &amp; Accessories, Motor Vehicle Parts, Motor Vehicle Climate Control</v>
      </c>
    </row>
    <row r="5384">
      <c r="A5384" s="29">
        <v>8235.0</v>
      </c>
      <c r="B5384" s="29" t="s">
        <v>5446</v>
      </c>
      <c r="C5384" s="29" t="s">
        <v>5447</v>
      </c>
      <c r="D5384" s="29" t="s">
        <v>5460</v>
      </c>
      <c r="E5384" s="29" t="s">
        <v>5464</v>
      </c>
      <c r="F5384" s="62"/>
      <c r="G5384" s="20" t="str">
        <f t="shared" si="1"/>
        <v>Vehicles &amp; Parts, Vehicle Parts &amp; Accessories, Motor Vehicle Parts, Motor Vehicle Controls</v>
      </c>
    </row>
    <row r="5385">
      <c r="A5385" s="29">
        <v>2550.0</v>
      </c>
      <c r="B5385" s="29" t="s">
        <v>5446</v>
      </c>
      <c r="C5385" s="29" t="s">
        <v>5447</v>
      </c>
      <c r="D5385" s="29" t="s">
        <v>5460</v>
      </c>
      <c r="E5385" s="29" t="s">
        <v>5465</v>
      </c>
      <c r="G5385" s="20" t="str">
        <f t="shared" si="1"/>
        <v>Vehicles &amp; Parts, Vehicle Parts &amp; Accessories, Motor Vehicle Parts, Motor Vehicle Engine Oil Circulation</v>
      </c>
    </row>
    <row r="5386">
      <c r="A5386" s="29">
        <v>2820.0</v>
      </c>
      <c r="B5386" s="29" t="s">
        <v>5446</v>
      </c>
      <c r="C5386" s="29" t="s">
        <v>5447</v>
      </c>
      <c r="D5386" s="29" t="s">
        <v>5460</v>
      </c>
      <c r="E5386" s="29" t="s">
        <v>5466</v>
      </c>
      <c r="F5386" s="62"/>
      <c r="G5386" s="20" t="str">
        <f t="shared" si="1"/>
        <v>Vehicles &amp; Parts, Vehicle Parts &amp; Accessories, Motor Vehicle Parts, Motor Vehicle Engine Parts</v>
      </c>
    </row>
    <row r="5387">
      <c r="A5387" s="29">
        <v>8137.0</v>
      </c>
      <c r="B5387" s="29" t="s">
        <v>5446</v>
      </c>
      <c r="C5387" s="29" t="s">
        <v>5447</v>
      </c>
      <c r="D5387" s="29" t="s">
        <v>5460</v>
      </c>
      <c r="E5387" s="29" t="s">
        <v>5467</v>
      </c>
      <c r="F5387" s="62"/>
      <c r="G5387" s="20" t="str">
        <f t="shared" si="1"/>
        <v>Vehicles &amp; Parts, Vehicle Parts &amp; Accessories, Motor Vehicle Parts, Motor Vehicle Engines</v>
      </c>
    </row>
    <row r="5388">
      <c r="A5388" s="29">
        <v>908.0</v>
      </c>
      <c r="B5388" s="29" t="s">
        <v>5446</v>
      </c>
      <c r="C5388" s="29" t="s">
        <v>5447</v>
      </c>
      <c r="D5388" s="29" t="s">
        <v>5460</v>
      </c>
      <c r="E5388" s="29" t="s">
        <v>5468</v>
      </c>
      <c r="F5388" s="62"/>
      <c r="G5388" s="20" t="str">
        <f t="shared" si="1"/>
        <v>Vehicles &amp; Parts, Vehicle Parts &amp; Accessories, Motor Vehicle Parts, Motor Vehicle Exhaust</v>
      </c>
    </row>
    <row r="5389">
      <c r="A5389" s="29">
        <v>8227.0</v>
      </c>
      <c r="B5389" s="29" t="s">
        <v>5446</v>
      </c>
      <c r="C5389" s="29" t="s">
        <v>5447</v>
      </c>
      <c r="D5389" s="29" t="s">
        <v>5460</v>
      </c>
      <c r="E5389" s="29" t="s">
        <v>5469</v>
      </c>
      <c r="G5389" s="20" t="str">
        <f t="shared" si="1"/>
        <v>Vehicles &amp; Parts, Vehicle Parts &amp; Accessories, Motor Vehicle Parts, Motor Vehicle Frame &amp; Body Parts</v>
      </c>
    </row>
    <row r="5390">
      <c r="A5390" s="29">
        <v>2727.0</v>
      </c>
      <c r="B5390" s="29" t="s">
        <v>5446</v>
      </c>
      <c r="C5390" s="29" t="s">
        <v>5447</v>
      </c>
      <c r="D5390" s="29" t="s">
        <v>5460</v>
      </c>
      <c r="E5390" s="29" t="s">
        <v>5470</v>
      </c>
      <c r="F5390" s="62"/>
      <c r="G5390" s="20" t="str">
        <f t="shared" si="1"/>
        <v>Vehicles &amp; Parts, Vehicle Parts &amp; Accessories, Motor Vehicle Parts, Motor Vehicle Fuel Systems</v>
      </c>
    </row>
    <row r="5391">
      <c r="A5391" s="29">
        <v>8233.0</v>
      </c>
      <c r="B5391" s="29" t="s">
        <v>5446</v>
      </c>
      <c r="C5391" s="29" t="s">
        <v>5447</v>
      </c>
      <c r="D5391" s="29" t="s">
        <v>5460</v>
      </c>
      <c r="E5391" s="29" t="s">
        <v>5471</v>
      </c>
      <c r="F5391" s="62"/>
      <c r="G5391" s="20" t="str">
        <f t="shared" si="1"/>
        <v>Vehicles &amp; Parts, Vehicle Parts &amp; Accessories, Motor Vehicle Parts, Motor Vehicle Interior Fittings</v>
      </c>
    </row>
    <row r="5392">
      <c r="A5392" s="29">
        <v>3318.0</v>
      </c>
      <c r="B5392" s="29" t="s">
        <v>5446</v>
      </c>
      <c r="C5392" s="29" t="s">
        <v>5447</v>
      </c>
      <c r="D5392" s="29" t="s">
        <v>5460</v>
      </c>
      <c r="E5392" s="29" t="s">
        <v>5472</v>
      </c>
      <c r="F5392" s="62"/>
      <c r="G5392" s="20" t="str">
        <f t="shared" si="1"/>
        <v>Vehicles &amp; Parts, Vehicle Parts &amp; Accessories, Motor Vehicle Parts, Motor Vehicle Lighting</v>
      </c>
    </row>
    <row r="5393">
      <c r="A5393" s="29">
        <v>2642.0</v>
      </c>
      <c r="B5393" s="29" t="s">
        <v>5446</v>
      </c>
      <c r="C5393" s="29" t="s">
        <v>5447</v>
      </c>
      <c r="D5393" s="29" t="s">
        <v>5460</v>
      </c>
      <c r="E5393" s="29" t="s">
        <v>5473</v>
      </c>
      <c r="F5393" s="62"/>
      <c r="G5393" s="20" t="str">
        <f t="shared" si="1"/>
        <v>Vehicles &amp; Parts, Vehicle Parts &amp; Accessories, Motor Vehicle Parts, Motor Vehicle Mirrors</v>
      </c>
    </row>
    <row r="5394">
      <c r="A5394" s="29">
        <v>8231.0</v>
      </c>
      <c r="B5394" s="29" t="s">
        <v>5446</v>
      </c>
      <c r="C5394" s="29" t="s">
        <v>5447</v>
      </c>
      <c r="D5394" s="29" t="s">
        <v>5460</v>
      </c>
      <c r="E5394" s="29" t="s">
        <v>5474</v>
      </c>
      <c r="G5394" s="20" t="str">
        <f t="shared" si="1"/>
        <v>Vehicles &amp; Parts, Vehicle Parts &amp; Accessories, Motor Vehicle Parts, Motor Vehicle Power &amp; Electrical Systems</v>
      </c>
    </row>
    <row r="5395">
      <c r="A5395" s="29">
        <v>8238.0</v>
      </c>
      <c r="B5395" s="29" t="s">
        <v>5446</v>
      </c>
      <c r="C5395" s="29" t="s">
        <v>5447</v>
      </c>
      <c r="D5395" s="29" t="s">
        <v>5460</v>
      </c>
      <c r="E5395" s="29" t="s">
        <v>5475</v>
      </c>
      <c r="F5395" s="62"/>
      <c r="G5395" s="20" t="str">
        <f t="shared" si="1"/>
        <v>Vehicles &amp; Parts, Vehicle Parts &amp; Accessories, Motor Vehicle Parts, Motor Vehicle Seating</v>
      </c>
    </row>
    <row r="5396">
      <c r="A5396" s="29">
        <v>8234.0</v>
      </c>
      <c r="B5396" s="29" t="s">
        <v>5446</v>
      </c>
      <c r="C5396" s="29" t="s">
        <v>5447</v>
      </c>
      <c r="D5396" s="29" t="s">
        <v>5460</v>
      </c>
      <c r="E5396" s="29" t="s">
        <v>5476</v>
      </c>
      <c r="F5396" s="62"/>
      <c r="G5396" s="20" t="str">
        <f t="shared" si="1"/>
        <v>Vehicles &amp; Parts, Vehicle Parts &amp; Accessories, Motor Vehicle Parts, Motor Vehicle Sensors &amp; Gauges</v>
      </c>
    </row>
    <row r="5397">
      <c r="A5397" s="29">
        <v>2935.0</v>
      </c>
      <c r="B5397" s="29" t="s">
        <v>5446</v>
      </c>
      <c r="C5397" s="29" t="s">
        <v>5447</v>
      </c>
      <c r="D5397" s="29" t="s">
        <v>5460</v>
      </c>
      <c r="E5397" s="29" t="s">
        <v>5477</v>
      </c>
      <c r="F5397" s="62"/>
      <c r="G5397" s="20" t="str">
        <f t="shared" si="1"/>
        <v>Vehicles &amp; Parts, Vehicle Parts &amp; Accessories, Motor Vehicle Parts, Motor Vehicle Suspension Parts</v>
      </c>
    </row>
    <row r="5398">
      <c r="A5398" s="29">
        <v>8228.0</v>
      </c>
      <c r="B5398" s="29" t="s">
        <v>5446</v>
      </c>
      <c r="C5398" s="29" t="s">
        <v>5447</v>
      </c>
      <c r="D5398" s="29" t="s">
        <v>5460</v>
      </c>
      <c r="E5398" s="29" t="s">
        <v>5478</v>
      </c>
      <c r="F5398" s="62"/>
      <c r="G5398" s="20" t="str">
        <f t="shared" si="1"/>
        <v>Vehicles &amp; Parts, Vehicle Parts &amp; Accessories, Motor Vehicle Parts, Motor Vehicle Towing</v>
      </c>
    </row>
    <row r="5399">
      <c r="A5399" s="29">
        <v>2641.0</v>
      </c>
      <c r="B5399" s="29" t="s">
        <v>5446</v>
      </c>
      <c r="C5399" s="29" t="s">
        <v>5447</v>
      </c>
      <c r="D5399" s="29" t="s">
        <v>5460</v>
      </c>
      <c r="E5399" s="29" t="s">
        <v>5479</v>
      </c>
      <c r="G5399" s="20" t="str">
        <f t="shared" si="1"/>
        <v>Vehicles &amp; Parts, Vehicle Parts &amp; Accessories, Motor Vehicle Parts, Motor Vehicle Transmission &amp; Drivetrain Parts</v>
      </c>
    </row>
    <row r="5400">
      <c r="A5400" s="29">
        <v>3020.0</v>
      </c>
      <c r="B5400" s="29" t="s">
        <v>5446</v>
      </c>
      <c r="C5400" s="29" t="s">
        <v>5447</v>
      </c>
      <c r="D5400" s="29" t="s">
        <v>5460</v>
      </c>
      <c r="E5400" s="29" t="s">
        <v>5480</v>
      </c>
      <c r="F5400" s="62"/>
      <c r="G5400" s="20" t="str">
        <f t="shared" si="1"/>
        <v>Vehicles &amp; Parts, Vehicle Parts &amp; Accessories, Motor Vehicle Parts, Motor Vehicle Wheel Systems</v>
      </c>
    </row>
    <row r="5401">
      <c r="A5401" s="29">
        <v>2932.0</v>
      </c>
      <c r="B5401" s="29" t="s">
        <v>5446</v>
      </c>
      <c r="C5401" s="29" t="s">
        <v>5447</v>
      </c>
      <c r="D5401" s="29" t="s">
        <v>5460</v>
      </c>
      <c r="E5401" s="29" t="s">
        <v>5480</v>
      </c>
      <c r="F5401" s="29" t="s">
        <v>5481</v>
      </c>
      <c r="G5401" s="20" t="str">
        <f t="shared" si="1"/>
        <v>Vehicles &amp; Parts, Vehicle Parts &amp; Accessories, Motor Vehicle Parts, Motor Vehicle Wheel SystemsMotor Vehicle Rims &amp; Wheels</v>
      </c>
    </row>
    <row r="5402">
      <c r="A5402" s="29">
        <v>6090.0</v>
      </c>
      <c r="B5402" s="29" t="s">
        <v>5446</v>
      </c>
      <c r="C5402" s="29" t="s">
        <v>5447</v>
      </c>
      <c r="D5402" s="29" t="s">
        <v>5460</v>
      </c>
      <c r="E5402" s="29" t="s">
        <v>5480</v>
      </c>
      <c r="F5402" s="29" t="s">
        <v>5481</v>
      </c>
      <c r="G5402" s="20" t="str">
        <f t="shared" si="1"/>
        <v>Vehicles &amp; Parts, Vehicle Parts &amp; Accessories, Motor Vehicle Parts, Motor Vehicle Wheel SystemsMotor Vehicle Rims &amp; Wheels</v>
      </c>
    </row>
    <row r="5403">
      <c r="A5403" s="29">
        <v>6088.0</v>
      </c>
      <c r="B5403" s="29" t="s">
        <v>5446</v>
      </c>
      <c r="C5403" s="29" t="s">
        <v>5447</v>
      </c>
      <c r="D5403" s="29" t="s">
        <v>5460</v>
      </c>
      <c r="E5403" s="29" t="s">
        <v>5480</v>
      </c>
      <c r="F5403" s="29" t="s">
        <v>5481</v>
      </c>
      <c r="G5403" s="20" t="str">
        <f t="shared" si="1"/>
        <v>Vehicles &amp; Parts, Vehicle Parts &amp; Accessories, Motor Vehicle Parts, Motor Vehicle Wheel SystemsMotor Vehicle Rims &amp; Wheels</v>
      </c>
    </row>
    <row r="5404">
      <c r="A5404" s="29">
        <v>7253.0</v>
      </c>
      <c r="B5404" s="29" t="s">
        <v>5446</v>
      </c>
      <c r="C5404" s="29" t="s">
        <v>5447</v>
      </c>
      <c r="D5404" s="29" t="s">
        <v>5460</v>
      </c>
      <c r="E5404" s="29" t="s">
        <v>5480</v>
      </c>
      <c r="F5404" s="29" t="s">
        <v>5481</v>
      </c>
      <c r="G5404" s="20" t="str">
        <f t="shared" si="1"/>
        <v>Vehicles &amp; Parts, Vehicle Parts &amp; Accessories, Motor Vehicle Parts, Motor Vehicle Wheel SystemsMotor Vehicle Rims &amp; Wheels</v>
      </c>
    </row>
    <row r="5405">
      <c r="A5405" s="29">
        <v>2989.0</v>
      </c>
      <c r="B5405" s="29" t="s">
        <v>5446</v>
      </c>
      <c r="C5405" s="29" t="s">
        <v>5447</v>
      </c>
      <c r="D5405" s="29" t="s">
        <v>5460</v>
      </c>
      <c r="E5405" s="29" t="s">
        <v>5480</v>
      </c>
      <c r="F5405" s="29" t="s">
        <v>5482</v>
      </c>
      <c r="G5405" s="20" t="str">
        <f t="shared" si="1"/>
        <v>Vehicles &amp; Parts, Vehicle Parts &amp; Accessories, Motor Vehicle Parts, Motor Vehicle Wheel SystemsMotor Vehicle Tire Accessories</v>
      </c>
    </row>
    <row r="5406">
      <c r="A5406" s="29">
        <v>911.0</v>
      </c>
      <c r="B5406" s="29" t="s">
        <v>5446</v>
      </c>
      <c r="C5406" s="29" t="s">
        <v>5447</v>
      </c>
      <c r="D5406" s="29" t="s">
        <v>5460</v>
      </c>
      <c r="E5406" s="29" t="s">
        <v>5480</v>
      </c>
      <c r="F5406" s="29" t="s">
        <v>5483</v>
      </c>
      <c r="G5406" s="20" t="str">
        <f t="shared" si="1"/>
        <v>Vehicles &amp; Parts, Vehicle Parts &amp; Accessories, Motor Vehicle Parts, Motor Vehicle Wheel SystemsMotor Vehicle Tires</v>
      </c>
    </row>
    <row r="5407">
      <c r="A5407" s="29">
        <v>6093.0</v>
      </c>
      <c r="B5407" s="29" t="s">
        <v>5446</v>
      </c>
      <c r="C5407" s="29" t="s">
        <v>5447</v>
      </c>
      <c r="D5407" s="29" t="s">
        <v>5460</v>
      </c>
      <c r="E5407" s="29" t="s">
        <v>5480</v>
      </c>
      <c r="F5407" s="29" t="s">
        <v>5483</v>
      </c>
      <c r="G5407" s="20" t="str">
        <f t="shared" si="1"/>
        <v>Vehicles &amp; Parts, Vehicle Parts &amp; Accessories, Motor Vehicle Parts, Motor Vehicle Wheel SystemsMotor Vehicle Tires</v>
      </c>
    </row>
    <row r="5408">
      <c r="A5408" s="29">
        <v>6091.0</v>
      </c>
      <c r="B5408" s="29" t="s">
        <v>5446</v>
      </c>
      <c r="C5408" s="29" t="s">
        <v>5447</v>
      </c>
      <c r="D5408" s="29" t="s">
        <v>5460</v>
      </c>
      <c r="E5408" s="29" t="s">
        <v>5480</v>
      </c>
      <c r="F5408" s="29" t="s">
        <v>5483</v>
      </c>
      <c r="G5408" s="20" t="str">
        <f t="shared" si="1"/>
        <v>Vehicles &amp; Parts, Vehicle Parts &amp; Accessories, Motor Vehicle Parts, Motor Vehicle Wheel SystemsMotor Vehicle Tires</v>
      </c>
    </row>
    <row r="5409">
      <c r="A5409" s="29">
        <v>7252.0</v>
      </c>
      <c r="B5409" s="29" t="s">
        <v>5446</v>
      </c>
      <c r="C5409" s="29" t="s">
        <v>5447</v>
      </c>
      <c r="D5409" s="29" t="s">
        <v>5460</v>
      </c>
      <c r="E5409" s="29" t="s">
        <v>5480</v>
      </c>
      <c r="F5409" s="29" t="s">
        <v>5483</v>
      </c>
      <c r="G5409" s="20" t="str">
        <f t="shared" si="1"/>
        <v>Vehicles &amp; Parts, Vehicle Parts &amp; Accessories, Motor Vehicle Parts, Motor Vehicle Wheel SystemsMotor Vehicle Tires</v>
      </c>
    </row>
    <row r="5410">
      <c r="A5410" s="29">
        <v>2556.0</v>
      </c>
      <c r="B5410" s="29" t="s">
        <v>5446</v>
      </c>
      <c r="C5410" s="29" t="s">
        <v>5447</v>
      </c>
      <c r="D5410" s="29" t="s">
        <v>5460</v>
      </c>
      <c r="E5410" s="29" t="s">
        <v>5480</v>
      </c>
      <c r="F5410" s="29" t="s">
        <v>5484</v>
      </c>
      <c r="G5410" s="20" t="str">
        <f t="shared" si="1"/>
        <v>Vehicles &amp; Parts, Vehicle Parts &amp; Accessories, Motor Vehicle Parts, Motor Vehicle Wheel SystemsMotor Vehicle Wheel Parts</v>
      </c>
    </row>
    <row r="5411">
      <c r="A5411" s="29">
        <v>2534.0</v>
      </c>
      <c r="B5411" s="29" t="s">
        <v>5446</v>
      </c>
      <c r="C5411" s="29" t="s">
        <v>5447</v>
      </c>
      <c r="D5411" s="29" t="s">
        <v>5460</v>
      </c>
      <c r="E5411" s="29" t="s">
        <v>5485</v>
      </c>
      <c r="G5411" s="20" t="str">
        <f t="shared" si="1"/>
        <v>Vehicles &amp; Parts, Vehicle Parts &amp; Accessories, Motor Vehicle Parts, Motor Vehicle Window Parts &amp; Accessories</v>
      </c>
    </row>
    <row r="5412">
      <c r="A5412" s="29">
        <v>913.0</v>
      </c>
      <c r="B5412" s="29" t="s">
        <v>5446</v>
      </c>
      <c r="C5412" s="29" t="s">
        <v>5447</v>
      </c>
      <c r="D5412" s="29" t="s">
        <v>5486</v>
      </c>
      <c r="F5412" s="62"/>
      <c r="G5412" s="20" t="str">
        <f t="shared" si="1"/>
        <v>Vehicles &amp; Parts, Vehicle Parts &amp; Accessories, Vehicle Maintenance, Care &amp; Decor, </v>
      </c>
    </row>
    <row r="5413">
      <c r="A5413" s="29">
        <v>8534.0</v>
      </c>
      <c r="B5413" s="29" t="s">
        <v>5446</v>
      </c>
      <c r="C5413" s="29" t="s">
        <v>5447</v>
      </c>
      <c r="D5413" s="29" t="s">
        <v>5486</v>
      </c>
      <c r="E5413" s="29" t="s">
        <v>5487</v>
      </c>
      <c r="F5413" s="62"/>
      <c r="G5413" s="20" t="str">
        <f t="shared" si="1"/>
        <v>Vehicles &amp; Parts, Vehicle Parts &amp; Accessories, Vehicle Maintenance, Care &amp; Decor, Portable Fuel Cans</v>
      </c>
    </row>
    <row r="5414">
      <c r="A5414" s="29">
        <v>2895.0</v>
      </c>
      <c r="B5414" s="29" t="s">
        <v>5446</v>
      </c>
      <c r="C5414" s="29" t="s">
        <v>5447</v>
      </c>
      <c r="D5414" s="29" t="s">
        <v>5486</v>
      </c>
      <c r="E5414" s="29" t="s">
        <v>5488</v>
      </c>
      <c r="F5414" s="62"/>
      <c r="G5414" s="20" t="str">
        <f t="shared" si="1"/>
        <v>Vehicles &amp; Parts, Vehicle Parts &amp; Accessories, Vehicle Maintenance, Care &amp; Decor, Vehicle Cleaning</v>
      </c>
    </row>
    <row r="5415">
      <c r="A5415" s="29">
        <v>2894.0</v>
      </c>
      <c r="B5415" s="29" t="s">
        <v>5446</v>
      </c>
      <c r="C5415" s="29" t="s">
        <v>5447</v>
      </c>
      <c r="D5415" s="29" t="s">
        <v>5486</v>
      </c>
      <c r="E5415" s="29" t="s">
        <v>5488</v>
      </c>
      <c r="F5415" s="29" t="s">
        <v>5489</v>
      </c>
      <c r="G5415" s="20" t="str">
        <f t="shared" si="1"/>
        <v>Vehicles &amp; Parts, Vehicle Parts &amp; Accessories, Vehicle Maintenance, Care &amp; Decor, Vehicle CleaningCar Wash Brushes</v>
      </c>
    </row>
    <row r="5416">
      <c r="A5416" s="29">
        <v>2590.0</v>
      </c>
      <c r="B5416" s="29" t="s">
        <v>5446</v>
      </c>
      <c r="C5416" s="29" t="s">
        <v>5447</v>
      </c>
      <c r="D5416" s="29" t="s">
        <v>5486</v>
      </c>
      <c r="E5416" s="29" t="s">
        <v>5488</v>
      </c>
      <c r="F5416" s="29" t="s">
        <v>5490</v>
      </c>
      <c r="G5416" s="20" t="str">
        <f t="shared" si="1"/>
        <v>Vehicles &amp; Parts, Vehicle Parts &amp; Accessories, Vehicle Maintenance, Care &amp; Decor, Vehicle CleaningCar Wash Solutions</v>
      </c>
    </row>
    <row r="5417">
      <c r="A5417" s="29">
        <v>2704.0</v>
      </c>
      <c r="B5417" s="29" t="s">
        <v>5446</v>
      </c>
      <c r="C5417" s="29" t="s">
        <v>5447</v>
      </c>
      <c r="D5417" s="29" t="s">
        <v>5486</v>
      </c>
      <c r="E5417" s="29" t="s">
        <v>5488</v>
      </c>
      <c r="F5417" s="29" t="s">
        <v>5491</v>
      </c>
      <c r="G5417" s="20" t="str">
        <f t="shared" si="1"/>
        <v>Vehicles &amp; Parts, Vehicle Parts &amp; Accessories, Vehicle Maintenance, Care &amp; Decor, Vehicle CleaningVehicle Carpet &amp; Upholstery Cleaners</v>
      </c>
    </row>
    <row r="5418">
      <c r="A5418" s="29">
        <v>499766.0</v>
      </c>
      <c r="B5418" s="29" t="s">
        <v>5446</v>
      </c>
      <c r="C5418" s="29" t="s">
        <v>5447</v>
      </c>
      <c r="D5418" s="29" t="s">
        <v>5486</v>
      </c>
      <c r="E5418" s="29" t="s">
        <v>5488</v>
      </c>
      <c r="F5418" s="29" t="s">
        <v>5492</v>
      </c>
      <c r="G5418" s="20" t="str">
        <f t="shared" si="1"/>
        <v>Vehicles &amp; Parts, Vehicle Parts &amp; Accessories, Vehicle Maintenance, Care &amp; Decor, Vehicle CleaningVehicle Fuel Injection Cleaning Kits</v>
      </c>
    </row>
    <row r="5419">
      <c r="A5419" s="29">
        <v>2846.0</v>
      </c>
      <c r="B5419" s="29" t="s">
        <v>5446</v>
      </c>
      <c r="C5419" s="29" t="s">
        <v>5447</v>
      </c>
      <c r="D5419" s="29" t="s">
        <v>5486</v>
      </c>
      <c r="E5419" s="29" t="s">
        <v>5488</v>
      </c>
      <c r="F5419" s="29" t="s">
        <v>5493</v>
      </c>
      <c r="G5419" s="20" t="str">
        <f t="shared" si="1"/>
        <v>Vehicles &amp; Parts, Vehicle Parts &amp; Accessories, Vehicle Maintenance, Care &amp; Decor, Vehicle CleaningVehicle Glass Cleaners</v>
      </c>
    </row>
    <row r="5420">
      <c r="A5420" s="29">
        <v>2643.0</v>
      </c>
      <c r="B5420" s="29" t="s">
        <v>5446</v>
      </c>
      <c r="C5420" s="29" t="s">
        <v>5447</v>
      </c>
      <c r="D5420" s="29" t="s">
        <v>5486</v>
      </c>
      <c r="E5420" s="29" t="s">
        <v>5488</v>
      </c>
      <c r="F5420" s="29" t="s">
        <v>5494</v>
      </c>
      <c r="G5420" s="20" t="str">
        <f t="shared" si="1"/>
        <v>Vehicles &amp; Parts, Vehicle Parts &amp; Accessories, Vehicle Maintenance, Care &amp; Decor, Vehicle CleaningVehicle Waxes, Polishes &amp; Protectants</v>
      </c>
    </row>
    <row r="5421">
      <c r="A5421" s="29">
        <v>3436.0</v>
      </c>
      <c r="B5421" s="29" t="s">
        <v>5446</v>
      </c>
      <c r="C5421" s="29" t="s">
        <v>5447</v>
      </c>
      <c r="D5421" s="29" t="s">
        <v>5486</v>
      </c>
      <c r="E5421" s="29" t="s">
        <v>5495</v>
      </c>
      <c r="F5421" s="62"/>
      <c r="G5421" s="20" t="str">
        <f t="shared" si="1"/>
        <v>Vehicles &amp; Parts, Vehicle Parts &amp; Accessories, Vehicle Maintenance, Care &amp; Decor, Vehicle Covers</v>
      </c>
    </row>
    <row r="5422">
      <c r="A5422" s="29">
        <v>8306.0</v>
      </c>
      <c r="B5422" s="29" t="s">
        <v>5446</v>
      </c>
      <c r="C5422" s="29" t="s">
        <v>5447</v>
      </c>
      <c r="D5422" s="29" t="s">
        <v>5486</v>
      </c>
      <c r="E5422" s="29" t="s">
        <v>5495</v>
      </c>
      <c r="F5422" s="29" t="s">
        <v>5496</v>
      </c>
      <c r="G5422" s="20" t="str">
        <f t="shared" si="1"/>
        <v>Vehicles &amp; Parts, Vehicle Parts &amp; Accessories, Vehicle Maintenance, Care &amp; Decor, Vehicle CoversGolf Cart Enclosures</v>
      </c>
    </row>
    <row r="5423">
      <c r="A5423" s="29">
        <v>8316.0</v>
      </c>
      <c r="B5423" s="29" t="s">
        <v>5446</v>
      </c>
      <c r="C5423" s="29" t="s">
        <v>5447</v>
      </c>
      <c r="D5423" s="29" t="s">
        <v>5486</v>
      </c>
      <c r="E5423" s="29" t="s">
        <v>5495</v>
      </c>
      <c r="F5423" s="29" t="s">
        <v>5497</v>
      </c>
      <c r="G5423" s="20" t="str">
        <f t="shared" si="1"/>
        <v>Vehicles &amp; Parts, Vehicle Parts &amp; Accessories, Vehicle Maintenance, Care &amp; Decor, Vehicle CoversMotor Vehicle Windshield Covers</v>
      </c>
    </row>
    <row r="5424">
      <c r="A5424" s="29">
        <v>8308.0</v>
      </c>
      <c r="B5424" s="29" t="s">
        <v>5446</v>
      </c>
      <c r="C5424" s="29" t="s">
        <v>5447</v>
      </c>
      <c r="D5424" s="29" t="s">
        <v>5486</v>
      </c>
      <c r="E5424" s="29" t="s">
        <v>5495</v>
      </c>
      <c r="F5424" s="29" t="s">
        <v>5498</v>
      </c>
      <c r="G5424" s="20" t="str">
        <f t="shared" si="1"/>
        <v>Vehicles &amp; Parts, Vehicle Parts &amp; Accessories, Vehicle Maintenance, Care &amp; Decor, Vehicle CoversTonneau Covers</v>
      </c>
    </row>
    <row r="5425">
      <c r="A5425" s="29">
        <v>2494.0</v>
      </c>
      <c r="B5425" s="29" t="s">
        <v>5446</v>
      </c>
      <c r="C5425" s="29" t="s">
        <v>5447</v>
      </c>
      <c r="D5425" s="29" t="s">
        <v>5486</v>
      </c>
      <c r="E5425" s="29" t="s">
        <v>5495</v>
      </c>
      <c r="F5425" s="29" t="s">
        <v>5499</v>
      </c>
      <c r="G5425" s="20" t="str">
        <f t="shared" si="1"/>
        <v>Vehicles &amp; Parts, Vehicle Parts &amp; Accessories, Vehicle Maintenance, Care &amp; Decor, Vehicle CoversVehicle Hardtops</v>
      </c>
    </row>
    <row r="5426">
      <c r="A5426" s="29">
        <v>7031.0</v>
      </c>
      <c r="B5426" s="29" t="s">
        <v>5446</v>
      </c>
      <c r="C5426" s="29" t="s">
        <v>5447</v>
      </c>
      <c r="D5426" s="29" t="s">
        <v>5486</v>
      </c>
      <c r="E5426" s="29" t="s">
        <v>5495</v>
      </c>
      <c r="F5426" s="29" t="s">
        <v>5500</v>
      </c>
      <c r="G5426" s="20" t="str">
        <f t="shared" si="1"/>
        <v>Vehicles &amp; Parts, Vehicle Parts &amp; Accessories, Vehicle Maintenance, Care &amp; Decor, Vehicle CoversVehicle Soft Tops</v>
      </c>
    </row>
    <row r="5427">
      <c r="A5427" s="29">
        <v>8309.0</v>
      </c>
      <c r="B5427" s="29" t="s">
        <v>5446</v>
      </c>
      <c r="C5427" s="29" t="s">
        <v>5447</v>
      </c>
      <c r="D5427" s="29" t="s">
        <v>5486</v>
      </c>
      <c r="E5427" s="29" t="s">
        <v>5495</v>
      </c>
      <c r="F5427" s="29" t="s">
        <v>5501</v>
      </c>
      <c r="G5427" s="20" t="str">
        <f t="shared" si="1"/>
        <v>Vehicles &amp; Parts, Vehicle Parts &amp; Accessories, Vehicle Maintenance, Care &amp; Decor, Vehicle CoversVehicle Storage Covers</v>
      </c>
    </row>
    <row r="5428">
      <c r="A5428" s="29">
        <v>8310.0</v>
      </c>
      <c r="B5428" s="29" t="s">
        <v>5446</v>
      </c>
      <c r="C5428" s="29" t="s">
        <v>5447</v>
      </c>
      <c r="D5428" s="29" t="s">
        <v>5486</v>
      </c>
      <c r="E5428" s="29" t="s">
        <v>5495</v>
      </c>
      <c r="F5428" s="29" t="s">
        <v>5501</v>
      </c>
      <c r="G5428" s="20" t="str">
        <f t="shared" si="1"/>
        <v>Vehicles &amp; Parts, Vehicle Parts &amp; Accessories, Vehicle Maintenance, Care &amp; Decor, Vehicle CoversVehicle Storage Covers</v>
      </c>
    </row>
    <row r="5429">
      <c r="A5429" s="29">
        <v>8314.0</v>
      </c>
      <c r="B5429" s="29" t="s">
        <v>5446</v>
      </c>
      <c r="C5429" s="29" t="s">
        <v>5447</v>
      </c>
      <c r="D5429" s="29" t="s">
        <v>5486</v>
      </c>
      <c r="E5429" s="29" t="s">
        <v>5495</v>
      </c>
      <c r="F5429" s="29" t="s">
        <v>5501</v>
      </c>
      <c r="G5429" s="20" t="str">
        <f t="shared" si="1"/>
        <v>Vehicles &amp; Parts, Vehicle Parts &amp; Accessories, Vehicle Maintenance, Care &amp; Decor, Vehicle CoversVehicle Storage Covers</v>
      </c>
    </row>
    <row r="5430">
      <c r="A5430" s="29">
        <v>8313.0</v>
      </c>
      <c r="B5430" s="29" t="s">
        <v>5446</v>
      </c>
      <c r="C5430" s="29" t="s">
        <v>5447</v>
      </c>
      <c r="D5430" s="29" t="s">
        <v>5486</v>
      </c>
      <c r="E5430" s="29" t="s">
        <v>5495</v>
      </c>
      <c r="F5430" s="29" t="s">
        <v>5501</v>
      </c>
      <c r="G5430" s="20" t="str">
        <f t="shared" si="1"/>
        <v>Vehicles &amp; Parts, Vehicle Parts &amp; Accessories, Vehicle Maintenance, Care &amp; Decor, Vehicle CoversVehicle Storage Covers</v>
      </c>
    </row>
    <row r="5431">
      <c r="A5431" s="29">
        <v>8311.0</v>
      </c>
      <c r="B5431" s="29" t="s">
        <v>5446</v>
      </c>
      <c r="C5431" s="29" t="s">
        <v>5447</v>
      </c>
      <c r="D5431" s="29" t="s">
        <v>5486</v>
      </c>
      <c r="E5431" s="29" t="s">
        <v>5495</v>
      </c>
      <c r="F5431" s="29" t="s">
        <v>5501</v>
      </c>
      <c r="G5431" s="20" t="str">
        <f t="shared" si="1"/>
        <v>Vehicles &amp; Parts, Vehicle Parts &amp; Accessories, Vehicle Maintenance, Care &amp; Decor, Vehicle CoversVehicle Storage Covers</v>
      </c>
    </row>
    <row r="5432">
      <c r="A5432" s="29">
        <v>8312.0</v>
      </c>
      <c r="B5432" s="29" t="s">
        <v>5446</v>
      </c>
      <c r="C5432" s="29" t="s">
        <v>5447</v>
      </c>
      <c r="D5432" s="29" t="s">
        <v>5486</v>
      </c>
      <c r="E5432" s="29" t="s">
        <v>5495</v>
      </c>
      <c r="F5432" s="29" t="s">
        <v>5501</v>
      </c>
      <c r="G5432" s="20" t="str">
        <f t="shared" si="1"/>
        <v>Vehicles &amp; Parts, Vehicle Parts &amp; Accessories, Vehicle Maintenance, Care &amp; Decor, Vehicle CoversVehicle Storage Covers</v>
      </c>
    </row>
    <row r="5433">
      <c r="A5433" s="29">
        <v>2495.0</v>
      </c>
      <c r="B5433" s="29" t="s">
        <v>5446</v>
      </c>
      <c r="C5433" s="29" t="s">
        <v>5447</v>
      </c>
      <c r="D5433" s="29" t="s">
        <v>5486</v>
      </c>
      <c r="E5433" s="29" t="s">
        <v>5502</v>
      </c>
      <c r="F5433" s="62"/>
      <c r="G5433" s="20" t="str">
        <f t="shared" si="1"/>
        <v>Vehicles &amp; Parts, Vehicle Parts &amp; Accessories, Vehicle Maintenance, Care &amp; Decor, Vehicle Decor</v>
      </c>
    </row>
    <row r="5434">
      <c r="A5434" s="29">
        <v>2667.0</v>
      </c>
      <c r="B5434" s="29" t="s">
        <v>5446</v>
      </c>
      <c r="C5434" s="29" t="s">
        <v>5447</v>
      </c>
      <c r="D5434" s="29" t="s">
        <v>5486</v>
      </c>
      <c r="E5434" s="29" t="s">
        <v>5502</v>
      </c>
      <c r="F5434" s="29" t="s">
        <v>5503</v>
      </c>
      <c r="G5434" s="20" t="str">
        <f t="shared" si="1"/>
        <v>Vehicles &amp; Parts, Vehicle Parts &amp; Accessories, Vehicle Maintenance, Care &amp; Decor, Vehicle DecorBumper Stickers</v>
      </c>
    </row>
    <row r="5435">
      <c r="A5435" s="29">
        <v>2789.0</v>
      </c>
      <c r="B5435" s="29" t="s">
        <v>5446</v>
      </c>
      <c r="C5435" s="29" t="s">
        <v>5447</v>
      </c>
      <c r="D5435" s="29" t="s">
        <v>5486</v>
      </c>
      <c r="E5435" s="29" t="s">
        <v>5502</v>
      </c>
      <c r="F5435" s="29" t="s">
        <v>5504</v>
      </c>
      <c r="G5435" s="20" t="str">
        <f t="shared" si="1"/>
        <v>Vehicles &amp; Parts, Vehicle Parts &amp; Accessories, Vehicle Maintenance, Care &amp; Decor, Vehicle DecorVehicle Air Fresheners</v>
      </c>
    </row>
    <row r="5436">
      <c r="A5436" s="29">
        <v>2588.0</v>
      </c>
      <c r="B5436" s="29" t="s">
        <v>5446</v>
      </c>
      <c r="C5436" s="29" t="s">
        <v>5447</v>
      </c>
      <c r="D5436" s="29" t="s">
        <v>5486</v>
      </c>
      <c r="E5436" s="29" t="s">
        <v>5502</v>
      </c>
      <c r="F5436" s="29" t="s">
        <v>5505</v>
      </c>
      <c r="G5436" s="20" t="str">
        <f t="shared" si="1"/>
        <v>Vehicles &amp; Parts, Vehicle Parts &amp; Accessories, Vehicle Maintenance, Care &amp; Decor, Vehicle DecorVehicle Antenna Balls</v>
      </c>
    </row>
    <row r="5437">
      <c r="A5437" s="29">
        <v>2582.0</v>
      </c>
      <c r="B5437" s="29" t="s">
        <v>5446</v>
      </c>
      <c r="C5437" s="29" t="s">
        <v>5447</v>
      </c>
      <c r="D5437" s="29" t="s">
        <v>5486</v>
      </c>
      <c r="E5437" s="29" t="s">
        <v>5502</v>
      </c>
      <c r="F5437" s="29" t="s">
        <v>5506</v>
      </c>
      <c r="G5437" s="20" t="str">
        <f t="shared" si="1"/>
        <v>Vehicles &amp; Parts, Vehicle Parts &amp; Accessories, Vehicle Maintenance, Care &amp; Decor, Vehicle DecorVehicle Dashboard Accessories</v>
      </c>
    </row>
    <row r="5438">
      <c r="A5438" s="29">
        <v>2722.0</v>
      </c>
      <c r="B5438" s="29" t="s">
        <v>5446</v>
      </c>
      <c r="C5438" s="29" t="s">
        <v>5447</v>
      </c>
      <c r="D5438" s="29" t="s">
        <v>5486</v>
      </c>
      <c r="E5438" s="29" t="s">
        <v>5502</v>
      </c>
      <c r="F5438" s="29" t="s">
        <v>5507</v>
      </c>
      <c r="G5438" s="20" t="str">
        <f t="shared" si="1"/>
        <v>Vehicles &amp; Parts, Vehicle Parts &amp; Accessories, Vehicle Maintenance, Care &amp; Decor, Vehicle DecorVehicle Decals</v>
      </c>
    </row>
    <row r="5439">
      <c r="A5439" s="29">
        <v>8469.0</v>
      </c>
      <c r="B5439" s="29" t="s">
        <v>5446</v>
      </c>
      <c r="C5439" s="29" t="s">
        <v>5447</v>
      </c>
      <c r="D5439" s="29" t="s">
        <v>5486</v>
      </c>
      <c r="E5439" s="29" t="s">
        <v>5502</v>
      </c>
      <c r="F5439" s="29" t="s">
        <v>5508</v>
      </c>
      <c r="G5439" s="20" t="str">
        <f t="shared" si="1"/>
        <v>Vehicles &amp; Parts, Vehicle Parts &amp; Accessories, Vehicle Maintenance, Care &amp; Decor, Vehicle DecorVehicle Decor Accessory Sets</v>
      </c>
    </row>
    <row r="5440">
      <c r="A5440" s="29">
        <v>2652.0</v>
      </c>
      <c r="B5440" s="29" t="s">
        <v>5446</v>
      </c>
      <c r="C5440" s="29" t="s">
        <v>5447</v>
      </c>
      <c r="D5440" s="29" t="s">
        <v>5486</v>
      </c>
      <c r="E5440" s="29" t="s">
        <v>5502</v>
      </c>
      <c r="F5440" s="29" t="s">
        <v>5509</v>
      </c>
      <c r="G5440" s="20" t="str">
        <f t="shared" si="1"/>
        <v>Vehicles &amp; Parts, Vehicle Parts &amp; Accessories, Vehicle Maintenance, Care &amp; Decor, Vehicle DecorVehicle Display Flags</v>
      </c>
    </row>
    <row r="5441">
      <c r="A5441" s="29">
        <v>5995.0</v>
      </c>
      <c r="B5441" s="29" t="s">
        <v>5446</v>
      </c>
      <c r="C5441" s="29" t="s">
        <v>5447</v>
      </c>
      <c r="D5441" s="29" t="s">
        <v>5486</v>
      </c>
      <c r="E5441" s="29" t="s">
        <v>5502</v>
      </c>
      <c r="F5441" s="29" t="s">
        <v>5510</v>
      </c>
      <c r="G5441" s="20" t="str">
        <f t="shared" si="1"/>
        <v>Vehicles &amp; Parts, Vehicle Parts &amp; Accessories, Vehicle Maintenance, Care &amp; Decor, Vehicle DecorVehicle Emblems &amp; Hood Ornaments</v>
      </c>
    </row>
    <row r="5442">
      <c r="A5442" s="29">
        <v>8145.0</v>
      </c>
      <c r="B5442" s="29" t="s">
        <v>5446</v>
      </c>
      <c r="C5442" s="29" t="s">
        <v>5447</v>
      </c>
      <c r="D5442" s="29" t="s">
        <v>5486</v>
      </c>
      <c r="E5442" s="29" t="s">
        <v>5502</v>
      </c>
      <c r="F5442" s="29" t="s">
        <v>5511</v>
      </c>
      <c r="G5442" s="20" t="str">
        <f t="shared" si="1"/>
        <v>Vehicles &amp; Parts, Vehicle Parts &amp; Accessories, Vehicle Maintenance, Care &amp; Decor, Vehicle DecorVehicle Hitch Covers</v>
      </c>
    </row>
    <row r="5443">
      <c r="A5443" s="29">
        <v>7022.0</v>
      </c>
      <c r="B5443" s="29" t="s">
        <v>5446</v>
      </c>
      <c r="C5443" s="29" t="s">
        <v>5447</v>
      </c>
      <c r="D5443" s="29" t="s">
        <v>5486</v>
      </c>
      <c r="E5443" s="29" t="s">
        <v>5502</v>
      </c>
      <c r="F5443" s="29" t="s">
        <v>5512</v>
      </c>
      <c r="G5443" s="20" t="str">
        <f t="shared" si="1"/>
        <v>Vehicles &amp; Parts, Vehicle Parts &amp; Accessories, Vehicle Maintenance, Care &amp; Decor, Vehicle DecorVehicle License Plate Covers</v>
      </c>
    </row>
    <row r="5444">
      <c r="A5444" s="29">
        <v>5994.0</v>
      </c>
      <c r="B5444" s="29" t="s">
        <v>5446</v>
      </c>
      <c r="C5444" s="29" t="s">
        <v>5447</v>
      </c>
      <c r="D5444" s="29" t="s">
        <v>5486</v>
      </c>
      <c r="E5444" s="29" t="s">
        <v>5502</v>
      </c>
      <c r="F5444" s="29" t="s">
        <v>5513</v>
      </c>
      <c r="G5444" s="20" t="str">
        <f t="shared" si="1"/>
        <v>Vehicles &amp; Parts, Vehicle Parts &amp; Accessories, Vehicle Maintenance, Care &amp; Decor, Vehicle DecorVehicle License Plate Frames</v>
      </c>
    </row>
    <row r="5445">
      <c r="A5445" s="29">
        <v>8298.0</v>
      </c>
      <c r="B5445" s="29" t="s">
        <v>5446</v>
      </c>
      <c r="C5445" s="29" t="s">
        <v>5447</v>
      </c>
      <c r="D5445" s="29" t="s">
        <v>5486</v>
      </c>
      <c r="E5445" s="29" t="s">
        <v>5502</v>
      </c>
      <c r="F5445" s="29" t="s">
        <v>5514</v>
      </c>
      <c r="G5445" s="20" t="str">
        <f t="shared" si="1"/>
        <v>Vehicles &amp; Parts, Vehicle Parts &amp; Accessories, Vehicle Maintenance, Care &amp; Decor, Vehicle DecorVehicle License Plate Mounts &amp; Holders</v>
      </c>
    </row>
    <row r="5446">
      <c r="A5446" s="29">
        <v>2248.0</v>
      </c>
      <c r="B5446" s="29" t="s">
        <v>5446</v>
      </c>
      <c r="C5446" s="29" t="s">
        <v>5447</v>
      </c>
      <c r="D5446" s="29" t="s">
        <v>5486</v>
      </c>
      <c r="E5446" s="29" t="s">
        <v>5502</v>
      </c>
      <c r="F5446" s="29" t="s">
        <v>5515</v>
      </c>
      <c r="G5446" s="20" t="str">
        <f t="shared" si="1"/>
        <v>Vehicles &amp; Parts, Vehicle Parts &amp; Accessories, Vehicle Maintenance, Care &amp; Decor, Vehicle DecorVehicle License Plates</v>
      </c>
    </row>
    <row r="5447">
      <c r="A5447" s="29">
        <v>7532.0</v>
      </c>
      <c r="B5447" s="29" t="s">
        <v>5446</v>
      </c>
      <c r="C5447" s="29" t="s">
        <v>5447</v>
      </c>
      <c r="D5447" s="29" t="s">
        <v>5486</v>
      </c>
      <c r="E5447" s="29" t="s">
        <v>5502</v>
      </c>
      <c r="F5447" s="29" t="s">
        <v>5516</v>
      </c>
      <c r="G5447" s="20" t="str">
        <f t="shared" si="1"/>
        <v>Vehicles &amp; Parts, Vehicle Parts &amp; Accessories, Vehicle Maintenance, Care &amp; Decor, Vehicle DecorVehicle Magnets</v>
      </c>
    </row>
    <row r="5448">
      <c r="A5448" s="29">
        <v>8478.0</v>
      </c>
      <c r="B5448" s="29" t="s">
        <v>5446</v>
      </c>
      <c r="C5448" s="29" t="s">
        <v>5447</v>
      </c>
      <c r="D5448" s="29" t="s">
        <v>5486</v>
      </c>
      <c r="E5448" s="29" t="s">
        <v>5502</v>
      </c>
      <c r="F5448" s="29" t="s">
        <v>5517</v>
      </c>
      <c r="G5448" s="20" t="str">
        <f t="shared" si="1"/>
        <v>Vehicles &amp; Parts, Vehicle Parts &amp; Accessories, Vehicle Maintenance, Care &amp; Decor, Vehicle DecorVehicle Rear View Mirror Ornaments</v>
      </c>
    </row>
    <row r="5449">
      <c r="A5449" s="29">
        <v>8463.0</v>
      </c>
      <c r="B5449" s="29" t="s">
        <v>5446</v>
      </c>
      <c r="C5449" s="29" t="s">
        <v>5447</v>
      </c>
      <c r="D5449" s="29" t="s">
        <v>5486</v>
      </c>
      <c r="E5449" s="29" t="s">
        <v>5502</v>
      </c>
      <c r="F5449" s="29" t="s">
        <v>5518</v>
      </c>
      <c r="G5449" s="20" t="str">
        <f t="shared" si="1"/>
        <v>Vehicles &amp; Parts, Vehicle Parts &amp; Accessories, Vehicle Maintenance, Care &amp; Decor, Vehicle DecorVehicle Shift Boots</v>
      </c>
    </row>
    <row r="5450">
      <c r="A5450" s="29">
        <v>8142.0</v>
      </c>
      <c r="B5450" s="29" t="s">
        <v>5446</v>
      </c>
      <c r="C5450" s="29" t="s">
        <v>5447</v>
      </c>
      <c r="D5450" s="29" t="s">
        <v>5486</v>
      </c>
      <c r="E5450" s="29" t="s">
        <v>5502</v>
      </c>
      <c r="F5450" s="29" t="s">
        <v>5519</v>
      </c>
      <c r="G5450" s="20" t="str">
        <f t="shared" si="1"/>
        <v>Vehicles &amp; Parts, Vehicle Parts &amp; Accessories, Vehicle Maintenance, Care &amp; Decor, Vehicle DecorVehicle Shift Knobs</v>
      </c>
    </row>
    <row r="5451">
      <c r="A5451" s="29">
        <v>8464.0</v>
      </c>
      <c r="B5451" s="29" t="s">
        <v>5446</v>
      </c>
      <c r="C5451" s="29" t="s">
        <v>5447</v>
      </c>
      <c r="D5451" s="29" t="s">
        <v>5486</v>
      </c>
      <c r="E5451" s="29" t="s">
        <v>5502</v>
      </c>
      <c r="F5451" s="29" t="s">
        <v>5520</v>
      </c>
      <c r="G5451" s="20" t="str">
        <f t="shared" si="1"/>
        <v>Vehicles &amp; Parts, Vehicle Parts &amp; Accessories, Vehicle Maintenance, Care &amp; Decor, Vehicle DecorVehicle Steering Wheel Covers</v>
      </c>
    </row>
    <row r="5452">
      <c r="A5452" s="29">
        <v>8202.0</v>
      </c>
      <c r="B5452" s="29" t="s">
        <v>5446</v>
      </c>
      <c r="C5452" s="29" t="s">
        <v>5447</v>
      </c>
      <c r="D5452" s="29" t="s">
        <v>5486</v>
      </c>
      <c r="E5452" s="29" t="s">
        <v>5502</v>
      </c>
      <c r="F5452" s="29" t="s">
        <v>5521</v>
      </c>
      <c r="G5452" s="20" t="str">
        <f t="shared" si="1"/>
        <v>Vehicles &amp; Parts, Vehicle Parts &amp; Accessories, Vehicle Maintenance, Care &amp; Decor, Vehicle DecorVehicle Wraps</v>
      </c>
    </row>
    <row r="5453">
      <c r="A5453" s="29">
        <v>2788.0</v>
      </c>
      <c r="B5453" s="29" t="s">
        <v>5446</v>
      </c>
      <c r="C5453" s="29" t="s">
        <v>5447</v>
      </c>
      <c r="D5453" s="29" t="s">
        <v>5486</v>
      </c>
      <c r="E5453" s="29" t="s">
        <v>5522</v>
      </c>
      <c r="F5453" s="62"/>
      <c r="G5453" s="20" t="str">
        <f t="shared" si="1"/>
        <v>Vehicles &amp; Parts, Vehicle Parts &amp; Accessories, Vehicle Maintenance, Care &amp; Decor, Vehicle Fluids</v>
      </c>
    </row>
    <row r="5454">
      <c r="A5454" s="29">
        <v>2635.0</v>
      </c>
      <c r="B5454" s="29" t="s">
        <v>5446</v>
      </c>
      <c r="C5454" s="29" t="s">
        <v>5447</v>
      </c>
      <c r="D5454" s="29" t="s">
        <v>5486</v>
      </c>
      <c r="E5454" s="29" t="s">
        <v>5522</v>
      </c>
      <c r="F5454" s="29" t="s">
        <v>5523</v>
      </c>
      <c r="G5454" s="20" t="str">
        <f t="shared" si="1"/>
        <v>Vehicles &amp; Parts, Vehicle Parts &amp; Accessories, Vehicle Maintenance, Care &amp; Decor, Vehicle FluidsVehicle Antifreeze</v>
      </c>
    </row>
    <row r="5455">
      <c r="A5455" s="29">
        <v>3051.0</v>
      </c>
      <c r="B5455" s="29" t="s">
        <v>5446</v>
      </c>
      <c r="C5455" s="29" t="s">
        <v>5447</v>
      </c>
      <c r="D5455" s="29" t="s">
        <v>5486</v>
      </c>
      <c r="E5455" s="29" t="s">
        <v>5522</v>
      </c>
      <c r="F5455" s="29" t="s">
        <v>5524</v>
      </c>
      <c r="G5455" s="20" t="str">
        <f t="shared" si="1"/>
        <v>Vehicles &amp; Parts, Vehicle Parts &amp; Accessories, Vehicle Maintenance, Care &amp; Decor, Vehicle FluidsVehicle Brake Fluid</v>
      </c>
    </row>
    <row r="5456">
      <c r="A5456" s="29">
        <v>2517.0</v>
      </c>
      <c r="B5456" s="29" t="s">
        <v>5446</v>
      </c>
      <c r="C5456" s="29" t="s">
        <v>5447</v>
      </c>
      <c r="D5456" s="29" t="s">
        <v>5486</v>
      </c>
      <c r="E5456" s="29" t="s">
        <v>5522</v>
      </c>
      <c r="F5456" s="29" t="s">
        <v>5525</v>
      </c>
      <c r="G5456" s="20" t="str">
        <f t="shared" si="1"/>
        <v>Vehicles &amp; Parts, Vehicle Parts &amp; Accessories, Vehicle Maintenance, Care &amp; Decor, Vehicle FluidsVehicle Cooling System Additives</v>
      </c>
    </row>
    <row r="5457">
      <c r="A5457" s="29">
        <v>2881.0</v>
      </c>
      <c r="B5457" s="29" t="s">
        <v>5446</v>
      </c>
      <c r="C5457" s="29" t="s">
        <v>5447</v>
      </c>
      <c r="D5457" s="29" t="s">
        <v>5486</v>
      </c>
      <c r="E5457" s="29" t="s">
        <v>5522</v>
      </c>
      <c r="F5457" s="29" t="s">
        <v>5526</v>
      </c>
      <c r="G5457" s="20" t="str">
        <f t="shared" si="1"/>
        <v>Vehicles &amp; Parts, Vehicle Parts &amp; Accessories, Vehicle Maintenance, Care &amp; Decor, Vehicle FluidsVehicle Engine Degreasers</v>
      </c>
    </row>
    <row r="5458">
      <c r="A5458" s="29">
        <v>2719.0</v>
      </c>
      <c r="B5458" s="29" t="s">
        <v>5446</v>
      </c>
      <c r="C5458" s="29" t="s">
        <v>5447</v>
      </c>
      <c r="D5458" s="29" t="s">
        <v>5486</v>
      </c>
      <c r="E5458" s="29" t="s">
        <v>5522</v>
      </c>
      <c r="F5458" s="29" t="s">
        <v>5527</v>
      </c>
      <c r="G5458" s="20" t="str">
        <f t="shared" si="1"/>
        <v>Vehicles &amp; Parts, Vehicle Parts &amp; Accessories, Vehicle Maintenance, Care &amp; Decor, Vehicle FluidsVehicle Fuel System Cleaners</v>
      </c>
    </row>
    <row r="5459">
      <c r="A5459" s="29">
        <v>2735.0</v>
      </c>
      <c r="B5459" s="29" t="s">
        <v>5446</v>
      </c>
      <c r="C5459" s="29" t="s">
        <v>5447</v>
      </c>
      <c r="D5459" s="29" t="s">
        <v>5486</v>
      </c>
      <c r="E5459" s="29" t="s">
        <v>5522</v>
      </c>
      <c r="F5459" s="29" t="s">
        <v>5528</v>
      </c>
      <c r="G5459" s="20" t="str">
        <f t="shared" si="1"/>
        <v>Vehicles &amp; Parts, Vehicle Parts &amp; Accessories, Vehicle Maintenance, Care &amp; Decor, Vehicle FluidsVehicle Greases</v>
      </c>
    </row>
    <row r="5460">
      <c r="A5460" s="29">
        <v>2916.0</v>
      </c>
      <c r="B5460" s="29" t="s">
        <v>5446</v>
      </c>
      <c r="C5460" s="29" t="s">
        <v>5447</v>
      </c>
      <c r="D5460" s="29" t="s">
        <v>5486</v>
      </c>
      <c r="E5460" s="29" t="s">
        <v>5522</v>
      </c>
      <c r="F5460" s="29" t="s">
        <v>5529</v>
      </c>
      <c r="G5460" s="20" t="str">
        <f t="shared" si="1"/>
        <v>Vehicles &amp; Parts, Vehicle Parts &amp; Accessories, Vehicle Maintenance, Care &amp; Decor, Vehicle FluidsVehicle Hydraulic Clutch Fluid</v>
      </c>
    </row>
    <row r="5461">
      <c r="A5461" s="29">
        <v>3044.0</v>
      </c>
      <c r="B5461" s="29" t="s">
        <v>5446</v>
      </c>
      <c r="C5461" s="29" t="s">
        <v>5447</v>
      </c>
      <c r="D5461" s="29" t="s">
        <v>5486</v>
      </c>
      <c r="E5461" s="29" t="s">
        <v>5522</v>
      </c>
      <c r="F5461" s="29" t="s">
        <v>5530</v>
      </c>
      <c r="G5461" s="20" t="str">
        <f t="shared" si="1"/>
        <v>Vehicles &amp; Parts, Vehicle Parts &amp; Accessories, Vehicle Maintenance, Care &amp; Decor, Vehicle FluidsVehicle Motor Oil</v>
      </c>
    </row>
    <row r="5462">
      <c r="A5462" s="29">
        <v>2770.0</v>
      </c>
      <c r="B5462" s="29" t="s">
        <v>5446</v>
      </c>
      <c r="C5462" s="29" t="s">
        <v>5447</v>
      </c>
      <c r="D5462" s="29" t="s">
        <v>5486</v>
      </c>
      <c r="E5462" s="29" t="s">
        <v>5522</v>
      </c>
      <c r="F5462" s="29" t="s">
        <v>5531</v>
      </c>
      <c r="G5462" s="20" t="str">
        <f t="shared" si="1"/>
        <v>Vehicles &amp; Parts, Vehicle Parts &amp; Accessories, Vehicle Maintenance, Care &amp; Decor, Vehicle FluidsVehicle Performance Additives</v>
      </c>
    </row>
    <row r="5463">
      <c r="A5463" s="29">
        <v>2513.0</v>
      </c>
      <c r="B5463" s="29" t="s">
        <v>5446</v>
      </c>
      <c r="C5463" s="29" t="s">
        <v>5447</v>
      </c>
      <c r="D5463" s="29" t="s">
        <v>5486</v>
      </c>
      <c r="E5463" s="29" t="s">
        <v>5522</v>
      </c>
      <c r="F5463" s="29" t="s">
        <v>5532</v>
      </c>
      <c r="G5463" s="20" t="str">
        <f t="shared" si="1"/>
        <v>Vehicles &amp; Parts, Vehicle Parts &amp; Accessories, Vehicle Maintenance, Care &amp; Decor, Vehicle FluidsVehicle Power Steering Fluid</v>
      </c>
    </row>
    <row r="5464">
      <c r="A5464" s="29">
        <v>2688.0</v>
      </c>
      <c r="B5464" s="29" t="s">
        <v>5446</v>
      </c>
      <c r="C5464" s="29" t="s">
        <v>5447</v>
      </c>
      <c r="D5464" s="29" t="s">
        <v>5486</v>
      </c>
      <c r="E5464" s="29" t="s">
        <v>5522</v>
      </c>
      <c r="F5464" s="29" t="s">
        <v>5533</v>
      </c>
      <c r="G5464" s="20" t="str">
        <f t="shared" si="1"/>
        <v>Vehicles &amp; Parts, Vehicle Parts &amp; Accessories, Vehicle Maintenance, Care &amp; Decor, Vehicle FluidsVehicle Transmission Fluid</v>
      </c>
    </row>
    <row r="5465">
      <c r="A5465" s="29">
        <v>2943.0</v>
      </c>
      <c r="B5465" s="29" t="s">
        <v>5446</v>
      </c>
      <c r="C5465" s="29" t="s">
        <v>5447</v>
      </c>
      <c r="D5465" s="29" t="s">
        <v>5486</v>
      </c>
      <c r="E5465" s="29" t="s">
        <v>5522</v>
      </c>
      <c r="F5465" s="29" t="s">
        <v>5534</v>
      </c>
      <c r="G5465" s="20" t="str">
        <f t="shared" si="1"/>
        <v>Vehicles &amp; Parts, Vehicle Parts &amp; Accessories, Vehicle Maintenance, Care &amp; Decor, Vehicle FluidsVehicle Windshield Fluid</v>
      </c>
    </row>
    <row r="5466">
      <c r="A5466" s="29">
        <v>3812.0</v>
      </c>
      <c r="B5466" s="29" t="s">
        <v>5446</v>
      </c>
      <c r="C5466" s="29" t="s">
        <v>5447</v>
      </c>
      <c r="D5466" s="29" t="s">
        <v>5486</v>
      </c>
      <c r="E5466" s="29" t="s">
        <v>5535</v>
      </c>
      <c r="F5466" s="62"/>
      <c r="G5466" s="20" t="str">
        <f t="shared" si="1"/>
        <v>Vehicles &amp; Parts, Vehicle Parts &amp; Accessories, Vehicle Maintenance, Care &amp; Decor, Vehicle Paint</v>
      </c>
    </row>
    <row r="5467">
      <c r="A5467" s="29">
        <v>8450.0</v>
      </c>
      <c r="B5467" s="29" t="s">
        <v>5446</v>
      </c>
      <c r="C5467" s="29" t="s">
        <v>5447</v>
      </c>
      <c r="D5467" s="29" t="s">
        <v>5486</v>
      </c>
      <c r="E5467" s="29" t="s">
        <v>5535</v>
      </c>
      <c r="F5467" s="29" t="s">
        <v>5536</v>
      </c>
      <c r="G5467" s="20" t="str">
        <f t="shared" si="1"/>
        <v>Vehicles &amp; Parts, Vehicle Parts &amp; Accessories, Vehicle Maintenance, Care &amp; Decor, Vehicle PaintMotor Vehicle Body Paint</v>
      </c>
    </row>
    <row r="5468">
      <c r="A5468" s="29">
        <v>8144.0</v>
      </c>
      <c r="B5468" s="29" t="s">
        <v>5446</v>
      </c>
      <c r="C5468" s="29" t="s">
        <v>5447</v>
      </c>
      <c r="D5468" s="29" t="s">
        <v>5486</v>
      </c>
      <c r="E5468" s="29" t="s">
        <v>5535</v>
      </c>
      <c r="F5468" s="29" t="s">
        <v>5537</v>
      </c>
      <c r="G5468" s="20" t="str">
        <f t="shared" si="1"/>
        <v>Vehicles &amp; Parts, Vehicle Parts &amp; Accessories, Vehicle Maintenance, Care &amp; Decor, Vehicle PaintMotor Vehicle Brake Caliper Paint</v>
      </c>
    </row>
    <row r="5469">
      <c r="A5469" s="29">
        <v>8236.0</v>
      </c>
      <c r="B5469" s="29" t="s">
        <v>5446</v>
      </c>
      <c r="C5469" s="29" t="s">
        <v>5447</v>
      </c>
      <c r="D5469" s="29" t="s">
        <v>5486</v>
      </c>
      <c r="E5469" s="29" t="s">
        <v>5538</v>
      </c>
      <c r="F5469" s="62"/>
      <c r="G5469" s="20" t="str">
        <f t="shared" si="1"/>
        <v>Vehicles &amp; Parts, Vehicle Parts &amp; Accessories, Vehicle Maintenance, Care &amp; Decor, Vehicle Repair &amp; Specialty Tools</v>
      </c>
    </row>
    <row r="5470">
      <c r="A5470" s="29">
        <v>8260.0</v>
      </c>
      <c r="B5470" s="29" t="s">
        <v>5446</v>
      </c>
      <c r="C5470" s="29" t="s">
        <v>5447</v>
      </c>
      <c r="D5470" s="29" t="s">
        <v>5486</v>
      </c>
      <c r="E5470" s="29" t="s">
        <v>5538</v>
      </c>
      <c r="F5470" s="29" t="s">
        <v>5539</v>
      </c>
      <c r="G5470" s="20" t="str">
        <f t="shared" si="1"/>
        <v>Vehicles &amp; Parts, Vehicle Parts &amp; Accessories, Vehicle Maintenance, Care &amp; Decor, Vehicle Repair &amp; Specialty ToolsMotor Vehicle Brake Service Kits</v>
      </c>
    </row>
    <row r="5471">
      <c r="A5471" s="29">
        <v>8259.0</v>
      </c>
      <c r="B5471" s="29" t="s">
        <v>5446</v>
      </c>
      <c r="C5471" s="29" t="s">
        <v>5447</v>
      </c>
      <c r="D5471" s="29" t="s">
        <v>5486</v>
      </c>
      <c r="E5471" s="29" t="s">
        <v>5538</v>
      </c>
      <c r="F5471" s="29" t="s">
        <v>5540</v>
      </c>
      <c r="G5471" s="20" t="str">
        <f t="shared" si="1"/>
        <v>Vehicles &amp; Parts, Vehicle Parts &amp; Accessories, Vehicle Maintenance, Care &amp; Decor, Vehicle Repair &amp; Specialty ToolsMotor Vehicle Clutch Alignment &amp; Removal Tools</v>
      </c>
    </row>
    <row r="5472">
      <c r="A5472" s="29">
        <v>7414.0</v>
      </c>
      <c r="B5472" s="29" t="s">
        <v>5446</v>
      </c>
      <c r="C5472" s="29" t="s">
        <v>5447</v>
      </c>
      <c r="D5472" s="29" t="s">
        <v>5486</v>
      </c>
      <c r="E5472" s="29" t="s">
        <v>5538</v>
      </c>
      <c r="F5472" s="29" t="s">
        <v>5541</v>
      </c>
      <c r="G5472" s="20" t="str">
        <f t="shared" si="1"/>
        <v>Vehicles &amp; Parts, Vehicle Parts &amp; Accessories, Vehicle Maintenance, Care &amp; Decor, Vehicle Repair &amp; Specialty ToolsVehicle Battery Chargers</v>
      </c>
    </row>
    <row r="5473">
      <c r="A5473" s="29">
        <v>499929.0</v>
      </c>
      <c r="B5473" s="29" t="s">
        <v>5446</v>
      </c>
      <c r="C5473" s="29" t="s">
        <v>5447</v>
      </c>
      <c r="D5473" s="29" t="s">
        <v>5486</v>
      </c>
      <c r="E5473" s="29" t="s">
        <v>5538</v>
      </c>
      <c r="F5473" s="29" t="s">
        <v>5542</v>
      </c>
      <c r="G5473" s="20" t="str">
        <f t="shared" si="1"/>
        <v>Vehicles &amp; Parts, Vehicle Parts &amp; Accessories, Vehicle Maintenance, Care &amp; Decor, Vehicle Repair &amp; Specialty ToolsVehicle Battery Testers</v>
      </c>
    </row>
    <row r="5474">
      <c r="A5474" s="29">
        <v>499774.0</v>
      </c>
      <c r="B5474" s="29" t="s">
        <v>5446</v>
      </c>
      <c r="C5474" s="29" t="s">
        <v>5447</v>
      </c>
      <c r="D5474" s="29" t="s">
        <v>5486</v>
      </c>
      <c r="E5474" s="29" t="s">
        <v>5538</v>
      </c>
      <c r="F5474" s="29" t="s">
        <v>5543</v>
      </c>
      <c r="G5474" s="20" t="str">
        <f t="shared" si="1"/>
        <v>Vehicles &amp; Parts, Vehicle Parts &amp; Accessories, Vehicle Maintenance, Care &amp; Decor, Vehicle Repair &amp; Specialty ToolsVehicle Body Filler</v>
      </c>
    </row>
    <row r="5475">
      <c r="A5475" s="29">
        <v>6482.0</v>
      </c>
      <c r="B5475" s="29" t="s">
        <v>5446</v>
      </c>
      <c r="C5475" s="29" t="s">
        <v>5447</v>
      </c>
      <c r="D5475" s="29" t="s">
        <v>5486</v>
      </c>
      <c r="E5475" s="29" t="s">
        <v>5538</v>
      </c>
      <c r="F5475" s="29" t="s">
        <v>5544</v>
      </c>
      <c r="G5475" s="20" t="str">
        <f t="shared" si="1"/>
        <v>Vehicles &amp; Parts, Vehicle Parts &amp; Accessories, Vehicle Maintenance, Care &amp; Decor, Vehicle Repair &amp; Specialty ToolsVehicle Diagnostic Scanners</v>
      </c>
    </row>
    <row r="5476">
      <c r="A5476" s="29">
        <v>5068.0</v>
      </c>
      <c r="B5476" s="29" t="s">
        <v>5446</v>
      </c>
      <c r="C5476" s="29" t="s">
        <v>5447</v>
      </c>
      <c r="D5476" s="29" t="s">
        <v>5486</v>
      </c>
      <c r="E5476" s="29" t="s">
        <v>5538</v>
      </c>
      <c r="F5476" s="29" t="s">
        <v>5545</v>
      </c>
      <c r="G5476" s="20" t="str">
        <f t="shared" si="1"/>
        <v>Vehicles &amp; Parts, Vehicle Parts &amp; Accessories, Vehicle Maintenance, Care &amp; Decor, Vehicle Repair &amp; Specialty ToolsVehicle Jump Starters</v>
      </c>
    </row>
    <row r="5477">
      <c r="A5477" s="29">
        <v>3326.0</v>
      </c>
      <c r="B5477" s="29" t="s">
        <v>5446</v>
      </c>
      <c r="C5477" s="29" t="s">
        <v>5447</v>
      </c>
      <c r="D5477" s="29" t="s">
        <v>5486</v>
      </c>
      <c r="E5477" s="29" t="s">
        <v>5538</v>
      </c>
      <c r="F5477" s="29" t="s">
        <v>5546</v>
      </c>
      <c r="G5477" s="20" t="str">
        <f t="shared" si="1"/>
        <v>Vehicles &amp; Parts, Vehicle Parts &amp; Accessories, Vehicle Maintenance, Care &amp; Decor, Vehicle Repair &amp; Specialty ToolsVehicle Jumper Cables</v>
      </c>
    </row>
    <row r="5478">
      <c r="A5478" s="29">
        <v>8261.0</v>
      </c>
      <c r="B5478" s="29" t="s">
        <v>5446</v>
      </c>
      <c r="C5478" s="29" t="s">
        <v>5447</v>
      </c>
      <c r="D5478" s="29" t="s">
        <v>5486</v>
      </c>
      <c r="E5478" s="29" t="s">
        <v>5538</v>
      </c>
      <c r="F5478" s="29" t="s">
        <v>5547</v>
      </c>
      <c r="G5478" s="20" t="str">
        <f t="shared" si="1"/>
        <v>Vehicles &amp; Parts, Vehicle Parts &amp; Accessories, Vehicle Maintenance, Care &amp; Decor, Vehicle Repair &amp; Specialty ToolsVehicle Tire Repair &amp; Tire Changing Tools</v>
      </c>
    </row>
    <row r="5479">
      <c r="A5479" s="29">
        <v>2647.0</v>
      </c>
      <c r="B5479" s="29" t="s">
        <v>5446</v>
      </c>
      <c r="C5479" s="29" t="s">
        <v>5447</v>
      </c>
      <c r="D5479" s="29" t="s">
        <v>5486</v>
      </c>
      <c r="E5479" s="29" t="s">
        <v>5538</v>
      </c>
      <c r="F5479" s="29" t="s">
        <v>5548</v>
      </c>
      <c r="G5479" s="20" t="str">
        <f t="shared" si="1"/>
        <v>Vehicles &amp; Parts, Vehicle Parts &amp; Accessories, Vehicle Maintenance, Care &amp; Decor, Vehicle Repair &amp; Specialty ToolsWindshield Repair Kits</v>
      </c>
    </row>
    <row r="5480">
      <c r="A5480" s="29">
        <v>8301.0</v>
      </c>
      <c r="B5480" s="29" t="s">
        <v>5446</v>
      </c>
      <c r="C5480" s="29" t="s">
        <v>5447</v>
      </c>
      <c r="D5480" s="29" t="s">
        <v>5549</v>
      </c>
      <c r="E5480" s="62"/>
      <c r="F5480" s="62"/>
      <c r="G5480" s="20" t="str">
        <f t="shared" si="1"/>
        <v>Vehicles &amp; Parts, Vehicle Parts &amp; Accessories, Vehicle Safety &amp; Security, </v>
      </c>
    </row>
    <row r="5481">
      <c r="A5481" s="29">
        <v>5547.0</v>
      </c>
      <c r="B5481" s="29" t="s">
        <v>5446</v>
      </c>
      <c r="C5481" s="29" t="s">
        <v>5447</v>
      </c>
      <c r="D5481" s="29" t="s">
        <v>5549</v>
      </c>
      <c r="E5481" s="29" t="s">
        <v>5550</v>
      </c>
      <c r="F5481" s="62"/>
      <c r="G5481" s="20" t="str">
        <f t="shared" si="1"/>
        <v>Vehicles &amp; Parts, Vehicle Parts &amp; Accessories, Vehicle Safety &amp; Security, Motorcycle Protective Gear</v>
      </c>
    </row>
    <row r="5482">
      <c r="A5482" s="29">
        <v>5959.0</v>
      </c>
      <c r="B5482" s="29" t="s">
        <v>5446</v>
      </c>
      <c r="C5482" s="29" t="s">
        <v>5447</v>
      </c>
      <c r="D5482" s="29" t="s">
        <v>5549</v>
      </c>
      <c r="E5482" s="29" t="s">
        <v>5550</v>
      </c>
      <c r="F5482" s="29" t="s">
        <v>5551</v>
      </c>
      <c r="G5482" s="20" t="str">
        <f t="shared" si="1"/>
        <v>Vehicles &amp; Parts, Vehicle Parts &amp; Accessories, Vehicle Safety &amp; Security, Motorcycle Protective GearMotorcycle Chest &amp; Back Protectors</v>
      </c>
    </row>
    <row r="5483">
      <c r="A5483" s="29">
        <v>5963.0</v>
      </c>
      <c r="B5483" s="29" t="s">
        <v>5446</v>
      </c>
      <c r="C5483" s="29" t="s">
        <v>5447</v>
      </c>
      <c r="D5483" s="29" t="s">
        <v>5549</v>
      </c>
      <c r="E5483" s="29" t="s">
        <v>5550</v>
      </c>
      <c r="F5483" s="29" t="s">
        <v>5552</v>
      </c>
      <c r="G5483" s="20" t="str">
        <f t="shared" si="1"/>
        <v>Vehicles &amp; Parts, Vehicle Parts &amp; Accessories, Vehicle Safety &amp; Security, Motorcycle Protective GearMotorcycle Elbow &amp; Wrist Guards</v>
      </c>
    </row>
    <row r="5484">
      <c r="A5484" s="29">
        <v>5908.0</v>
      </c>
      <c r="B5484" s="29" t="s">
        <v>5446</v>
      </c>
      <c r="C5484" s="29" t="s">
        <v>5447</v>
      </c>
      <c r="D5484" s="29" t="s">
        <v>5549</v>
      </c>
      <c r="E5484" s="29" t="s">
        <v>5550</v>
      </c>
      <c r="F5484" s="29" t="s">
        <v>5553</v>
      </c>
      <c r="G5484" s="20" t="str">
        <f t="shared" si="1"/>
        <v>Vehicles &amp; Parts, Vehicle Parts &amp; Accessories, Vehicle Safety &amp; Security, Motorcycle Protective GearMotorcycle Gloves</v>
      </c>
    </row>
    <row r="5485">
      <c r="A5485" s="29">
        <v>5106.0</v>
      </c>
      <c r="B5485" s="29" t="s">
        <v>5446</v>
      </c>
      <c r="C5485" s="29" t="s">
        <v>5447</v>
      </c>
      <c r="D5485" s="29" t="s">
        <v>5549</v>
      </c>
      <c r="E5485" s="29" t="s">
        <v>5550</v>
      </c>
      <c r="F5485" s="29" t="s">
        <v>5554</v>
      </c>
      <c r="G5485" s="20" t="str">
        <f t="shared" si="1"/>
        <v>Vehicles &amp; Parts, Vehicle Parts &amp; Accessories, Vehicle Safety &amp; Security, Motorcycle Protective GearMotorcycle Goggles</v>
      </c>
    </row>
    <row r="5486">
      <c r="A5486" s="29">
        <v>8507.0</v>
      </c>
      <c r="B5486" s="29" t="s">
        <v>5446</v>
      </c>
      <c r="C5486" s="29" t="s">
        <v>5447</v>
      </c>
      <c r="D5486" s="29" t="s">
        <v>5549</v>
      </c>
      <c r="E5486" s="29" t="s">
        <v>5550</v>
      </c>
      <c r="F5486" s="29" t="s">
        <v>5555</v>
      </c>
      <c r="G5486" s="20" t="str">
        <f t="shared" si="1"/>
        <v>Vehicles &amp; Parts, Vehicle Parts &amp; Accessories, Vehicle Safety &amp; Security, Motorcycle Protective GearMotorcycle Hand Guards</v>
      </c>
    </row>
    <row r="5487">
      <c r="A5487" s="29">
        <v>6493.0</v>
      </c>
      <c r="B5487" s="29" t="s">
        <v>5446</v>
      </c>
      <c r="C5487" s="29" t="s">
        <v>5447</v>
      </c>
      <c r="D5487" s="29" t="s">
        <v>5549</v>
      </c>
      <c r="E5487" s="29" t="s">
        <v>5550</v>
      </c>
      <c r="F5487" s="29" t="s">
        <v>5556</v>
      </c>
      <c r="G5487" s="20" t="str">
        <f t="shared" si="1"/>
        <v>Vehicles &amp; Parts, Vehicle Parts &amp; Accessories, Vehicle Safety &amp; Security, Motorcycle Protective GearMotorcycle Helmet Parts &amp; Accessories</v>
      </c>
    </row>
    <row r="5488">
      <c r="A5488" s="29">
        <v>2110.0</v>
      </c>
      <c r="B5488" s="29" t="s">
        <v>5446</v>
      </c>
      <c r="C5488" s="29" t="s">
        <v>5447</v>
      </c>
      <c r="D5488" s="29" t="s">
        <v>5549</v>
      </c>
      <c r="E5488" s="29" t="s">
        <v>5550</v>
      </c>
      <c r="F5488" s="29" t="s">
        <v>5557</v>
      </c>
      <c r="G5488" s="20" t="str">
        <f t="shared" si="1"/>
        <v>Vehicles &amp; Parts, Vehicle Parts &amp; Accessories, Vehicle Safety &amp; Security, Motorcycle Protective GearMotorcycle Helmets</v>
      </c>
    </row>
    <row r="5489">
      <c r="A5489" s="29">
        <v>5960.0</v>
      </c>
      <c r="B5489" s="29" t="s">
        <v>5446</v>
      </c>
      <c r="C5489" s="29" t="s">
        <v>5447</v>
      </c>
      <c r="D5489" s="29" t="s">
        <v>5549</v>
      </c>
      <c r="E5489" s="29" t="s">
        <v>5550</v>
      </c>
      <c r="F5489" s="29" t="s">
        <v>5558</v>
      </c>
      <c r="G5489" s="20" t="str">
        <f t="shared" si="1"/>
        <v>Vehicles &amp; Parts, Vehicle Parts &amp; Accessories, Vehicle Safety &amp; Security, Motorcycle Protective GearMotorcycle Kidney Belts</v>
      </c>
    </row>
    <row r="5490">
      <c r="A5490" s="29">
        <v>5962.0</v>
      </c>
      <c r="B5490" s="29" t="s">
        <v>5446</v>
      </c>
      <c r="C5490" s="29" t="s">
        <v>5447</v>
      </c>
      <c r="D5490" s="29" t="s">
        <v>5549</v>
      </c>
      <c r="E5490" s="29" t="s">
        <v>5550</v>
      </c>
      <c r="F5490" s="29" t="s">
        <v>5559</v>
      </c>
      <c r="G5490" s="20" t="str">
        <f t="shared" si="1"/>
        <v>Vehicles &amp; Parts, Vehicle Parts &amp; Accessories, Vehicle Safety &amp; Security, Motorcycle Protective GearMotorcycle Knee &amp; Shin Guards</v>
      </c>
    </row>
    <row r="5491">
      <c r="A5491" s="29">
        <v>5961.0</v>
      </c>
      <c r="B5491" s="29" t="s">
        <v>5446</v>
      </c>
      <c r="C5491" s="29" t="s">
        <v>5447</v>
      </c>
      <c r="D5491" s="29" t="s">
        <v>5549</v>
      </c>
      <c r="E5491" s="29" t="s">
        <v>5550</v>
      </c>
      <c r="F5491" s="29" t="s">
        <v>5560</v>
      </c>
      <c r="G5491" s="20" t="str">
        <f t="shared" si="1"/>
        <v>Vehicles &amp; Parts, Vehicle Parts &amp; Accessories, Vehicle Safety &amp; Security, Motorcycle Protective GearMotorcycle Neck Braces</v>
      </c>
    </row>
    <row r="5492">
      <c r="A5492" s="29">
        <v>362737.0</v>
      </c>
      <c r="B5492" s="29" t="s">
        <v>5446</v>
      </c>
      <c r="C5492" s="29" t="s">
        <v>5447</v>
      </c>
      <c r="D5492" s="29" t="s">
        <v>5549</v>
      </c>
      <c r="E5492" s="29" t="s">
        <v>5561</v>
      </c>
      <c r="G5492" s="20" t="str">
        <f t="shared" si="1"/>
        <v>Vehicles &amp; Parts, Vehicle Parts &amp; Accessories, Vehicle Safety &amp; Security, Off-Road &amp; All-Terrain Vehicle Protective Gear</v>
      </c>
    </row>
    <row r="5493">
      <c r="A5493" s="29">
        <v>362738.0</v>
      </c>
      <c r="B5493" s="29" t="s">
        <v>5446</v>
      </c>
      <c r="C5493" s="29" t="s">
        <v>5447</v>
      </c>
      <c r="D5493" s="29" t="s">
        <v>5549</v>
      </c>
      <c r="E5493" s="29" t="s">
        <v>5561</v>
      </c>
      <c r="F5493" s="29" t="s">
        <v>5562</v>
      </c>
      <c r="G5493" s="20" t="str">
        <f t="shared" si="1"/>
        <v>Vehicles &amp; Parts, Vehicle Parts &amp; Accessories, Vehicle Safety &amp; Security, Off-Road &amp; All-Terrain Vehicle Protective GearATV &amp; UTV Bar Pads</v>
      </c>
    </row>
    <row r="5494">
      <c r="A5494" s="29">
        <v>2768.0</v>
      </c>
      <c r="B5494" s="29" t="s">
        <v>5446</v>
      </c>
      <c r="C5494" s="29" t="s">
        <v>5447</v>
      </c>
      <c r="D5494" s="29" t="s">
        <v>5549</v>
      </c>
      <c r="E5494" s="29" t="s">
        <v>5563</v>
      </c>
      <c r="F5494" s="62"/>
      <c r="G5494" s="20" t="str">
        <f t="shared" si="1"/>
        <v>Vehicles &amp; Parts, Vehicle Parts &amp; Accessories, Vehicle Safety &amp; Security, Vehicle Alarms &amp; Locks</v>
      </c>
    </row>
    <row r="5495">
      <c r="A5495" s="29">
        <v>6084.0</v>
      </c>
      <c r="B5495" s="29" t="s">
        <v>5446</v>
      </c>
      <c r="C5495" s="29" t="s">
        <v>5447</v>
      </c>
      <c r="D5495" s="29" t="s">
        <v>5549</v>
      </c>
      <c r="E5495" s="29" t="s">
        <v>5563</v>
      </c>
      <c r="F5495" s="29" t="s">
        <v>5564</v>
      </c>
      <c r="G5495" s="20" t="str">
        <f t="shared" si="1"/>
        <v>Vehicles &amp; Parts, Vehicle Parts &amp; Accessories, Vehicle Safety &amp; Security, Vehicle Alarms &amp; LocksAutomotive Alarm Accessories</v>
      </c>
    </row>
    <row r="5496">
      <c r="A5496" s="29">
        <v>1802.0</v>
      </c>
      <c r="B5496" s="29" t="s">
        <v>5446</v>
      </c>
      <c r="C5496" s="29" t="s">
        <v>5447</v>
      </c>
      <c r="D5496" s="29" t="s">
        <v>5549</v>
      </c>
      <c r="E5496" s="29" t="s">
        <v>5563</v>
      </c>
      <c r="F5496" s="29" t="s">
        <v>5565</v>
      </c>
      <c r="G5496" s="20" t="str">
        <f t="shared" si="1"/>
        <v>Vehicles &amp; Parts, Vehicle Parts &amp; Accessories, Vehicle Safety &amp; Security, Vehicle Alarms &amp; LocksAutomotive Alarm Systems</v>
      </c>
    </row>
    <row r="5497">
      <c r="A5497" s="29">
        <v>6083.0</v>
      </c>
      <c r="B5497" s="29" t="s">
        <v>5446</v>
      </c>
      <c r="C5497" s="29" t="s">
        <v>5447</v>
      </c>
      <c r="D5497" s="29" t="s">
        <v>5549</v>
      </c>
      <c r="E5497" s="29" t="s">
        <v>5563</v>
      </c>
      <c r="F5497" s="29" t="s">
        <v>5566</v>
      </c>
      <c r="G5497" s="20" t="str">
        <f t="shared" si="1"/>
        <v>Vehicles &amp; Parts, Vehicle Parts &amp; Accessories, Vehicle Safety &amp; Security, Vehicle Alarms &amp; LocksMotorcycle Alarms &amp; Locks</v>
      </c>
    </row>
    <row r="5498">
      <c r="A5498" s="29">
        <v>8302.0</v>
      </c>
      <c r="B5498" s="29" t="s">
        <v>5446</v>
      </c>
      <c r="C5498" s="29" t="s">
        <v>5447</v>
      </c>
      <c r="D5498" s="29" t="s">
        <v>5549</v>
      </c>
      <c r="E5498" s="29" t="s">
        <v>5563</v>
      </c>
      <c r="F5498" s="29" t="s">
        <v>5567</v>
      </c>
      <c r="G5498" s="20" t="str">
        <f t="shared" si="1"/>
        <v>Vehicles &amp; Parts, Vehicle Parts &amp; Accessories, Vehicle Safety &amp; Security, Vehicle Alarms &amp; LocksVehicle Door Locks &amp; Parts</v>
      </c>
    </row>
    <row r="5499">
      <c r="A5499" s="29">
        <v>8305.0</v>
      </c>
      <c r="B5499" s="29" t="s">
        <v>5446</v>
      </c>
      <c r="C5499" s="29" t="s">
        <v>5447</v>
      </c>
      <c r="D5499" s="29" t="s">
        <v>5549</v>
      </c>
      <c r="E5499" s="29" t="s">
        <v>5563</v>
      </c>
      <c r="F5499" s="29" t="s">
        <v>5567</v>
      </c>
      <c r="G5499" s="20" t="str">
        <f t="shared" si="1"/>
        <v>Vehicles &amp; Parts, Vehicle Parts &amp; Accessories, Vehicle Safety &amp; Security, Vehicle Alarms &amp; LocksVehicle Door Locks &amp; Parts</v>
      </c>
    </row>
    <row r="5500">
      <c r="A5500" s="29">
        <v>8304.0</v>
      </c>
      <c r="B5500" s="29" t="s">
        <v>5446</v>
      </c>
      <c r="C5500" s="29" t="s">
        <v>5447</v>
      </c>
      <c r="D5500" s="29" t="s">
        <v>5549</v>
      </c>
      <c r="E5500" s="29" t="s">
        <v>5563</v>
      </c>
      <c r="F5500" s="29" t="s">
        <v>5567</v>
      </c>
      <c r="G5500" s="20" t="str">
        <f t="shared" si="1"/>
        <v>Vehicles &amp; Parts, Vehicle Parts &amp; Accessories, Vehicle Safety &amp; Security, Vehicle Alarms &amp; LocksVehicle Door Locks &amp; Parts</v>
      </c>
    </row>
    <row r="5501">
      <c r="A5501" s="29">
        <v>8303.0</v>
      </c>
      <c r="B5501" s="29" t="s">
        <v>5446</v>
      </c>
      <c r="C5501" s="29" t="s">
        <v>5447</v>
      </c>
      <c r="D5501" s="29" t="s">
        <v>5549</v>
      </c>
      <c r="E5501" s="29" t="s">
        <v>5563</v>
      </c>
      <c r="F5501" s="29" t="s">
        <v>5567</v>
      </c>
      <c r="G5501" s="20" t="str">
        <f t="shared" si="1"/>
        <v>Vehicles &amp; Parts, Vehicle Parts &amp; Accessories, Vehicle Safety &amp; Security, Vehicle Alarms &amp; LocksVehicle Door Locks &amp; Parts</v>
      </c>
    </row>
    <row r="5502">
      <c r="A5502" s="29">
        <v>235921.0</v>
      </c>
      <c r="B5502" s="29" t="s">
        <v>5446</v>
      </c>
      <c r="C5502" s="29" t="s">
        <v>5447</v>
      </c>
      <c r="D5502" s="29" t="s">
        <v>5549</v>
      </c>
      <c r="E5502" s="29" t="s">
        <v>5563</v>
      </c>
      <c r="F5502" s="29" t="s">
        <v>5568</v>
      </c>
      <c r="G5502" s="20" t="str">
        <f t="shared" si="1"/>
        <v>Vehicles &amp; Parts, Vehicle Parts &amp; Accessories, Vehicle Safety &amp; Security, Vehicle Alarms &amp; LocksVehicle Hitch Locks</v>
      </c>
    </row>
    <row r="5503">
      <c r="A5503" s="29">
        <v>3024.0</v>
      </c>
      <c r="B5503" s="29" t="s">
        <v>5446</v>
      </c>
      <c r="C5503" s="29" t="s">
        <v>5447</v>
      </c>
      <c r="D5503" s="29" t="s">
        <v>5549</v>
      </c>
      <c r="E5503" s="29" t="s">
        <v>5563</v>
      </c>
      <c r="F5503" s="29" t="s">
        <v>5569</v>
      </c>
      <c r="G5503" s="20" t="str">
        <f t="shared" si="1"/>
        <v>Vehicles &amp; Parts, Vehicle Parts &amp; Accessories, Vehicle Safety &amp; Security, Vehicle Alarms &amp; LocksVehicle Immobilizers</v>
      </c>
    </row>
    <row r="5504">
      <c r="A5504" s="29">
        <v>2699.0</v>
      </c>
      <c r="B5504" s="29" t="s">
        <v>5446</v>
      </c>
      <c r="C5504" s="29" t="s">
        <v>5447</v>
      </c>
      <c r="D5504" s="29" t="s">
        <v>5549</v>
      </c>
      <c r="E5504" s="29" t="s">
        <v>5563</v>
      </c>
      <c r="F5504" s="29" t="s">
        <v>5570</v>
      </c>
      <c r="G5504" s="20" t="str">
        <f t="shared" si="1"/>
        <v>Vehicles &amp; Parts, Vehicle Parts &amp; Accessories, Vehicle Safety &amp; Security, Vehicle Alarms &amp; LocksVehicle Remote Keyless Systems</v>
      </c>
    </row>
    <row r="5505">
      <c r="A5505" s="29">
        <v>2750.0</v>
      </c>
      <c r="B5505" s="29" t="s">
        <v>5446</v>
      </c>
      <c r="C5505" s="29" t="s">
        <v>5447</v>
      </c>
      <c r="D5505" s="29" t="s">
        <v>5549</v>
      </c>
      <c r="E5505" s="29" t="s">
        <v>5563</v>
      </c>
      <c r="F5505" s="29" t="s">
        <v>5571</v>
      </c>
      <c r="G5505" s="20" t="str">
        <f t="shared" si="1"/>
        <v>Vehicles &amp; Parts, Vehicle Parts &amp; Accessories, Vehicle Safety &amp; Security, Vehicle Alarms &amp; LocksVehicle Steering Wheel Locks</v>
      </c>
    </row>
    <row r="5506">
      <c r="A5506" s="29">
        <v>500077.0</v>
      </c>
      <c r="B5506" s="29" t="s">
        <v>5446</v>
      </c>
      <c r="C5506" s="29" t="s">
        <v>5447</v>
      </c>
      <c r="D5506" s="29" t="s">
        <v>5549</v>
      </c>
      <c r="E5506" s="29" t="s">
        <v>5563</v>
      </c>
      <c r="F5506" s="29" t="s">
        <v>5572</v>
      </c>
      <c r="G5506" s="20" t="str">
        <f t="shared" si="1"/>
        <v>Vehicles &amp; Parts, Vehicle Parts &amp; Accessories, Vehicle Safety &amp; Security, Vehicle Alarms &amp; LocksVehicle Wheel Clamps</v>
      </c>
    </row>
    <row r="5507">
      <c r="A5507" s="29">
        <v>2879.0</v>
      </c>
      <c r="B5507" s="29" t="s">
        <v>5446</v>
      </c>
      <c r="C5507" s="29" t="s">
        <v>5447</v>
      </c>
      <c r="D5507" s="29" t="s">
        <v>5549</v>
      </c>
      <c r="E5507" s="29" t="s">
        <v>5573</v>
      </c>
      <c r="F5507" s="62"/>
      <c r="G5507" s="20" t="str">
        <f t="shared" si="1"/>
        <v>Vehicles &amp; Parts, Vehicle Parts &amp; Accessories, Vehicle Safety &amp; Security, Vehicle Safety Equipment</v>
      </c>
    </row>
    <row r="5508">
      <c r="A5508" s="29">
        <v>8447.0</v>
      </c>
      <c r="B5508" s="29" t="s">
        <v>5446</v>
      </c>
      <c r="C5508" s="29" t="s">
        <v>5447</v>
      </c>
      <c r="D5508" s="29" t="s">
        <v>5549</v>
      </c>
      <c r="E5508" s="29" t="s">
        <v>5573</v>
      </c>
      <c r="F5508" s="29" t="s">
        <v>5574</v>
      </c>
      <c r="G5508" s="20" t="str">
        <f t="shared" si="1"/>
        <v>Vehicles &amp; Parts, Vehicle Parts &amp; Accessories, Vehicle Safety &amp; Security, Vehicle Safety EquipmentCar Window Nets</v>
      </c>
    </row>
    <row r="5509">
      <c r="A5509" s="29">
        <v>8445.0</v>
      </c>
      <c r="B5509" s="29" t="s">
        <v>5446</v>
      </c>
      <c r="C5509" s="29" t="s">
        <v>5447</v>
      </c>
      <c r="D5509" s="29" t="s">
        <v>5549</v>
      </c>
      <c r="E5509" s="29" t="s">
        <v>5573</v>
      </c>
      <c r="F5509" s="29" t="s">
        <v>5575</v>
      </c>
      <c r="G5509" s="20" t="str">
        <f t="shared" si="1"/>
        <v>Vehicles &amp; Parts, Vehicle Parts &amp; Accessories, Vehicle Safety &amp; Security, Vehicle Safety EquipmentEmergency Road Flares</v>
      </c>
    </row>
    <row r="5510">
      <c r="A5510" s="29">
        <v>8448.0</v>
      </c>
      <c r="B5510" s="29" t="s">
        <v>5446</v>
      </c>
      <c r="C5510" s="29" t="s">
        <v>5447</v>
      </c>
      <c r="D5510" s="29" t="s">
        <v>5549</v>
      </c>
      <c r="E5510" s="29" t="s">
        <v>5573</v>
      </c>
      <c r="F5510" s="29" t="s">
        <v>5576</v>
      </c>
      <c r="G5510" s="20" t="str">
        <f t="shared" si="1"/>
        <v>Vehicles &amp; Parts, Vehicle Parts &amp; Accessories, Vehicle Safety &amp; Security, Vehicle Safety EquipmentMotor Vehicle Airbag Parts</v>
      </c>
    </row>
    <row r="5511">
      <c r="A5511" s="29">
        <v>8446.0</v>
      </c>
      <c r="B5511" s="29" t="s">
        <v>5446</v>
      </c>
      <c r="C5511" s="29" t="s">
        <v>5447</v>
      </c>
      <c r="D5511" s="29" t="s">
        <v>5549</v>
      </c>
      <c r="E5511" s="29" t="s">
        <v>5573</v>
      </c>
      <c r="F5511" s="29" t="s">
        <v>5577</v>
      </c>
      <c r="G5511" s="20" t="str">
        <f t="shared" si="1"/>
        <v>Vehicles &amp; Parts, Vehicle Parts &amp; Accessories, Vehicle Safety &amp; Security, Vehicle Safety EquipmentMotor Vehicle Roll Cages &amp; Bars</v>
      </c>
    </row>
    <row r="5512">
      <c r="A5512" s="29">
        <v>8477.0</v>
      </c>
      <c r="B5512" s="29" t="s">
        <v>5446</v>
      </c>
      <c r="C5512" s="29" t="s">
        <v>5447</v>
      </c>
      <c r="D5512" s="29" t="s">
        <v>5549</v>
      </c>
      <c r="E5512" s="29" t="s">
        <v>5573</v>
      </c>
      <c r="F5512" s="29" t="s">
        <v>5578</v>
      </c>
      <c r="G5512" s="20" t="str">
        <f t="shared" si="1"/>
        <v>Vehicles &amp; Parts, Vehicle Parts &amp; Accessories, Vehicle Safety &amp; Security, Vehicle Safety EquipmentVehicle Seat Belt Buckles</v>
      </c>
    </row>
    <row r="5513">
      <c r="A5513" s="29">
        <v>326120.0</v>
      </c>
      <c r="B5513" s="29" t="s">
        <v>5446</v>
      </c>
      <c r="C5513" s="29" t="s">
        <v>5447</v>
      </c>
      <c r="D5513" s="29" t="s">
        <v>5549</v>
      </c>
      <c r="E5513" s="29" t="s">
        <v>5573</v>
      </c>
      <c r="F5513" s="29" t="s">
        <v>5579</v>
      </c>
      <c r="G5513" s="20" t="str">
        <f t="shared" si="1"/>
        <v>Vehicles &amp; Parts, Vehicle Parts &amp; Accessories, Vehicle Safety &amp; Security, Vehicle Safety EquipmentVehicle Seat Belt Covers</v>
      </c>
    </row>
    <row r="5514">
      <c r="A5514" s="29">
        <v>8476.0</v>
      </c>
      <c r="B5514" s="29" t="s">
        <v>5446</v>
      </c>
      <c r="C5514" s="29" t="s">
        <v>5447</v>
      </c>
      <c r="D5514" s="29" t="s">
        <v>5549</v>
      </c>
      <c r="E5514" s="29" t="s">
        <v>5573</v>
      </c>
      <c r="F5514" s="29" t="s">
        <v>5580</v>
      </c>
      <c r="G5514" s="20" t="str">
        <f t="shared" si="1"/>
        <v>Vehicles &amp; Parts, Vehicle Parts &amp; Accessories, Vehicle Safety &amp; Security, Vehicle Safety EquipmentVehicle Seat Belt Straps</v>
      </c>
    </row>
    <row r="5515">
      <c r="A5515" s="29">
        <v>8449.0</v>
      </c>
      <c r="B5515" s="29" t="s">
        <v>5446</v>
      </c>
      <c r="C5515" s="29" t="s">
        <v>5447</v>
      </c>
      <c r="D5515" s="29" t="s">
        <v>5549</v>
      </c>
      <c r="E5515" s="29" t="s">
        <v>5573</v>
      </c>
      <c r="F5515" s="29" t="s">
        <v>5581</v>
      </c>
      <c r="G5515" s="20" t="str">
        <f t="shared" si="1"/>
        <v>Vehicles &amp; Parts, Vehicle Parts &amp; Accessories, Vehicle Safety &amp; Security, Vehicle Safety EquipmentVehicle Seat Belts</v>
      </c>
    </row>
    <row r="5516">
      <c r="A5516" s="29">
        <v>6966.0</v>
      </c>
      <c r="B5516" s="29" t="s">
        <v>5446</v>
      </c>
      <c r="C5516" s="29" t="s">
        <v>5447</v>
      </c>
      <c r="D5516" s="29" t="s">
        <v>5549</v>
      </c>
      <c r="E5516" s="29" t="s">
        <v>5573</v>
      </c>
      <c r="F5516" s="29" t="s">
        <v>5582</v>
      </c>
      <c r="G5516" s="20" t="str">
        <f t="shared" si="1"/>
        <v>Vehicles &amp; Parts, Vehicle Parts &amp; Accessories, Vehicle Safety &amp; Security, Vehicle Safety EquipmentVehicle Warning Whips</v>
      </c>
    </row>
    <row r="5517">
      <c r="A5517" s="29">
        <v>8506.0</v>
      </c>
      <c r="B5517" s="29" t="s">
        <v>5446</v>
      </c>
      <c r="C5517" s="29" t="s">
        <v>5447</v>
      </c>
      <c r="D5517" s="29" t="s">
        <v>5549</v>
      </c>
      <c r="E5517" s="29" t="s">
        <v>5573</v>
      </c>
      <c r="F5517" s="29" t="s">
        <v>5583</v>
      </c>
      <c r="G5517" s="20" t="str">
        <f t="shared" si="1"/>
        <v>Vehicles &amp; Parts, Vehicle Parts &amp; Accessories, Vehicle Safety &amp; Security, Vehicle Safety EquipmentVehicle Wheel Chocks</v>
      </c>
    </row>
    <row r="5518">
      <c r="A5518" s="29">
        <v>8237.0</v>
      </c>
      <c r="B5518" s="29" t="s">
        <v>5446</v>
      </c>
      <c r="C5518" s="29" t="s">
        <v>5447</v>
      </c>
      <c r="D5518" s="29" t="s">
        <v>5584</v>
      </c>
      <c r="E5518" s="62"/>
      <c r="F5518" s="62"/>
      <c r="G5518" s="20" t="str">
        <f t="shared" si="1"/>
        <v>Vehicles &amp; Parts, Vehicle Parts &amp; Accessories, Vehicle Storage &amp; Cargo, </v>
      </c>
    </row>
    <row r="5519">
      <c r="A5519" s="29">
        <v>6744.0</v>
      </c>
      <c r="B5519" s="29" t="s">
        <v>5446</v>
      </c>
      <c r="C5519" s="29" t="s">
        <v>5447</v>
      </c>
      <c r="D5519" s="29" t="s">
        <v>5584</v>
      </c>
      <c r="E5519" s="29" t="s">
        <v>5585</v>
      </c>
      <c r="F5519" s="62"/>
      <c r="G5519" s="20" t="str">
        <f t="shared" si="1"/>
        <v>Vehicles &amp; Parts, Vehicle Parts &amp; Accessories, Vehicle Storage &amp; Cargo, Motor Vehicle Cargo Nets</v>
      </c>
    </row>
    <row r="5520">
      <c r="A5520" s="29">
        <v>6454.0</v>
      </c>
      <c r="B5520" s="29" t="s">
        <v>5446</v>
      </c>
      <c r="C5520" s="29" t="s">
        <v>5447</v>
      </c>
      <c r="D5520" s="29" t="s">
        <v>5584</v>
      </c>
      <c r="E5520" s="29" t="s">
        <v>5586</v>
      </c>
      <c r="G5520" s="20" t="str">
        <f t="shared" si="1"/>
        <v>Vehicles &amp; Parts, Vehicle Parts &amp; Accessories, Vehicle Storage &amp; Cargo, Motor Vehicle Carrying Rack Accessories</v>
      </c>
    </row>
    <row r="5521">
      <c r="A5521" s="29">
        <v>7122.0</v>
      </c>
      <c r="B5521" s="29" t="s">
        <v>5446</v>
      </c>
      <c r="C5521" s="29" t="s">
        <v>5447</v>
      </c>
      <c r="D5521" s="29" t="s">
        <v>5584</v>
      </c>
      <c r="E5521" s="29" t="s">
        <v>5586</v>
      </c>
      <c r="F5521" s="29" t="s">
        <v>5587</v>
      </c>
      <c r="G5521" s="20" t="str">
        <f t="shared" si="1"/>
        <v>Vehicles &amp; Parts, Vehicle Parts &amp; Accessories, Vehicle Storage &amp; Cargo, Motor Vehicle Carrying Rack AccessoriesVehicle Bicycle Rack Accessories</v>
      </c>
    </row>
    <row r="5522">
      <c r="A5522" s="29">
        <v>8086.0</v>
      </c>
      <c r="B5522" s="29" t="s">
        <v>5446</v>
      </c>
      <c r="C5522" s="29" t="s">
        <v>5447</v>
      </c>
      <c r="D5522" s="29" t="s">
        <v>5584</v>
      </c>
      <c r="E5522" s="29" t="s">
        <v>5586</v>
      </c>
      <c r="F5522" s="29" t="s">
        <v>5588</v>
      </c>
      <c r="G5522" s="20" t="str">
        <f t="shared" si="1"/>
        <v>Vehicles &amp; Parts, Vehicle Parts &amp; Accessories, Vehicle Storage &amp; Cargo, Motor Vehicle Carrying Rack AccessoriesVehicle Ski &amp; Snowboard Rack Accessories</v>
      </c>
    </row>
    <row r="5523">
      <c r="A5523" s="29">
        <v>3472.0</v>
      </c>
      <c r="B5523" s="29" t="s">
        <v>5446</v>
      </c>
      <c r="C5523" s="29" t="s">
        <v>5447</v>
      </c>
      <c r="D5523" s="29" t="s">
        <v>5584</v>
      </c>
      <c r="E5523" s="29" t="s">
        <v>5589</v>
      </c>
      <c r="F5523" s="62"/>
      <c r="G5523" s="20" t="str">
        <f t="shared" si="1"/>
        <v>Vehicles &amp; Parts, Vehicle Parts &amp; Accessories, Vehicle Storage &amp; Cargo, Motor Vehicle Carrying Racks</v>
      </c>
    </row>
    <row r="5524">
      <c r="A5524" s="29">
        <v>6041.0</v>
      </c>
      <c r="B5524" s="29" t="s">
        <v>5446</v>
      </c>
      <c r="C5524" s="29" t="s">
        <v>5447</v>
      </c>
      <c r="D5524" s="29" t="s">
        <v>5584</v>
      </c>
      <c r="E5524" s="29" t="s">
        <v>5589</v>
      </c>
      <c r="F5524" s="29" t="s">
        <v>5590</v>
      </c>
      <c r="G5524" s="20" t="str">
        <f t="shared" si="1"/>
        <v>Vehicles &amp; Parts, Vehicle Parts &amp; Accessories, Vehicle Storage &amp; Cargo, Motor Vehicle Carrying RacksVehicle Base Rack Systems</v>
      </c>
    </row>
    <row r="5525">
      <c r="A5525" s="29">
        <v>2836.0</v>
      </c>
      <c r="B5525" s="29" t="s">
        <v>5446</v>
      </c>
      <c r="C5525" s="29" t="s">
        <v>5447</v>
      </c>
      <c r="D5525" s="29" t="s">
        <v>5584</v>
      </c>
      <c r="E5525" s="29" t="s">
        <v>5589</v>
      </c>
      <c r="F5525" s="29" t="s">
        <v>5591</v>
      </c>
      <c r="G5525" s="20" t="str">
        <f t="shared" si="1"/>
        <v>Vehicles &amp; Parts, Vehicle Parts &amp; Accessories, Vehicle Storage &amp; Cargo, Motor Vehicle Carrying RacksVehicle Bicycle Racks</v>
      </c>
    </row>
    <row r="5526">
      <c r="A5526" s="29">
        <v>6047.0</v>
      </c>
      <c r="B5526" s="29" t="s">
        <v>5446</v>
      </c>
      <c r="C5526" s="29" t="s">
        <v>5447</v>
      </c>
      <c r="D5526" s="29" t="s">
        <v>5584</v>
      </c>
      <c r="E5526" s="29" t="s">
        <v>5589</v>
      </c>
      <c r="F5526" s="29" t="s">
        <v>5592</v>
      </c>
      <c r="G5526" s="20" t="str">
        <f t="shared" si="1"/>
        <v>Vehicles &amp; Parts, Vehicle Parts &amp; Accessories, Vehicle Storage &amp; Cargo, Motor Vehicle Carrying RacksVehicle Boat Racks</v>
      </c>
    </row>
    <row r="5527">
      <c r="A5527" s="29">
        <v>4240.0</v>
      </c>
      <c r="B5527" s="29" t="s">
        <v>5446</v>
      </c>
      <c r="C5527" s="29" t="s">
        <v>5447</v>
      </c>
      <c r="D5527" s="29" t="s">
        <v>5584</v>
      </c>
      <c r="E5527" s="29" t="s">
        <v>5589</v>
      </c>
      <c r="F5527" s="29" t="s">
        <v>5593</v>
      </c>
      <c r="G5527" s="20" t="str">
        <f t="shared" si="1"/>
        <v>Vehicles &amp; Parts, Vehicle Parts &amp; Accessories, Vehicle Storage &amp; Cargo, Motor Vehicle Carrying RacksVehicle Cargo Racks</v>
      </c>
    </row>
    <row r="5528">
      <c r="A5528" s="29">
        <v>6046.0</v>
      </c>
      <c r="B5528" s="29" t="s">
        <v>5446</v>
      </c>
      <c r="C5528" s="29" t="s">
        <v>5447</v>
      </c>
      <c r="D5528" s="29" t="s">
        <v>5584</v>
      </c>
      <c r="E5528" s="29" t="s">
        <v>5589</v>
      </c>
      <c r="F5528" s="29" t="s">
        <v>5594</v>
      </c>
      <c r="G5528" s="20" t="str">
        <f t="shared" si="1"/>
        <v>Vehicles &amp; Parts, Vehicle Parts &amp; Accessories, Vehicle Storage &amp; Cargo, Motor Vehicle Carrying RacksVehicle Fishing Rod Racks</v>
      </c>
    </row>
    <row r="5529">
      <c r="A5529" s="29">
        <v>7115.0</v>
      </c>
      <c r="B5529" s="29" t="s">
        <v>5446</v>
      </c>
      <c r="C5529" s="29" t="s">
        <v>5447</v>
      </c>
      <c r="D5529" s="29" t="s">
        <v>5584</v>
      </c>
      <c r="E5529" s="29" t="s">
        <v>5589</v>
      </c>
      <c r="F5529" s="29" t="s">
        <v>5595</v>
      </c>
      <c r="G5529" s="20" t="str">
        <f t="shared" si="1"/>
        <v>Vehicles &amp; Parts, Vehicle Parts &amp; Accessories, Vehicle Storage &amp; Cargo, Motor Vehicle Carrying RacksVehicle Gun Racks</v>
      </c>
    </row>
    <row r="5530">
      <c r="A5530" s="29">
        <v>6044.0</v>
      </c>
      <c r="B5530" s="29" t="s">
        <v>5446</v>
      </c>
      <c r="C5530" s="29" t="s">
        <v>5447</v>
      </c>
      <c r="D5530" s="29" t="s">
        <v>5584</v>
      </c>
      <c r="E5530" s="29" t="s">
        <v>5589</v>
      </c>
      <c r="F5530" s="29" t="s">
        <v>5596</v>
      </c>
      <c r="G5530" s="20" t="str">
        <f t="shared" si="1"/>
        <v>Vehicles &amp; Parts, Vehicle Parts &amp; Accessories, Vehicle Storage &amp; Cargo, Motor Vehicle Carrying RacksVehicle Motorcycle &amp; Scooter Racks</v>
      </c>
    </row>
    <row r="5531">
      <c r="A5531" s="29">
        <v>6043.0</v>
      </c>
      <c r="B5531" s="29" t="s">
        <v>5446</v>
      </c>
      <c r="C5531" s="29" t="s">
        <v>5447</v>
      </c>
      <c r="D5531" s="29" t="s">
        <v>5584</v>
      </c>
      <c r="E5531" s="29" t="s">
        <v>5589</v>
      </c>
      <c r="F5531" s="29" t="s">
        <v>5597</v>
      </c>
      <c r="G5531" s="20" t="str">
        <f t="shared" si="1"/>
        <v>Vehicles &amp; Parts, Vehicle Parts &amp; Accessories, Vehicle Storage &amp; Cargo, Motor Vehicle Carrying RacksVehicle Ski &amp; Snowboard Racks</v>
      </c>
    </row>
    <row r="5532">
      <c r="A5532" s="29">
        <v>6042.0</v>
      </c>
      <c r="B5532" s="29" t="s">
        <v>5446</v>
      </c>
      <c r="C5532" s="29" t="s">
        <v>5447</v>
      </c>
      <c r="D5532" s="29" t="s">
        <v>5584</v>
      </c>
      <c r="E5532" s="29" t="s">
        <v>5589</v>
      </c>
      <c r="F5532" s="29" t="s">
        <v>5598</v>
      </c>
      <c r="G5532" s="20" t="str">
        <f t="shared" si="1"/>
        <v>Vehicles &amp; Parts, Vehicle Parts &amp; Accessories, Vehicle Storage &amp; Cargo, Motor Vehicle Carrying RacksVehicle Water Sport Board Racks</v>
      </c>
    </row>
    <row r="5533">
      <c r="A5533" s="29">
        <v>8147.0</v>
      </c>
      <c r="B5533" s="29" t="s">
        <v>5446</v>
      </c>
      <c r="C5533" s="29" t="s">
        <v>5447</v>
      </c>
      <c r="D5533" s="29" t="s">
        <v>5584</v>
      </c>
      <c r="E5533" s="29" t="s">
        <v>5599</v>
      </c>
      <c r="F5533" s="62"/>
      <c r="G5533" s="20" t="str">
        <f t="shared" si="1"/>
        <v>Vehicles &amp; Parts, Vehicle Parts &amp; Accessories, Vehicle Storage &amp; Cargo, Motor Vehicle Loading Ramps</v>
      </c>
    </row>
    <row r="5534">
      <c r="A5534" s="29">
        <v>4027.0</v>
      </c>
      <c r="B5534" s="29" t="s">
        <v>5446</v>
      </c>
      <c r="C5534" s="29" t="s">
        <v>5447</v>
      </c>
      <c r="D5534" s="29" t="s">
        <v>5584</v>
      </c>
      <c r="E5534" s="29" t="s">
        <v>5600</v>
      </c>
      <c r="F5534" s="62"/>
      <c r="G5534" s="20" t="str">
        <f t="shared" si="1"/>
        <v>Vehicles &amp; Parts, Vehicle Parts &amp; Accessories, Vehicle Storage &amp; Cargo, Motor Vehicle Trailers</v>
      </c>
    </row>
    <row r="5535">
      <c r="A5535" s="29">
        <v>1133.0</v>
      </c>
      <c r="B5535" s="29" t="s">
        <v>5446</v>
      </c>
      <c r="C5535" s="29" t="s">
        <v>5447</v>
      </c>
      <c r="D5535" s="29" t="s">
        <v>5584</v>
      </c>
      <c r="E5535" s="29" t="s">
        <v>5600</v>
      </c>
      <c r="F5535" s="29" t="s">
        <v>5601</v>
      </c>
      <c r="G5535" s="20" t="str">
        <f t="shared" si="1"/>
        <v>Vehicles &amp; Parts, Vehicle Parts &amp; Accessories, Vehicle Storage &amp; Cargo, Motor Vehicle TrailersBoat Trailers</v>
      </c>
    </row>
    <row r="5536">
      <c r="A5536" s="29">
        <v>4037.0</v>
      </c>
      <c r="B5536" s="29" t="s">
        <v>5446</v>
      </c>
      <c r="C5536" s="29" t="s">
        <v>5447</v>
      </c>
      <c r="D5536" s="29" t="s">
        <v>5584</v>
      </c>
      <c r="E5536" s="29" t="s">
        <v>5600</v>
      </c>
      <c r="F5536" s="29" t="s">
        <v>5602</v>
      </c>
      <c r="G5536" s="20" t="str">
        <f t="shared" si="1"/>
        <v>Vehicles &amp; Parts, Vehicle Parts &amp; Accessories, Vehicle Storage &amp; Cargo, Motor Vehicle TrailersHorse &amp; Livestock Trailers</v>
      </c>
    </row>
    <row r="5537">
      <c r="A5537" s="29">
        <v>4243.0</v>
      </c>
      <c r="B5537" s="29" t="s">
        <v>5446</v>
      </c>
      <c r="C5537" s="29" t="s">
        <v>5447</v>
      </c>
      <c r="D5537" s="29" t="s">
        <v>5584</v>
      </c>
      <c r="E5537" s="29" t="s">
        <v>5600</v>
      </c>
      <c r="F5537" s="29" t="s">
        <v>5603</v>
      </c>
      <c r="G5537" s="20" t="str">
        <f t="shared" si="1"/>
        <v>Vehicles &amp; Parts, Vehicle Parts &amp; Accessories, Vehicle Storage &amp; Cargo, Motor Vehicle TrailersTravel Trailers</v>
      </c>
    </row>
    <row r="5538">
      <c r="A5538" s="29">
        <v>4044.0</v>
      </c>
      <c r="B5538" s="29" t="s">
        <v>5446</v>
      </c>
      <c r="C5538" s="29" t="s">
        <v>5447</v>
      </c>
      <c r="D5538" s="29" t="s">
        <v>5584</v>
      </c>
      <c r="E5538" s="29" t="s">
        <v>5600</v>
      </c>
      <c r="F5538" s="29" t="s">
        <v>5604</v>
      </c>
      <c r="G5538" s="20" t="str">
        <f t="shared" si="1"/>
        <v>Vehicles &amp; Parts, Vehicle Parts &amp; Accessories, Vehicle Storage &amp; Cargo, Motor Vehicle TrailersUtility &amp; Cargo Trailers</v>
      </c>
    </row>
    <row r="5539">
      <c r="A5539" s="29">
        <v>5512.0</v>
      </c>
      <c r="B5539" s="29" t="s">
        <v>5446</v>
      </c>
      <c r="C5539" s="29" t="s">
        <v>5447</v>
      </c>
      <c r="D5539" s="29" t="s">
        <v>5584</v>
      </c>
      <c r="E5539" s="29" t="s">
        <v>5605</v>
      </c>
      <c r="F5539" s="62"/>
      <c r="G5539" s="20" t="str">
        <f t="shared" si="1"/>
        <v>Vehicles &amp; Parts, Vehicle Parts &amp; Accessories, Vehicle Storage &amp; Cargo, Motorcycle Bags &amp; Panniers</v>
      </c>
    </row>
    <row r="5540">
      <c r="A5540" s="29">
        <v>8378.0</v>
      </c>
      <c r="B5540" s="29" t="s">
        <v>5446</v>
      </c>
      <c r="C5540" s="29" t="s">
        <v>5447</v>
      </c>
      <c r="D5540" s="29" t="s">
        <v>5584</v>
      </c>
      <c r="E5540" s="29" t="s">
        <v>5606</v>
      </c>
      <c r="G5540" s="20" t="str">
        <f t="shared" si="1"/>
        <v>Vehicles &amp; Parts, Vehicle Parts &amp; Accessories, Vehicle Storage &amp; Cargo, Truck Bed Storage Boxes &amp; Organizers</v>
      </c>
    </row>
    <row r="5541">
      <c r="A5541" s="29">
        <v>8475.0</v>
      </c>
      <c r="B5541" s="29" t="s">
        <v>5446</v>
      </c>
      <c r="C5541" s="29" t="s">
        <v>5447</v>
      </c>
      <c r="D5541" s="29" t="s">
        <v>5584</v>
      </c>
      <c r="E5541" s="29" t="s">
        <v>5607</v>
      </c>
      <c r="G5541" s="20" t="str">
        <f t="shared" si="1"/>
        <v>Vehicles &amp; Parts, Vehicle Parts &amp; Accessories, Vehicle Storage &amp; Cargo, Vehicle Headrest Hangers &amp; Hooks</v>
      </c>
    </row>
    <row r="5542">
      <c r="A5542" s="29">
        <v>2290.0</v>
      </c>
      <c r="B5542" s="29" t="s">
        <v>5446</v>
      </c>
      <c r="C5542" s="29" t="s">
        <v>5447</v>
      </c>
      <c r="D5542" s="29" t="s">
        <v>5584</v>
      </c>
      <c r="E5542" s="29" t="s">
        <v>5608</v>
      </c>
      <c r="F5542" s="62"/>
      <c r="G5542" s="20" t="str">
        <f t="shared" si="1"/>
        <v>Vehicles &amp; Parts, Vehicle Parts &amp; Accessories, Vehicle Storage &amp; Cargo, Vehicle Organizers</v>
      </c>
    </row>
    <row r="5543">
      <c r="A5543" s="29">
        <v>3391.0</v>
      </c>
      <c r="B5543" s="29" t="s">
        <v>5446</v>
      </c>
      <c r="C5543" s="29" t="s">
        <v>5447</v>
      </c>
      <c r="D5543" s="29" t="s">
        <v>5609</v>
      </c>
      <c r="F5543" s="62"/>
      <c r="G5543" s="20" t="str">
        <f t="shared" si="1"/>
        <v>Vehicles &amp; Parts, Vehicle Parts &amp; Accessories, Watercraft Parts &amp; Accessories, </v>
      </c>
    </row>
    <row r="5544">
      <c r="A5544" s="29">
        <v>3315.0</v>
      </c>
      <c r="B5544" s="29" t="s">
        <v>5446</v>
      </c>
      <c r="C5544" s="29" t="s">
        <v>5447</v>
      </c>
      <c r="D5544" s="29" t="s">
        <v>5609</v>
      </c>
      <c r="E5544" s="29" t="s">
        <v>5610</v>
      </c>
      <c r="F5544" s="62"/>
      <c r="G5544" s="20" t="str">
        <f t="shared" si="1"/>
        <v>Vehicles &amp; Parts, Vehicle Parts &amp; Accessories, Watercraft Parts &amp; Accessories, Docking &amp; Anchoring</v>
      </c>
    </row>
    <row r="5545">
      <c r="A5545" s="29">
        <v>3452.0</v>
      </c>
      <c r="B5545" s="29" t="s">
        <v>5446</v>
      </c>
      <c r="C5545" s="29" t="s">
        <v>5447</v>
      </c>
      <c r="D5545" s="29" t="s">
        <v>5609</v>
      </c>
      <c r="E5545" s="29" t="s">
        <v>5610</v>
      </c>
      <c r="F5545" s="29" t="s">
        <v>5611</v>
      </c>
      <c r="G5545" s="20" t="str">
        <f t="shared" si="1"/>
        <v>Vehicles &amp; Parts, Vehicle Parts &amp; Accessories, Watercraft Parts &amp; Accessories, Docking &amp; AnchoringAnchor Chains</v>
      </c>
    </row>
    <row r="5546">
      <c r="A5546" s="29">
        <v>3362.0</v>
      </c>
      <c r="B5546" s="29" t="s">
        <v>5446</v>
      </c>
      <c r="C5546" s="29" t="s">
        <v>5447</v>
      </c>
      <c r="D5546" s="29" t="s">
        <v>5609</v>
      </c>
      <c r="E5546" s="29" t="s">
        <v>5610</v>
      </c>
      <c r="F5546" s="29" t="s">
        <v>5612</v>
      </c>
      <c r="G5546" s="20" t="str">
        <f t="shared" si="1"/>
        <v>Vehicles &amp; Parts, Vehicle Parts &amp; Accessories, Watercraft Parts &amp; Accessories, Docking &amp; AnchoringAnchor Lines &amp; Ropes</v>
      </c>
    </row>
    <row r="5547">
      <c r="A5547" s="29">
        <v>3480.0</v>
      </c>
      <c r="B5547" s="29" t="s">
        <v>5446</v>
      </c>
      <c r="C5547" s="29" t="s">
        <v>5447</v>
      </c>
      <c r="D5547" s="29" t="s">
        <v>5609</v>
      </c>
      <c r="E5547" s="29" t="s">
        <v>5610</v>
      </c>
      <c r="F5547" s="29" t="s">
        <v>5613</v>
      </c>
      <c r="G5547" s="20" t="str">
        <f t="shared" si="1"/>
        <v>Vehicles &amp; Parts, Vehicle Parts &amp; Accessories, Watercraft Parts &amp; Accessories, Docking &amp; AnchoringAnchor Windlasses</v>
      </c>
    </row>
    <row r="5548">
      <c r="A5548" s="29">
        <v>3189.0</v>
      </c>
      <c r="B5548" s="29" t="s">
        <v>5446</v>
      </c>
      <c r="C5548" s="29" t="s">
        <v>5447</v>
      </c>
      <c r="D5548" s="29" t="s">
        <v>5609</v>
      </c>
      <c r="E5548" s="29" t="s">
        <v>5610</v>
      </c>
      <c r="F5548" s="29" t="s">
        <v>5614</v>
      </c>
      <c r="G5548" s="20" t="str">
        <f t="shared" si="1"/>
        <v>Vehicles &amp; Parts, Vehicle Parts &amp; Accessories, Watercraft Parts &amp; Accessories, Docking &amp; AnchoringAnchors</v>
      </c>
    </row>
    <row r="5549">
      <c r="A5549" s="29">
        <v>3655.0</v>
      </c>
      <c r="B5549" s="29" t="s">
        <v>5446</v>
      </c>
      <c r="C5549" s="29" t="s">
        <v>5447</v>
      </c>
      <c r="D5549" s="29" t="s">
        <v>5609</v>
      </c>
      <c r="E5549" s="29" t="s">
        <v>5610</v>
      </c>
      <c r="F5549" s="29" t="s">
        <v>5615</v>
      </c>
      <c r="G5549" s="20" t="str">
        <f t="shared" si="1"/>
        <v>Vehicles &amp; Parts, Vehicle Parts &amp; Accessories, Watercraft Parts &amp; Accessories, Docking &amp; AnchoringBoat Hooks</v>
      </c>
    </row>
    <row r="5550">
      <c r="A5550" s="29">
        <v>3718.0</v>
      </c>
      <c r="B5550" s="29" t="s">
        <v>5446</v>
      </c>
      <c r="C5550" s="29" t="s">
        <v>5447</v>
      </c>
      <c r="D5550" s="29" t="s">
        <v>5609</v>
      </c>
      <c r="E5550" s="29" t="s">
        <v>5610</v>
      </c>
      <c r="F5550" s="29" t="s">
        <v>5616</v>
      </c>
      <c r="G5550" s="20" t="str">
        <f t="shared" si="1"/>
        <v>Vehicles &amp; Parts, Vehicle Parts &amp; Accessories, Watercraft Parts &amp; Accessories, Docking &amp; AnchoringBoat Ladders</v>
      </c>
    </row>
    <row r="5551">
      <c r="A5551" s="29">
        <v>3572.0</v>
      </c>
      <c r="B5551" s="29" t="s">
        <v>5446</v>
      </c>
      <c r="C5551" s="29" t="s">
        <v>5447</v>
      </c>
      <c r="D5551" s="29" t="s">
        <v>5609</v>
      </c>
      <c r="E5551" s="29" t="s">
        <v>5610</v>
      </c>
      <c r="F5551" s="29" t="s">
        <v>5617</v>
      </c>
      <c r="G5551" s="20" t="str">
        <f t="shared" si="1"/>
        <v>Vehicles &amp; Parts, Vehicle Parts &amp; Accessories, Watercraft Parts &amp; Accessories, Docking &amp; AnchoringDock Cleats</v>
      </c>
    </row>
    <row r="5552">
      <c r="A5552" s="29">
        <v>3899.0</v>
      </c>
      <c r="B5552" s="29" t="s">
        <v>5446</v>
      </c>
      <c r="C5552" s="29" t="s">
        <v>5447</v>
      </c>
      <c r="D5552" s="29" t="s">
        <v>5609</v>
      </c>
      <c r="E5552" s="29" t="s">
        <v>5610</v>
      </c>
      <c r="F5552" s="29" t="s">
        <v>5618</v>
      </c>
      <c r="G5552" s="20" t="str">
        <f t="shared" si="1"/>
        <v>Vehicles &amp; Parts, Vehicle Parts &amp; Accessories, Watercraft Parts &amp; Accessories, Docking &amp; AnchoringDock Steps</v>
      </c>
    </row>
    <row r="5553">
      <c r="A5553" s="29">
        <v>1132.0</v>
      </c>
      <c r="B5553" s="29" t="s">
        <v>5446</v>
      </c>
      <c r="C5553" s="29" t="s">
        <v>5447</v>
      </c>
      <c r="D5553" s="29" t="s">
        <v>5609</v>
      </c>
      <c r="E5553" s="29" t="s">
        <v>5619</v>
      </c>
      <c r="F5553" s="62"/>
      <c r="G5553" s="20" t="str">
        <f t="shared" si="1"/>
        <v>Vehicles &amp; Parts, Vehicle Parts &amp; Accessories, Watercraft Parts &amp; Accessories, Sailboat Parts</v>
      </c>
    </row>
    <row r="5554">
      <c r="A5554" s="29">
        <v>1122.0</v>
      </c>
      <c r="B5554" s="29" t="s">
        <v>5446</v>
      </c>
      <c r="C5554" s="29" t="s">
        <v>5447</v>
      </c>
      <c r="D5554" s="29" t="s">
        <v>5609</v>
      </c>
      <c r="E5554" s="29" t="s">
        <v>5620</v>
      </c>
      <c r="F5554" s="62"/>
      <c r="G5554" s="20" t="str">
        <f t="shared" si="1"/>
        <v>Vehicles &amp; Parts, Vehicle Parts &amp; Accessories, Watercraft Parts &amp; Accessories, Watercraft Care</v>
      </c>
    </row>
    <row r="5555">
      <c r="A5555" s="29">
        <v>3866.0</v>
      </c>
      <c r="B5555" s="29" t="s">
        <v>5446</v>
      </c>
      <c r="C5555" s="29" t="s">
        <v>5447</v>
      </c>
      <c r="D5555" s="29" t="s">
        <v>5609</v>
      </c>
      <c r="E5555" s="29" t="s">
        <v>5620</v>
      </c>
      <c r="F5555" s="29" t="s">
        <v>5621</v>
      </c>
      <c r="G5555" s="20" t="str">
        <f t="shared" si="1"/>
        <v>Vehicles &amp; Parts, Vehicle Parts &amp; Accessories, Watercraft Parts &amp; Accessories, Watercraft CareWatercraft Cleaners</v>
      </c>
    </row>
    <row r="5556">
      <c r="A5556" s="29">
        <v>3955.0</v>
      </c>
      <c r="B5556" s="29" t="s">
        <v>5446</v>
      </c>
      <c r="C5556" s="29" t="s">
        <v>5447</v>
      </c>
      <c r="D5556" s="29" t="s">
        <v>5609</v>
      </c>
      <c r="E5556" s="29" t="s">
        <v>5620</v>
      </c>
      <c r="F5556" s="29" t="s">
        <v>5622</v>
      </c>
      <c r="G5556" s="20" t="str">
        <f t="shared" si="1"/>
        <v>Vehicles &amp; Parts, Vehicle Parts &amp; Accessories, Watercraft Parts &amp; Accessories, Watercraft CareWatercraft Polishes</v>
      </c>
    </row>
    <row r="5557">
      <c r="A5557" s="29">
        <v>3606.0</v>
      </c>
      <c r="B5557" s="29" t="s">
        <v>5446</v>
      </c>
      <c r="C5557" s="29" t="s">
        <v>5447</v>
      </c>
      <c r="D5557" s="29" t="s">
        <v>5609</v>
      </c>
      <c r="E5557" s="29" t="s">
        <v>5623</v>
      </c>
      <c r="F5557" s="62"/>
      <c r="G5557" s="20" t="str">
        <f t="shared" si="1"/>
        <v>Vehicles &amp; Parts, Vehicle Parts &amp; Accessories, Watercraft Parts &amp; Accessories, Watercraft Engine Parts</v>
      </c>
    </row>
    <row r="5558">
      <c r="A5558" s="29">
        <v>3143.0</v>
      </c>
      <c r="B5558" s="29" t="s">
        <v>5446</v>
      </c>
      <c r="C5558" s="29" t="s">
        <v>5447</v>
      </c>
      <c r="D5558" s="29" t="s">
        <v>5609</v>
      </c>
      <c r="E5558" s="29" t="s">
        <v>5623</v>
      </c>
      <c r="F5558" s="29" t="s">
        <v>5624</v>
      </c>
      <c r="G5558" s="20" t="str">
        <f t="shared" si="1"/>
        <v>Vehicles &amp; Parts, Vehicle Parts &amp; Accessories, Watercraft Parts &amp; Accessories, Watercraft Engine PartsWatercraft Alternators</v>
      </c>
    </row>
    <row r="5559">
      <c r="A5559" s="29">
        <v>3463.0</v>
      </c>
      <c r="B5559" s="29" t="s">
        <v>5446</v>
      </c>
      <c r="C5559" s="29" t="s">
        <v>5447</v>
      </c>
      <c r="D5559" s="29" t="s">
        <v>5609</v>
      </c>
      <c r="E5559" s="29" t="s">
        <v>5623</v>
      </c>
      <c r="F5559" s="29" t="s">
        <v>5625</v>
      </c>
      <c r="G5559" s="20" t="str">
        <f t="shared" si="1"/>
        <v>Vehicles &amp; Parts, Vehicle Parts &amp; Accessories, Watercraft Parts &amp; Accessories, Watercraft Engine PartsWatercraft Carburetors &amp; Parts</v>
      </c>
    </row>
    <row r="5560">
      <c r="A5560" s="29">
        <v>3321.0</v>
      </c>
      <c r="B5560" s="29" t="s">
        <v>5446</v>
      </c>
      <c r="C5560" s="29" t="s">
        <v>5447</v>
      </c>
      <c r="D5560" s="29" t="s">
        <v>5609</v>
      </c>
      <c r="E5560" s="29" t="s">
        <v>5623</v>
      </c>
      <c r="F5560" s="29" t="s">
        <v>5626</v>
      </c>
      <c r="G5560" s="20" t="str">
        <f t="shared" si="1"/>
        <v>Vehicles &amp; Parts, Vehicle Parts &amp; Accessories, Watercraft Parts &amp; Accessories, Watercraft Engine PartsWatercraft Engine Controls</v>
      </c>
    </row>
    <row r="5561">
      <c r="A5561" s="29">
        <v>3743.0</v>
      </c>
      <c r="B5561" s="29" t="s">
        <v>5446</v>
      </c>
      <c r="C5561" s="29" t="s">
        <v>5447</v>
      </c>
      <c r="D5561" s="29" t="s">
        <v>5609</v>
      </c>
      <c r="E5561" s="29" t="s">
        <v>5623</v>
      </c>
      <c r="F5561" s="29" t="s">
        <v>5627</v>
      </c>
      <c r="G5561" s="20" t="str">
        <f t="shared" si="1"/>
        <v>Vehicles &amp; Parts, Vehicle Parts &amp; Accessories, Watercraft Parts &amp; Accessories, Watercraft Engine PartsWatercraft Ignition Parts</v>
      </c>
    </row>
    <row r="5562">
      <c r="A5562" s="29">
        <v>3097.0</v>
      </c>
      <c r="B5562" s="29" t="s">
        <v>5446</v>
      </c>
      <c r="C5562" s="29" t="s">
        <v>5447</v>
      </c>
      <c r="D5562" s="29" t="s">
        <v>5609</v>
      </c>
      <c r="E5562" s="29" t="s">
        <v>5623</v>
      </c>
      <c r="F5562" s="29" t="s">
        <v>5628</v>
      </c>
      <c r="G5562" s="20" t="str">
        <f t="shared" si="1"/>
        <v>Vehicles &amp; Parts, Vehicle Parts &amp; Accessories, Watercraft Parts &amp; Accessories, Watercraft Engine PartsWatercraft Impellers</v>
      </c>
    </row>
    <row r="5563">
      <c r="A5563" s="29">
        <v>3507.0</v>
      </c>
      <c r="B5563" s="29" t="s">
        <v>5446</v>
      </c>
      <c r="C5563" s="29" t="s">
        <v>5447</v>
      </c>
      <c r="D5563" s="29" t="s">
        <v>5609</v>
      </c>
      <c r="E5563" s="29" t="s">
        <v>5623</v>
      </c>
      <c r="F5563" s="29" t="s">
        <v>5629</v>
      </c>
      <c r="G5563" s="20" t="str">
        <f t="shared" si="1"/>
        <v>Vehicles &amp; Parts, Vehicle Parts &amp; Accessories, Watercraft Parts &amp; Accessories, Watercraft Engine PartsWatercraft Motor Locks</v>
      </c>
    </row>
    <row r="5564">
      <c r="A5564" s="29">
        <v>3566.0</v>
      </c>
      <c r="B5564" s="29" t="s">
        <v>5446</v>
      </c>
      <c r="C5564" s="29" t="s">
        <v>5447</v>
      </c>
      <c r="D5564" s="29" t="s">
        <v>5609</v>
      </c>
      <c r="E5564" s="29" t="s">
        <v>5623</v>
      </c>
      <c r="F5564" s="29" t="s">
        <v>5630</v>
      </c>
      <c r="G5564" s="20" t="str">
        <f t="shared" si="1"/>
        <v>Vehicles &amp; Parts, Vehicle Parts &amp; Accessories, Watercraft Parts &amp; Accessories, Watercraft Engine PartsWatercraft Motor Mounts</v>
      </c>
    </row>
    <row r="5565">
      <c r="A5565" s="29">
        <v>3277.0</v>
      </c>
      <c r="B5565" s="29" t="s">
        <v>5446</v>
      </c>
      <c r="C5565" s="29" t="s">
        <v>5447</v>
      </c>
      <c r="D5565" s="29" t="s">
        <v>5609</v>
      </c>
      <c r="E5565" s="29" t="s">
        <v>5623</v>
      </c>
      <c r="F5565" s="29" t="s">
        <v>5631</v>
      </c>
      <c r="G5565" s="20" t="str">
        <f t="shared" si="1"/>
        <v>Vehicles &amp; Parts, Vehicle Parts &amp; Accessories, Watercraft Parts &amp; Accessories, Watercraft Engine PartsWatercraft Pistons &amp; Parts</v>
      </c>
    </row>
    <row r="5566">
      <c r="A5566" s="29">
        <v>3806.0</v>
      </c>
      <c r="B5566" s="29" t="s">
        <v>5446</v>
      </c>
      <c r="C5566" s="29" t="s">
        <v>5447</v>
      </c>
      <c r="D5566" s="29" t="s">
        <v>5609</v>
      </c>
      <c r="E5566" s="29" t="s">
        <v>5623</v>
      </c>
      <c r="F5566" s="29" t="s">
        <v>5632</v>
      </c>
      <c r="G5566" s="20" t="str">
        <f t="shared" si="1"/>
        <v>Vehicles &amp; Parts, Vehicle Parts &amp; Accessories, Watercraft Parts &amp; Accessories, Watercraft Engine PartsWatercraft Propellers</v>
      </c>
    </row>
    <row r="5567">
      <c r="A5567" s="29">
        <v>1125.0</v>
      </c>
      <c r="B5567" s="29" t="s">
        <v>5446</v>
      </c>
      <c r="C5567" s="29" t="s">
        <v>5447</v>
      </c>
      <c r="D5567" s="29" t="s">
        <v>5609</v>
      </c>
      <c r="E5567" s="29" t="s">
        <v>5633</v>
      </c>
      <c r="F5567" s="62"/>
      <c r="G5567" s="20" t="str">
        <f t="shared" si="1"/>
        <v>Vehicles &amp; Parts, Vehicle Parts &amp; Accessories, Watercraft Parts &amp; Accessories, Watercraft Engines &amp; Motors</v>
      </c>
    </row>
    <row r="5568">
      <c r="A5568" s="29">
        <v>3619.0</v>
      </c>
      <c r="B5568" s="29" t="s">
        <v>5446</v>
      </c>
      <c r="C5568" s="29" t="s">
        <v>5447</v>
      </c>
      <c r="D5568" s="29" t="s">
        <v>5609</v>
      </c>
      <c r="E5568" s="29" t="s">
        <v>5634</v>
      </c>
      <c r="F5568" s="62"/>
      <c r="G5568" s="20" t="str">
        <f t="shared" si="1"/>
        <v>Vehicles &amp; Parts, Vehicle Parts &amp; Accessories, Watercraft Parts &amp; Accessories, Watercraft Exhaust Parts</v>
      </c>
    </row>
    <row r="5569">
      <c r="A5569" s="29">
        <v>3232.0</v>
      </c>
      <c r="B5569" s="29" t="s">
        <v>5446</v>
      </c>
      <c r="C5569" s="29" t="s">
        <v>5447</v>
      </c>
      <c r="D5569" s="29" t="s">
        <v>5609</v>
      </c>
      <c r="E5569" s="29" t="s">
        <v>5634</v>
      </c>
      <c r="F5569" s="29" t="s">
        <v>5635</v>
      </c>
      <c r="G5569" s="20" t="str">
        <f t="shared" si="1"/>
        <v>Vehicles &amp; Parts, Vehicle Parts &amp; Accessories, Watercraft Parts &amp; Accessories, Watercraft Exhaust PartsWatercraft Manifolds</v>
      </c>
    </row>
    <row r="5570">
      <c r="A5570" s="29">
        <v>3309.0</v>
      </c>
      <c r="B5570" s="29" t="s">
        <v>5446</v>
      </c>
      <c r="C5570" s="29" t="s">
        <v>5447</v>
      </c>
      <c r="D5570" s="29" t="s">
        <v>5609</v>
      </c>
      <c r="E5570" s="29" t="s">
        <v>5634</v>
      </c>
      <c r="F5570" s="29" t="s">
        <v>5636</v>
      </c>
      <c r="G5570" s="20" t="str">
        <f t="shared" si="1"/>
        <v>Vehicles &amp; Parts, Vehicle Parts &amp; Accessories, Watercraft Parts &amp; Accessories, Watercraft Exhaust PartsWatercraft Mufflers &amp; Parts</v>
      </c>
    </row>
    <row r="5571">
      <c r="A5571" s="29">
        <v>3400.0</v>
      </c>
      <c r="B5571" s="29" t="s">
        <v>5446</v>
      </c>
      <c r="C5571" s="29" t="s">
        <v>5447</v>
      </c>
      <c r="D5571" s="29" t="s">
        <v>5609</v>
      </c>
      <c r="E5571" s="29" t="s">
        <v>5637</v>
      </c>
      <c r="F5571" s="62"/>
      <c r="G5571" s="20" t="str">
        <f t="shared" si="1"/>
        <v>Vehicles &amp; Parts, Vehicle Parts &amp; Accessories, Watercraft Parts &amp; Accessories, Watercraft Fuel Systems</v>
      </c>
    </row>
    <row r="5572">
      <c r="A5572" s="29">
        <v>3415.0</v>
      </c>
      <c r="B5572" s="29" t="s">
        <v>5446</v>
      </c>
      <c r="C5572" s="29" t="s">
        <v>5447</v>
      </c>
      <c r="D5572" s="29" t="s">
        <v>5609</v>
      </c>
      <c r="E5572" s="29" t="s">
        <v>5637</v>
      </c>
      <c r="F5572" s="29" t="s">
        <v>5638</v>
      </c>
      <c r="G5572" s="20" t="str">
        <f t="shared" si="1"/>
        <v>Vehicles &amp; Parts, Vehicle Parts &amp; Accessories, Watercraft Parts &amp; Accessories, Watercraft Fuel SystemsWatercraft Fuel Lines &amp; Parts</v>
      </c>
    </row>
    <row r="5573">
      <c r="A5573" s="29">
        <v>3968.0</v>
      </c>
      <c r="B5573" s="29" t="s">
        <v>5446</v>
      </c>
      <c r="C5573" s="29" t="s">
        <v>5447</v>
      </c>
      <c r="D5573" s="29" t="s">
        <v>5609</v>
      </c>
      <c r="E5573" s="29" t="s">
        <v>5637</v>
      </c>
      <c r="F5573" s="29" t="s">
        <v>5639</v>
      </c>
      <c r="G5573" s="20" t="str">
        <f t="shared" si="1"/>
        <v>Vehicles &amp; Parts, Vehicle Parts &amp; Accessories, Watercraft Parts &amp; Accessories, Watercraft Fuel SystemsWatercraft Fuel Meters</v>
      </c>
    </row>
    <row r="5574">
      <c r="A5574" s="29">
        <v>3892.0</v>
      </c>
      <c r="B5574" s="29" t="s">
        <v>5446</v>
      </c>
      <c r="C5574" s="29" t="s">
        <v>5447</v>
      </c>
      <c r="D5574" s="29" t="s">
        <v>5609</v>
      </c>
      <c r="E5574" s="29" t="s">
        <v>5637</v>
      </c>
      <c r="F5574" s="29" t="s">
        <v>5640</v>
      </c>
      <c r="G5574" s="20" t="str">
        <f t="shared" si="1"/>
        <v>Vehicles &amp; Parts, Vehicle Parts &amp; Accessories, Watercraft Parts &amp; Accessories, Watercraft Fuel SystemsWatercraft Fuel Pumps &amp; Parts</v>
      </c>
    </row>
    <row r="5575">
      <c r="A5575" s="29">
        <v>3648.0</v>
      </c>
      <c r="B5575" s="29" t="s">
        <v>5446</v>
      </c>
      <c r="C5575" s="29" t="s">
        <v>5447</v>
      </c>
      <c r="D5575" s="29" t="s">
        <v>5609</v>
      </c>
      <c r="E5575" s="29" t="s">
        <v>5637</v>
      </c>
      <c r="F5575" s="29" t="s">
        <v>5641</v>
      </c>
      <c r="G5575" s="20" t="str">
        <f t="shared" si="1"/>
        <v>Vehicles &amp; Parts, Vehicle Parts &amp; Accessories, Watercraft Parts &amp; Accessories, Watercraft Fuel SystemsWatercraft Fuel Tanks &amp; Parts</v>
      </c>
    </row>
    <row r="5576">
      <c r="A5576" s="29">
        <v>6293.0</v>
      </c>
      <c r="B5576" s="29" t="s">
        <v>5446</v>
      </c>
      <c r="C5576" s="29" t="s">
        <v>5447</v>
      </c>
      <c r="D5576" s="29" t="s">
        <v>5609</v>
      </c>
      <c r="E5576" s="29" t="s">
        <v>5642</v>
      </c>
      <c r="F5576" s="62"/>
      <c r="G5576" s="20" t="str">
        <f t="shared" si="1"/>
        <v>Vehicles &amp; Parts, Vehicle Parts &amp; Accessories, Watercraft Parts &amp; Accessories, Watercraft Lighting</v>
      </c>
    </row>
    <row r="5577">
      <c r="A5577" s="29">
        <v>3995.0</v>
      </c>
      <c r="B5577" s="29" t="s">
        <v>5446</v>
      </c>
      <c r="C5577" s="29" t="s">
        <v>5447</v>
      </c>
      <c r="D5577" s="29" t="s">
        <v>5609</v>
      </c>
      <c r="E5577" s="29" t="s">
        <v>5643</v>
      </c>
      <c r="F5577" s="62"/>
      <c r="G5577" s="20" t="str">
        <f t="shared" si="1"/>
        <v>Vehicles &amp; Parts, Vehicle Parts &amp; Accessories, Watercraft Parts &amp; Accessories, Watercraft Steering Parts</v>
      </c>
    </row>
    <row r="5578">
      <c r="A5578" s="29">
        <v>3308.0</v>
      </c>
      <c r="B5578" s="29" t="s">
        <v>5446</v>
      </c>
      <c r="C5578" s="29" t="s">
        <v>5447</v>
      </c>
      <c r="D5578" s="29" t="s">
        <v>5609</v>
      </c>
      <c r="E5578" s="29" t="s">
        <v>5643</v>
      </c>
      <c r="F5578" s="29" t="s">
        <v>5644</v>
      </c>
      <c r="G5578" s="20" t="str">
        <f t="shared" si="1"/>
        <v>Vehicles &amp; Parts, Vehicle Parts &amp; Accessories, Watercraft Parts &amp; Accessories, Watercraft Steering PartsWatercraft Steering Cables</v>
      </c>
    </row>
    <row r="5579">
      <c r="A5579" s="29">
        <v>3663.0</v>
      </c>
      <c r="B5579" s="29" t="s">
        <v>5446</v>
      </c>
      <c r="C5579" s="29" t="s">
        <v>5447</v>
      </c>
      <c r="D5579" s="29" t="s">
        <v>5609</v>
      </c>
      <c r="E5579" s="29" t="s">
        <v>5643</v>
      </c>
      <c r="F5579" s="29" t="s">
        <v>5645</v>
      </c>
      <c r="G5579" s="20" t="str">
        <f t="shared" si="1"/>
        <v>Vehicles &amp; Parts, Vehicle Parts &amp; Accessories, Watercraft Parts &amp; Accessories, Watercraft Steering PartsWatercraft Steering Wheels</v>
      </c>
    </row>
    <row r="5580">
      <c r="A5580" s="29">
        <v>5614.0</v>
      </c>
      <c r="B5580" s="29" t="s">
        <v>5446</v>
      </c>
      <c r="C5580" s="29" t="s">
        <v>5646</v>
      </c>
      <c r="D5580" s="62"/>
      <c r="E5580" s="62"/>
      <c r="F5580" s="62"/>
      <c r="G5580" s="20" t="str">
        <f t="shared" si="1"/>
        <v>Vehicles &amp; Parts, Vehicles, , </v>
      </c>
    </row>
    <row r="5581">
      <c r="A5581" s="29">
        <v>3395.0</v>
      </c>
      <c r="B5581" s="29" t="s">
        <v>5446</v>
      </c>
      <c r="C5581" s="29" t="s">
        <v>5646</v>
      </c>
      <c r="D5581" s="29" t="s">
        <v>5647</v>
      </c>
      <c r="E5581" s="62"/>
      <c r="F5581" s="62"/>
      <c r="G5581" s="20" t="str">
        <f t="shared" si="1"/>
        <v>Vehicles &amp; Parts, Vehicles, Aircraft, </v>
      </c>
    </row>
    <row r="5582">
      <c r="A5582" s="29">
        <v>1267.0</v>
      </c>
      <c r="B5582" s="29" t="s">
        <v>5446</v>
      </c>
      <c r="C5582" s="29" t="s">
        <v>5646</v>
      </c>
      <c r="D5582" s="29" t="s">
        <v>5648</v>
      </c>
      <c r="E5582" s="62"/>
      <c r="F5582" s="62"/>
      <c r="G5582" s="20" t="str">
        <f t="shared" si="1"/>
        <v>Vehicles &amp; Parts, Vehicles, Motor Vehicles, </v>
      </c>
    </row>
    <row r="5583">
      <c r="A5583" s="29">
        <v>916.0</v>
      </c>
      <c r="B5583" s="29" t="s">
        <v>5446</v>
      </c>
      <c r="C5583" s="29" t="s">
        <v>5646</v>
      </c>
      <c r="D5583" s="29" t="s">
        <v>5648</v>
      </c>
      <c r="E5583" s="29" t="s">
        <v>5649</v>
      </c>
      <c r="F5583" s="62"/>
      <c r="G5583" s="20" t="str">
        <f t="shared" si="1"/>
        <v>Vehicles &amp; Parts, Vehicles, Motor Vehicles, Cars, Trucks &amp; Vans</v>
      </c>
    </row>
    <row r="5584">
      <c r="A5584" s="29">
        <v>3931.0</v>
      </c>
      <c r="B5584" s="29" t="s">
        <v>5446</v>
      </c>
      <c r="C5584" s="29" t="s">
        <v>5646</v>
      </c>
      <c r="D5584" s="29" t="s">
        <v>5648</v>
      </c>
      <c r="E5584" s="29" t="s">
        <v>5650</v>
      </c>
      <c r="F5584" s="62"/>
      <c r="G5584" s="20" t="str">
        <f t="shared" si="1"/>
        <v>Vehicles &amp; Parts, Vehicles, Motor Vehicles, Golf Carts</v>
      </c>
    </row>
    <row r="5585">
      <c r="A5585" s="29">
        <v>919.0</v>
      </c>
      <c r="B5585" s="29" t="s">
        <v>5446</v>
      </c>
      <c r="C5585" s="29" t="s">
        <v>5646</v>
      </c>
      <c r="D5585" s="29" t="s">
        <v>5648</v>
      </c>
      <c r="E5585" s="29" t="s">
        <v>5651</v>
      </c>
      <c r="F5585" s="62"/>
      <c r="G5585" s="20" t="str">
        <f t="shared" si="1"/>
        <v>Vehicles &amp; Parts, Vehicles, Motor Vehicles, Motorcycles &amp; Scooters</v>
      </c>
    </row>
    <row r="5586">
      <c r="A5586" s="29">
        <v>503031.0</v>
      </c>
      <c r="B5586" s="29" t="s">
        <v>5446</v>
      </c>
      <c r="C5586" s="29" t="s">
        <v>5646</v>
      </c>
      <c r="D5586" s="29" t="s">
        <v>5648</v>
      </c>
      <c r="E5586" s="29" t="s">
        <v>5652</v>
      </c>
      <c r="F5586" s="62"/>
      <c r="G5586" s="20" t="str">
        <f t="shared" si="1"/>
        <v>Vehicles &amp; Parts, Vehicles, Motor Vehicles, Off-Road and All-Terrain Vehicles</v>
      </c>
    </row>
    <row r="5587">
      <c r="A5587" s="29">
        <v>3018.0</v>
      </c>
      <c r="B5587" s="29" t="s">
        <v>5446</v>
      </c>
      <c r="C5587" s="29" t="s">
        <v>5646</v>
      </c>
      <c r="D5587" s="29" t="s">
        <v>5648</v>
      </c>
      <c r="E5587" s="29" t="s">
        <v>5652</v>
      </c>
      <c r="F5587" s="29" t="s">
        <v>5653</v>
      </c>
      <c r="G5587" s="20" t="str">
        <f t="shared" si="1"/>
        <v>Vehicles &amp; Parts, Vehicles, Motor Vehicles, Off-Road and All-Terrain VehiclesATVs &amp; UTVs</v>
      </c>
    </row>
    <row r="5588">
      <c r="A5588" s="29">
        <v>2528.0</v>
      </c>
      <c r="B5588" s="29" t="s">
        <v>5446</v>
      </c>
      <c r="C5588" s="29" t="s">
        <v>5646</v>
      </c>
      <c r="D5588" s="29" t="s">
        <v>5648</v>
      </c>
      <c r="E5588" s="29" t="s">
        <v>5652</v>
      </c>
      <c r="F5588" s="29" t="s">
        <v>5654</v>
      </c>
      <c r="G5588" s="20" t="str">
        <f t="shared" si="1"/>
        <v>Vehicles &amp; Parts, Vehicles, Motor Vehicles, Off-Road and All-Terrain VehiclesGo Karts &amp; Dune Buggies</v>
      </c>
    </row>
    <row r="5589">
      <c r="A5589" s="29">
        <v>920.0</v>
      </c>
      <c r="B5589" s="29" t="s">
        <v>5446</v>
      </c>
      <c r="C5589" s="29" t="s">
        <v>5646</v>
      </c>
      <c r="D5589" s="29" t="s">
        <v>5648</v>
      </c>
      <c r="E5589" s="29" t="s">
        <v>5655</v>
      </c>
      <c r="F5589" s="62"/>
      <c r="G5589" s="20" t="str">
        <f t="shared" si="1"/>
        <v>Vehicles &amp; Parts, Vehicles, Motor Vehicles, Recreational Vehicles</v>
      </c>
    </row>
    <row r="5590">
      <c r="A5590" s="29">
        <v>3549.0</v>
      </c>
      <c r="B5590" s="29" t="s">
        <v>5446</v>
      </c>
      <c r="C5590" s="29" t="s">
        <v>5646</v>
      </c>
      <c r="D5590" s="29" t="s">
        <v>5648</v>
      </c>
      <c r="E5590" s="29" t="s">
        <v>5656</v>
      </c>
      <c r="F5590" s="62"/>
      <c r="G5590" s="20" t="str">
        <f t="shared" si="1"/>
        <v>Vehicles &amp; Parts, Vehicles, Motor Vehicles, Snowmobiles</v>
      </c>
    </row>
    <row r="5591">
      <c r="A5591" s="29">
        <v>3540.0</v>
      </c>
      <c r="B5591" s="29" t="s">
        <v>5446</v>
      </c>
      <c r="C5591" s="29" t="s">
        <v>5646</v>
      </c>
      <c r="D5591" s="29" t="s">
        <v>5657</v>
      </c>
      <c r="E5591" s="62"/>
      <c r="F5591" s="62"/>
      <c r="G5591" s="20" t="str">
        <f t="shared" si="1"/>
        <v>Vehicles &amp; Parts, Vehicles, Watercraft, </v>
      </c>
    </row>
    <row r="5592">
      <c r="A5592" s="29">
        <v>3095.0</v>
      </c>
      <c r="B5592" s="29" t="s">
        <v>5446</v>
      </c>
      <c r="C5592" s="29" t="s">
        <v>5646</v>
      </c>
      <c r="D5592" s="29" t="s">
        <v>5657</v>
      </c>
      <c r="E5592" s="29" t="s">
        <v>5658</v>
      </c>
      <c r="F5592" s="62"/>
      <c r="G5592" s="20" t="str">
        <f t="shared" si="1"/>
        <v>Vehicles &amp; Parts, Vehicles, Watercraft, Motor Boats</v>
      </c>
    </row>
    <row r="5593">
      <c r="A5593" s="29">
        <v>1130.0</v>
      </c>
      <c r="B5593" s="29" t="s">
        <v>5446</v>
      </c>
      <c r="C5593" s="29" t="s">
        <v>5646</v>
      </c>
      <c r="D5593" s="29" t="s">
        <v>5657</v>
      </c>
      <c r="E5593" s="29" t="s">
        <v>5659</v>
      </c>
      <c r="F5593" s="62"/>
      <c r="G5593" s="20" t="str">
        <f t="shared" si="1"/>
        <v>Vehicles &amp; Parts, Vehicles, Watercraft, Personal Watercraft</v>
      </c>
    </row>
    <row r="5594">
      <c r="A5594" s="29">
        <v>3087.0</v>
      </c>
      <c r="B5594" s="29" t="s">
        <v>5446</v>
      </c>
      <c r="C5594" s="29" t="s">
        <v>5646</v>
      </c>
      <c r="D5594" s="29" t="s">
        <v>5657</v>
      </c>
      <c r="E5594" s="29" t="s">
        <v>5660</v>
      </c>
      <c r="F5594" s="62"/>
      <c r="G5594" s="20" t="str">
        <f t="shared" si="1"/>
        <v>Vehicles &amp; Parts, Vehicles, Watercraft, Sailboats</v>
      </c>
    </row>
    <row r="5595">
      <c r="A5595" s="29">
        <v>5644.0</v>
      </c>
      <c r="B5595" s="29" t="s">
        <v>5446</v>
      </c>
      <c r="C5595" s="29" t="s">
        <v>5646</v>
      </c>
      <c r="D5595" s="29" t="s">
        <v>5657</v>
      </c>
      <c r="E5595" s="29" t="s">
        <v>5661</v>
      </c>
      <c r="F5595" s="62"/>
      <c r="G5595" s="20" t="str">
        <f t="shared" si="1"/>
        <v>Vehicles &amp; Parts, Vehicles, Watercraft, Yachts</v>
      </c>
    </row>
  </sheetData>
  <mergeCells count="367">
    <mergeCell ref="D3237:E3237"/>
    <mergeCell ref="D3239:E3239"/>
    <mergeCell ref="D3243:E3243"/>
    <mergeCell ref="D3248:E3248"/>
    <mergeCell ref="D3255:E3255"/>
    <mergeCell ref="D3256:E3256"/>
    <mergeCell ref="D3257:E3257"/>
    <mergeCell ref="D3261:E3261"/>
    <mergeCell ref="D3269:E3269"/>
    <mergeCell ref="D3278:E3278"/>
    <mergeCell ref="D3304:E3304"/>
    <mergeCell ref="D3319:E3319"/>
    <mergeCell ref="D3320:E3320"/>
    <mergeCell ref="D3323:E3323"/>
    <mergeCell ref="D2640:E2640"/>
    <mergeCell ref="D2702:E2702"/>
    <mergeCell ref="D2712:E2712"/>
    <mergeCell ref="E2714:F2714"/>
    <mergeCell ref="E2718:F2718"/>
    <mergeCell ref="E2729:F2729"/>
    <mergeCell ref="D2736:E2736"/>
    <mergeCell ref="D2759:E2759"/>
    <mergeCell ref="E2774:F2774"/>
    <mergeCell ref="D2782:E2782"/>
    <mergeCell ref="D2798:E2798"/>
    <mergeCell ref="D2921:E2921"/>
    <mergeCell ref="D2934:E2934"/>
    <mergeCell ref="E2988:F2988"/>
    <mergeCell ref="E3006:F3006"/>
    <mergeCell ref="E3014:F3014"/>
    <mergeCell ref="D3057:E3057"/>
    <mergeCell ref="D3058:E3058"/>
    <mergeCell ref="D3068:E3068"/>
    <mergeCell ref="D3070:E3070"/>
    <mergeCell ref="D3076:E3076"/>
    <mergeCell ref="D3081:E3081"/>
    <mergeCell ref="D3082:E3082"/>
    <mergeCell ref="D3095:E3095"/>
    <mergeCell ref="D3100:E3100"/>
    <mergeCell ref="D3129:E3129"/>
    <mergeCell ref="E3131:F3131"/>
    <mergeCell ref="D3139:E3139"/>
    <mergeCell ref="D3142:E3142"/>
    <mergeCell ref="D3155:E3155"/>
    <mergeCell ref="D3156:E3156"/>
    <mergeCell ref="D3171:E3171"/>
    <mergeCell ref="D3176:E3176"/>
    <mergeCell ref="E3181:F3181"/>
    <mergeCell ref="E3188:F3188"/>
    <mergeCell ref="D3196:E3196"/>
    <mergeCell ref="D3199:E3199"/>
    <mergeCell ref="D3203:E3203"/>
    <mergeCell ref="E3207:F3207"/>
    <mergeCell ref="D3225:E3225"/>
    <mergeCell ref="D3232:E3232"/>
    <mergeCell ref="D3234:E3234"/>
    <mergeCell ref="E3358:F3358"/>
    <mergeCell ref="D3361:E3361"/>
    <mergeCell ref="D3366:E3366"/>
    <mergeCell ref="E3387:F3387"/>
    <mergeCell ref="E3419:F3419"/>
    <mergeCell ref="D3431:E3431"/>
    <mergeCell ref="D3437:E3437"/>
    <mergeCell ref="E3484:F3484"/>
    <mergeCell ref="D3510:E3510"/>
    <mergeCell ref="D3538:E3538"/>
    <mergeCell ref="D3543:E3543"/>
    <mergeCell ref="E3545:F3545"/>
    <mergeCell ref="E3556:F3556"/>
    <mergeCell ref="E3557:F3557"/>
    <mergeCell ref="E3561:F3561"/>
    <mergeCell ref="E3570:F3570"/>
    <mergeCell ref="E3575:F3575"/>
    <mergeCell ref="E3591:F3591"/>
    <mergeCell ref="E3610:F3610"/>
    <mergeCell ref="E3701:F3701"/>
    <mergeCell ref="D3790:E3790"/>
    <mergeCell ref="E3899:F3899"/>
    <mergeCell ref="D3908:E3908"/>
    <mergeCell ref="E3920:F3920"/>
    <mergeCell ref="D3928:E3928"/>
    <mergeCell ref="E3950:F3950"/>
    <mergeCell ref="E3957:F3957"/>
    <mergeCell ref="D3982:E3982"/>
    <mergeCell ref="D3986:E3986"/>
    <mergeCell ref="D3998:E3998"/>
    <mergeCell ref="D4045:E4045"/>
    <mergeCell ref="D4103:E4103"/>
    <mergeCell ref="D4155:E4155"/>
    <mergeCell ref="D4156:E4156"/>
    <mergeCell ref="D4165:E4165"/>
    <mergeCell ref="D4167:E4167"/>
    <mergeCell ref="D4169:E4169"/>
    <mergeCell ref="D4170:E4170"/>
    <mergeCell ref="D4171:E4171"/>
    <mergeCell ref="D4174:E4174"/>
    <mergeCell ref="D4196:E4196"/>
    <mergeCell ref="D4197:E4197"/>
    <mergeCell ref="D4207:E4207"/>
    <mergeCell ref="D4216:E4216"/>
    <mergeCell ref="D4228:E4228"/>
    <mergeCell ref="E4246:F4246"/>
    <mergeCell ref="D4273:E4273"/>
    <mergeCell ref="D4278:E4278"/>
    <mergeCell ref="D4279:E4279"/>
    <mergeCell ref="D4291:E4291"/>
    <mergeCell ref="D4297:E4297"/>
    <mergeCell ref="D4358:E4358"/>
    <mergeCell ref="D4359:E4359"/>
    <mergeCell ref="D4360:E4360"/>
    <mergeCell ref="D4361:E4361"/>
    <mergeCell ref="D4362:E4362"/>
    <mergeCell ref="D4364:E4364"/>
    <mergeCell ref="D4365:E4365"/>
    <mergeCell ref="D4366:E4366"/>
    <mergeCell ref="D4367:E4367"/>
    <mergeCell ref="E4370:F4370"/>
    <mergeCell ref="D4379:E4379"/>
    <mergeCell ref="D4388:E4388"/>
    <mergeCell ref="E4396:F4396"/>
    <mergeCell ref="E4397:F4397"/>
    <mergeCell ref="E4408:F4408"/>
    <mergeCell ref="E4412:F4412"/>
    <mergeCell ref="E4413:F4413"/>
    <mergeCell ref="E4414:F4414"/>
    <mergeCell ref="E4416:F4416"/>
    <mergeCell ref="E4417:F4417"/>
    <mergeCell ref="E4429:F4429"/>
    <mergeCell ref="E4439:F4439"/>
    <mergeCell ref="E4446:F4446"/>
    <mergeCell ref="E4491:F4491"/>
    <mergeCell ref="D4533:E4533"/>
    <mergeCell ref="E4540:F4540"/>
    <mergeCell ref="E4544:F4544"/>
    <mergeCell ref="E4550:F4550"/>
    <mergeCell ref="D4648:E4648"/>
    <mergeCell ref="D4654:E4654"/>
    <mergeCell ref="D4659:E4659"/>
    <mergeCell ref="D4660:E4660"/>
    <mergeCell ref="D4663:E4663"/>
    <mergeCell ref="E4671:F4671"/>
    <mergeCell ref="E4672:F4672"/>
    <mergeCell ref="E4696:F4696"/>
    <mergeCell ref="E4710:F4710"/>
    <mergeCell ref="E4829:F4829"/>
    <mergeCell ref="E4861:F4861"/>
    <mergeCell ref="E5073:F5073"/>
    <mergeCell ref="D5113:E5113"/>
    <mergeCell ref="E5116:F5116"/>
    <mergeCell ref="D5207:E5207"/>
    <mergeCell ref="D5212:E5212"/>
    <mergeCell ref="D5222:E5222"/>
    <mergeCell ref="D5231:E5231"/>
    <mergeCell ref="D5234:E5234"/>
    <mergeCell ref="D5263:E5263"/>
    <mergeCell ref="E5271:F5271"/>
    <mergeCell ref="E5297:F5297"/>
    <mergeCell ref="E5308:F5308"/>
    <mergeCell ref="E5314:F5314"/>
    <mergeCell ref="D5322:E5322"/>
    <mergeCell ref="E5325:F5325"/>
    <mergeCell ref="E53:F53"/>
    <mergeCell ref="D69:E69"/>
    <mergeCell ref="D70:E70"/>
    <mergeCell ref="D73:E73"/>
    <mergeCell ref="D76:E76"/>
    <mergeCell ref="D77:E77"/>
    <mergeCell ref="E83:F83"/>
    <mergeCell ref="D90:E90"/>
    <mergeCell ref="D96:E96"/>
    <mergeCell ref="E105:F105"/>
    <mergeCell ref="D109:E109"/>
    <mergeCell ref="D110:E110"/>
    <mergeCell ref="D112:E112"/>
    <mergeCell ref="D113:E113"/>
    <mergeCell ref="E115:F115"/>
    <mergeCell ref="E116:F116"/>
    <mergeCell ref="E137:F137"/>
    <mergeCell ref="D181:E181"/>
    <mergeCell ref="D191:E191"/>
    <mergeCell ref="D253:E253"/>
    <mergeCell ref="D258:E258"/>
    <mergeCell ref="D304:E304"/>
    <mergeCell ref="D315:E315"/>
    <mergeCell ref="D575:E575"/>
    <mergeCell ref="D587:E587"/>
    <mergeCell ref="E611:F611"/>
    <mergeCell ref="E669:F669"/>
    <mergeCell ref="E852:F852"/>
    <mergeCell ref="D868:E868"/>
    <mergeCell ref="D872:E872"/>
    <mergeCell ref="D878:E878"/>
    <mergeCell ref="D881:E881"/>
    <mergeCell ref="D882:E882"/>
    <mergeCell ref="D887:E887"/>
    <mergeCell ref="D892:E892"/>
    <mergeCell ref="D901:E901"/>
    <mergeCell ref="D905:E905"/>
    <mergeCell ref="D906:E906"/>
    <mergeCell ref="D907:E907"/>
    <mergeCell ref="D908:E908"/>
    <mergeCell ref="D909:E909"/>
    <mergeCell ref="D911:E911"/>
    <mergeCell ref="D913:E913"/>
    <mergeCell ref="D931:E931"/>
    <mergeCell ref="D937:E937"/>
    <mergeCell ref="D938:E938"/>
    <mergeCell ref="D939:E939"/>
    <mergeCell ref="D970:E970"/>
    <mergeCell ref="D971:E971"/>
    <mergeCell ref="D991:E991"/>
    <mergeCell ref="D1012:E1012"/>
    <mergeCell ref="D1022:E1022"/>
    <mergeCell ref="D1037:E1037"/>
    <mergeCell ref="E1045:F1045"/>
    <mergeCell ref="D1075:E1075"/>
    <mergeCell ref="E1076:F1076"/>
    <mergeCell ref="E1095:F1095"/>
    <mergeCell ref="E1105:F1105"/>
    <mergeCell ref="D1106:E1106"/>
    <mergeCell ref="D1109:E1109"/>
    <mergeCell ref="D1151:E1151"/>
    <mergeCell ref="D1162:E1162"/>
    <mergeCell ref="D1179:E1179"/>
    <mergeCell ref="D1180:E1180"/>
    <mergeCell ref="D1184:E1184"/>
    <mergeCell ref="D1191:E1191"/>
    <mergeCell ref="E1194:F1194"/>
    <mergeCell ref="E1205:F1205"/>
    <mergeCell ref="E1206:F1206"/>
    <mergeCell ref="E1207:F1207"/>
    <mergeCell ref="E1210:F1210"/>
    <mergeCell ref="E1214:F1214"/>
    <mergeCell ref="E1218:F1218"/>
    <mergeCell ref="E1224:F1224"/>
    <mergeCell ref="D1225:E1225"/>
    <mergeCell ref="E1251:F1251"/>
    <mergeCell ref="E1277:F1277"/>
    <mergeCell ref="D1280:E1280"/>
    <mergeCell ref="D1283:E1283"/>
    <mergeCell ref="D1284:E1284"/>
    <mergeCell ref="D1287:E1287"/>
    <mergeCell ref="D1288:E1288"/>
    <mergeCell ref="E1291:F1291"/>
    <mergeCell ref="E1292:F1292"/>
    <mergeCell ref="D1334:E1334"/>
    <mergeCell ref="E1345:F1345"/>
    <mergeCell ref="D1357:E1357"/>
    <mergeCell ref="D1358:E1358"/>
    <mergeCell ref="D1362:E1362"/>
    <mergeCell ref="E1375:F1375"/>
    <mergeCell ref="E1377:F1377"/>
    <mergeCell ref="D1388:E1388"/>
    <mergeCell ref="D1423:E1423"/>
    <mergeCell ref="E1444:F1444"/>
    <mergeCell ref="D1452:E1452"/>
    <mergeCell ref="E1462:F1462"/>
    <mergeCell ref="E1490:F1490"/>
    <mergeCell ref="E1496:F1496"/>
    <mergeCell ref="D2127:E2127"/>
    <mergeCell ref="D2140:E2140"/>
    <mergeCell ref="D2142:E2142"/>
    <mergeCell ref="D2161:E2161"/>
    <mergeCell ref="D2179:E2179"/>
    <mergeCell ref="E2196:F2196"/>
    <mergeCell ref="D2197:E2197"/>
    <mergeCell ref="E2202:F2202"/>
    <mergeCell ref="D2211:E2211"/>
    <mergeCell ref="D2213:E2213"/>
    <mergeCell ref="D2214:E2214"/>
    <mergeCell ref="D2233:E2233"/>
    <mergeCell ref="D2246:E2246"/>
    <mergeCell ref="D2250:E2250"/>
    <mergeCell ref="D2256:E2256"/>
    <mergeCell ref="D2260:E2260"/>
    <mergeCell ref="D2263:E2263"/>
    <mergeCell ref="D2272:E2272"/>
    <mergeCell ref="E2274:F2274"/>
    <mergeCell ref="D2307:E2307"/>
    <mergeCell ref="D2314:E2314"/>
    <mergeCell ref="D2319:E2319"/>
    <mergeCell ref="D2331:E2331"/>
    <mergeCell ref="D2332:E2332"/>
    <mergeCell ref="D2333:E2333"/>
    <mergeCell ref="D2350:E2350"/>
    <mergeCell ref="E2352:F2352"/>
    <mergeCell ref="D2361:E2361"/>
    <mergeCell ref="D2413:E2413"/>
    <mergeCell ref="D2416:E2416"/>
    <mergeCell ref="D2431:E2431"/>
    <mergeCell ref="D2439:E2439"/>
    <mergeCell ref="E2443:F2443"/>
    <mergeCell ref="D2445:E2445"/>
    <mergeCell ref="D2457:E2457"/>
    <mergeCell ref="D2459:E2459"/>
    <mergeCell ref="D2461:E2461"/>
    <mergeCell ref="D2465:E2465"/>
    <mergeCell ref="D2472:E2472"/>
    <mergeCell ref="D2489:E2489"/>
    <mergeCell ref="D2490:E2490"/>
    <mergeCell ref="D2492:E2492"/>
    <mergeCell ref="D1559:E1559"/>
    <mergeCell ref="D1573:E1573"/>
    <mergeCell ref="E1595:F1595"/>
    <mergeCell ref="E1598:F1598"/>
    <mergeCell ref="D1617:E1617"/>
    <mergeCell ref="D1618:E1618"/>
    <mergeCell ref="D1628:E1628"/>
    <mergeCell ref="D1632:E1632"/>
    <mergeCell ref="D1633:E1633"/>
    <mergeCell ref="D1634:E1634"/>
    <mergeCell ref="D1636:E1636"/>
    <mergeCell ref="D1640:E1640"/>
    <mergeCell ref="E1652:F1652"/>
    <mergeCell ref="D1653:E1653"/>
    <mergeCell ref="D1685:E1685"/>
    <mergeCell ref="D1687:E1687"/>
    <mergeCell ref="E1691:F1691"/>
    <mergeCell ref="D1696:E1696"/>
    <mergeCell ref="D1697:E1697"/>
    <mergeCell ref="D1730:E1730"/>
    <mergeCell ref="D1759:E1759"/>
    <mergeCell ref="D1790:E1790"/>
    <mergeCell ref="D1851:E1851"/>
    <mergeCell ref="E2019:F2019"/>
    <mergeCell ref="D2048:E2048"/>
    <mergeCell ref="D2060:E2060"/>
    <mergeCell ref="D2065:E2065"/>
    <mergeCell ref="D2066:E2066"/>
    <mergeCell ref="D2069:E2069"/>
    <mergeCell ref="D2073:E2073"/>
    <mergeCell ref="D2074:E2074"/>
    <mergeCell ref="D2076:E2076"/>
    <mergeCell ref="D2078:E2078"/>
    <mergeCell ref="D2083:E2083"/>
    <mergeCell ref="D2088:E2088"/>
    <mergeCell ref="D2094:E2094"/>
    <mergeCell ref="D2095:E2095"/>
    <mergeCell ref="D2108:E2108"/>
    <mergeCell ref="D2110:E2110"/>
    <mergeCell ref="D2113:E2113"/>
    <mergeCell ref="D2118:E2118"/>
    <mergeCell ref="D2126:E2126"/>
    <mergeCell ref="E2493:F2493"/>
    <mergeCell ref="E2511:F2511"/>
    <mergeCell ref="D2517:E2517"/>
    <mergeCell ref="D2535:E2535"/>
    <mergeCell ref="E2544:F2544"/>
    <mergeCell ref="D2571:E2571"/>
    <mergeCell ref="D2597:E2597"/>
    <mergeCell ref="D5360:E5360"/>
    <mergeCell ref="D5368:E5368"/>
    <mergeCell ref="E5370:F5370"/>
    <mergeCell ref="E5374:F5374"/>
    <mergeCell ref="E5379:F5379"/>
    <mergeCell ref="E5382:F5382"/>
    <mergeCell ref="E5385:F5385"/>
    <mergeCell ref="E5540:F5540"/>
    <mergeCell ref="E5541:F5541"/>
    <mergeCell ref="D5543:E5543"/>
    <mergeCell ref="E5389:F5389"/>
    <mergeCell ref="E5394:F5394"/>
    <mergeCell ref="E5399:F5399"/>
    <mergeCell ref="E5411:F5411"/>
    <mergeCell ref="D5412:E5412"/>
    <mergeCell ref="E5492:F5492"/>
    <mergeCell ref="E5520:F5520"/>
  </mergeCells>
  <drawing r:id="rId1"/>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1.5"/>
  </cols>
  <sheetData>
    <row r="1">
      <c r="A1" s="13" t="s">
        <v>9539</v>
      </c>
    </row>
    <row r="2">
      <c r="A2" s="75" t="s">
        <v>7</v>
      </c>
      <c r="B2" s="75" t="s">
        <v>8343</v>
      </c>
      <c r="C2" s="75" t="s">
        <v>8368</v>
      </c>
      <c r="D2" s="75" t="s">
        <v>9540</v>
      </c>
    </row>
    <row r="3">
      <c r="A3" s="75" t="s">
        <v>9541</v>
      </c>
      <c r="B3" s="75" t="s">
        <v>9542</v>
      </c>
      <c r="C3" s="75" t="str">
        <f t="shared" ref="C3:C411" si="1">"191-"&amp;B3</f>
        <v>191-ATAT1823</v>
      </c>
      <c r="D3" s="75" t="s">
        <v>9543</v>
      </c>
    </row>
    <row r="4">
      <c r="A4" s="75" t="s">
        <v>9541</v>
      </c>
      <c r="B4" s="75" t="s">
        <v>9544</v>
      </c>
      <c r="C4" s="75" t="str">
        <f t="shared" si="1"/>
        <v>191-BG32EC</v>
      </c>
      <c r="D4" s="75" t="s">
        <v>9545</v>
      </c>
    </row>
    <row r="5">
      <c r="A5" s="75" t="s">
        <v>9541</v>
      </c>
      <c r="B5" s="75" t="s">
        <v>9546</v>
      </c>
      <c r="C5" s="75" t="str">
        <f t="shared" si="1"/>
        <v>191-BG32HDFC</v>
      </c>
      <c r="D5" s="75" t="s">
        <v>9547</v>
      </c>
    </row>
    <row r="6">
      <c r="A6" s="75" t="s">
        <v>9541</v>
      </c>
      <c r="B6" s="75" t="s">
        <v>9548</v>
      </c>
      <c r="C6" s="75" t="str">
        <f t="shared" si="1"/>
        <v>191-BG32MSR</v>
      </c>
      <c r="D6" s="75" t="s">
        <v>9549</v>
      </c>
    </row>
    <row r="7">
      <c r="A7" s="75" t="s">
        <v>9541</v>
      </c>
      <c r="B7" s="75" t="s">
        <v>9550</v>
      </c>
      <c r="C7" s="75" t="str">
        <f t="shared" si="1"/>
        <v>191-BG32WR</v>
      </c>
      <c r="D7" s="75" t="s">
        <v>9551</v>
      </c>
    </row>
    <row r="8">
      <c r="A8" s="75" t="s">
        <v>9541</v>
      </c>
      <c r="B8" s="75" t="s">
        <v>9552</v>
      </c>
      <c r="C8" s="75" t="str">
        <f t="shared" si="1"/>
        <v>191-DTAT1819</v>
      </c>
      <c r="D8" s="75" t="s">
        <v>9553</v>
      </c>
    </row>
    <row r="9">
      <c r="A9" s="75" t="s">
        <v>9541</v>
      </c>
      <c r="B9" s="75" t="s">
        <v>9554</v>
      </c>
      <c r="C9" s="75" t="str">
        <f t="shared" si="1"/>
        <v>191-HRCT1838</v>
      </c>
      <c r="D9" s="75" t="s">
        <v>9555</v>
      </c>
    </row>
    <row r="10">
      <c r="A10" s="75" t="s">
        <v>9541</v>
      </c>
      <c r="B10" s="75" t="s">
        <v>9556</v>
      </c>
      <c r="C10" s="75" t="str">
        <f t="shared" si="1"/>
        <v>191-MAAT4721</v>
      </c>
      <c r="D10" s="75" t="s">
        <v>9557</v>
      </c>
    </row>
    <row r="11">
      <c r="A11" s="75" t="s">
        <v>9541</v>
      </c>
      <c r="B11" s="75" t="s">
        <v>9558</v>
      </c>
      <c r="C11" s="75" t="str">
        <f t="shared" si="1"/>
        <v>191-MAFF2415</v>
      </c>
      <c r="D11" s="75" t="s">
        <v>9559</v>
      </c>
    </row>
    <row r="12">
      <c r="A12" s="75" t="s">
        <v>9541</v>
      </c>
      <c r="B12" s="75" t="s">
        <v>9560</v>
      </c>
      <c r="C12" s="75" t="str">
        <f t="shared" si="1"/>
        <v>191-MAFT2210</v>
      </c>
      <c r="D12" s="75" t="s">
        <v>9561</v>
      </c>
    </row>
    <row r="13">
      <c r="A13" s="75" t="s">
        <v>9541</v>
      </c>
      <c r="B13" s="75" t="s">
        <v>9562</v>
      </c>
      <c r="C13" s="75" t="str">
        <f t="shared" si="1"/>
        <v>191-MGPCH67</v>
      </c>
      <c r="D13" s="75" t="s">
        <v>9563</v>
      </c>
    </row>
    <row r="14">
      <c r="A14" s="75" t="s">
        <v>9541</v>
      </c>
      <c r="B14" s="75" t="s">
        <v>9564</v>
      </c>
      <c r="C14" s="75" t="str">
        <f t="shared" si="1"/>
        <v>191-MSAT3030</v>
      </c>
      <c r="D14" s="75" t="s">
        <v>9565</v>
      </c>
    </row>
    <row r="15">
      <c r="A15" s="75" t="s">
        <v>9541</v>
      </c>
      <c r="B15" s="75" t="s">
        <v>9566</v>
      </c>
      <c r="C15" s="75" t="str">
        <f t="shared" si="1"/>
        <v>191-PAFS2400</v>
      </c>
      <c r="D15" s="75" t="s">
        <v>9567</v>
      </c>
    </row>
    <row r="16">
      <c r="A16" s="75" t="s">
        <v>9541</v>
      </c>
      <c r="B16" s="75" t="s">
        <v>8547</v>
      </c>
      <c r="C16" s="75" t="str">
        <f t="shared" si="1"/>
        <v>191-PAFT2410</v>
      </c>
      <c r="D16" s="75" t="s">
        <v>9568</v>
      </c>
    </row>
    <row r="17">
      <c r="A17" s="75" t="s">
        <v>9541</v>
      </c>
      <c r="B17" s="75" t="s">
        <v>9569</v>
      </c>
      <c r="C17" s="75" t="str">
        <f t="shared" si="1"/>
        <v>191-PFAF2417</v>
      </c>
      <c r="D17" s="75" t="s">
        <v>9570</v>
      </c>
    </row>
    <row r="18">
      <c r="A18" s="75" t="s">
        <v>9541</v>
      </c>
      <c r="B18" s="75" t="s">
        <v>9571</v>
      </c>
      <c r="C18" s="75" t="str">
        <f t="shared" si="1"/>
        <v>191-PFET1522</v>
      </c>
      <c r="D18" s="75" t="s">
        <v>9572</v>
      </c>
    </row>
    <row r="19">
      <c r="A19" s="75" t="s">
        <v>9541</v>
      </c>
      <c r="B19" s="75" t="s">
        <v>9573</v>
      </c>
      <c r="C19" s="75" t="str">
        <f t="shared" si="1"/>
        <v>191-PGST2400</v>
      </c>
      <c r="D19" s="75" t="s">
        <v>9574</v>
      </c>
    </row>
    <row r="20">
      <c r="A20" s="75" t="s">
        <v>9541</v>
      </c>
      <c r="B20" s="75" t="s">
        <v>9575</v>
      </c>
      <c r="C20" s="75" t="str">
        <f t="shared" si="1"/>
        <v>191-PR2545</v>
      </c>
      <c r="D20" s="75" t="s">
        <v>9576</v>
      </c>
    </row>
    <row r="21">
      <c r="A21" s="75" t="s">
        <v>9541</v>
      </c>
      <c r="B21" s="75" t="s">
        <v>9577</v>
      </c>
      <c r="C21" s="75" t="str">
        <f t="shared" si="1"/>
        <v>191-PRCT0018</v>
      </c>
      <c r="D21" s="75" t="s">
        <v>9578</v>
      </c>
    </row>
    <row r="22">
      <c r="A22" s="75" t="s">
        <v>9541</v>
      </c>
      <c r="B22" s="75" t="s">
        <v>9579</v>
      </c>
      <c r="C22" s="75" t="str">
        <f t="shared" si="1"/>
        <v>191-PRET2122</v>
      </c>
      <c r="D22" s="75" t="s">
        <v>9580</v>
      </c>
    </row>
    <row r="23">
      <c r="A23" s="75" t="s">
        <v>9541</v>
      </c>
      <c r="B23" s="75" t="s">
        <v>9581</v>
      </c>
      <c r="C23" s="75" t="str">
        <f t="shared" si="1"/>
        <v>191-PRET2922</v>
      </c>
      <c r="D23" s="75" t="s">
        <v>9582</v>
      </c>
    </row>
    <row r="24">
      <c r="A24" s="75" t="s">
        <v>9541</v>
      </c>
      <c r="B24" s="75" t="s">
        <v>9583</v>
      </c>
      <c r="C24" s="75" t="str">
        <f t="shared" si="1"/>
        <v>191-PRET3222</v>
      </c>
      <c r="D24" s="75" t="s">
        <v>9584</v>
      </c>
    </row>
    <row r="25">
      <c r="A25" s="75" t="s">
        <v>9541</v>
      </c>
      <c r="B25" s="75" t="s">
        <v>9585</v>
      </c>
      <c r="C25" s="75" t="str">
        <f t="shared" si="1"/>
        <v>191-PSET1717</v>
      </c>
      <c r="D25" s="75" t="s">
        <v>9586</v>
      </c>
    </row>
    <row r="26">
      <c r="A26" s="75" t="s">
        <v>9541</v>
      </c>
      <c r="B26" s="75" t="s">
        <v>9587</v>
      </c>
      <c r="C26" s="75" t="str">
        <f t="shared" si="1"/>
        <v>191-PVCH0000</v>
      </c>
      <c r="D26" s="75" t="s">
        <v>9588</v>
      </c>
    </row>
    <row r="27">
      <c r="A27" s="75" t="s">
        <v>9541</v>
      </c>
      <c r="B27" s="75" t="s">
        <v>9589</v>
      </c>
      <c r="C27" s="75" t="str">
        <f t="shared" si="1"/>
        <v>191-PVGF2100</v>
      </c>
      <c r="D27" s="75" t="s">
        <v>9590</v>
      </c>
    </row>
    <row r="28">
      <c r="A28" s="75" t="s">
        <v>9541</v>
      </c>
      <c r="B28" s="75" t="s">
        <v>9591</v>
      </c>
      <c r="C28" s="75" t="str">
        <f t="shared" si="1"/>
        <v>191-PVGF2100AC</v>
      </c>
      <c r="D28" s="75" t="s">
        <v>9592</v>
      </c>
    </row>
    <row r="29">
      <c r="A29" s="75" t="s">
        <v>9541</v>
      </c>
      <c r="B29" s="75" t="s">
        <v>9593</v>
      </c>
      <c r="C29" s="75" t="str">
        <f t="shared" si="1"/>
        <v>191-PVSF2100</v>
      </c>
      <c r="D29" s="75" t="s">
        <v>9594</v>
      </c>
    </row>
    <row r="30">
      <c r="A30" s="75" t="s">
        <v>9541</v>
      </c>
      <c r="B30" s="75" t="s">
        <v>9595</v>
      </c>
      <c r="C30" s="75" t="str">
        <f t="shared" si="1"/>
        <v>191-RG717</v>
      </c>
      <c r="D30" s="75" t="s">
        <v>9596</v>
      </c>
    </row>
    <row r="31">
      <c r="A31" s="75" t="s">
        <v>9541</v>
      </c>
      <c r="B31" s="75" t="s">
        <v>9597</v>
      </c>
      <c r="C31" s="75" t="str">
        <f t="shared" si="1"/>
        <v>191-RTC32</v>
      </c>
      <c r="D31" s="75" t="s">
        <v>9598</v>
      </c>
    </row>
    <row r="32">
      <c r="A32" s="75" t="s">
        <v>9541</v>
      </c>
      <c r="B32" s="75" t="s">
        <v>9599</v>
      </c>
      <c r="C32" s="75" t="str">
        <f t="shared" si="1"/>
        <v>191-RTCT2921</v>
      </c>
      <c r="D32" s="75" t="s">
        <v>9600</v>
      </c>
    </row>
    <row r="33">
      <c r="A33" s="75" t="s">
        <v>9541</v>
      </c>
      <c r="B33" s="75" t="s">
        <v>9601</v>
      </c>
      <c r="C33" s="75" t="str">
        <f t="shared" si="1"/>
        <v>191-RTET2115</v>
      </c>
      <c r="D33" s="75" t="s">
        <v>9602</v>
      </c>
    </row>
    <row r="34">
      <c r="A34" s="75" t="s">
        <v>9541</v>
      </c>
      <c r="B34" s="75" t="s">
        <v>9603</v>
      </c>
      <c r="C34" s="75" t="str">
        <f t="shared" si="1"/>
        <v>191-RTET2915</v>
      </c>
      <c r="D34" s="75" t="s">
        <v>9604</v>
      </c>
    </row>
    <row r="35">
      <c r="A35" s="75" t="s">
        <v>9541</v>
      </c>
      <c r="B35" s="75" t="s">
        <v>9605</v>
      </c>
      <c r="C35" s="75" t="str">
        <f t="shared" si="1"/>
        <v>191-RTET3315</v>
      </c>
      <c r="D35" s="75" t="s">
        <v>9606</v>
      </c>
    </row>
    <row r="36">
      <c r="A36" s="75" t="s">
        <v>9541</v>
      </c>
      <c r="B36" s="75" t="s">
        <v>9607</v>
      </c>
      <c r="C36" s="75" t="str">
        <f t="shared" si="1"/>
        <v>191-UCC2X3</v>
      </c>
      <c r="D36" s="75" t="s">
        <v>9608</v>
      </c>
    </row>
    <row r="37">
      <c r="A37" s="75" t="s">
        <v>9609</v>
      </c>
      <c r="B37" s="75" t="s">
        <v>9610</v>
      </c>
      <c r="C37" s="75" t="str">
        <f t="shared" si="1"/>
        <v>191-BET4262D</v>
      </c>
      <c r="D37" s="75" t="s">
        <v>9611</v>
      </c>
    </row>
    <row r="38">
      <c r="A38" s="75" t="s">
        <v>9609</v>
      </c>
      <c r="B38" s="75" t="s">
        <v>9612</v>
      </c>
      <c r="C38" s="75" t="str">
        <f t="shared" si="1"/>
        <v>191-BET4295D</v>
      </c>
      <c r="D38" s="75" t="s">
        <v>9613</v>
      </c>
    </row>
    <row r="39">
      <c r="A39" s="75" t="s">
        <v>9609</v>
      </c>
      <c r="B39" s="75" t="s">
        <v>9614</v>
      </c>
      <c r="C39" s="75" t="str">
        <f t="shared" si="1"/>
        <v>191-BHFT4262D</v>
      </c>
      <c r="D39" s="75" t="s">
        <v>9615</v>
      </c>
    </row>
    <row r="40">
      <c r="A40" s="75" t="s">
        <v>9609</v>
      </c>
      <c r="B40" s="75" t="s">
        <v>9616</v>
      </c>
      <c r="C40" s="75" t="str">
        <f t="shared" si="1"/>
        <v>191-BHFT4295D</v>
      </c>
      <c r="D40" s="75" t="s">
        <v>9617</v>
      </c>
    </row>
    <row r="41">
      <c r="A41" s="75" t="s">
        <v>9609</v>
      </c>
      <c r="B41" s="75" t="s">
        <v>9618</v>
      </c>
      <c r="C41" s="75" t="str">
        <f t="shared" si="1"/>
        <v>191-HHFMT0040B</v>
      </c>
      <c r="D41" s="75" t="s">
        <v>9619</v>
      </c>
    </row>
    <row r="42">
      <c r="A42" s="75" t="s">
        <v>9609</v>
      </c>
      <c r="B42" s="75" t="s">
        <v>9620</v>
      </c>
      <c r="C42" s="75" t="str">
        <f t="shared" si="1"/>
        <v>191-HHFMT0040C</v>
      </c>
      <c r="D42" s="75" t="s">
        <v>9621</v>
      </c>
    </row>
    <row r="43">
      <c r="A43" s="75" t="s">
        <v>9609</v>
      </c>
      <c r="B43" s="75" t="s">
        <v>9622</v>
      </c>
      <c r="C43" s="75" t="str">
        <f t="shared" si="1"/>
        <v>191-HHFMT0040D</v>
      </c>
      <c r="D43" s="75" t="s">
        <v>9623</v>
      </c>
    </row>
    <row r="44">
      <c r="A44" s="75" t="s">
        <v>9609</v>
      </c>
      <c r="B44" s="75" t="s">
        <v>9624</v>
      </c>
      <c r="C44" s="75" t="str">
        <f t="shared" si="1"/>
        <v>191-HHFMT4070B</v>
      </c>
      <c r="D44" s="75" t="s">
        <v>9625</v>
      </c>
    </row>
    <row r="45">
      <c r="A45" s="75" t="s">
        <v>9609</v>
      </c>
      <c r="B45" s="75" t="s">
        <v>9626</v>
      </c>
      <c r="C45" s="75" t="str">
        <f t="shared" si="1"/>
        <v>191-HHFMT4070C</v>
      </c>
      <c r="D45" s="75" t="s">
        <v>9627</v>
      </c>
    </row>
    <row r="46">
      <c r="A46" s="75" t="s">
        <v>9609</v>
      </c>
      <c r="B46" s="75" t="s">
        <v>9628</v>
      </c>
      <c r="C46" s="75" t="str">
        <f t="shared" si="1"/>
        <v>191-HHFMT4070D</v>
      </c>
      <c r="D46" s="75" t="s">
        <v>9629</v>
      </c>
    </row>
    <row r="47">
      <c r="A47" s="75" t="s">
        <v>9609</v>
      </c>
      <c r="B47" s="75" t="s">
        <v>9630</v>
      </c>
      <c r="C47" s="75" t="str">
        <f t="shared" si="1"/>
        <v>191-HRMT4070B</v>
      </c>
      <c r="D47" s="75" t="s">
        <v>9631</v>
      </c>
    </row>
    <row r="48">
      <c r="A48" s="75" t="s">
        <v>9609</v>
      </c>
      <c r="B48" s="75" t="s">
        <v>9632</v>
      </c>
      <c r="C48" s="75" t="str">
        <f t="shared" si="1"/>
        <v>191-HRMT4070C</v>
      </c>
      <c r="D48" s="75" t="s">
        <v>9633</v>
      </c>
    </row>
    <row r="49">
      <c r="A49" s="75" t="s">
        <v>9609</v>
      </c>
      <c r="B49" s="75" t="s">
        <v>9634</v>
      </c>
      <c r="C49" s="75" t="str">
        <f t="shared" si="1"/>
        <v>191-HRMT4070D</v>
      </c>
      <c r="D49" s="75" t="s">
        <v>9635</v>
      </c>
    </row>
    <row r="50">
      <c r="A50" s="75" t="s">
        <v>9609</v>
      </c>
      <c r="B50" s="75" t="s">
        <v>9636</v>
      </c>
      <c r="C50" s="75" t="str">
        <f t="shared" si="1"/>
        <v>191-HSMT0040B</v>
      </c>
      <c r="D50" s="75" t="s">
        <v>9637</v>
      </c>
    </row>
    <row r="51">
      <c r="A51" s="75" t="s">
        <v>9609</v>
      </c>
      <c r="B51" s="75" t="s">
        <v>9638</v>
      </c>
      <c r="C51" s="75" t="str">
        <f t="shared" si="1"/>
        <v>191-HSMT0040C</v>
      </c>
      <c r="D51" s="75" t="s">
        <v>9639</v>
      </c>
    </row>
    <row r="52">
      <c r="A52" s="75" t="s">
        <v>9609</v>
      </c>
      <c r="B52" s="75" t="s">
        <v>9640</v>
      </c>
      <c r="C52" s="75" t="str">
        <f t="shared" si="1"/>
        <v>191-HSMT0040D</v>
      </c>
      <c r="D52" s="75" t="s">
        <v>9641</v>
      </c>
    </row>
    <row r="53">
      <c r="A53" s="75" t="s">
        <v>9642</v>
      </c>
      <c r="B53" s="75" t="s">
        <v>9643</v>
      </c>
      <c r="C53" s="75" t="str">
        <f t="shared" si="1"/>
        <v>191-BVPCR40</v>
      </c>
      <c r="D53" s="75" t="s">
        <v>9644</v>
      </c>
    </row>
    <row r="54">
      <c r="A54" s="75" t="s">
        <v>9642</v>
      </c>
      <c r="B54" s="75" t="s">
        <v>9645</v>
      </c>
      <c r="C54" s="75" t="str">
        <f t="shared" si="1"/>
        <v>191-PCP</v>
      </c>
      <c r="D54" s="75" t="s">
        <v>9646</v>
      </c>
    </row>
    <row r="55">
      <c r="A55" s="75" t="s">
        <v>9647</v>
      </c>
      <c r="B55" s="75" t="s">
        <v>9648</v>
      </c>
      <c r="C55" s="75" t="str">
        <f t="shared" si="1"/>
        <v>191-BAK1022</v>
      </c>
      <c r="D55" s="75" t="s">
        <v>9649</v>
      </c>
    </row>
    <row r="56">
      <c r="A56" s="75" t="s">
        <v>9647</v>
      </c>
      <c r="B56" s="75" t="s">
        <v>9650</v>
      </c>
      <c r="C56" s="75" t="str">
        <f t="shared" si="1"/>
        <v>191-BBC2045</v>
      </c>
      <c r="D56" s="75" t="s">
        <v>9651</v>
      </c>
    </row>
    <row r="57">
      <c r="A57" s="75" t="s">
        <v>9647</v>
      </c>
      <c r="B57" s="75" t="s">
        <v>9652</v>
      </c>
      <c r="C57" s="75" t="str">
        <f t="shared" si="1"/>
        <v>191-BCC2041</v>
      </c>
      <c r="D57" s="75" t="s">
        <v>9653</v>
      </c>
    </row>
    <row r="58">
      <c r="A58" s="75" t="s">
        <v>9647</v>
      </c>
      <c r="B58" s="75" t="s">
        <v>9654</v>
      </c>
      <c r="C58" s="75" t="str">
        <f t="shared" si="1"/>
        <v>191-BDC2037</v>
      </c>
      <c r="D58" s="75" t="s">
        <v>9655</v>
      </c>
    </row>
    <row r="59">
      <c r="A59" s="75" t="s">
        <v>9647</v>
      </c>
      <c r="B59" s="75" t="s">
        <v>9656</v>
      </c>
      <c r="C59" s="75" t="str">
        <f t="shared" si="1"/>
        <v>191-BSBC2045</v>
      </c>
      <c r="D59" s="75" t="s">
        <v>9657</v>
      </c>
    </row>
    <row r="60">
      <c r="A60" s="75" t="s">
        <v>9647</v>
      </c>
      <c r="B60" s="75" t="s">
        <v>9658</v>
      </c>
      <c r="C60" s="75" t="str">
        <f t="shared" si="1"/>
        <v>191-BSCC2041</v>
      </c>
      <c r="D60" s="75" t="s">
        <v>9659</v>
      </c>
    </row>
    <row r="61">
      <c r="A61" s="75" t="s">
        <v>9647</v>
      </c>
      <c r="B61" s="75" t="s">
        <v>9660</v>
      </c>
      <c r="C61" s="75" t="str">
        <f t="shared" si="1"/>
        <v>191-BSRDC2036</v>
      </c>
      <c r="D61" s="75" t="s">
        <v>9661</v>
      </c>
    </row>
    <row r="62">
      <c r="A62" s="75" t="s">
        <v>9647</v>
      </c>
      <c r="B62" s="75" t="s">
        <v>9662</v>
      </c>
      <c r="C62" s="75" t="str">
        <f t="shared" si="1"/>
        <v>191-BSXTC2049</v>
      </c>
      <c r="D62" s="75" t="s">
        <v>9663</v>
      </c>
    </row>
    <row r="63">
      <c r="A63" s="75" t="s">
        <v>9647</v>
      </c>
      <c r="B63" s="75" t="s">
        <v>9664</v>
      </c>
      <c r="C63" s="75" t="str">
        <f t="shared" si="1"/>
        <v>191-BXTC2049</v>
      </c>
      <c r="D63" s="75" t="s">
        <v>9665</v>
      </c>
    </row>
    <row r="64">
      <c r="A64" s="75" t="s">
        <v>9647</v>
      </c>
      <c r="B64" s="75" t="s">
        <v>9666</v>
      </c>
      <c r="C64" s="75" t="str">
        <f t="shared" si="1"/>
        <v>191-HDT0044D</v>
      </c>
      <c r="D64" s="75" t="s">
        <v>9667</v>
      </c>
    </row>
    <row r="65">
      <c r="A65" s="75" t="s">
        <v>9647</v>
      </c>
      <c r="B65" s="75" t="s">
        <v>9668</v>
      </c>
      <c r="C65" s="75" t="str">
        <f t="shared" si="1"/>
        <v>191-HDT4472D</v>
      </c>
      <c r="D65" s="75" t="s">
        <v>9669</v>
      </c>
    </row>
    <row r="66">
      <c r="A66" s="75" t="s">
        <v>9647</v>
      </c>
      <c r="B66" s="75" t="s">
        <v>9670</v>
      </c>
      <c r="C66" s="75" t="str">
        <f t="shared" si="1"/>
        <v>191-PLCL7400</v>
      </c>
      <c r="D66" s="75" t="s">
        <v>9671</v>
      </c>
    </row>
    <row r="67">
      <c r="A67" s="75" t="s">
        <v>9647</v>
      </c>
      <c r="B67" s="75" t="s">
        <v>9672</v>
      </c>
      <c r="C67" s="75" t="str">
        <f t="shared" si="1"/>
        <v>191-PLTS4800SS</v>
      </c>
      <c r="D67" s="75" t="s">
        <v>9673</v>
      </c>
    </row>
    <row r="68">
      <c r="A68" s="75" t="s">
        <v>9647</v>
      </c>
      <c r="B68" s="75" t="s">
        <v>9674</v>
      </c>
      <c r="C68" s="75" t="str">
        <f t="shared" si="1"/>
        <v>191-PLTS4800ZC</v>
      </c>
      <c r="D68" s="75" t="s">
        <v>9675</v>
      </c>
    </row>
    <row r="69">
      <c r="A69" s="75" t="s">
        <v>9647</v>
      </c>
      <c r="B69" s="75" t="s">
        <v>9676</v>
      </c>
      <c r="C69" s="75" t="str">
        <f t="shared" si="1"/>
        <v>191-PLTS6000SS</v>
      </c>
      <c r="D69" s="75" t="s">
        <v>9677</v>
      </c>
    </row>
    <row r="70">
      <c r="A70" s="75" t="s">
        <v>9647</v>
      </c>
      <c r="B70" s="75" t="s">
        <v>9678</v>
      </c>
      <c r="C70" s="75" t="str">
        <f t="shared" si="1"/>
        <v>191-PLTS6000ZC</v>
      </c>
      <c r="D70" s="75" t="s">
        <v>9679</v>
      </c>
    </row>
    <row r="71">
      <c r="A71" s="75" t="s">
        <v>9680</v>
      </c>
      <c r="B71" s="75" t="s">
        <v>9681</v>
      </c>
      <c r="C71" s="75" t="str">
        <f t="shared" si="1"/>
        <v>191-CCC2832</v>
      </c>
      <c r="D71" s="75" t="s">
        <v>9682</v>
      </c>
    </row>
    <row r="72">
      <c r="A72" s="75" t="s">
        <v>9680</v>
      </c>
      <c r="B72" s="75" t="s">
        <v>9683</v>
      </c>
      <c r="C72" s="75" t="str">
        <f t="shared" si="1"/>
        <v>191-CCT1835</v>
      </c>
      <c r="D72" s="75" t="s">
        <v>9684</v>
      </c>
    </row>
    <row r="73">
      <c r="A73" s="75" t="s">
        <v>9680</v>
      </c>
      <c r="B73" s="75" t="s">
        <v>9685</v>
      </c>
      <c r="C73" s="75" t="str">
        <f t="shared" si="1"/>
        <v>191-CET1720</v>
      </c>
      <c r="D73" s="75" t="s">
        <v>9686</v>
      </c>
    </row>
    <row r="74">
      <c r="A74" s="75" t="s">
        <v>9680</v>
      </c>
      <c r="B74" s="75" t="s">
        <v>9687</v>
      </c>
      <c r="C74" s="75" t="str">
        <f t="shared" si="1"/>
        <v>191-CL5332</v>
      </c>
      <c r="D74" s="75" t="s">
        <v>9688</v>
      </c>
    </row>
    <row r="75">
      <c r="A75" s="75" t="s">
        <v>9680</v>
      </c>
      <c r="B75" s="75" t="s">
        <v>9689</v>
      </c>
      <c r="C75" s="75" t="str">
        <f t="shared" si="1"/>
        <v>191-CO2513</v>
      </c>
      <c r="D75" s="75" t="s">
        <v>9690</v>
      </c>
    </row>
    <row r="76">
      <c r="A76" s="75" t="s">
        <v>9680</v>
      </c>
      <c r="B76" s="75" t="s">
        <v>9691</v>
      </c>
      <c r="C76" s="75" t="str">
        <f t="shared" si="1"/>
        <v>191-CS7832</v>
      </c>
      <c r="D76" s="75" t="s">
        <v>9692</v>
      </c>
    </row>
    <row r="77">
      <c r="A77" s="75" t="s">
        <v>9680</v>
      </c>
      <c r="B77" s="75" t="s">
        <v>9693</v>
      </c>
      <c r="C77" s="75" t="str">
        <f t="shared" si="1"/>
        <v>191-CSR2832</v>
      </c>
      <c r="D77" s="75" t="s">
        <v>9694</v>
      </c>
    </row>
    <row r="78">
      <c r="A78" s="75" t="s">
        <v>9680</v>
      </c>
      <c r="B78" s="75" t="s">
        <v>9695</v>
      </c>
      <c r="C78" s="75" t="str">
        <f t="shared" si="1"/>
        <v>191-MHCBC2647</v>
      </c>
      <c r="D78" s="75" t="s">
        <v>9696</v>
      </c>
    </row>
    <row r="79">
      <c r="A79" s="75" t="s">
        <v>9680</v>
      </c>
      <c r="B79" s="75" t="s">
        <v>9697</v>
      </c>
      <c r="C79" s="75" t="str">
        <f t="shared" si="1"/>
        <v>191-MHCCC2644</v>
      </c>
      <c r="D79" s="75" t="s">
        <v>9698</v>
      </c>
    </row>
    <row r="80">
      <c r="A80" s="75" t="s">
        <v>9680</v>
      </c>
      <c r="B80" s="75" t="s">
        <v>9699</v>
      </c>
      <c r="C80" s="75" t="str">
        <f t="shared" si="1"/>
        <v>191-MHCDC2639</v>
      </c>
      <c r="D80" s="75" t="s">
        <v>9700</v>
      </c>
    </row>
    <row r="81">
      <c r="A81" s="75" t="s">
        <v>9680</v>
      </c>
      <c r="B81" s="75" t="s">
        <v>9701</v>
      </c>
      <c r="C81" s="75" t="str">
        <f t="shared" si="1"/>
        <v>191-MHCSB2647</v>
      </c>
      <c r="D81" s="75" t="s">
        <v>9702</v>
      </c>
    </row>
    <row r="82">
      <c r="A82" s="75" t="s">
        <v>9680</v>
      </c>
      <c r="B82" s="75" t="s">
        <v>9703</v>
      </c>
      <c r="C82" s="75" t="str">
        <f t="shared" si="1"/>
        <v>191-MHCSC2644</v>
      </c>
      <c r="D82" s="75" t="s">
        <v>9704</v>
      </c>
    </row>
    <row r="83">
      <c r="A83" s="75" t="s">
        <v>9680</v>
      </c>
      <c r="B83" s="75" t="s">
        <v>9705</v>
      </c>
      <c r="C83" s="75" t="str">
        <f t="shared" si="1"/>
        <v>191-MHCSD2638</v>
      </c>
      <c r="D83" s="75" t="s">
        <v>9706</v>
      </c>
    </row>
    <row r="84">
      <c r="A84" s="75" t="s">
        <v>9680</v>
      </c>
      <c r="B84" s="75" t="s">
        <v>9707</v>
      </c>
      <c r="C84" s="75" t="str">
        <f t="shared" si="1"/>
        <v>191-MHCSR2736</v>
      </c>
      <c r="D84" s="75" t="s">
        <v>9708</v>
      </c>
    </row>
    <row r="85">
      <c r="A85" s="75" t="s">
        <v>9680</v>
      </c>
      <c r="B85" s="75" t="s">
        <v>9709</v>
      </c>
      <c r="C85" s="75" t="str">
        <f t="shared" si="1"/>
        <v>191-MHCSXT2651</v>
      </c>
      <c r="D85" s="75" t="s">
        <v>9710</v>
      </c>
    </row>
    <row r="86">
      <c r="A86" s="75" t="s">
        <v>9680</v>
      </c>
      <c r="B86" s="75" t="s">
        <v>9711</v>
      </c>
      <c r="C86" s="75" t="str">
        <f t="shared" si="1"/>
        <v>191-MHCTC2734</v>
      </c>
      <c r="D86" s="75" t="s">
        <v>9712</v>
      </c>
    </row>
    <row r="87">
      <c r="A87" s="75" t="s">
        <v>9680</v>
      </c>
      <c r="B87" s="75" t="s">
        <v>9713</v>
      </c>
      <c r="C87" s="75" t="str">
        <f t="shared" si="1"/>
        <v>191-MHCXT2651</v>
      </c>
      <c r="D87" s="75" t="s">
        <v>9714</v>
      </c>
    </row>
    <row r="88">
      <c r="A88" s="75" t="s">
        <v>9680</v>
      </c>
      <c r="B88" s="75" t="s">
        <v>9715</v>
      </c>
      <c r="C88" s="75" t="str">
        <f t="shared" si="1"/>
        <v>191-MHSAC3039</v>
      </c>
      <c r="D88" s="75" t="s">
        <v>9716</v>
      </c>
    </row>
    <row r="89">
      <c r="A89" s="75" t="s">
        <v>9680</v>
      </c>
      <c r="B89" s="75" t="s">
        <v>9717</v>
      </c>
      <c r="C89" s="75" t="str">
        <f t="shared" si="1"/>
        <v>191-MHSBC2245</v>
      </c>
      <c r="D89" s="75" t="s">
        <v>9718</v>
      </c>
    </row>
    <row r="90">
      <c r="A90" s="75" t="s">
        <v>9680</v>
      </c>
      <c r="B90" s="75" t="s">
        <v>9719</v>
      </c>
      <c r="C90" s="75" t="str">
        <f t="shared" si="1"/>
        <v>191-MHSCC2241</v>
      </c>
      <c r="D90" s="75" t="s">
        <v>9720</v>
      </c>
    </row>
    <row r="91">
      <c r="A91" s="75" t="s">
        <v>9680</v>
      </c>
      <c r="B91" s="75" t="s">
        <v>9721</v>
      </c>
      <c r="C91" s="75" t="str">
        <f t="shared" si="1"/>
        <v>191-MHSDAC2236</v>
      </c>
      <c r="D91" s="75" t="s">
        <v>9722</v>
      </c>
    </row>
    <row r="92">
      <c r="A92" s="75" t="s">
        <v>9680</v>
      </c>
      <c r="B92" s="75" t="s">
        <v>9723</v>
      </c>
      <c r="C92" s="75" t="str">
        <f t="shared" si="1"/>
        <v>191-MHSSB2245</v>
      </c>
      <c r="D92" s="75" t="s">
        <v>9724</v>
      </c>
    </row>
    <row r="93">
      <c r="A93" s="75" t="s">
        <v>9680</v>
      </c>
      <c r="B93" s="75" t="s">
        <v>9725</v>
      </c>
      <c r="C93" s="75" t="str">
        <f t="shared" si="1"/>
        <v>191-MHSSC2241</v>
      </c>
      <c r="D93" s="75" t="s">
        <v>9726</v>
      </c>
    </row>
    <row r="94">
      <c r="A94" s="75" t="s">
        <v>9680</v>
      </c>
      <c r="B94" s="75" t="s">
        <v>9727</v>
      </c>
      <c r="C94" s="75" t="str">
        <f t="shared" si="1"/>
        <v>191-MHSSD2235</v>
      </c>
      <c r="D94" s="75" t="s">
        <v>9728</v>
      </c>
    </row>
    <row r="95">
      <c r="A95" s="75" t="s">
        <v>9729</v>
      </c>
      <c r="B95" s="75" t="s">
        <v>8551</v>
      </c>
      <c r="C95" s="75" t="str">
        <f t="shared" si="1"/>
        <v>191-CTCC3034</v>
      </c>
      <c r="D95" s="75" t="s">
        <v>9730</v>
      </c>
    </row>
    <row r="96">
      <c r="A96" s="75" t="s">
        <v>9729</v>
      </c>
      <c r="B96" s="75" t="s">
        <v>9731</v>
      </c>
      <c r="C96" s="75" t="str">
        <f t="shared" si="1"/>
        <v>191-CTHSR3045</v>
      </c>
      <c r="D96" s="75" t="s">
        <v>9732</v>
      </c>
    </row>
    <row r="97">
      <c r="A97" s="75" t="s">
        <v>9729</v>
      </c>
      <c r="B97" s="75" t="s">
        <v>9733</v>
      </c>
      <c r="C97" s="75" t="str">
        <f t="shared" si="1"/>
        <v>191-CTL5734</v>
      </c>
      <c r="D97" s="75" t="s">
        <v>9734</v>
      </c>
    </row>
    <row r="98">
      <c r="A98" s="75" t="s">
        <v>9729</v>
      </c>
      <c r="B98" s="75" t="s">
        <v>9735</v>
      </c>
      <c r="C98" s="75" t="str">
        <f t="shared" si="1"/>
        <v>191-CTLSC2934</v>
      </c>
      <c r="D98" s="75" t="s">
        <v>9736</v>
      </c>
    </row>
    <row r="99">
      <c r="A99" s="75" t="s">
        <v>9729</v>
      </c>
      <c r="B99" s="75" t="s">
        <v>9737</v>
      </c>
      <c r="C99" s="75" t="str">
        <f t="shared" si="1"/>
        <v>191-CTLSL5334</v>
      </c>
      <c r="D99" s="75" t="s">
        <v>9738</v>
      </c>
    </row>
    <row r="100">
      <c r="A100" s="75" t="s">
        <v>9729</v>
      </c>
      <c r="B100" s="75" t="s">
        <v>9739</v>
      </c>
      <c r="C100" s="75" t="str">
        <f t="shared" si="1"/>
        <v>191-CTLSS7934</v>
      </c>
      <c r="D100" s="75" t="s">
        <v>9740</v>
      </c>
    </row>
    <row r="101">
      <c r="A101" s="75" t="s">
        <v>9729</v>
      </c>
      <c r="B101" s="75" t="s">
        <v>9741</v>
      </c>
      <c r="C101" s="75" t="str">
        <f t="shared" si="1"/>
        <v>191-CTRSC2934</v>
      </c>
      <c r="D101" s="75" t="s">
        <v>9742</v>
      </c>
    </row>
    <row r="102">
      <c r="A102" s="75" t="s">
        <v>9729</v>
      </c>
      <c r="B102" s="75" t="s">
        <v>9743</v>
      </c>
      <c r="C102" s="75" t="str">
        <f t="shared" si="1"/>
        <v>191-CTRSL5334</v>
      </c>
      <c r="D102" s="75" t="s">
        <v>9744</v>
      </c>
    </row>
    <row r="103">
      <c r="A103" s="75" t="s">
        <v>9729</v>
      </c>
      <c r="B103" s="75" t="s">
        <v>9745</v>
      </c>
      <c r="C103" s="75" t="str">
        <f t="shared" si="1"/>
        <v>191-CTRSS7934</v>
      </c>
      <c r="D103" s="75" t="s">
        <v>9746</v>
      </c>
    </row>
    <row r="104">
      <c r="A104" s="75" t="s">
        <v>9729</v>
      </c>
      <c r="B104" s="75" t="s">
        <v>9747</v>
      </c>
      <c r="C104" s="75" t="str">
        <f t="shared" si="1"/>
        <v>191-CTS8034</v>
      </c>
      <c r="D104" s="75" t="s">
        <v>9748</v>
      </c>
    </row>
    <row r="105">
      <c r="A105" s="75" t="s">
        <v>9729</v>
      </c>
      <c r="B105" s="75" t="s">
        <v>9749</v>
      </c>
      <c r="C105" s="75" t="str">
        <f t="shared" si="1"/>
        <v>191-CTSR3034</v>
      </c>
      <c r="D105" s="75" t="s">
        <v>9750</v>
      </c>
    </row>
    <row r="106">
      <c r="A106" s="75" t="s">
        <v>9751</v>
      </c>
      <c r="B106" s="75" t="s">
        <v>9752</v>
      </c>
      <c r="C106" s="75" t="str">
        <f t="shared" si="1"/>
        <v>191-CTAC2730</v>
      </c>
      <c r="D106" s="75" t="s">
        <v>9753</v>
      </c>
    </row>
    <row r="107">
      <c r="A107" s="75" t="s">
        <v>9751</v>
      </c>
      <c r="B107" s="75" t="s">
        <v>9754</v>
      </c>
      <c r="C107" s="75" t="str">
        <f t="shared" si="1"/>
        <v>191-CTACL3063</v>
      </c>
      <c r="D107" s="75" t="s">
        <v>9755</v>
      </c>
    </row>
    <row r="108">
      <c r="A108" s="75" t="s">
        <v>9751</v>
      </c>
      <c r="B108" s="75" t="s">
        <v>9756</v>
      </c>
      <c r="C108" s="75" t="str">
        <f t="shared" si="1"/>
        <v>191-CTCAS2434</v>
      </c>
      <c r="D108" s="75" t="s">
        <v>9757</v>
      </c>
    </row>
    <row r="109">
      <c r="A109" s="75" t="s">
        <v>9751</v>
      </c>
      <c r="B109" s="75" t="s">
        <v>9758</v>
      </c>
      <c r="C109" s="75" t="str">
        <f t="shared" si="1"/>
        <v>191-CTCL3363</v>
      </c>
      <c r="D109" s="75" t="s">
        <v>9759</v>
      </c>
    </row>
    <row r="110">
      <c r="A110" s="75" t="s">
        <v>9751</v>
      </c>
      <c r="B110" s="75" t="s">
        <v>9760</v>
      </c>
      <c r="C110" s="75" t="str">
        <f t="shared" si="1"/>
        <v>191-CTCS5742</v>
      </c>
      <c r="D110" s="75" t="s">
        <v>9761</v>
      </c>
    </row>
    <row r="111">
      <c r="A111" s="75" t="s">
        <v>9751</v>
      </c>
      <c r="B111" s="75" t="s">
        <v>9762</v>
      </c>
      <c r="C111" s="75" t="str">
        <f t="shared" si="1"/>
        <v>191-CTDC2744</v>
      </c>
      <c r="D111" s="75" t="s">
        <v>9763</v>
      </c>
    </row>
    <row r="112">
      <c r="A112" s="75" t="s">
        <v>9751</v>
      </c>
      <c r="B112" s="75" t="s">
        <v>9764</v>
      </c>
      <c r="C112" s="75" t="str">
        <f t="shared" si="1"/>
        <v>191-CTLCL3163</v>
      </c>
      <c r="D112" s="75" t="s">
        <v>9765</v>
      </c>
    </row>
    <row r="113">
      <c r="A113" s="75" t="s">
        <v>9751</v>
      </c>
      <c r="B113" s="75" t="s">
        <v>9766</v>
      </c>
      <c r="C113" s="75" t="str">
        <f t="shared" si="1"/>
        <v>191-CTLSW5727</v>
      </c>
      <c r="D113" s="75" t="s">
        <v>9767</v>
      </c>
    </row>
    <row r="114">
      <c r="A114" s="75" t="s">
        <v>9751</v>
      </c>
      <c r="B114" s="75" t="s">
        <v>9768</v>
      </c>
      <c r="C114" s="75" t="str">
        <f t="shared" si="1"/>
        <v>191-CTO2511</v>
      </c>
      <c r="D114" s="75" t="s">
        <v>9769</v>
      </c>
    </row>
    <row r="115">
      <c r="A115" s="75" t="s">
        <v>9751</v>
      </c>
      <c r="B115" s="75" t="s">
        <v>9770</v>
      </c>
      <c r="C115" s="75" t="str">
        <f t="shared" si="1"/>
        <v>191-CTRCL3163</v>
      </c>
      <c r="D115" s="75" t="s">
        <v>9771</v>
      </c>
    </row>
    <row r="116">
      <c r="A116" s="75" t="s">
        <v>9772</v>
      </c>
      <c r="B116" s="75" t="s">
        <v>9773</v>
      </c>
      <c r="C116" s="75" t="str">
        <f t="shared" si="1"/>
        <v>191-ESBC2135</v>
      </c>
      <c r="D116" s="75" t="s">
        <v>9774</v>
      </c>
    </row>
    <row r="117">
      <c r="A117" s="75" t="s">
        <v>9772</v>
      </c>
      <c r="B117" s="75" t="s">
        <v>9775</v>
      </c>
      <c r="C117" s="75" t="str">
        <f t="shared" si="1"/>
        <v>191-ESCC2131</v>
      </c>
      <c r="D117" s="75" t="s">
        <v>9776</v>
      </c>
    </row>
    <row r="118">
      <c r="A118" s="75" t="s">
        <v>9772</v>
      </c>
      <c r="B118" s="75" t="s">
        <v>9777</v>
      </c>
      <c r="C118" s="75" t="str">
        <f t="shared" si="1"/>
        <v>191-ESDC2127</v>
      </c>
      <c r="D118" s="75" t="s">
        <v>9778</v>
      </c>
    </row>
    <row r="119">
      <c r="A119" s="75" t="s">
        <v>9772</v>
      </c>
      <c r="B119" s="75" t="s">
        <v>9779</v>
      </c>
      <c r="C119" s="75" t="str">
        <f t="shared" si="1"/>
        <v>191-ESXTC2139</v>
      </c>
      <c r="D119" s="75" t="s">
        <v>9780</v>
      </c>
    </row>
    <row r="120">
      <c r="A120" s="75" t="s">
        <v>9772</v>
      </c>
      <c r="B120" s="75" t="s">
        <v>9781</v>
      </c>
      <c r="C120" s="75" t="str">
        <f t="shared" si="1"/>
        <v>191-PATC2400</v>
      </c>
      <c r="D120" s="75" t="s">
        <v>9782</v>
      </c>
    </row>
    <row r="121">
      <c r="A121" s="75" t="s">
        <v>9772</v>
      </c>
      <c r="B121" s="75" t="s">
        <v>9783</v>
      </c>
      <c r="C121" s="75" t="str">
        <f t="shared" si="1"/>
        <v>191-PCCG2400</v>
      </c>
      <c r="D121" s="75" t="s">
        <v>9784</v>
      </c>
    </row>
    <row r="122">
      <c r="A122" s="75" t="s">
        <v>9772</v>
      </c>
      <c r="B122" s="75" t="s">
        <v>9785</v>
      </c>
      <c r="C122" s="75" t="str">
        <f t="shared" si="1"/>
        <v>191-PCCG2400AC</v>
      </c>
      <c r="D122" s="75" t="s">
        <v>9786</v>
      </c>
    </row>
    <row r="123">
      <c r="A123" s="75" t="s">
        <v>9772</v>
      </c>
      <c r="B123" s="75" t="s">
        <v>9787</v>
      </c>
      <c r="C123" s="75" t="str">
        <f t="shared" si="1"/>
        <v>191-PCCG4800</v>
      </c>
      <c r="D123" s="75" t="s">
        <v>9788</v>
      </c>
    </row>
    <row r="124">
      <c r="A124" s="75" t="s">
        <v>9772</v>
      </c>
      <c r="B124" s="75" t="s">
        <v>9789</v>
      </c>
      <c r="C124" s="75" t="str">
        <f t="shared" si="1"/>
        <v>191-PCCG4800AC</v>
      </c>
      <c r="D124" s="75" t="s">
        <v>9790</v>
      </c>
    </row>
    <row r="125">
      <c r="A125" s="75" t="s">
        <v>9772</v>
      </c>
      <c r="B125" s="75" t="s">
        <v>9791</v>
      </c>
      <c r="C125" s="75" t="str">
        <f t="shared" si="1"/>
        <v>191-PCCL7400</v>
      </c>
      <c r="D125" s="75" t="s">
        <v>9792</v>
      </c>
    </row>
    <row r="126">
      <c r="A126" s="75" t="s">
        <v>9772</v>
      </c>
      <c r="B126" s="75" t="s">
        <v>9793</v>
      </c>
      <c r="C126" s="75" t="str">
        <f t="shared" si="1"/>
        <v>191-PCLS4800</v>
      </c>
      <c r="D126" s="75" t="s">
        <v>9794</v>
      </c>
    </row>
    <row r="127">
      <c r="A127" s="75" t="s">
        <v>9772</v>
      </c>
      <c r="B127" s="75" t="s">
        <v>9795</v>
      </c>
      <c r="C127" s="75" t="str">
        <f t="shared" si="1"/>
        <v>191-PCSG2644</v>
      </c>
      <c r="D127" s="75" t="s">
        <v>9796</v>
      </c>
    </row>
    <row r="128">
      <c r="A128" s="75" t="s">
        <v>9772</v>
      </c>
      <c r="B128" s="75" t="s">
        <v>9797</v>
      </c>
      <c r="C128" s="75" t="str">
        <f t="shared" si="1"/>
        <v>191-PCSG2644AC</v>
      </c>
      <c r="D128" s="75" t="s">
        <v>9798</v>
      </c>
    </row>
    <row r="129">
      <c r="A129" s="75" t="s">
        <v>9772</v>
      </c>
      <c r="B129" s="75" t="s">
        <v>9799</v>
      </c>
      <c r="C129" s="75" t="str">
        <f t="shared" si="1"/>
        <v>191-PCTC2400</v>
      </c>
      <c r="D129" s="75" t="s">
        <v>9800</v>
      </c>
    </row>
    <row r="130">
      <c r="A130" s="75" t="s">
        <v>9772</v>
      </c>
      <c r="B130" s="75" t="s">
        <v>9801</v>
      </c>
      <c r="C130" s="75" t="str">
        <f t="shared" si="1"/>
        <v>191-PCTG2400</v>
      </c>
      <c r="D130" s="75" t="s">
        <v>9802</v>
      </c>
    </row>
    <row r="131">
      <c r="A131" s="75" t="s">
        <v>9772</v>
      </c>
      <c r="B131" s="75" t="s">
        <v>9803</v>
      </c>
      <c r="C131" s="75" t="str">
        <f t="shared" si="1"/>
        <v>191-PCTG2400AC</v>
      </c>
      <c r="D131" s="75" t="s">
        <v>9804</v>
      </c>
    </row>
    <row r="132">
      <c r="A132" s="75" t="s">
        <v>9772</v>
      </c>
      <c r="B132" s="75" t="s">
        <v>9805</v>
      </c>
      <c r="C132" s="75" t="str">
        <f t="shared" si="1"/>
        <v>191-PCTG4800</v>
      </c>
      <c r="D132" s="75" t="s">
        <v>9806</v>
      </c>
    </row>
    <row r="133">
      <c r="A133" s="75" t="s">
        <v>9772</v>
      </c>
      <c r="B133" s="75" t="s">
        <v>9807</v>
      </c>
      <c r="C133" s="75" t="str">
        <f t="shared" si="1"/>
        <v>191-PCTG4800AC</v>
      </c>
      <c r="D133" s="75" t="s">
        <v>9808</v>
      </c>
    </row>
    <row r="134">
      <c r="A134" s="75" t="s">
        <v>9809</v>
      </c>
      <c r="B134" s="75" t="s">
        <v>9810</v>
      </c>
      <c r="C134" s="75" t="str">
        <f t="shared" si="1"/>
        <v>191-PCTG6000</v>
      </c>
      <c r="D134" s="75" t="s">
        <v>9811</v>
      </c>
    </row>
    <row r="135">
      <c r="A135" s="75" t="s">
        <v>9772</v>
      </c>
      <c r="B135" s="75" t="s">
        <v>9812</v>
      </c>
      <c r="C135" s="75" t="str">
        <f t="shared" si="1"/>
        <v>191-PCTG6000AC</v>
      </c>
      <c r="D135" s="75" t="s">
        <v>9813</v>
      </c>
    </row>
    <row r="136">
      <c r="A136" s="75" t="s">
        <v>9772</v>
      </c>
      <c r="B136" s="75" t="s">
        <v>9814</v>
      </c>
      <c r="C136" s="75" t="str">
        <f t="shared" si="1"/>
        <v>191-PCTR2400</v>
      </c>
      <c r="D136" s="75" t="s">
        <v>9815</v>
      </c>
    </row>
    <row r="137">
      <c r="A137" s="75" t="s">
        <v>9772</v>
      </c>
      <c r="B137" s="75" t="s">
        <v>9816</v>
      </c>
      <c r="C137" s="75" t="str">
        <f t="shared" si="1"/>
        <v>191-PCTS4800SS</v>
      </c>
      <c r="D137" s="75" t="s">
        <v>9817</v>
      </c>
    </row>
    <row r="138">
      <c r="A138" s="75" t="s">
        <v>9772</v>
      </c>
      <c r="B138" s="75" t="s">
        <v>9818</v>
      </c>
      <c r="C138" s="75" t="str">
        <f t="shared" si="1"/>
        <v>191-PCTS4800ZC</v>
      </c>
      <c r="D138" s="75" t="s">
        <v>9819</v>
      </c>
    </row>
    <row r="139">
      <c r="A139" s="75" t="s">
        <v>9772</v>
      </c>
      <c r="B139" s="75" t="s">
        <v>9820</v>
      </c>
      <c r="C139" s="75" t="str">
        <f t="shared" si="1"/>
        <v>191-PCTS6000SS</v>
      </c>
      <c r="D139" s="75" t="s">
        <v>9821</v>
      </c>
    </row>
    <row r="140">
      <c r="A140" s="75" t="s">
        <v>9772</v>
      </c>
      <c r="B140" s="75" t="s">
        <v>9822</v>
      </c>
      <c r="C140" s="75" t="str">
        <f t="shared" si="1"/>
        <v>191-PCTS6000ZC</v>
      </c>
      <c r="D140" s="75" t="s">
        <v>9823</v>
      </c>
    </row>
    <row r="141">
      <c r="A141" s="75" t="s">
        <v>9772</v>
      </c>
      <c r="B141" s="75" t="s">
        <v>9824</v>
      </c>
      <c r="C141" s="75" t="str">
        <f t="shared" si="1"/>
        <v>191-PEBC2135</v>
      </c>
      <c r="D141" s="75" t="s">
        <v>9825</v>
      </c>
    </row>
    <row r="142">
      <c r="A142" s="75" t="s">
        <v>9772</v>
      </c>
      <c r="B142" s="75" t="s">
        <v>9826</v>
      </c>
      <c r="C142" s="75" t="str">
        <f t="shared" si="1"/>
        <v>191-PECC2131</v>
      </c>
      <c r="D142" s="75" t="s">
        <v>9827</v>
      </c>
    </row>
    <row r="143">
      <c r="A143" s="75" t="s">
        <v>9772</v>
      </c>
      <c r="B143" s="75" t="s">
        <v>8536</v>
      </c>
      <c r="C143" s="75" t="str">
        <f t="shared" si="1"/>
        <v>191-PEDC2127</v>
      </c>
      <c r="D143" s="75" t="s">
        <v>9828</v>
      </c>
    </row>
    <row r="144">
      <c r="A144" s="75" t="s">
        <v>9772</v>
      </c>
      <c r="B144" s="75" t="s">
        <v>9829</v>
      </c>
      <c r="C144" s="75" t="str">
        <f t="shared" si="1"/>
        <v>191-PEXTC2139</v>
      </c>
      <c r="D144" s="75" t="s">
        <v>9830</v>
      </c>
    </row>
    <row r="145">
      <c r="A145" s="75" t="s">
        <v>9772</v>
      </c>
      <c r="B145" s="75" t="s">
        <v>9831</v>
      </c>
      <c r="C145" s="75" t="str">
        <f t="shared" si="1"/>
        <v>191-PFAC3240</v>
      </c>
      <c r="D145" s="75" t="s">
        <v>9832</v>
      </c>
    </row>
    <row r="146">
      <c r="A146" s="75" t="s">
        <v>9772</v>
      </c>
      <c r="B146" s="75" t="s">
        <v>9833</v>
      </c>
      <c r="C146" s="75" t="str">
        <f t="shared" si="1"/>
        <v>191-PZBC2135</v>
      </c>
      <c r="D146" s="75" t="s">
        <v>9834</v>
      </c>
    </row>
    <row r="147">
      <c r="A147" s="75" t="s">
        <v>9772</v>
      </c>
      <c r="B147" s="75" t="s">
        <v>9835</v>
      </c>
      <c r="C147" s="75" t="str">
        <f t="shared" si="1"/>
        <v>191-PZCC2131</v>
      </c>
      <c r="D147" s="75" t="s">
        <v>9836</v>
      </c>
    </row>
    <row r="148">
      <c r="A148" s="75" t="s">
        <v>9772</v>
      </c>
      <c r="B148" s="75" t="s">
        <v>9837</v>
      </c>
      <c r="C148" s="75" t="str">
        <f t="shared" si="1"/>
        <v>191-PZCG2400</v>
      </c>
      <c r="D148" s="75" t="s">
        <v>9838</v>
      </c>
    </row>
    <row r="149">
      <c r="A149" s="75" t="s">
        <v>9772</v>
      </c>
      <c r="B149" s="75" t="s">
        <v>9839</v>
      </c>
      <c r="C149" s="75" t="str">
        <f t="shared" si="1"/>
        <v>191-PZCG2400AC</v>
      </c>
      <c r="D149" s="75" t="s">
        <v>9840</v>
      </c>
    </row>
    <row r="150">
      <c r="A150" s="75" t="s">
        <v>9772</v>
      </c>
      <c r="B150" s="75" t="s">
        <v>9841</v>
      </c>
      <c r="C150" s="75" t="str">
        <f t="shared" si="1"/>
        <v>191-PZCG4800</v>
      </c>
      <c r="D150" s="75" t="s">
        <v>9842</v>
      </c>
    </row>
    <row r="151">
      <c r="A151" s="75" t="s">
        <v>9772</v>
      </c>
      <c r="B151" s="75" t="s">
        <v>9843</v>
      </c>
      <c r="C151" s="75" t="str">
        <f t="shared" si="1"/>
        <v>191-PZCG4800AC</v>
      </c>
      <c r="D151" s="75" t="s">
        <v>9844</v>
      </c>
    </row>
    <row r="152">
      <c r="A152" s="75" t="s">
        <v>9772</v>
      </c>
      <c r="B152" s="75" t="s">
        <v>9845</v>
      </c>
      <c r="C152" s="75" t="str">
        <f t="shared" si="1"/>
        <v>191-PZDC2127</v>
      </c>
      <c r="D152" s="75" t="s">
        <v>9846</v>
      </c>
    </row>
    <row r="153">
      <c r="A153" s="75" t="s">
        <v>9772</v>
      </c>
      <c r="B153" s="75" t="s">
        <v>9847</v>
      </c>
      <c r="C153" s="75" t="str">
        <f t="shared" si="1"/>
        <v>191-PZLS4800</v>
      </c>
      <c r="D153" s="75" t="s">
        <v>9848</v>
      </c>
    </row>
    <row r="154">
      <c r="A154" s="75" t="s">
        <v>9772</v>
      </c>
      <c r="B154" s="75" t="s">
        <v>9849</v>
      </c>
      <c r="C154" s="75" t="str">
        <f t="shared" si="1"/>
        <v>191-PZSG2638</v>
      </c>
      <c r="D154" s="75" t="s">
        <v>9850</v>
      </c>
    </row>
    <row r="155">
      <c r="A155" s="75" t="s">
        <v>9772</v>
      </c>
      <c r="B155" s="75" t="s">
        <v>9851</v>
      </c>
      <c r="C155" s="75" t="str">
        <f t="shared" si="1"/>
        <v>191-PZSG2638AC</v>
      </c>
      <c r="D155" s="75" t="s">
        <v>9852</v>
      </c>
    </row>
    <row r="156">
      <c r="A156" s="75" t="s">
        <v>9772</v>
      </c>
      <c r="B156" s="75" t="s">
        <v>9853</v>
      </c>
      <c r="C156" s="75" t="str">
        <f t="shared" si="1"/>
        <v>191-PZTG2400</v>
      </c>
      <c r="D156" s="75" t="s">
        <v>9854</v>
      </c>
    </row>
    <row r="157">
      <c r="A157" s="75" t="s">
        <v>9772</v>
      </c>
      <c r="B157" s="75" t="s">
        <v>9855</v>
      </c>
      <c r="C157" s="75" t="str">
        <f t="shared" si="1"/>
        <v>191-PZTG2400AC</v>
      </c>
      <c r="D157" s="75" t="s">
        <v>9856</v>
      </c>
    </row>
    <row r="158">
      <c r="A158" s="75" t="s">
        <v>9772</v>
      </c>
      <c r="B158" s="75" t="s">
        <v>9857</v>
      </c>
      <c r="C158" s="75" t="str">
        <f t="shared" si="1"/>
        <v>191-PZTG4800</v>
      </c>
      <c r="D158" s="75" t="s">
        <v>9858</v>
      </c>
    </row>
    <row r="159">
      <c r="A159" s="75" t="s">
        <v>9772</v>
      </c>
      <c r="B159" s="75" t="s">
        <v>9859</v>
      </c>
      <c r="C159" s="75" t="str">
        <f t="shared" si="1"/>
        <v>191-PZTG4800AC</v>
      </c>
      <c r="D159" s="75" t="s">
        <v>9860</v>
      </c>
    </row>
    <row r="160">
      <c r="A160" s="75" t="s">
        <v>9772</v>
      </c>
      <c r="B160" s="75" t="s">
        <v>9861</v>
      </c>
      <c r="C160" s="75" t="str">
        <f t="shared" si="1"/>
        <v>191-PZTG6000</v>
      </c>
      <c r="D160" s="75" t="s">
        <v>9862</v>
      </c>
    </row>
    <row r="161">
      <c r="A161" s="75" t="s">
        <v>9772</v>
      </c>
      <c r="B161" s="75" t="s">
        <v>9863</v>
      </c>
      <c r="C161" s="75" t="str">
        <f t="shared" si="1"/>
        <v>191-PZTG6000AC</v>
      </c>
      <c r="D161" s="75" t="s">
        <v>9864</v>
      </c>
    </row>
    <row r="162">
      <c r="A162" s="75" t="s">
        <v>9772</v>
      </c>
      <c r="B162" s="75" t="s">
        <v>9865</v>
      </c>
      <c r="C162" s="75" t="str">
        <f t="shared" si="1"/>
        <v>191-PZTS4800SS</v>
      </c>
      <c r="D162" s="75" t="s">
        <v>9866</v>
      </c>
    </row>
    <row r="163">
      <c r="A163" s="75" t="s">
        <v>9772</v>
      </c>
      <c r="B163" s="75" t="s">
        <v>9867</v>
      </c>
      <c r="C163" s="75" t="str">
        <f t="shared" si="1"/>
        <v>191-PZTS4800ZC</v>
      </c>
      <c r="D163" s="75" t="s">
        <v>9868</v>
      </c>
    </row>
    <row r="164">
      <c r="A164" s="75" t="s">
        <v>9772</v>
      </c>
      <c r="B164" s="75" t="s">
        <v>9869</v>
      </c>
      <c r="C164" s="75" t="str">
        <f t="shared" si="1"/>
        <v>191-PZTS6000SS</v>
      </c>
      <c r="D164" s="75" t="s">
        <v>9870</v>
      </c>
    </row>
    <row r="165">
      <c r="A165" s="75" t="s">
        <v>9772</v>
      </c>
      <c r="B165" s="75" t="s">
        <v>9871</v>
      </c>
      <c r="C165" s="75" t="str">
        <f t="shared" si="1"/>
        <v>191-PZTS6000ZC</v>
      </c>
      <c r="D165" s="75" t="s">
        <v>9872</v>
      </c>
    </row>
    <row r="166">
      <c r="A166" s="75" t="s">
        <v>9772</v>
      </c>
      <c r="B166" s="75" t="s">
        <v>9873</v>
      </c>
      <c r="C166" s="75" t="str">
        <f t="shared" si="1"/>
        <v>191-PZXTC2139</v>
      </c>
      <c r="D166" s="75" t="s">
        <v>9874</v>
      </c>
    </row>
    <row r="167">
      <c r="A167" s="75" t="s">
        <v>9772</v>
      </c>
      <c r="B167" s="75" t="s">
        <v>9875</v>
      </c>
      <c r="C167" s="75" t="str">
        <f t="shared" si="1"/>
        <v>191-ZSBC2135</v>
      </c>
      <c r="D167" s="75" t="s">
        <v>9876</v>
      </c>
    </row>
    <row r="168">
      <c r="A168" s="75" t="s">
        <v>9772</v>
      </c>
      <c r="B168" s="75" t="s">
        <v>9877</v>
      </c>
      <c r="C168" s="75" t="str">
        <f t="shared" si="1"/>
        <v>191-ZSCC2131</v>
      </c>
      <c r="D168" s="75" t="s">
        <v>9878</v>
      </c>
    </row>
    <row r="169">
      <c r="A169" s="75" t="s">
        <v>9772</v>
      </c>
      <c r="B169" s="75" t="s">
        <v>9879</v>
      </c>
      <c r="C169" s="75" t="str">
        <f t="shared" si="1"/>
        <v>191-ZSDC2127</v>
      </c>
      <c r="D169" s="75" t="s">
        <v>9880</v>
      </c>
    </row>
    <row r="170">
      <c r="A170" s="75" t="s">
        <v>9772</v>
      </c>
      <c r="B170" s="75" t="s">
        <v>9881</v>
      </c>
      <c r="C170" s="75" t="str">
        <f t="shared" si="1"/>
        <v>191-ZSXTC2139</v>
      </c>
      <c r="D170" s="75" t="s">
        <v>9882</v>
      </c>
    </row>
    <row r="171">
      <c r="A171" s="75" t="s">
        <v>374</v>
      </c>
      <c r="B171" s="75" t="s">
        <v>9883</v>
      </c>
      <c r="C171" s="75" t="str">
        <f t="shared" si="1"/>
        <v>191-BBC1718</v>
      </c>
      <c r="D171" s="75" t="s">
        <v>9884</v>
      </c>
    </row>
    <row r="172">
      <c r="A172" s="75" t="s">
        <v>374</v>
      </c>
      <c r="B172" s="75" t="s">
        <v>9885</v>
      </c>
      <c r="C172" s="75" t="str">
        <f t="shared" si="1"/>
        <v>191-BSC1718</v>
      </c>
      <c r="D172" s="75" t="s">
        <v>9886</v>
      </c>
    </row>
    <row r="173">
      <c r="A173" s="75" t="s">
        <v>374</v>
      </c>
      <c r="B173" s="75" t="s">
        <v>9887</v>
      </c>
      <c r="C173" s="75" t="str">
        <f t="shared" si="1"/>
        <v>191-CBC2232</v>
      </c>
      <c r="D173" s="75" t="s">
        <v>9888</v>
      </c>
    </row>
    <row r="174">
      <c r="A174" s="75" t="s">
        <v>374</v>
      </c>
      <c r="B174" s="75" t="s">
        <v>9889</v>
      </c>
      <c r="C174" s="75" t="str">
        <f t="shared" si="1"/>
        <v>191-CCB1828</v>
      </c>
      <c r="D174" s="75" t="s">
        <v>9890</v>
      </c>
    </row>
    <row r="175">
      <c r="A175" s="75" t="s">
        <v>374</v>
      </c>
      <c r="B175" s="75" t="s">
        <v>9891</v>
      </c>
      <c r="C175" s="75" t="str">
        <f t="shared" si="1"/>
        <v>191-CSC1520</v>
      </c>
      <c r="D175" s="75" t="s">
        <v>9892</v>
      </c>
    </row>
    <row r="176">
      <c r="A176" s="75" t="s">
        <v>374</v>
      </c>
      <c r="B176" s="75" t="s">
        <v>9893</v>
      </c>
      <c r="C176" s="75" t="str">
        <f t="shared" si="1"/>
        <v>191-CSC1622</v>
      </c>
      <c r="D176" s="75" t="s">
        <v>9894</v>
      </c>
    </row>
    <row r="177">
      <c r="A177" s="75" t="s">
        <v>374</v>
      </c>
      <c r="B177" s="75" t="s">
        <v>9895</v>
      </c>
      <c r="C177" s="75" t="str">
        <f t="shared" si="1"/>
        <v>191-CSC1846</v>
      </c>
      <c r="D177" s="75" t="s">
        <v>9896</v>
      </c>
    </row>
    <row r="178">
      <c r="A178" s="75" t="s">
        <v>374</v>
      </c>
      <c r="B178" s="75" t="s">
        <v>9897</v>
      </c>
      <c r="C178" s="75" t="str">
        <f t="shared" si="1"/>
        <v>191-CSC1860</v>
      </c>
      <c r="D178" s="75" t="s">
        <v>9898</v>
      </c>
    </row>
    <row r="179">
      <c r="A179" s="75" t="s">
        <v>374</v>
      </c>
      <c r="B179" s="75" t="s">
        <v>9899</v>
      </c>
      <c r="C179" s="75" t="str">
        <f t="shared" si="1"/>
        <v>191-CSC2244</v>
      </c>
      <c r="D179" s="75" t="s">
        <v>9900</v>
      </c>
    </row>
    <row r="180">
      <c r="A180" s="75" t="s">
        <v>374</v>
      </c>
      <c r="B180" s="75" t="s">
        <v>9901</v>
      </c>
      <c r="C180" s="75" t="str">
        <f t="shared" si="1"/>
        <v>191-CTDSC1922</v>
      </c>
      <c r="D180" s="75" t="s">
        <v>9902</v>
      </c>
    </row>
    <row r="181">
      <c r="A181" s="75" t="s">
        <v>374</v>
      </c>
      <c r="B181" s="75" t="s">
        <v>9903</v>
      </c>
      <c r="C181" s="75" t="str">
        <f t="shared" si="1"/>
        <v>191-DBC1344</v>
      </c>
      <c r="D181" s="75" t="s">
        <v>9904</v>
      </c>
    </row>
    <row r="182">
      <c r="A182" s="75" t="s">
        <v>374</v>
      </c>
      <c r="B182" s="75" t="s">
        <v>9905</v>
      </c>
      <c r="C182" s="75" t="str">
        <f t="shared" si="1"/>
        <v>191-DBC1366</v>
      </c>
      <c r="D182" s="75" t="s">
        <v>9906</v>
      </c>
    </row>
    <row r="183">
      <c r="A183" s="75" t="s">
        <v>374</v>
      </c>
      <c r="B183" s="75" t="s">
        <v>9907</v>
      </c>
      <c r="C183" s="75" t="str">
        <f t="shared" si="1"/>
        <v>191-EBC2028</v>
      </c>
      <c r="D183" s="75" t="s">
        <v>9908</v>
      </c>
    </row>
    <row r="184">
      <c r="A184" s="75" t="s">
        <v>374</v>
      </c>
      <c r="B184" s="75" t="s">
        <v>9909</v>
      </c>
      <c r="C184" s="75" t="str">
        <f t="shared" si="1"/>
        <v>191-HRP912</v>
      </c>
      <c r="D184" s="75" t="s">
        <v>9910</v>
      </c>
    </row>
    <row r="185">
      <c r="A185" s="75" t="s">
        <v>374</v>
      </c>
      <c r="B185" s="75" t="s">
        <v>9911</v>
      </c>
      <c r="C185" s="75" t="str">
        <f t="shared" si="1"/>
        <v>191-KDBC2019</v>
      </c>
      <c r="D185" s="75" t="s">
        <v>9912</v>
      </c>
    </row>
    <row r="186">
      <c r="A186" s="75" t="s">
        <v>374</v>
      </c>
      <c r="B186" s="75" t="s">
        <v>9913</v>
      </c>
      <c r="C186" s="75" t="str">
        <f t="shared" si="1"/>
        <v>191-KDSC2017</v>
      </c>
      <c r="D186" s="75" t="s">
        <v>9914</v>
      </c>
    </row>
    <row r="187">
      <c r="A187" s="75" t="s">
        <v>374</v>
      </c>
      <c r="B187" s="75" t="s">
        <v>9915</v>
      </c>
      <c r="C187" s="75" t="str">
        <f t="shared" si="1"/>
        <v>191-LBC2229</v>
      </c>
      <c r="D187" s="75" t="s">
        <v>9916</v>
      </c>
    </row>
    <row r="188">
      <c r="A188" s="75" t="s">
        <v>374</v>
      </c>
      <c r="B188" s="75" t="s">
        <v>9917</v>
      </c>
      <c r="C188" s="75" t="str">
        <f t="shared" si="1"/>
        <v>191-LBC2446</v>
      </c>
      <c r="D188" s="75" t="s">
        <v>9918</v>
      </c>
    </row>
    <row r="189">
      <c r="A189" s="75" t="s">
        <v>374</v>
      </c>
      <c r="B189" s="75" t="s">
        <v>9919</v>
      </c>
      <c r="C189" s="75" t="str">
        <f t="shared" si="1"/>
        <v>191-LBC2458</v>
      </c>
      <c r="D189" s="75" t="s">
        <v>9920</v>
      </c>
    </row>
    <row r="190">
      <c r="A190" s="75" t="s">
        <v>374</v>
      </c>
      <c r="B190" s="75" t="s">
        <v>9921</v>
      </c>
      <c r="C190" s="75" t="str">
        <f t="shared" si="1"/>
        <v>191-LSC1846</v>
      </c>
      <c r="D190" s="75" t="s">
        <v>9922</v>
      </c>
    </row>
    <row r="191">
      <c r="A191" s="75" t="s">
        <v>374</v>
      </c>
      <c r="B191" s="75" t="s">
        <v>9923</v>
      </c>
      <c r="C191" s="75" t="str">
        <f t="shared" si="1"/>
        <v>191-LSC1858</v>
      </c>
      <c r="D191" s="75" t="s">
        <v>9924</v>
      </c>
    </row>
    <row r="192">
      <c r="A192" s="75" t="s">
        <v>374</v>
      </c>
      <c r="B192" s="75" t="s">
        <v>9925</v>
      </c>
      <c r="C192" s="75" t="str">
        <f t="shared" si="1"/>
        <v>191-LSC2244</v>
      </c>
      <c r="D192" s="75" t="s">
        <v>9926</v>
      </c>
    </row>
    <row r="193">
      <c r="A193" s="75" t="s">
        <v>374</v>
      </c>
      <c r="B193" s="75" t="s">
        <v>9927</v>
      </c>
      <c r="C193" s="75" t="str">
        <f t="shared" si="1"/>
        <v>191-MABC2131</v>
      </c>
      <c r="D193" s="75" t="s">
        <v>9928</v>
      </c>
    </row>
    <row r="194">
      <c r="A194" s="75" t="s">
        <v>374</v>
      </c>
      <c r="B194" s="75" t="s">
        <v>9929</v>
      </c>
      <c r="C194" s="75" t="str">
        <f t="shared" si="1"/>
        <v>191-MASC1924</v>
      </c>
      <c r="D194" s="75" t="s">
        <v>9930</v>
      </c>
    </row>
    <row r="195">
      <c r="A195" s="75" t="s">
        <v>374</v>
      </c>
      <c r="B195" s="75" t="s">
        <v>9931</v>
      </c>
      <c r="C195" s="75" t="str">
        <f t="shared" si="1"/>
        <v>191-MCCB2123</v>
      </c>
      <c r="D195" s="75" t="s">
        <v>9932</v>
      </c>
    </row>
    <row r="196">
      <c r="A196" s="75" t="s">
        <v>374</v>
      </c>
      <c r="B196" s="75" t="s">
        <v>9933</v>
      </c>
      <c r="C196" s="75" t="str">
        <f t="shared" si="1"/>
        <v>191-MCCS2023</v>
      </c>
      <c r="D196" s="75" t="s">
        <v>9934</v>
      </c>
    </row>
    <row r="197">
      <c r="A197" s="75" t="s">
        <v>374</v>
      </c>
      <c r="B197" s="75" t="s">
        <v>9935</v>
      </c>
      <c r="C197" s="75" t="str">
        <f t="shared" si="1"/>
        <v>191-MCDB1922</v>
      </c>
      <c r="D197" s="75" t="s">
        <v>9936</v>
      </c>
    </row>
    <row r="198">
      <c r="A198" s="75" t="s">
        <v>374</v>
      </c>
      <c r="B198" s="75" t="s">
        <v>9937</v>
      </c>
      <c r="C198" s="75" t="str">
        <f t="shared" si="1"/>
        <v>191-MCDS1922</v>
      </c>
      <c r="D198" s="75" t="s">
        <v>9938</v>
      </c>
    </row>
    <row r="199">
      <c r="A199" s="75" t="s">
        <v>374</v>
      </c>
      <c r="B199" s="75" t="s">
        <v>9939</v>
      </c>
      <c r="C199" s="75" t="str">
        <f t="shared" si="1"/>
        <v>191-NABC1928</v>
      </c>
      <c r="D199" s="75" t="s">
        <v>9940</v>
      </c>
    </row>
    <row r="200">
      <c r="A200" s="75" t="s">
        <v>374</v>
      </c>
      <c r="B200" s="75" t="s">
        <v>9941</v>
      </c>
      <c r="C200" s="75" t="str">
        <f t="shared" si="1"/>
        <v>191-NASC1921</v>
      </c>
      <c r="D200" s="75" t="s">
        <v>9942</v>
      </c>
    </row>
    <row r="201">
      <c r="A201" s="75" t="s">
        <v>374</v>
      </c>
      <c r="B201" s="75" t="s">
        <v>9943</v>
      </c>
      <c r="C201" s="75" t="str">
        <f t="shared" si="1"/>
        <v>191-NP516</v>
      </c>
      <c r="D201" s="75" t="s">
        <v>9944</v>
      </c>
    </row>
    <row r="202">
      <c r="A202" s="75" t="s">
        <v>374</v>
      </c>
      <c r="B202" s="75" t="s">
        <v>9945</v>
      </c>
      <c r="C202" s="75" t="str">
        <f t="shared" si="1"/>
        <v>191-PDSC1819</v>
      </c>
      <c r="D202" s="75" t="s">
        <v>9946</v>
      </c>
    </row>
    <row r="203">
      <c r="A203" s="75" t="s">
        <v>374</v>
      </c>
      <c r="B203" s="75" t="s">
        <v>9947</v>
      </c>
      <c r="C203" s="75" t="str">
        <f t="shared" si="1"/>
        <v>191-PRSC1818</v>
      </c>
      <c r="D203" s="75" t="s">
        <v>9948</v>
      </c>
    </row>
    <row r="204">
      <c r="A204" s="75" t="s">
        <v>374</v>
      </c>
      <c r="B204" s="75" t="s">
        <v>9949</v>
      </c>
      <c r="C204" s="75" t="str">
        <f t="shared" si="1"/>
        <v>191-TP0717</v>
      </c>
      <c r="D204" s="75" t="s">
        <v>9950</v>
      </c>
    </row>
    <row r="205">
      <c r="A205" s="75" t="s">
        <v>374</v>
      </c>
      <c r="B205" s="75" t="s">
        <v>9951</v>
      </c>
      <c r="C205" s="75" t="str">
        <f t="shared" si="1"/>
        <v>191-TP1515</v>
      </c>
      <c r="D205" s="75" t="s">
        <v>9952</v>
      </c>
    </row>
    <row r="206">
      <c r="A206" s="75" t="s">
        <v>374</v>
      </c>
      <c r="B206" s="75" t="s">
        <v>9953</v>
      </c>
      <c r="C206" s="75" t="str">
        <f t="shared" si="1"/>
        <v>191-TP1717</v>
      </c>
      <c r="D206" s="75" t="s">
        <v>9954</v>
      </c>
    </row>
    <row r="207">
      <c r="A207" s="75" t="s">
        <v>374</v>
      </c>
      <c r="B207" s="75" t="s">
        <v>9955</v>
      </c>
      <c r="C207" s="75" t="str">
        <f t="shared" si="1"/>
        <v>191-TPC1515</v>
      </c>
      <c r="D207" s="75" t="s">
        <v>9956</v>
      </c>
    </row>
    <row r="208">
      <c r="A208" s="75" t="s">
        <v>374</v>
      </c>
      <c r="B208" s="75" t="s">
        <v>9957</v>
      </c>
      <c r="C208" s="75" t="str">
        <f t="shared" si="1"/>
        <v>191-TPC1717</v>
      </c>
      <c r="D208" s="75" t="s">
        <v>9958</v>
      </c>
    </row>
    <row r="209">
      <c r="A209" s="75" t="s">
        <v>374</v>
      </c>
      <c r="B209" s="75" t="s">
        <v>9959</v>
      </c>
      <c r="C209" s="75" t="str">
        <f t="shared" si="1"/>
        <v>191-ZBC2028</v>
      </c>
      <c r="D209" s="75" t="s">
        <v>9960</v>
      </c>
    </row>
    <row r="210">
      <c r="A210" s="75" t="s">
        <v>374</v>
      </c>
      <c r="B210" s="75" t="s">
        <v>9961</v>
      </c>
      <c r="C210" s="75" t="str">
        <f t="shared" si="1"/>
        <v>191-ZCB1824</v>
      </c>
      <c r="D210" s="75" t="s">
        <v>9962</v>
      </c>
    </row>
    <row r="211">
      <c r="A211" s="75" t="s">
        <v>9963</v>
      </c>
      <c r="B211" s="75" t="s">
        <v>9964</v>
      </c>
      <c r="C211" s="75" t="str">
        <f t="shared" si="1"/>
        <v>191-CTACS2557</v>
      </c>
      <c r="D211" s="75" t="s">
        <v>9965</v>
      </c>
    </row>
    <row r="212">
      <c r="A212" s="75" t="s">
        <v>9963</v>
      </c>
      <c r="B212" s="75" t="s">
        <v>9966</v>
      </c>
      <c r="C212" s="75" t="str">
        <f t="shared" si="1"/>
        <v>191-CTBC2520</v>
      </c>
      <c r="D212" s="75" t="s">
        <v>9967</v>
      </c>
    </row>
    <row r="213">
      <c r="A213" s="75" t="s">
        <v>9963</v>
      </c>
      <c r="B213" s="75" t="s">
        <v>9968</v>
      </c>
      <c r="C213" s="75" t="str">
        <f t="shared" si="1"/>
        <v>191-CTCBC2066</v>
      </c>
      <c r="D213" s="75" t="s">
        <v>9969</v>
      </c>
    </row>
    <row r="214">
      <c r="A214" s="75" t="s">
        <v>9963</v>
      </c>
      <c r="B214" s="75" t="s">
        <v>9970</v>
      </c>
      <c r="C214" s="75" t="str">
        <f t="shared" si="1"/>
        <v>191-CTCLB3324</v>
      </c>
      <c r="D214" s="75" t="s">
        <v>9971</v>
      </c>
    </row>
    <row r="215">
      <c r="A215" s="75" t="s">
        <v>9963</v>
      </c>
      <c r="B215" s="75" t="s">
        <v>9972</v>
      </c>
      <c r="C215" s="75" t="str">
        <f t="shared" si="1"/>
        <v>191-CTCLS2957</v>
      </c>
      <c r="D215" s="75" t="s">
        <v>9973</v>
      </c>
    </row>
    <row r="216">
      <c r="A216" s="75" t="s">
        <v>9963</v>
      </c>
      <c r="B216" s="75" t="s">
        <v>9974</v>
      </c>
      <c r="C216" s="75" t="str">
        <f t="shared" si="1"/>
        <v>191-CTCSC3535</v>
      </c>
      <c r="D216" s="75" t="s">
        <v>9975</v>
      </c>
    </row>
    <row r="217">
      <c r="A217" s="75" t="s">
        <v>9963</v>
      </c>
      <c r="B217" s="75" t="s">
        <v>9976</v>
      </c>
      <c r="C217" s="75" t="str">
        <f t="shared" si="1"/>
        <v>191-CTHBC2824</v>
      </c>
      <c r="D217" s="75" t="s">
        <v>9977</v>
      </c>
    </row>
    <row r="218">
      <c r="A218" s="75" t="s">
        <v>9963</v>
      </c>
      <c r="B218" s="75" t="s">
        <v>9978</v>
      </c>
      <c r="C218" s="75" t="str">
        <f t="shared" si="1"/>
        <v>191-CTOC2324</v>
      </c>
      <c r="D218" s="75" t="s">
        <v>9979</v>
      </c>
    </row>
    <row r="219">
      <c r="A219" s="75" t="s">
        <v>9963</v>
      </c>
      <c r="B219" s="75" t="s">
        <v>9980</v>
      </c>
      <c r="C219" s="75" t="str">
        <f t="shared" si="1"/>
        <v>191-CTSC2526</v>
      </c>
      <c r="D219" s="75" t="s">
        <v>9981</v>
      </c>
    </row>
    <row r="220">
      <c r="A220" s="75" t="s">
        <v>9963</v>
      </c>
      <c r="B220" s="75" t="s">
        <v>9982</v>
      </c>
      <c r="C220" s="75" t="str">
        <f t="shared" si="1"/>
        <v>191-HBC2024</v>
      </c>
      <c r="D220" s="75" t="s">
        <v>9983</v>
      </c>
    </row>
    <row r="221">
      <c r="A221" s="75" t="s">
        <v>9963</v>
      </c>
      <c r="B221" s="75" t="s">
        <v>9984</v>
      </c>
      <c r="C221" s="75" t="str">
        <f t="shared" si="1"/>
        <v>191-HLB3324</v>
      </c>
      <c r="D221" s="75" t="s">
        <v>9985</v>
      </c>
    </row>
    <row r="222">
      <c r="A222" s="75" t="s">
        <v>9963</v>
      </c>
      <c r="B222" s="75" t="s">
        <v>9986</v>
      </c>
      <c r="C222" s="75" t="str">
        <f t="shared" si="1"/>
        <v>191-HLS2957</v>
      </c>
      <c r="D222" s="75" t="s">
        <v>9987</v>
      </c>
    </row>
    <row r="223">
      <c r="A223" s="75" t="s">
        <v>9963</v>
      </c>
      <c r="B223" s="75" t="s">
        <v>9988</v>
      </c>
      <c r="C223" s="75" t="str">
        <f t="shared" si="1"/>
        <v>191-HOBC2520</v>
      </c>
      <c r="D223" s="75" t="s">
        <v>9989</v>
      </c>
    </row>
    <row r="224">
      <c r="A224" s="75" t="s">
        <v>9963</v>
      </c>
      <c r="B224" s="75" t="s">
        <v>9990</v>
      </c>
      <c r="C224" s="75" t="str">
        <f t="shared" si="1"/>
        <v>191-HOCLB3324</v>
      </c>
      <c r="D224" s="75" t="s">
        <v>9991</v>
      </c>
    </row>
    <row r="225">
      <c r="A225" s="75" t="s">
        <v>9963</v>
      </c>
      <c r="B225" s="75" t="s">
        <v>9992</v>
      </c>
      <c r="C225" s="75" t="str">
        <f t="shared" si="1"/>
        <v>191-HOCLS2957</v>
      </c>
      <c r="D225" s="75" t="s">
        <v>9993</v>
      </c>
    </row>
    <row r="226">
      <c r="A226" s="75" t="s">
        <v>9963</v>
      </c>
      <c r="B226" s="75" t="s">
        <v>9994</v>
      </c>
      <c r="C226" s="75" t="str">
        <f t="shared" si="1"/>
        <v>191-HOSC2526</v>
      </c>
      <c r="D226" s="75" t="s">
        <v>9995</v>
      </c>
    </row>
    <row r="227">
      <c r="A227" s="75" t="s">
        <v>9963</v>
      </c>
      <c r="B227" s="75" t="s">
        <v>9996</v>
      </c>
      <c r="C227" s="75" t="str">
        <f t="shared" si="1"/>
        <v>191-HSC2527</v>
      </c>
      <c r="D227" s="75" t="s">
        <v>9997</v>
      </c>
    </row>
    <row r="228">
      <c r="A228" s="75" t="s">
        <v>9963</v>
      </c>
      <c r="B228" s="75" t="s">
        <v>9998</v>
      </c>
      <c r="C228" s="75" t="str">
        <f t="shared" si="1"/>
        <v>191-KLBC2320</v>
      </c>
      <c r="D228" s="75" t="s">
        <v>9999</v>
      </c>
    </row>
    <row r="229">
      <c r="A229" s="75" t="s">
        <v>9963</v>
      </c>
      <c r="B229" s="75" t="s">
        <v>10000</v>
      </c>
      <c r="C229" s="75" t="str">
        <f t="shared" si="1"/>
        <v>191-KLSC2324</v>
      </c>
      <c r="D229" s="75" t="s">
        <v>10001</v>
      </c>
    </row>
    <row r="230">
      <c r="A230" s="75" t="s">
        <v>9963</v>
      </c>
      <c r="B230" s="75" t="s">
        <v>10002</v>
      </c>
      <c r="C230" s="75" t="str">
        <f t="shared" si="1"/>
        <v>191-MAS2557</v>
      </c>
      <c r="D230" s="75" t="s">
        <v>10003</v>
      </c>
    </row>
    <row r="231">
      <c r="A231" s="75" t="s">
        <v>9963</v>
      </c>
      <c r="B231" s="75" t="s">
        <v>10004</v>
      </c>
      <c r="C231" s="75" t="str">
        <f t="shared" si="1"/>
        <v>191-MBC2024</v>
      </c>
      <c r="D231" s="75" t="s">
        <v>10005</v>
      </c>
    </row>
    <row r="232">
      <c r="A232" s="75" t="s">
        <v>9963</v>
      </c>
      <c r="B232" s="75" t="s">
        <v>10006</v>
      </c>
      <c r="C232" s="75" t="str">
        <f t="shared" si="1"/>
        <v>191-MCB1958</v>
      </c>
      <c r="D232" s="75" t="s">
        <v>10007</v>
      </c>
    </row>
    <row r="233">
      <c r="A233" s="75" t="s">
        <v>9963</v>
      </c>
      <c r="B233" s="75" t="s">
        <v>10008</v>
      </c>
      <c r="C233" s="75" t="str">
        <f t="shared" si="1"/>
        <v>191-MCS2727</v>
      </c>
      <c r="D233" s="75" t="s">
        <v>10009</v>
      </c>
    </row>
    <row r="234">
      <c r="A234" s="75" t="s">
        <v>9963</v>
      </c>
      <c r="B234" s="75" t="s">
        <v>10010</v>
      </c>
      <c r="C234" s="75" t="str">
        <f t="shared" si="1"/>
        <v>191-MLB3324</v>
      </c>
      <c r="D234" s="75" t="s">
        <v>10011</v>
      </c>
    </row>
    <row r="235">
      <c r="A235" s="75" t="s">
        <v>9963</v>
      </c>
      <c r="B235" s="75" t="s">
        <v>10012</v>
      </c>
      <c r="C235" s="75" t="str">
        <f t="shared" si="1"/>
        <v>191-MLS2957</v>
      </c>
      <c r="D235" s="75" t="s">
        <v>10013</v>
      </c>
    </row>
    <row r="236">
      <c r="A236" s="75" t="s">
        <v>9963</v>
      </c>
      <c r="B236" s="75" t="s">
        <v>10014</v>
      </c>
      <c r="C236" s="75" t="str">
        <f t="shared" si="1"/>
        <v>191-MOC2627</v>
      </c>
      <c r="D236" s="75" t="s">
        <v>10015</v>
      </c>
    </row>
    <row r="237">
      <c r="A237" s="75" t="s">
        <v>9963</v>
      </c>
      <c r="B237" s="75" t="s">
        <v>10016</v>
      </c>
      <c r="C237" s="75" t="str">
        <f t="shared" si="1"/>
        <v>191-MSC2527</v>
      </c>
      <c r="D237" s="75" t="s">
        <v>10017</v>
      </c>
    </row>
    <row r="238">
      <c r="A238" s="75" t="s">
        <v>9963</v>
      </c>
      <c r="B238" s="75" t="s">
        <v>10018</v>
      </c>
      <c r="C238" s="75" t="str">
        <f t="shared" si="1"/>
        <v>191-NBC1424</v>
      </c>
      <c r="D238" s="75" t="s">
        <v>10019</v>
      </c>
    </row>
    <row r="239">
      <c r="A239" s="75" t="s">
        <v>9963</v>
      </c>
      <c r="B239" s="75" t="s">
        <v>10020</v>
      </c>
      <c r="C239" s="75" t="str">
        <f t="shared" si="1"/>
        <v>191-NBC2124</v>
      </c>
      <c r="D239" s="75" t="s">
        <v>10021</v>
      </c>
    </row>
    <row r="240">
      <c r="A240" s="75" t="s">
        <v>9963</v>
      </c>
      <c r="B240" s="75" t="s">
        <v>10022</v>
      </c>
      <c r="C240" s="75" t="str">
        <f t="shared" si="1"/>
        <v>191-NOC2324</v>
      </c>
      <c r="D240" s="75" t="s">
        <v>10023</v>
      </c>
    </row>
    <row r="241">
      <c r="A241" s="75" t="s">
        <v>9963</v>
      </c>
      <c r="B241" s="75" t="s">
        <v>10024</v>
      </c>
      <c r="C241" s="75" t="str">
        <f t="shared" si="1"/>
        <v>191-NSC2325</v>
      </c>
      <c r="D241" s="75" t="s">
        <v>10025</v>
      </c>
    </row>
    <row r="242">
      <c r="A242" s="75" t="s">
        <v>9963</v>
      </c>
      <c r="B242" s="75" t="s">
        <v>10026</v>
      </c>
      <c r="C242" s="75" t="str">
        <f t="shared" si="1"/>
        <v>191-UBS32BK</v>
      </c>
      <c r="D242" s="75" t="s">
        <v>10027</v>
      </c>
    </row>
    <row r="243">
      <c r="A243" s="75" t="s">
        <v>9963</v>
      </c>
      <c r="B243" s="75" t="s">
        <v>10028</v>
      </c>
      <c r="C243" s="75" t="str">
        <f t="shared" si="1"/>
        <v>191-UEP40C</v>
      </c>
      <c r="D243" s="75" t="s">
        <v>10029</v>
      </c>
    </row>
    <row r="244">
      <c r="A244" s="75" t="s">
        <v>9963</v>
      </c>
      <c r="B244" s="75" t="s">
        <v>10030</v>
      </c>
      <c r="C244" s="75" t="str">
        <f t="shared" si="1"/>
        <v>191-UEP44B</v>
      </c>
      <c r="D244" s="75" t="s">
        <v>10031</v>
      </c>
    </row>
    <row r="245">
      <c r="A245" s="75" t="s">
        <v>9963</v>
      </c>
      <c r="B245" s="75" t="s">
        <v>10032</v>
      </c>
      <c r="C245" s="75" t="str">
        <f t="shared" si="1"/>
        <v>191-UFAUTO9</v>
      </c>
      <c r="D245" s="75" t="s">
        <v>10033</v>
      </c>
    </row>
    <row r="246">
      <c r="A246" s="75" t="s">
        <v>10034</v>
      </c>
      <c r="B246" s="75" t="s">
        <v>10035</v>
      </c>
      <c r="C246" s="75" t="str">
        <f t="shared" si="1"/>
        <v>191-1224RESSBC</v>
      </c>
      <c r="D246" s="75" t="s">
        <v>10036</v>
      </c>
    </row>
    <row r="247">
      <c r="A247" s="75" t="s">
        <v>10034</v>
      </c>
      <c r="B247" s="75" t="s">
        <v>10037</v>
      </c>
      <c r="C247" s="75" t="str">
        <f t="shared" si="1"/>
        <v>191-1242RESSBC</v>
      </c>
      <c r="D247" s="75" t="s">
        <v>10038</v>
      </c>
    </row>
    <row r="248">
      <c r="A248" s="75" t="s">
        <v>10034</v>
      </c>
      <c r="B248" s="75" t="s">
        <v>10039</v>
      </c>
      <c r="C248" s="75" t="str">
        <f t="shared" si="1"/>
        <v>191-21RSSBC</v>
      </c>
      <c r="D248" s="75" t="s">
        <v>10040</v>
      </c>
    </row>
    <row r="249">
      <c r="A249" s="75" t="s">
        <v>10034</v>
      </c>
      <c r="B249" s="75" t="s">
        <v>10041</v>
      </c>
      <c r="C249" s="75" t="str">
        <f t="shared" si="1"/>
        <v>191-CFG1AQ</v>
      </c>
      <c r="D249" s="75" t="s">
        <v>10042</v>
      </c>
    </row>
    <row r="250">
      <c r="A250" s="75" t="s">
        <v>10034</v>
      </c>
      <c r="B250" s="75" t="s">
        <v>10043</v>
      </c>
      <c r="C250" s="75" t="str">
        <f t="shared" si="1"/>
        <v>191-CFG1AR</v>
      </c>
      <c r="D250" s="75" t="s">
        <v>10044</v>
      </c>
    </row>
    <row r="251">
      <c r="A251" s="75" t="s">
        <v>10034</v>
      </c>
      <c r="B251" s="75" t="s">
        <v>10045</v>
      </c>
      <c r="C251" s="75" t="str">
        <f t="shared" si="1"/>
        <v>191-CFG1OX</v>
      </c>
      <c r="D251" s="75" t="s">
        <v>10046</v>
      </c>
    </row>
    <row r="252">
      <c r="A252" s="75" t="s">
        <v>10034</v>
      </c>
      <c r="B252" s="75" t="s">
        <v>10047</v>
      </c>
      <c r="C252" s="75" t="str">
        <f t="shared" si="1"/>
        <v>191-DFPP2544</v>
      </c>
      <c r="D252" s="75" t="s">
        <v>10048</v>
      </c>
    </row>
    <row r="253">
      <c r="A253" s="75" t="s">
        <v>10034</v>
      </c>
      <c r="B253" s="75" t="s">
        <v>10049</v>
      </c>
      <c r="C253" s="75" t="str">
        <f t="shared" si="1"/>
        <v>191-DHFFP2544</v>
      </c>
      <c r="D253" s="75" t="s">
        <v>10050</v>
      </c>
    </row>
    <row r="254">
      <c r="A254" s="75" t="s">
        <v>10034</v>
      </c>
      <c r="B254" s="75" t="s">
        <v>10051</v>
      </c>
      <c r="C254" s="75" t="str">
        <f t="shared" si="1"/>
        <v>191-DHFFP4254</v>
      </c>
      <c r="D254" s="75" t="s">
        <v>10052</v>
      </c>
    </row>
    <row r="255">
      <c r="A255" s="75" t="s">
        <v>10034</v>
      </c>
      <c r="B255" s="75" t="s">
        <v>10053</v>
      </c>
      <c r="C255" s="75" t="str">
        <f t="shared" si="1"/>
        <v>191-DHFT3044D</v>
      </c>
      <c r="D255" s="75" t="s">
        <v>10054</v>
      </c>
    </row>
    <row r="256">
      <c r="A256" s="75" t="s">
        <v>10034</v>
      </c>
      <c r="B256" s="75" t="s">
        <v>10055</v>
      </c>
      <c r="C256" s="75" t="str">
        <f t="shared" si="1"/>
        <v>191-DHFT3644C</v>
      </c>
      <c r="D256" s="75" t="s">
        <v>10056</v>
      </c>
    </row>
    <row r="257">
      <c r="A257" s="75" t="s">
        <v>10034</v>
      </c>
      <c r="B257" s="75" t="s">
        <v>10057</v>
      </c>
      <c r="C257" s="75" t="str">
        <f t="shared" si="1"/>
        <v>191-DHFT3944B</v>
      </c>
      <c r="D257" s="75" t="s">
        <v>10058</v>
      </c>
    </row>
    <row r="258">
      <c r="A258" s="75" t="s">
        <v>10034</v>
      </c>
      <c r="B258" s="75" t="s">
        <v>10059</v>
      </c>
      <c r="C258" s="75" t="str">
        <f t="shared" si="1"/>
        <v>191-DHFT4254B</v>
      </c>
      <c r="D258" s="75" t="s">
        <v>10060</v>
      </c>
    </row>
    <row r="259">
      <c r="A259" s="75" t="s">
        <v>10034</v>
      </c>
      <c r="B259" s="75" t="s">
        <v>10061</v>
      </c>
      <c r="C259" s="75" t="str">
        <f t="shared" si="1"/>
        <v>191-DHFT4254C</v>
      </c>
      <c r="D259" s="75" t="s">
        <v>10062</v>
      </c>
    </row>
    <row r="260">
      <c r="A260" s="75" t="s">
        <v>10034</v>
      </c>
      <c r="B260" s="75" t="s">
        <v>10063</v>
      </c>
      <c r="C260" s="75" t="str">
        <f t="shared" si="1"/>
        <v>191-DHFT4254D</v>
      </c>
      <c r="D260" s="75" t="s">
        <v>10064</v>
      </c>
    </row>
    <row r="261">
      <c r="A261" s="75" t="s">
        <v>10034</v>
      </c>
      <c r="B261" s="75" t="s">
        <v>10065</v>
      </c>
      <c r="C261" s="75" t="str">
        <f t="shared" si="1"/>
        <v>191-DRFP4254</v>
      </c>
      <c r="D261" s="75" t="s">
        <v>10066</v>
      </c>
    </row>
    <row r="262">
      <c r="A262" s="75" t="s">
        <v>10034</v>
      </c>
      <c r="B262" s="75" t="s">
        <v>10067</v>
      </c>
      <c r="C262" s="75" t="str">
        <f t="shared" si="1"/>
        <v>191-DRFT3044D</v>
      </c>
      <c r="D262" s="75" t="s">
        <v>10068</v>
      </c>
    </row>
    <row r="263">
      <c r="A263" s="75" t="s">
        <v>10034</v>
      </c>
      <c r="B263" s="75" t="s">
        <v>10069</v>
      </c>
      <c r="C263" s="75" t="str">
        <f t="shared" si="1"/>
        <v>191-DRFT3644C</v>
      </c>
      <c r="D263" s="75" t="s">
        <v>10070</v>
      </c>
    </row>
    <row r="264">
      <c r="A264" s="75" t="s">
        <v>10034</v>
      </c>
      <c r="B264" s="75" t="s">
        <v>10071</v>
      </c>
      <c r="C264" s="75" t="str">
        <f t="shared" si="1"/>
        <v>191-DRFT3944B</v>
      </c>
      <c r="D264" s="75" t="s">
        <v>10072</v>
      </c>
    </row>
    <row r="265">
      <c r="A265" s="75" t="s">
        <v>10034</v>
      </c>
      <c r="B265" s="75" t="s">
        <v>10073</v>
      </c>
      <c r="C265" s="75" t="str">
        <f t="shared" si="1"/>
        <v>191-DRFT4254B</v>
      </c>
      <c r="D265" s="75" t="s">
        <v>10074</v>
      </c>
    </row>
    <row r="266">
      <c r="A266" s="75" t="s">
        <v>10034</v>
      </c>
      <c r="B266" s="75" t="s">
        <v>10075</v>
      </c>
      <c r="C266" s="75" t="str">
        <f t="shared" si="1"/>
        <v>191-DRFT4254C</v>
      </c>
      <c r="D266" s="75" t="s">
        <v>10076</v>
      </c>
    </row>
    <row r="267">
      <c r="A267" s="75" t="s">
        <v>10034</v>
      </c>
      <c r="B267" s="75" t="s">
        <v>10077</v>
      </c>
      <c r="C267" s="75" t="str">
        <f t="shared" si="1"/>
        <v>191-DRFT4254D</v>
      </c>
      <c r="D267" s="75" t="s">
        <v>10078</v>
      </c>
    </row>
    <row r="268">
      <c r="A268" s="75" t="s">
        <v>10034</v>
      </c>
      <c r="B268" s="75" t="s">
        <v>10079</v>
      </c>
      <c r="C268" s="75" t="str">
        <f t="shared" si="1"/>
        <v>191-FPC4254</v>
      </c>
      <c r="D268" s="75" t="s">
        <v>10080</v>
      </c>
    </row>
    <row r="269">
      <c r="A269" s="75" t="s">
        <v>10034</v>
      </c>
      <c r="B269" s="75" t="s">
        <v>10081</v>
      </c>
      <c r="C269" s="75" t="str">
        <f t="shared" si="1"/>
        <v>191-FPC46</v>
      </c>
      <c r="D269" s="75" t="s">
        <v>10082</v>
      </c>
    </row>
    <row r="270">
      <c r="A270" s="75" t="s">
        <v>10034</v>
      </c>
      <c r="B270" s="75" t="s">
        <v>10083</v>
      </c>
      <c r="C270" s="75" t="str">
        <f t="shared" si="1"/>
        <v>191-FTC4472</v>
      </c>
      <c r="D270" s="75" t="s">
        <v>10084</v>
      </c>
    </row>
    <row r="271">
      <c r="A271" s="75" t="s">
        <v>10034</v>
      </c>
      <c r="B271" s="75" t="s">
        <v>10085</v>
      </c>
      <c r="C271" s="75" t="str">
        <f t="shared" si="1"/>
        <v>191-FTC4496</v>
      </c>
      <c r="D271" s="75" t="s">
        <v>10086</v>
      </c>
    </row>
    <row r="272">
      <c r="A272" s="75" t="s">
        <v>10034</v>
      </c>
      <c r="B272" s="75" t="s">
        <v>10087</v>
      </c>
      <c r="C272" s="75" t="str">
        <f t="shared" si="1"/>
        <v>191-GBC20BK</v>
      </c>
      <c r="D272" s="75" t="s">
        <v>10088</v>
      </c>
    </row>
    <row r="273">
      <c r="A273" s="75" t="s">
        <v>10034</v>
      </c>
      <c r="B273" s="75" t="s">
        <v>10089</v>
      </c>
      <c r="C273" s="75" t="str">
        <f t="shared" si="1"/>
        <v>191-GLS1</v>
      </c>
      <c r="D273" s="75" t="s">
        <v>10090</v>
      </c>
    </row>
    <row r="274">
      <c r="A274" s="75" t="s">
        <v>10034</v>
      </c>
      <c r="B274" s="75" t="s">
        <v>10091</v>
      </c>
      <c r="C274" s="75" t="str">
        <f t="shared" si="1"/>
        <v>191-IFF1</v>
      </c>
      <c r="D274" s="75" t="s">
        <v>10092</v>
      </c>
    </row>
    <row r="275">
      <c r="A275" s="75" t="s">
        <v>10034</v>
      </c>
      <c r="B275" s="75" t="s">
        <v>10093</v>
      </c>
      <c r="C275" s="75" t="str">
        <f t="shared" si="1"/>
        <v>191-RGWG1224</v>
      </c>
      <c r="D275" s="75" t="s">
        <v>10094</v>
      </c>
    </row>
    <row r="276">
      <c r="A276" s="75" t="s">
        <v>10034</v>
      </c>
      <c r="B276" s="75" t="s">
        <v>10095</v>
      </c>
      <c r="C276" s="75" t="str">
        <f t="shared" si="1"/>
        <v>191-RGWG1242</v>
      </c>
      <c r="D276" s="75" t="s">
        <v>10096</v>
      </c>
    </row>
    <row r="277">
      <c r="A277" s="75" t="s">
        <v>10034</v>
      </c>
      <c r="B277" s="75" t="s">
        <v>10097</v>
      </c>
      <c r="C277" s="75" t="str">
        <f t="shared" si="1"/>
        <v>191-RGWG723</v>
      </c>
      <c r="D277" s="75" t="s">
        <v>10098</v>
      </c>
    </row>
    <row r="278">
      <c r="A278" s="75" t="s">
        <v>10034</v>
      </c>
      <c r="B278" s="75" t="s">
        <v>10099</v>
      </c>
      <c r="C278" s="75" t="str">
        <f t="shared" si="1"/>
        <v>191-TLR1</v>
      </c>
      <c r="D278" s="75" t="s">
        <v>10100</v>
      </c>
    </row>
    <row r="279">
      <c r="A279" s="75" t="s">
        <v>10101</v>
      </c>
      <c r="B279" s="75" t="s">
        <v>10102</v>
      </c>
      <c r="C279" s="75" t="str">
        <f t="shared" si="1"/>
        <v>191-GCCB4423</v>
      </c>
      <c r="D279" s="75" t="s">
        <v>10103</v>
      </c>
    </row>
    <row r="280">
      <c r="A280" s="75" t="s">
        <v>10101</v>
      </c>
      <c r="B280" s="75" t="s">
        <v>10104</v>
      </c>
      <c r="C280" s="75" t="str">
        <f t="shared" si="1"/>
        <v>191-GCCB6623</v>
      </c>
      <c r="D280" s="75" t="s">
        <v>10105</v>
      </c>
    </row>
    <row r="281">
      <c r="A281" s="75" t="s">
        <v>10101</v>
      </c>
      <c r="B281" s="75" t="s">
        <v>10106</v>
      </c>
      <c r="C281" s="75" t="str">
        <f t="shared" si="1"/>
        <v>191-GCDB4418</v>
      </c>
      <c r="D281" s="75" t="s">
        <v>10107</v>
      </c>
    </row>
    <row r="282">
      <c r="A282" s="75" t="s">
        <v>10101</v>
      </c>
      <c r="B282" s="75" t="s">
        <v>10108</v>
      </c>
      <c r="C282" s="75" t="str">
        <f t="shared" si="1"/>
        <v>191-GCDB6618</v>
      </c>
      <c r="D282" s="75" t="s">
        <v>10109</v>
      </c>
    </row>
    <row r="283">
      <c r="A283" s="75" t="s">
        <v>10101</v>
      </c>
      <c r="B283" s="75" t="s">
        <v>10110</v>
      </c>
      <c r="C283" s="75" t="str">
        <f t="shared" si="1"/>
        <v>191-GCDT0048B</v>
      </c>
      <c r="D283" s="75" t="s">
        <v>10111</v>
      </c>
    </row>
    <row r="284">
      <c r="A284" s="75" t="s">
        <v>10101</v>
      </c>
      <c r="B284" s="75" t="s">
        <v>10112</v>
      </c>
      <c r="C284" s="75" t="str">
        <f t="shared" si="1"/>
        <v>191-GCDT0048C</v>
      </c>
      <c r="D284" s="75" t="s">
        <v>10113</v>
      </c>
    </row>
    <row r="285">
      <c r="A285" s="75" t="s">
        <v>10101</v>
      </c>
      <c r="B285" s="75" t="s">
        <v>10114</v>
      </c>
      <c r="C285" s="75" t="str">
        <f t="shared" si="1"/>
        <v>191-GCDT0048D</v>
      </c>
      <c r="D285" s="75" t="s">
        <v>10115</v>
      </c>
    </row>
    <row r="286">
      <c r="A286" s="75" t="s">
        <v>10101</v>
      </c>
      <c r="B286" s="75" t="s">
        <v>10116</v>
      </c>
      <c r="C286" s="75" t="str">
        <f t="shared" si="1"/>
        <v>191-GCFT4472B</v>
      </c>
      <c r="D286" s="75" t="s">
        <v>10117</v>
      </c>
    </row>
    <row r="287">
      <c r="A287" s="75" t="s">
        <v>10101</v>
      </c>
      <c r="B287" s="75" t="s">
        <v>10118</v>
      </c>
      <c r="C287" s="75" t="str">
        <f t="shared" si="1"/>
        <v>191-GCFT4472C</v>
      </c>
      <c r="D287" s="75" t="s">
        <v>10119</v>
      </c>
    </row>
    <row r="288">
      <c r="A288" s="75" t="s">
        <v>10101</v>
      </c>
      <c r="B288" s="75" t="s">
        <v>10120</v>
      </c>
      <c r="C288" s="75" t="str">
        <f t="shared" si="1"/>
        <v>191-GCFT4472D</v>
      </c>
      <c r="D288" s="75" t="s">
        <v>10121</v>
      </c>
    </row>
    <row r="289">
      <c r="A289" s="75" t="s">
        <v>10101</v>
      </c>
      <c r="B289" s="75" t="s">
        <v>10122</v>
      </c>
      <c r="C289" s="75" t="str">
        <f t="shared" si="1"/>
        <v>191-GCFT4496B</v>
      </c>
      <c r="D289" s="75" t="s">
        <v>10123</v>
      </c>
    </row>
    <row r="290">
      <c r="A290" s="75" t="s">
        <v>10101</v>
      </c>
      <c r="B290" s="75" t="s">
        <v>10124</v>
      </c>
      <c r="C290" s="75" t="str">
        <f t="shared" si="1"/>
        <v>191-GCFT4496C</v>
      </c>
      <c r="D290" s="75" t="s">
        <v>10125</v>
      </c>
    </row>
    <row r="291">
      <c r="A291" s="75" t="s">
        <v>10101</v>
      </c>
      <c r="B291" s="75" t="s">
        <v>10126</v>
      </c>
      <c r="C291" s="75" t="str">
        <f t="shared" si="1"/>
        <v>191-GCFT4496D</v>
      </c>
      <c r="D291" s="75" t="s">
        <v>10127</v>
      </c>
    </row>
    <row r="292">
      <c r="A292" s="75" t="s">
        <v>10101</v>
      </c>
      <c r="B292" s="75" t="s">
        <v>10128</v>
      </c>
      <c r="C292" s="75" t="str">
        <f t="shared" si="1"/>
        <v>191-GCIT4472B</v>
      </c>
      <c r="D292" s="75" t="s">
        <v>10129</v>
      </c>
    </row>
    <row r="293">
      <c r="A293" s="75" t="s">
        <v>10101</v>
      </c>
      <c r="B293" s="75" t="s">
        <v>10130</v>
      </c>
      <c r="C293" s="75" t="str">
        <f t="shared" si="1"/>
        <v>191-GCIT4472C</v>
      </c>
      <c r="D293" s="75" t="s">
        <v>10131</v>
      </c>
    </row>
    <row r="294">
      <c r="A294" s="75" t="s">
        <v>10101</v>
      </c>
      <c r="B294" s="75" t="s">
        <v>10132</v>
      </c>
      <c r="C294" s="75" t="str">
        <f t="shared" si="1"/>
        <v>191-GCIT4472D</v>
      </c>
      <c r="D294" s="75" t="s">
        <v>10133</v>
      </c>
    </row>
    <row r="295">
      <c r="A295" s="75" t="s">
        <v>10101</v>
      </c>
      <c r="B295" s="75" t="s">
        <v>10134</v>
      </c>
      <c r="C295" s="75" t="str">
        <f t="shared" si="1"/>
        <v>191-GCLT0044B</v>
      </c>
      <c r="D295" s="75" t="s">
        <v>10135</v>
      </c>
    </row>
    <row r="296">
      <c r="A296" s="75" t="s">
        <v>10101</v>
      </c>
      <c r="B296" s="75" t="s">
        <v>10136</v>
      </c>
      <c r="C296" s="75" t="str">
        <f t="shared" si="1"/>
        <v>191-GCLT0044C</v>
      </c>
      <c r="D296" s="75" t="s">
        <v>10137</v>
      </c>
    </row>
    <row r="297">
      <c r="A297" s="75" t="s">
        <v>10101</v>
      </c>
      <c r="B297" s="75" t="s">
        <v>10138</v>
      </c>
      <c r="C297" s="75" t="str">
        <f t="shared" si="1"/>
        <v>191-GCLT0044D</v>
      </c>
      <c r="D297" s="75" t="s">
        <v>10139</v>
      </c>
    </row>
    <row r="298">
      <c r="A298" s="75" t="s">
        <v>10101</v>
      </c>
      <c r="B298" s="75" t="s">
        <v>10140</v>
      </c>
      <c r="C298" s="75" t="str">
        <f t="shared" si="1"/>
        <v>191-GCOT4496B</v>
      </c>
      <c r="D298" s="75" t="s">
        <v>10141</v>
      </c>
    </row>
    <row r="299">
      <c r="A299" s="75" t="s">
        <v>10101</v>
      </c>
      <c r="B299" s="75" t="s">
        <v>10142</v>
      </c>
      <c r="C299" s="75" t="str">
        <f t="shared" si="1"/>
        <v>191-GCOT4496C</v>
      </c>
      <c r="D299" s="75" t="s">
        <v>10143</v>
      </c>
    </row>
    <row r="300">
      <c r="A300" s="75" t="s">
        <v>10101</v>
      </c>
      <c r="B300" s="75" t="s">
        <v>10144</v>
      </c>
      <c r="C300" s="75" t="str">
        <f t="shared" si="1"/>
        <v>191-GCOT4496D</v>
      </c>
      <c r="D300" s="75" t="s">
        <v>10145</v>
      </c>
    </row>
    <row r="301">
      <c r="A301" s="75" t="s">
        <v>10101</v>
      </c>
      <c r="B301" s="75" t="s">
        <v>10146</v>
      </c>
      <c r="C301" s="75" t="str">
        <f t="shared" si="1"/>
        <v>191-GCRT0038B</v>
      </c>
      <c r="D301" s="75" t="s">
        <v>10147</v>
      </c>
    </row>
    <row r="302">
      <c r="A302" s="75" t="s">
        <v>10101</v>
      </c>
      <c r="B302" s="75" t="s">
        <v>10148</v>
      </c>
      <c r="C302" s="75" t="str">
        <f t="shared" si="1"/>
        <v>191-GCRT0038C</v>
      </c>
      <c r="D302" s="75" t="s">
        <v>10149</v>
      </c>
    </row>
    <row r="303">
      <c r="A303" s="75" t="s">
        <v>10101</v>
      </c>
      <c r="B303" s="75" t="s">
        <v>10150</v>
      </c>
      <c r="C303" s="75" t="str">
        <f t="shared" si="1"/>
        <v>191-GCRT0038D</v>
      </c>
      <c r="D303" s="75" t="s">
        <v>10151</v>
      </c>
    </row>
    <row r="304">
      <c r="A304" s="75" t="s">
        <v>10101</v>
      </c>
      <c r="B304" s="75" t="s">
        <v>10152</v>
      </c>
      <c r="C304" s="75" t="str">
        <f t="shared" si="1"/>
        <v>191-GCRT3366B</v>
      </c>
      <c r="D304" s="75" t="s">
        <v>10153</v>
      </c>
    </row>
    <row r="305">
      <c r="A305" s="75" t="s">
        <v>10101</v>
      </c>
      <c r="B305" s="75" t="s">
        <v>10154</v>
      </c>
      <c r="C305" s="75" t="str">
        <f t="shared" si="1"/>
        <v>191-GCRT3366C</v>
      </c>
      <c r="D305" s="75" t="s">
        <v>10155</v>
      </c>
    </row>
    <row r="306">
      <c r="A306" s="75" t="s">
        <v>10101</v>
      </c>
      <c r="B306" s="75" t="s">
        <v>10156</v>
      </c>
      <c r="C306" s="75" t="str">
        <f t="shared" si="1"/>
        <v>191-GCRT3366D</v>
      </c>
      <c r="D306" s="75" t="s">
        <v>10157</v>
      </c>
    </row>
    <row r="307">
      <c r="A307" s="75" t="s">
        <v>10101</v>
      </c>
      <c r="B307" s="75" t="s">
        <v>10158</v>
      </c>
      <c r="C307" s="75" t="str">
        <f t="shared" si="1"/>
        <v>191-GCST0033B</v>
      </c>
      <c r="D307" s="75" t="s">
        <v>10159</v>
      </c>
    </row>
    <row r="308">
      <c r="A308" s="75" t="s">
        <v>10101</v>
      </c>
      <c r="B308" s="75" t="s">
        <v>10160</v>
      </c>
      <c r="C308" s="75" t="str">
        <f t="shared" si="1"/>
        <v>191-GCST0033C</v>
      </c>
      <c r="D308" s="75" t="s">
        <v>10161</v>
      </c>
    </row>
    <row r="309">
      <c r="A309" s="75" t="s">
        <v>10101</v>
      </c>
      <c r="B309" s="75" t="s">
        <v>10162</v>
      </c>
      <c r="C309" s="75" t="str">
        <f t="shared" si="1"/>
        <v>191-GCST0033D</v>
      </c>
      <c r="D309" s="75" t="s">
        <v>10163</v>
      </c>
    </row>
    <row r="310">
      <c r="A310" s="75" t="s">
        <v>10101</v>
      </c>
      <c r="B310" s="75" t="s">
        <v>10164</v>
      </c>
      <c r="C310" s="75" t="str">
        <f t="shared" si="1"/>
        <v>191-GCST4464B</v>
      </c>
      <c r="D310" s="75" t="s">
        <v>10165</v>
      </c>
    </row>
    <row r="311">
      <c r="A311" s="75" t="s">
        <v>10101</v>
      </c>
      <c r="B311" s="75" t="s">
        <v>10166</v>
      </c>
      <c r="C311" s="75" t="str">
        <f t="shared" si="1"/>
        <v>191-GCST4464C</v>
      </c>
      <c r="D311" s="75" t="s">
        <v>10167</v>
      </c>
    </row>
    <row r="312">
      <c r="A312" s="75" t="s">
        <v>10101</v>
      </c>
      <c r="B312" s="75" t="s">
        <v>10168</v>
      </c>
      <c r="C312" s="75" t="str">
        <f t="shared" si="1"/>
        <v>191-GCST4464D</v>
      </c>
      <c r="D312" s="75" t="s">
        <v>10169</v>
      </c>
    </row>
    <row r="313">
      <c r="A313" s="75" t="s">
        <v>10101</v>
      </c>
      <c r="B313" s="75" t="s">
        <v>10170</v>
      </c>
      <c r="C313" s="75" t="str">
        <f t="shared" si="1"/>
        <v>191-GCT0028B</v>
      </c>
      <c r="D313" s="75" t="s">
        <v>10171</v>
      </c>
    </row>
    <row r="314">
      <c r="A314" s="75" t="s">
        <v>10101</v>
      </c>
      <c r="B314" s="75" t="s">
        <v>10172</v>
      </c>
      <c r="C314" s="75" t="str">
        <f t="shared" si="1"/>
        <v>191-GCT0028C</v>
      </c>
      <c r="D314" s="75" t="s">
        <v>10173</v>
      </c>
    </row>
    <row r="315">
      <c r="A315" s="75" t="s">
        <v>10101</v>
      </c>
      <c r="B315" s="75" t="s">
        <v>10174</v>
      </c>
      <c r="C315" s="75" t="str">
        <f t="shared" si="1"/>
        <v>191-GCT0028D</v>
      </c>
      <c r="D315" s="75" t="s">
        <v>10175</v>
      </c>
    </row>
    <row r="316">
      <c r="A316" s="75" t="s">
        <v>10101</v>
      </c>
      <c r="B316" s="75" t="s">
        <v>10176</v>
      </c>
      <c r="C316" s="75" t="str">
        <f t="shared" si="1"/>
        <v>191-GCT0060B</v>
      </c>
      <c r="D316" s="75" t="s">
        <v>10177</v>
      </c>
    </row>
    <row r="317">
      <c r="A317" s="75" t="s">
        <v>10101</v>
      </c>
      <c r="B317" s="75" t="s">
        <v>10178</v>
      </c>
      <c r="C317" s="75" t="str">
        <f t="shared" si="1"/>
        <v>191-GCT0060C</v>
      </c>
      <c r="D317" s="75" t="s">
        <v>10179</v>
      </c>
    </row>
    <row r="318">
      <c r="A318" s="75" t="s">
        <v>10101</v>
      </c>
      <c r="B318" s="75" t="s">
        <v>10180</v>
      </c>
      <c r="C318" s="75" t="str">
        <f t="shared" si="1"/>
        <v>191-GCT0060D</v>
      </c>
      <c r="D318" s="75" t="s">
        <v>10181</v>
      </c>
    </row>
    <row r="319">
      <c r="A319" s="75" t="s">
        <v>10182</v>
      </c>
      <c r="B319" s="75" t="s">
        <v>10183</v>
      </c>
      <c r="C319" s="75" t="str">
        <f t="shared" si="1"/>
        <v>191-HB4418D</v>
      </c>
      <c r="D319" s="75" t="s">
        <v>10184</v>
      </c>
    </row>
    <row r="320">
      <c r="A320" s="75" t="s">
        <v>10182</v>
      </c>
      <c r="B320" s="75" t="s">
        <v>10185</v>
      </c>
      <c r="C320" s="75" t="str">
        <f t="shared" si="1"/>
        <v>191-HB4423C</v>
      </c>
      <c r="D320" s="75" t="s">
        <v>10186</v>
      </c>
    </row>
    <row r="321">
      <c r="A321" s="75" t="s">
        <v>10182</v>
      </c>
      <c r="B321" s="75" t="s">
        <v>10187</v>
      </c>
      <c r="C321" s="75" t="str">
        <f t="shared" si="1"/>
        <v>191-HB6618D</v>
      </c>
      <c r="D321" s="75" t="s">
        <v>10188</v>
      </c>
    </row>
    <row r="322">
      <c r="A322" s="75" t="s">
        <v>10182</v>
      </c>
      <c r="B322" s="75" t="s">
        <v>10189</v>
      </c>
      <c r="C322" s="75" t="str">
        <f t="shared" si="1"/>
        <v>191-HB6623C</v>
      </c>
      <c r="D322" s="75" t="s">
        <v>10190</v>
      </c>
    </row>
    <row r="323">
      <c r="A323" s="75" t="s">
        <v>10191</v>
      </c>
      <c r="B323" s="75" t="s">
        <v>10192</v>
      </c>
      <c r="C323" s="75" t="str">
        <f t="shared" si="1"/>
        <v>191-KATC2127</v>
      </c>
      <c r="D323" s="75" t="s">
        <v>10193</v>
      </c>
    </row>
    <row r="324">
      <c r="A324" s="75" t="s">
        <v>10191</v>
      </c>
      <c r="B324" s="75" t="s">
        <v>10194</v>
      </c>
      <c r="C324" s="75" t="str">
        <f t="shared" si="1"/>
        <v>191-KCDC1525</v>
      </c>
      <c r="D324" s="75" t="s">
        <v>10195</v>
      </c>
    </row>
    <row r="325">
      <c r="A325" s="75" t="s">
        <v>10191</v>
      </c>
      <c r="B325" s="75" t="s">
        <v>10196</v>
      </c>
      <c r="C325" s="75" t="str">
        <f t="shared" si="1"/>
        <v>191-KRPT3433</v>
      </c>
      <c r="D325" s="75" t="s">
        <v>10197</v>
      </c>
    </row>
    <row r="326">
      <c r="A326" s="75" t="s">
        <v>10191</v>
      </c>
      <c r="B326" s="75" t="s">
        <v>10198</v>
      </c>
      <c r="C326" s="75" t="str">
        <f t="shared" si="1"/>
        <v>191-KRTD0038</v>
      </c>
      <c r="D326" s="75" t="s">
        <v>10199</v>
      </c>
    </row>
    <row r="327">
      <c r="A327" s="75" t="s">
        <v>10191</v>
      </c>
      <c r="B327" s="75" t="s">
        <v>10200</v>
      </c>
      <c r="C327" s="75" t="str">
        <f t="shared" si="1"/>
        <v>191-KSTD0033</v>
      </c>
      <c r="D327" s="75" t="s">
        <v>10201</v>
      </c>
    </row>
    <row r="328">
      <c r="A328" s="75" t="s">
        <v>10202</v>
      </c>
      <c r="B328" s="75" t="s">
        <v>10203</v>
      </c>
      <c r="C328" s="75" t="str">
        <f t="shared" si="1"/>
        <v>191-KBAC2544</v>
      </c>
      <c r="D328" s="75" t="s">
        <v>10204</v>
      </c>
    </row>
    <row r="329">
      <c r="A329" s="75" t="s">
        <v>10202</v>
      </c>
      <c r="B329" s="75" t="s">
        <v>10205</v>
      </c>
      <c r="C329" s="75" t="str">
        <f t="shared" si="1"/>
        <v>191-KBSC2244</v>
      </c>
      <c r="D329" s="75" t="s">
        <v>10206</v>
      </c>
    </row>
    <row r="330">
      <c r="A330" s="75" t="s">
        <v>10202</v>
      </c>
      <c r="B330" s="75" t="s">
        <v>10207</v>
      </c>
      <c r="C330" s="75" t="str">
        <f t="shared" si="1"/>
        <v>191-KCAC2541</v>
      </c>
      <c r="D330" s="75" t="s">
        <v>10208</v>
      </c>
    </row>
    <row r="331">
      <c r="A331" s="75" t="s">
        <v>10202</v>
      </c>
      <c r="B331" s="75" t="s">
        <v>10209</v>
      </c>
      <c r="C331" s="75" t="str">
        <f t="shared" si="1"/>
        <v>191-KCSC2241</v>
      </c>
      <c r="D331" s="75" t="s">
        <v>10210</v>
      </c>
    </row>
    <row r="332">
      <c r="A332" s="75" t="s">
        <v>10202</v>
      </c>
      <c r="B332" s="75" t="s">
        <v>10211</v>
      </c>
      <c r="C332" s="75" t="str">
        <f t="shared" si="1"/>
        <v>191-KDAC2535</v>
      </c>
      <c r="D332" s="75" t="s">
        <v>10212</v>
      </c>
    </row>
    <row r="333">
      <c r="A333" s="75" t="s">
        <v>10202</v>
      </c>
      <c r="B333" s="75" t="s">
        <v>10213</v>
      </c>
      <c r="C333" s="75" t="str">
        <f t="shared" si="1"/>
        <v>191-KDSC2235</v>
      </c>
      <c r="D333" s="75" t="s">
        <v>10214</v>
      </c>
    </row>
    <row r="334">
      <c r="A334" s="75" t="s">
        <v>10202</v>
      </c>
      <c r="B334" s="75" t="s">
        <v>10215</v>
      </c>
      <c r="C334" s="75" t="str">
        <f t="shared" si="1"/>
        <v>191-KLAC2833</v>
      </c>
      <c r="D334" s="75" t="s">
        <v>10216</v>
      </c>
    </row>
    <row r="335">
      <c r="A335" s="75" t="s">
        <v>10202</v>
      </c>
      <c r="B335" s="75" t="s">
        <v>10217</v>
      </c>
      <c r="C335" s="75" t="str">
        <f t="shared" si="1"/>
        <v>191-PAK1219</v>
      </c>
      <c r="D335" s="75" t="s">
        <v>10218</v>
      </c>
    </row>
    <row r="336">
      <c r="A336" s="75" t="s">
        <v>10202</v>
      </c>
      <c r="B336" s="75" t="s">
        <v>10219</v>
      </c>
      <c r="C336" s="75" t="str">
        <f t="shared" si="1"/>
        <v>191-PDC2040</v>
      </c>
      <c r="D336" s="75" t="s">
        <v>10220</v>
      </c>
    </row>
    <row r="337">
      <c r="A337" s="75" t="s">
        <v>10221</v>
      </c>
      <c r="B337" s="75" t="s">
        <v>10222</v>
      </c>
      <c r="C337" s="75" t="str">
        <f t="shared" si="1"/>
        <v>191-MHAC2630</v>
      </c>
      <c r="D337" s="75" t="s">
        <v>10223</v>
      </c>
    </row>
    <row r="338">
      <c r="A338" s="75" t="s">
        <v>10221</v>
      </c>
      <c r="B338" s="75" t="s">
        <v>10224</v>
      </c>
      <c r="C338" s="75" t="str">
        <f t="shared" si="1"/>
        <v>191-MHACL3063</v>
      </c>
      <c r="D338" s="75" t="s">
        <v>10225</v>
      </c>
    </row>
    <row r="339">
      <c r="A339" s="75" t="s">
        <v>10221</v>
      </c>
      <c r="B339" s="75" t="s">
        <v>10226</v>
      </c>
      <c r="C339" s="75" t="str">
        <f t="shared" si="1"/>
        <v>191-MHCAS2334</v>
      </c>
      <c r="D339" s="75" t="s">
        <v>10227</v>
      </c>
    </row>
    <row r="340">
      <c r="A340" s="75" t="s">
        <v>10221</v>
      </c>
      <c r="B340" s="75" t="s">
        <v>10228</v>
      </c>
      <c r="C340" s="75" t="str">
        <f t="shared" si="1"/>
        <v>191-MHCC2834</v>
      </c>
      <c r="D340" s="75" t="s">
        <v>10229</v>
      </c>
    </row>
    <row r="341">
      <c r="A341" s="75" t="s">
        <v>10221</v>
      </c>
      <c r="B341" s="75" t="s">
        <v>10230</v>
      </c>
      <c r="C341" s="75" t="str">
        <f t="shared" si="1"/>
        <v>191-MHCL3163</v>
      </c>
      <c r="D341" s="75" t="s">
        <v>10231</v>
      </c>
    </row>
    <row r="342">
      <c r="A342" s="75" t="s">
        <v>10221</v>
      </c>
      <c r="B342" s="75" t="s">
        <v>10232</v>
      </c>
      <c r="C342" s="75" t="str">
        <f t="shared" si="1"/>
        <v>191-MHCS4747</v>
      </c>
      <c r="D342" s="75" t="s">
        <v>10233</v>
      </c>
    </row>
    <row r="343">
      <c r="A343" s="75" t="s">
        <v>10221</v>
      </c>
      <c r="B343" s="75" t="s">
        <v>10234</v>
      </c>
      <c r="C343" s="75" t="str">
        <f t="shared" si="1"/>
        <v>191-MHL5234</v>
      </c>
      <c r="D343" s="75" t="s">
        <v>10235</v>
      </c>
    </row>
    <row r="344">
      <c r="A344" s="75" t="s">
        <v>10221</v>
      </c>
      <c r="B344" s="75" t="s">
        <v>10236</v>
      </c>
      <c r="C344" s="75" t="str">
        <f t="shared" si="1"/>
        <v>191-MHLCL3063</v>
      </c>
      <c r="D344" s="75" t="s">
        <v>10237</v>
      </c>
    </row>
    <row r="345">
      <c r="A345" s="75" t="s">
        <v>10221</v>
      </c>
      <c r="B345" s="75" t="s">
        <v>10238</v>
      </c>
      <c r="C345" s="75" t="str">
        <f t="shared" si="1"/>
        <v>191-MHLSC2734</v>
      </c>
      <c r="D345" s="75" t="s">
        <v>10239</v>
      </c>
    </row>
    <row r="346">
      <c r="A346" s="75" t="s">
        <v>10221</v>
      </c>
      <c r="B346" s="75" t="s">
        <v>10240</v>
      </c>
      <c r="C346" s="75" t="str">
        <f t="shared" si="1"/>
        <v>191-MHLSL5134</v>
      </c>
      <c r="D346" s="75" t="s">
        <v>10241</v>
      </c>
    </row>
    <row r="347">
      <c r="A347" s="75" t="s">
        <v>10221</v>
      </c>
      <c r="B347" s="75" t="s">
        <v>10242</v>
      </c>
      <c r="C347" s="75" t="str">
        <f t="shared" si="1"/>
        <v>191-MHLSS7734</v>
      </c>
      <c r="D347" s="75" t="s">
        <v>10243</v>
      </c>
    </row>
    <row r="348">
      <c r="A348" s="75" t="s">
        <v>10221</v>
      </c>
      <c r="B348" s="75" t="s">
        <v>10244</v>
      </c>
      <c r="C348" s="75" t="str">
        <f t="shared" si="1"/>
        <v>191-MHO2611</v>
      </c>
      <c r="D348" s="75" t="s">
        <v>10245</v>
      </c>
    </row>
    <row r="349">
      <c r="A349" s="75" t="s">
        <v>10221</v>
      </c>
      <c r="B349" s="75" t="s">
        <v>10246</v>
      </c>
      <c r="C349" s="75" t="str">
        <f t="shared" si="1"/>
        <v>191-MHRCL3063</v>
      </c>
      <c r="D349" s="75" t="s">
        <v>10247</v>
      </c>
    </row>
    <row r="350">
      <c r="A350" s="75" t="s">
        <v>10221</v>
      </c>
      <c r="B350" s="75" t="s">
        <v>10248</v>
      </c>
      <c r="C350" s="75" t="str">
        <f t="shared" si="1"/>
        <v>191-MHRSC2734</v>
      </c>
      <c r="D350" s="75" t="s">
        <v>10249</v>
      </c>
    </row>
    <row r="351">
      <c r="A351" s="75" t="s">
        <v>10221</v>
      </c>
      <c r="B351" s="75" t="s">
        <v>10250</v>
      </c>
      <c r="C351" s="75" t="str">
        <f t="shared" si="1"/>
        <v>191-MHRSL5134</v>
      </c>
      <c r="D351" s="75" t="s">
        <v>10251</v>
      </c>
    </row>
    <row r="352">
      <c r="A352" s="75" t="s">
        <v>10221</v>
      </c>
      <c r="B352" s="75" t="s">
        <v>10252</v>
      </c>
      <c r="C352" s="75" t="str">
        <f t="shared" si="1"/>
        <v>191-MHRSS7734</v>
      </c>
      <c r="D352" s="75" t="s">
        <v>10253</v>
      </c>
    </row>
    <row r="353">
      <c r="A353" s="75" t="s">
        <v>10221</v>
      </c>
      <c r="B353" s="75" t="s">
        <v>10254</v>
      </c>
      <c r="C353" s="75" t="str">
        <f t="shared" si="1"/>
        <v>191-MHS7834</v>
      </c>
      <c r="D353" s="75" t="s">
        <v>10255</v>
      </c>
    </row>
    <row r="354">
      <c r="A354" s="75" t="s">
        <v>10221</v>
      </c>
      <c r="B354" s="75" t="s">
        <v>10256</v>
      </c>
      <c r="C354" s="75" t="str">
        <f t="shared" si="1"/>
        <v>191-MHSR3034</v>
      </c>
      <c r="D354" s="75" t="s">
        <v>10257</v>
      </c>
    </row>
    <row r="355">
      <c r="A355" s="75" t="s">
        <v>10258</v>
      </c>
      <c r="B355" s="75" t="s">
        <v>10259</v>
      </c>
      <c r="C355" s="75" t="str">
        <f t="shared" si="1"/>
        <v>191-HACC2429</v>
      </c>
      <c r="D355" s="75" t="s">
        <v>10260</v>
      </c>
    </row>
    <row r="356">
      <c r="A356" s="75" t="s">
        <v>10258</v>
      </c>
      <c r="B356" s="75" t="s">
        <v>10261</v>
      </c>
      <c r="C356" s="75" t="str">
        <f t="shared" si="1"/>
        <v>191-HACL3029</v>
      </c>
      <c r="D356" s="75" t="s">
        <v>10262</v>
      </c>
    </row>
    <row r="357">
      <c r="A357" s="75" t="s">
        <v>10258</v>
      </c>
      <c r="B357" s="75" t="s">
        <v>10263</v>
      </c>
      <c r="C357" s="75" t="str">
        <f t="shared" si="1"/>
        <v>191-HALS4929</v>
      </c>
      <c r="D357" s="75" t="s">
        <v>10264</v>
      </c>
    </row>
    <row r="358">
      <c r="A358" s="75" t="s">
        <v>10258</v>
      </c>
      <c r="B358" s="75" t="s">
        <v>10265</v>
      </c>
      <c r="C358" s="75" t="str">
        <f t="shared" si="1"/>
        <v>191-HAS7429</v>
      </c>
      <c r="D358" s="75" t="s">
        <v>10266</v>
      </c>
    </row>
    <row r="359">
      <c r="A359" s="75" t="s">
        <v>10258</v>
      </c>
      <c r="B359" s="75" t="s">
        <v>10267</v>
      </c>
      <c r="C359" s="75" t="str">
        <f t="shared" si="1"/>
        <v>191-HOCC2429</v>
      </c>
      <c r="D359" s="75" t="s">
        <v>10268</v>
      </c>
    </row>
    <row r="360">
      <c r="A360" s="75" t="s">
        <v>10258</v>
      </c>
      <c r="B360" s="75" t="s">
        <v>10269</v>
      </c>
      <c r="C360" s="75" t="str">
        <f t="shared" si="1"/>
        <v>191-HOCL3029</v>
      </c>
      <c r="D360" s="75" t="s">
        <v>10270</v>
      </c>
    </row>
    <row r="361">
      <c r="A361" s="75" t="s">
        <v>10258</v>
      </c>
      <c r="B361" s="75" t="s">
        <v>10271</v>
      </c>
      <c r="C361" s="75" t="str">
        <f t="shared" si="1"/>
        <v>191-HOLS4929</v>
      </c>
      <c r="D361" s="75" t="s">
        <v>10272</v>
      </c>
    </row>
    <row r="362">
      <c r="A362" s="75" t="s">
        <v>10258</v>
      </c>
      <c r="B362" s="75" t="s">
        <v>10273</v>
      </c>
      <c r="C362" s="75" t="str">
        <f t="shared" si="1"/>
        <v>191-HOS7429</v>
      </c>
      <c r="D362" s="75" t="s">
        <v>10274</v>
      </c>
    </row>
    <row r="363">
      <c r="A363" s="75" t="s">
        <v>10258</v>
      </c>
      <c r="B363" s="75" t="s">
        <v>10275</v>
      </c>
      <c r="C363" s="75" t="str">
        <f t="shared" si="1"/>
        <v>191-NAC2939</v>
      </c>
      <c r="D363" s="75" t="s">
        <v>10276</v>
      </c>
    </row>
    <row r="364">
      <c r="A364" s="75" t="s">
        <v>10258</v>
      </c>
      <c r="B364" s="75" t="s">
        <v>10277</v>
      </c>
      <c r="C364" s="75" t="str">
        <f t="shared" si="1"/>
        <v>191-NAF1721</v>
      </c>
      <c r="D364" s="75" t="s">
        <v>10278</v>
      </c>
    </row>
    <row r="365">
      <c r="A365" s="75" t="s">
        <v>10258</v>
      </c>
      <c r="B365" s="75" t="s">
        <v>10279</v>
      </c>
      <c r="C365" s="75" t="str">
        <f t="shared" si="1"/>
        <v>191-NCC2924</v>
      </c>
      <c r="D365" s="75" t="s">
        <v>10280</v>
      </c>
    </row>
    <row r="366">
      <c r="A366" s="75" t="s">
        <v>10258</v>
      </c>
      <c r="B366" s="75" t="s">
        <v>10281</v>
      </c>
      <c r="C366" s="75" t="str">
        <f t="shared" si="1"/>
        <v>191-NHCC2934</v>
      </c>
      <c r="D366" s="75" t="s">
        <v>10282</v>
      </c>
    </row>
    <row r="367">
      <c r="A367" s="75" t="s">
        <v>10258</v>
      </c>
      <c r="B367" s="75" t="s">
        <v>10283</v>
      </c>
      <c r="C367" s="75" t="str">
        <f t="shared" si="1"/>
        <v>191-NHL5233</v>
      </c>
      <c r="D367" s="75" t="s">
        <v>10284</v>
      </c>
    </row>
    <row r="368">
      <c r="A368" s="75" t="s">
        <v>10258</v>
      </c>
      <c r="B368" s="75" t="s">
        <v>10285</v>
      </c>
      <c r="C368" s="75" t="str">
        <f t="shared" si="1"/>
        <v>191-NHR2933</v>
      </c>
      <c r="D368" s="75" t="s">
        <v>10286</v>
      </c>
    </row>
    <row r="369">
      <c r="A369" s="75" t="s">
        <v>10258</v>
      </c>
      <c r="B369" s="75" t="s">
        <v>10287</v>
      </c>
      <c r="C369" s="75" t="str">
        <f t="shared" si="1"/>
        <v>191-NHS7433</v>
      </c>
      <c r="D369" s="75" t="s">
        <v>10288</v>
      </c>
    </row>
    <row r="370">
      <c r="A370" s="75" t="s">
        <v>10258</v>
      </c>
      <c r="B370" s="75" t="s">
        <v>10289</v>
      </c>
      <c r="C370" s="75" t="str">
        <f t="shared" si="1"/>
        <v>191-NL5224</v>
      </c>
      <c r="D370" s="75" t="s">
        <v>10290</v>
      </c>
    </row>
    <row r="371">
      <c r="A371" s="75" t="s">
        <v>10258</v>
      </c>
      <c r="B371" s="75" t="s">
        <v>10291</v>
      </c>
      <c r="C371" s="75" t="str">
        <f t="shared" si="1"/>
        <v>191-NO249</v>
      </c>
      <c r="D371" s="75" t="s">
        <v>10292</v>
      </c>
    </row>
    <row r="372">
      <c r="A372" s="75" t="s">
        <v>10258</v>
      </c>
      <c r="B372" s="75" t="s">
        <v>10293</v>
      </c>
      <c r="C372" s="75" t="str">
        <f t="shared" si="1"/>
        <v>191-NR2924</v>
      </c>
      <c r="D372" s="75" t="s">
        <v>10294</v>
      </c>
    </row>
    <row r="373">
      <c r="A373" s="75" t="s">
        <v>10258</v>
      </c>
      <c r="B373" s="75" t="s">
        <v>10295</v>
      </c>
      <c r="C373" s="75" t="str">
        <f t="shared" si="1"/>
        <v>191-NRCT4719</v>
      </c>
      <c r="D373" s="75" t="s">
        <v>10296</v>
      </c>
    </row>
    <row r="374">
      <c r="A374" s="75" t="s">
        <v>10258</v>
      </c>
      <c r="B374" s="75" t="s">
        <v>10297</v>
      </c>
      <c r="C374" s="75" t="str">
        <f t="shared" si="1"/>
        <v>191-NRET1819</v>
      </c>
      <c r="D374" s="75" t="s">
        <v>10298</v>
      </c>
    </row>
    <row r="375">
      <c r="A375" s="75" t="s">
        <v>10258</v>
      </c>
      <c r="B375" s="75" t="s">
        <v>10299</v>
      </c>
      <c r="C375" s="75" t="str">
        <f t="shared" si="1"/>
        <v>191-NS7424</v>
      </c>
      <c r="D375" s="75" t="s">
        <v>10300</v>
      </c>
    </row>
    <row r="376">
      <c r="A376" s="75" t="s">
        <v>10258</v>
      </c>
      <c r="B376" s="75" t="s">
        <v>10301</v>
      </c>
      <c r="C376" s="75" t="str">
        <f t="shared" si="1"/>
        <v>191-NSET1819</v>
      </c>
      <c r="D376" s="75" t="s">
        <v>10302</v>
      </c>
    </row>
    <row r="377">
      <c r="A377" s="75" t="s">
        <v>10303</v>
      </c>
      <c r="B377" s="75" t="s">
        <v>8544</v>
      </c>
      <c r="C377" s="75" t="str">
        <f t="shared" si="1"/>
        <v>191-SGWG2424</v>
      </c>
      <c r="D377" s="75" t="s">
        <v>10304</v>
      </c>
    </row>
    <row r="378">
      <c r="A378" s="75" t="s">
        <v>10303</v>
      </c>
      <c r="B378" s="75" t="s">
        <v>10305</v>
      </c>
      <c r="C378" s="75" t="str">
        <f t="shared" si="1"/>
        <v>191-24SQSSBC</v>
      </c>
      <c r="D378" s="75" t="s">
        <v>10306</v>
      </c>
    </row>
    <row r="379">
      <c r="A379" s="75" t="s">
        <v>10303</v>
      </c>
      <c r="B379" s="75" t="s">
        <v>10307</v>
      </c>
      <c r="C379" s="75" t="str">
        <f t="shared" si="1"/>
        <v>191-FPC4747</v>
      </c>
      <c r="D379" s="75" t="s">
        <v>10308</v>
      </c>
    </row>
    <row r="380">
      <c r="A380" s="75" t="s">
        <v>10303</v>
      </c>
      <c r="B380" s="75" t="s">
        <v>10309</v>
      </c>
      <c r="C380" s="75" t="str">
        <f t="shared" si="1"/>
        <v>191-NHFP2547</v>
      </c>
      <c r="D380" s="75" t="s">
        <v>10310</v>
      </c>
    </row>
    <row r="381">
      <c r="A381" s="75" t="s">
        <v>10303</v>
      </c>
      <c r="B381" s="75" t="s">
        <v>10311</v>
      </c>
      <c r="C381" s="75" t="str">
        <f t="shared" si="1"/>
        <v>191-NHFT3147D</v>
      </c>
      <c r="D381" s="75" t="s">
        <v>10312</v>
      </c>
    </row>
    <row r="382">
      <c r="A382" s="75" t="s">
        <v>10303</v>
      </c>
      <c r="B382" s="75" t="s">
        <v>10313</v>
      </c>
      <c r="C382" s="75" t="str">
        <f t="shared" si="1"/>
        <v>191-NHFT3647C</v>
      </c>
      <c r="D382" s="75" t="s">
        <v>10314</v>
      </c>
    </row>
    <row r="383">
      <c r="A383" s="75" t="s">
        <v>10303</v>
      </c>
      <c r="B383" s="75" t="s">
        <v>10315</v>
      </c>
      <c r="C383" s="75" t="str">
        <f t="shared" si="1"/>
        <v>191-NHFT3947B</v>
      </c>
      <c r="D383" s="75" t="s">
        <v>10316</v>
      </c>
    </row>
    <row r="384">
      <c r="A384" s="75" t="s">
        <v>10303</v>
      </c>
      <c r="B384" s="75" t="s">
        <v>10317</v>
      </c>
      <c r="C384" s="75" t="str">
        <f t="shared" si="1"/>
        <v>191-NSFP2547</v>
      </c>
      <c r="D384" s="75" t="s">
        <v>10318</v>
      </c>
    </row>
    <row r="385">
      <c r="A385" s="75" t="s">
        <v>10303</v>
      </c>
      <c r="B385" s="75" t="s">
        <v>10319</v>
      </c>
      <c r="C385" s="75" t="str">
        <f t="shared" si="1"/>
        <v>191-NSFT3147D</v>
      </c>
      <c r="D385" s="75" t="s">
        <v>10320</v>
      </c>
    </row>
    <row r="386">
      <c r="A386" s="75" t="s">
        <v>10303</v>
      </c>
      <c r="B386" s="75" t="s">
        <v>10321</v>
      </c>
      <c r="C386" s="75" t="str">
        <f t="shared" si="1"/>
        <v>191-NSFT3647C</v>
      </c>
      <c r="D386" s="75" t="s">
        <v>10322</v>
      </c>
    </row>
    <row r="387">
      <c r="A387" s="75" t="s">
        <v>10303</v>
      </c>
      <c r="B387" s="75" t="s">
        <v>10323</v>
      </c>
      <c r="C387" s="75" t="str">
        <f t="shared" si="1"/>
        <v>191-NSFT3947B</v>
      </c>
      <c r="D387" s="75" t="s">
        <v>10324</v>
      </c>
    </row>
    <row r="388">
      <c r="A388" s="75" t="s">
        <v>10325</v>
      </c>
      <c r="B388" s="75" t="s">
        <v>10326</v>
      </c>
      <c r="C388" s="75" t="str">
        <f t="shared" si="1"/>
        <v>191-ODIS4272</v>
      </c>
      <c r="D388" s="75" t="s">
        <v>10327</v>
      </c>
    </row>
    <row r="389">
      <c r="A389" s="75" t="s">
        <v>10325</v>
      </c>
      <c r="B389" s="75" t="s">
        <v>10328</v>
      </c>
      <c r="C389" s="75" t="str">
        <f t="shared" si="1"/>
        <v>191-ODIS4272IB</v>
      </c>
      <c r="D389" s="75" t="s">
        <v>10329</v>
      </c>
    </row>
    <row r="390">
      <c r="A390" s="75" t="s">
        <v>10325</v>
      </c>
      <c r="B390" s="75" t="s">
        <v>10330</v>
      </c>
      <c r="C390" s="75" t="str">
        <f t="shared" si="1"/>
        <v>191-PGBO4800</v>
      </c>
      <c r="D390" s="75" t="s">
        <v>10331</v>
      </c>
    </row>
    <row r="391">
      <c r="A391" s="75" t="s">
        <v>10325</v>
      </c>
      <c r="B391" s="75" t="s">
        <v>10332</v>
      </c>
      <c r="C391" s="75" t="str">
        <f t="shared" si="1"/>
        <v>191-POBB3955</v>
      </c>
      <c r="D391" s="75" t="s">
        <v>10333</v>
      </c>
    </row>
    <row r="392">
      <c r="A392" s="75" t="s">
        <v>10325</v>
      </c>
      <c r="B392" s="75" t="s">
        <v>10334</v>
      </c>
      <c r="C392" s="75" t="str">
        <f t="shared" si="1"/>
        <v>191-POBS1430</v>
      </c>
      <c r="D392" s="75" t="s">
        <v>10335</v>
      </c>
    </row>
    <row r="393">
      <c r="A393" s="75" t="s">
        <v>10325</v>
      </c>
      <c r="B393" s="75" t="s">
        <v>10336</v>
      </c>
      <c r="C393" s="75" t="str">
        <f t="shared" si="1"/>
        <v>191-POBT2050</v>
      </c>
      <c r="D393" s="75" t="s">
        <v>10337</v>
      </c>
    </row>
    <row r="394">
      <c r="A394" s="75" t="s">
        <v>10325</v>
      </c>
      <c r="B394" s="75" t="s">
        <v>10338</v>
      </c>
      <c r="C394" s="75" t="str">
        <f t="shared" si="1"/>
        <v>191-POPB3472</v>
      </c>
      <c r="D394" s="75" t="s">
        <v>10339</v>
      </c>
    </row>
    <row r="395">
      <c r="A395" s="75" t="s">
        <v>10325</v>
      </c>
      <c r="B395" s="75" t="s">
        <v>10340</v>
      </c>
      <c r="C395" s="75" t="str">
        <f t="shared" si="1"/>
        <v>191-POPT5184</v>
      </c>
      <c r="D395" s="75" t="s">
        <v>10341</v>
      </c>
    </row>
    <row r="396">
      <c r="A396" s="75" t="s">
        <v>10325</v>
      </c>
      <c r="B396" s="75" t="s">
        <v>10342</v>
      </c>
      <c r="C396" s="75" t="str">
        <f t="shared" si="1"/>
        <v>191-PRPT2872</v>
      </c>
      <c r="D396" s="75" t="s">
        <v>10343</v>
      </c>
    </row>
    <row r="397">
      <c r="A397" s="75" t="s">
        <v>10325</v>
      </c>
      <c r="B397" s="75" t="s">
        <v>10344</v>
      </c>
      <c r="C397" s="75" t="str">
        <f t="shared" si="1"/>
        <v>191-SDBS2131</v>
      </c>
      <c r="D397" s="75" t="s">
        <v>10345</v>
      </c>
    </row>
    <row r="398">
      <c r="A398" s="75" t="s">
        <v>10325</v>
      </c>
      <c r="B398" s="75" t="s">
        <v>10346</v>
      </c>
      <c r="C398" s="75" t="str">
        <f t="shared" si="1"/>
        <v>191-SDCS2026</v>
      </c>
      <c r="D398" s="75" t="s">
        <v>10347</v>
      </c>
    </row>
    <row r="399">
      <c r="A399" s="75" t="s">
        <v>10325</v>
      </c>
      <c r="B399" s="75" t="s">
        <v>10348</v>
      </c>
      <c r="C399" s="75" t="str">
        <f t="shared" si="1"/>
        <v>191-SRK08</v>
      </c>
      <c r="D399" s="75" t="s">
        <v>10349</v>
      </c>
    </row>
    <row r="400">
      <c r="A400" s="75" t="s">
        <v>10325</v>
      </c>
      <c r="B400" s="75" t="s">
        <v>10350</v>
      </c>
      <c r="C400" s="75" t="str">
        <f t="shared" si="1"/>
        <v>191-SRK09</v>
      </c>
      <c r="D400" s="75" t="s">
        <v>10351</v>
      </c>
    </row>
    <row r="401">
      <c r="A401" s="75" t="s">
        <v>10325</v>
      </c>
      <c r="B401" s="75" t="s">
        <v>10352</v>
      </c>
      <c r="C401" s="75" t="str">
        <f t="shared" si="1"/>
        <v>191-SRK10</v>
      </c>
      <c r="D401" s="75" t="s">
        <v>10353</v>
      </c>
    </row>
    <row r="402">
      <c r="A402" s="75" t="s">
        <v>10325</v>
      </c>
      <c r="B402" s="75" t="s">
        <v>10354</v>
      </c>
      <c r="C402" s="75" t="str">
        <f t="shared" si="1"/>
        <v>191-SRKAF</v>
      </c>
      <c r="D402" s="75" t="s">
        <v>10355</v>
      </c>
    </row>
    <row r="403">
      <c r="A403" s="75" t="s">
        <v>10325</v>
      </c>
      <c r="B403" s="75" t="s">
        <v>10356</v>
      </c>
      <c r="C403" s="75" t="str">
        <f t="shared" si="1"/>
        <v>191-SSBK510</v>
      </c>
      <c r="D403" s="75" t="s">
        <v>10357</v>
      </c>
    </row>
    <row r="404">
      <c r="A404" s="75" t="s">
        <v>10325</v>
      </c>
      <c r="B404" s="75" t="s">
        <v>10358</v>
      </c>
      <c r="C404" s="75" t="str">
        <f t="shared" si="1"/>
        <v>191-SSSC2</v>
      </c>
      <c r="D404" s="75" t="s">
        <v>10359</v>
      </c>
    </row>
    <row r="405">
      <c r="A405" s="75" t="s">
        <v>10325</v>
      </c>
      <c r="B405" s="75" t="s">
        <v>10360</v>
      </c>
      <c r="C405" s="75" t="str">
        <f t="shared" si="1"/>
        <v>191-VAF920</v>
      </c>
      <c r="D405" s="75" t="s">
        <v>10361</v>
      </c>
    </row>
    <row r="406">
      <c r="A406" s="75" t="s">
        <v>10325</v>
      </c>
      <c r="B406" s="75" t="s">
        <v>10362</v>
      </c>
      <c r="C406" s="75" t="str">
        <f t="shared" si="1"/>
        <v>191-VAR100</v>
      </c>
      <c r="D406" s="75" t="s">
        <v>10363</v>
      </c>
    </row>
    <row r="407">
      <c r="A407" s="75" t="s">
        <v>10325</v>
      </c>
      <c r="B407" s="75" t="s">
        <v>10364</v>
      </c>
      <c r="C407" s="75" t="str">
        <f t="shared" si="1"/>
        <v>191-VSA900CA</v>
      </c>
      <c r="D407" s="75" t="s">
        <v>10365</v>
      </c>
    </row>
    <row r="408">
      <c r="A408" s="75" t="s">
        <v>10325</v>
      </c>
      <c r="B408" s="75" t="s">
        <v>10366</v>
      </c>
      <c r="C408" s="75" t="str">
        <f t="shared" si="1"/>
        <v>191-VSA900GA</v>
      </c>
      <c r="D408" s="75" t="s">
        <v>10367</v>
      </c>
    </row>
    <row r="409">
      <c r="A409" s="75" t="s">
        <v>10325</v>
      </c>
      <c r="B409" s="75" t="s">
        <v>10368</v>
      </c>
      <c r="C409" s="75" t="str">
        <f t="shared" si="1"/>
        <v>191-ZCSS2</v>
      </c>
      <c r="D409" s="75" t="s">
        <v>10369</v>
      </c>
    </row>
    <row r="410">
      <c r="A410" s="75" t="s">
        <v>10325</v>
      </c>
      <c r="B410" s="75" t="s">
        <v>10370</v>
      </c>
      <c r="C410" s="75" t="str">
        <f t="shared" si="1"/>
        <v>191-ZSC2</v>
      </c>
      <c r="D410" s="75" t="s">
        <v>10371</v>
      </c>
    </row>
    <row r="411">
      <c r="A411" s="75" t="s">
        <v>10325</v>
      </c>
      <c r="B411" s="75" t="s">
        <v>10372</v>
      </c>
      <c r="C411" s="75" t="str">
        <f t="shared" si="1"/>
        <v>191-ZSH2</v>
      </c>
      <c r="D411" s="75" t="s">
        <v>10373</v>
      </c>
    </row>
  </sheetData>
  <drawing r:id="rId1"/>
</worksheet>
</file>

<file path=xl/worksheets/sheet3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88"/>
    <col customWidth="1" min="2" max="2" width="16.13"/>
    <col customWidth="1" min="3" max="3" width="4.88"/>
  </cols>
  <sheetData>
    <row r="1">
      <c r="A1" s="11" t="s">
        <v>5662</v>
      </c>
      <c r="B1" s="13" t="s">
        <v>5663</v>
      </c>
      <c r="D1" s="15" t="s">
        <v>8818</v>
      </c>
      <c r="E1" s="90" t="s">
        <v>8819</v>
      </c>
    </row>
    <row r="2">
      <c r="A2" s="11" t="s">
        <v>8820</v>
      </c>
      <c r="B2" s="20" t="s">
        <v>8821</v>
      </c>
      <c r="D2" s="15" t="s">
        <v>8823</v>
      </c>
      <c r="E2" s="90">
        <v>34133.0</v>
      </c>
    </row>
    <row r="3">
      <c r="A3" s="11" t="s">
        <v>8820</v>
      </c>
      <c r="B3" s="20" t="s">
        <v>8824</v>
      </c>
      <c r="D3" s="15" t="s">
        <v>8823</v>
      </c>
      <c r="E3" s="90">
        <v>34143.0</v>
      </c>
    </row>
    <row r="4">
      <c r="A4" s="11" t="s">
        <v>8820</v>
      </c>
      <c r="B4" s="20" t="s">
        <v>8826</v>
      </c>
      <c r="D4" s="15" t="s">
        <v>8828</v>
      </c>
      <c r="E4" s="90">
        <v>341326.0</v>
      </c>
    </row>
    <row r="5">
      <c r="A5" s="11" t="s">
        <v>8820</v>
      </c>
      <c r="B5" s="20" t="s">
        <v>8829</v>
      </c>
      <c r="D5" s="15" t="s">
        <v>8823</v>
      </c>
      <c r="E5" s="90">
        <v>5301126.0</v>
      </c>
    </row>
    <row r="6">
      <c r="A6" s="11" t="s">
        <v>8820</v>
      </c>
      <c r="B6" s="20" t="s">
        <v>8831</v>
      </c>
      <c r="D6" s="15" t="s">
        <v>8828</v>
      </c>
      <c r="E6" s="90">
        <v>5301526.0</v>
      </c>
    </row>
    <row r="7">
      <c r="A7" s="11" t="s">
        <v>8820</v>
      </c>
      <c r="B7" s="20" t="s">
        <v>8833</v>
      </c>
      <c r="D7" s="15" t="s">
        <v>8828</v>
      </c>
      <c r="E7" s="90">
        <v>5301626.0</v>
      </c>
    </row>
    <row r="8">
      <c r="A8" s="11" t="s">
        <v>8820</v>
      </c>
      <c r="B8" s="20" t="s">
        <v>8835</v>
      </c>
      <c r="D8" s="15" t="s">
        <v>8828</v>
      </c>
      <c r="E8" s="90">
        <v>5301826.0</v>
      </c>
    </row>
    <row r="9">
      <c r="A9" s="11" t="s">
        <v>8820</v>
      </c>
      <c r="B9" s="20" t="s">
        <v>8837</v>
      </c>
      <c r="D9" s="15" t="s">
        <v>8828</v>
      </c>
      <c r="E9" s="90">
        <v>5347026.0</v>
      </c>
    </row>
    <row r="10">
      <c r="A10" s="11" t="s">
        <v>8820</v>
      </c>
      <c r="B10" s="20" t="s">
        <v>8839</v>
      </c>
      <c r="D10" s="15" t="s">
        <v>8828</v>
      </c>
      <c r="E10" s="90" t="s">
        <v>8841</v>
      </c>
    </row>
    <row r="11">
      <c r="A11" s="11" t="s">
        <v>8820</v>
      </c>
      <c r="B11" s="20" t="s">
        <v>8842</v>
      </c>
      <c r="D11" s="15" t="s">
        <v>8828</v>
      </c>
      <c r="E11" s="90" t="s">
        <v>8844</v>
      </c>
    </row>
    <row r="12">
      <c r="A12" s="11" t="s">
        <v>8820</v>
      </c>
      <c r="B12" s="20" t="s">
        <v>8845</v>
      </c>
      <c r="D12" s="15" t="s">
        <v>8828</v>
      </c>
      <c r="E12" s="90" t="s">
        <v>8847</v>
      </c>
    </row>
    <row r="13">
      <c r="A13" s="11" t="s">
        <v>8820</v>
      </c>
      <c r="B13" s="20" t="s">
        <v>8848</v>
      </c>
      <c r="D13" s="15" t="s">
        <v>8828</v>
      </c>
      <c r="E13" s="90" t="s">
        <v>8850</v>
      </c>
    </row>
    <row r="14">
      <c r="A14" s="11" t="s">
        <v>8820</v>
      </c>
      <c r="B14" s="20" t="s">
        <v>8851</v>
      </c>
      <c r="D14" s="15" t="s">
        <v>8828</v>
      </c>
      <c r="E14" s="90" t="s">
        <v>8853</v>
      </c>
    </row>
    <row r="15">
      <c r="A15" s="11" t="s">
        <v>8820</v>
      </c>
      <c r="B15" s="20" t="s">
        <v>8854</v>
      </c>
      <c r="D15" s="15" t="s">
        <v>8828</v>
      </c>
      <c r="E15" s="90" t="s">
        <v>8856</v>
      </c>
    </row>
    <row r="16">
      <c r="A16" s="11" t="s">
        <v>8820</v>
      </c>
      <c r="B16" s="20" t="s">
        <v>8857</v>
      </c>
      <c r="D16" s="15" t="s">
        <v>8828</v>
      </c>
      <c r="E16" s="90" t="s">
        <v>8859</v>
      </c>
    </row>
    <row r="17">
      <c r="A17" s="11" t="s">
        <v>8820</v>
      </c>
      <c r="B17" s="20" t="s">
        <v>8860</v>
      </c>
      <c r="D17" s="15" t="s">
        <v>8823</v>
      </c>
      <c r="E17" s="90" t="s">
        <v>8862</v>
      </c>
    </row>
    <row r="18">
      <c r="A18" s="11" t="s">
        <v>8820</v>
      </c>
      <c r="B18" s="20" t="s">
        <v>8863</v>
      </c>
      <c r="D18" s="15" t="s">
        <v>8823</v>
      </c>
      <c r="E18" s="90" t="s">
        <v>8865</v>
      </c>
    </row>
    <row r="19">
      <c r="A19" s="11" t="s">
        <v>8820</v>
      </c>
      <c r="B19" s="20" t="s">
        <v>8866</v>
      </c>
      <c r="D19" s="15" t="s">
        <v>8828</v>
      </c>
      <c r="E19" s="90" t="s">
        <v>8868</v>
      </c>
    </row>
    <row r="20">
      <c r="A20" s="11" t="s">
        <v>8820</v>
      </c>
      <c r="B20" s="20" t="s">
        <v>8869</v>
      </c>
      <c r="D20" s="15" t="s">
        <v>8828</v>
      </c>
      <c r="E20" s="90" t="s">
        <v>8871</v>
      </c>
    </row>
    <row r="21">
      <c r="A21" s="11" t="s">
        <v>8820</v>
      </c>
      <c r="B21" s="20" t="s">
        <v>8872</v>
      </c>
      <c r="D21" s="15" t="s">
        <v>8828</v>
      </c>
      <c r="E21" s="90" t="s">
        <v>8874</v>
      </c>
    </row>
    <row r="22">
      <c r="A22" s="11" t="s">
        <v>8820</v>
      </c>
      <c r="B22" s="20" t="s">
        <v>8875</v>
      </c>
      <c r="D22" s="15" t="s">
        <v>8828</v>
      </c>
      <c r="E22" s="90" t="s">
        <v>8877</v>
      </c>
    </row>
    <row r="23">
      <c r="A23" s="11" t="s">
        <v>8820</v>
      </c>
      <c r="B23" s="20" t="s">
        <v>8878</v>
      </c>
      <c r="D23" s="15" t="s">
        <v>8828</v>
      </c>
      <c r="E23" s="90" t="s">
        <v>8880</v>
      </c>
    </row>
    <row r="24">
      <c r="A24" s="11" t="s">
        <v>8820</v>
      </c>
      <c r="B24" s="20" t="s">
        <v>8881</v>
      </c>
      <c r="D24" s="15" t="s">
        <v>8828</v>
      </c>
      <c r="E24" s="90" t="s">
        <v>8883</v>
      </c>
    </row>
    <row r="25">
      <c r="A25" s="11" t="s">
        <v>8820</v>
      </c>
      <c r="B25" s="20" t="s">
        <v>8884</v>
      </c>
      <c r="D25" s="15" t="s">
        <v>8823</v>
      </c>
      <c r="E25" s="90" t="s">
        <v>8886</v>
      </c>
    </row>
    <row r="26">
      <c r="A26" s="11" t="s">
        <v>8820</v>
      </c>
      <c r="B26" s="20" t="s">
        <v>8887</v>
      </c>
      <c r="D26" s="15" t="s">
        <v>8823</v>
      </c>
      <c r="E26" s="90" t="s">
        <v>8889</v>
      </c>
    </row>
    <row r="27">
      <c r="A27" s="11" t="s">
        <v>8820</v>
      </c>
      <c r="B27" s="20" t="s">
        <v>8890</v>
      </c>
      <c r="D27" s="15" t="s">
        <v>8823</v>
      </c>
      <c r="E27" s="90" t="s">
        <v>8892</v>
      </c>
    </row>
    <row r="28">
      <c r="A28" s="11" t="s">
        <v>8820</v>
      </c>
      <c r="B28" s="20" t="s">
        <v>8893</v>
      </c>
      <c r="D28" s="15" t="s">
        <v>8823</v>
      </c>
      <c r="E28" s="90" t="s">
        <v>8895</v>
      </c>
    </row>
    <row r="29">
      <c r="A29" s="11" t="s">
        <v>8820</v>
      </c>
      <c r="B29" s="20" t="s">
        <v>8896</v>
      </c>
      <c r="D29" s="15" t="s">
        <v>8828</v>
      </c>
      <c r="E29" s="90" t="s">
        <v>8898</v>
      </c>
    </row>
    <row r="30">
      <c r="A30" s="11" t="s">
        <v>8820</v>
      </c>
      <c r="B30" s="20" t="s">
        <v>8899</v>
      </c>
      <c r="D30" s="15" t="s">
        <v>8828</v>
      </c>
      <c r="E30" s="90" t="s">
        <v>8901</v>
      </c>
    </row>
    <row r="31">
      <c r="A31" s="11" t="s">
        <v>8820</v>
      </c>
      <c r="B31" s="20" t="s">
        <v>8902</v>
      </c>
      <c r="D31" s="15" t="s">
        <v>8828</v>
      </c>
      <c r="E31" s="90" t="s">
        <v>8904</v>
      </c>
    </row>
    <row r="32">
      <c r="A32" s="11" t="s">
        <v>8820</v>
      </c>
      <c r="B32" s="20" t="s">
        <v>8905</v>
      </c>
      <c r="D32" s="15" t="s">
        <v>8828</v>
      </c>
      <c r="E32" s="90" t="s">
        <v>8907</v>
      </c>
    </row>
    <row r="33">
      <c r="A33" s="11" t="s">
        <v>8820</v>
      </c>
      <c r="B33" s="20" t="s">
        <v>8908</v>
      </c>
      <c r="D33" s="15" t="s">
        <v>8828</v>
      </c>
      <c r="E33" s="90" t="s">
        <v>8910</v>
      </c>
    </row>
    <row r="34">
      <c r="A34" s="11" t="s">
        <v>8820</v>
      </c>
      <c r="B34" s="20" t="s">
        <v>8911</v>
      </c>
      <c r="D34" s="15" t="s">
        <v>8828</v>
      </c>
      <c r="E34" s="90" t="s">
        <v>8913</v>
      </c>
    </row>
    <row r="35">
      <c r="A35" s="11" t="s">
        <v>8820</v>
      </c>
      <c r="B35" s="20" t="s">
        <v>8914</v>
      </c>
      <c r="D35" s="15" t="s">
        <v>8828</v>
      </c>
      <c r="E35" s="90" t="s">
        <v>8916</v>
      </c>
    </row>
    <row r="36">
      <c r="A36" s="11" t="s">
        <v>8820</v>
      </c>
      <c r="B36" s="20" t="s">
        <v>8917</v>
      </c>
      <c r="D36" s="15" t="s">
        <v>8823</v>
      </c>
      <c r="E36" s="90" t="s">
        <v>8919</v>
      </c>
    </row>
    <row r="37">
      <c r="A37" s="11" t="s">
        <v>8820</v>
      </c>
      <c r="B37" s="20" t="s">
        <v>8920</v>
      </c>
      <c r="D37" s="15" t="s">
        <v>8823</v>
      </c>
      <c r="E37" s="90" t="s">
        <v>8922</v>
      </c>
    </row>
    <row r="38">
      <c r="A38" s="11" t="s">
        <v>8820</v>
      </c>
      <c r="B38" s="20" t="s">
        <v>8923</v>
      </c>
      <c r="D38" s="15" t="s">
        <v>8823</v>
      </c>
      <c r="E38" s="90" t="s">
        <v>8925</v>
      </c>
    </row>
    <row r="39">
      <c r="A39" s="11" t="s">
        <v>8820</v>
      </c>
      <c r="B39" s="20" t="s">
        <v>8926</v>
      </c>
      <c r="D39" s="15" t="s">
        <v>8823</v>
      </c>
      <c r="E39" s="90" t="s">
        <v>8928</v>
      </c>
    </row>
    <row r="40">
      <c r="A40" s="15"/>
      <c r="D40" s="15"/>
      <c r="E40" s="15"/>
    </row>
    <row r="41">
      <c r="A41" s="15"/>
      <c r="D41" s="15"/>
      <c r="E41" s="15"/>
    </row>
    <row r="42">
      <c r="A42" s="15"/>
      <c r="D42" s="15"/>
      <c r="E42" s="15"/>
    </row>
    <row r="43">
      <c r="A43" s="15"/>
      <c r="D43" s="15"/>
      <c r="E43" s="15"/>
    </row>
    <row r="44">
      <c r="A44" s="15"/>
      <c r="D44" s="15"/>
      <c r="E44" s="15"/>
    </row>
    <row r="45">
      <c r="A45" s="15"/>
      <c r="D45" s="15"/>
      <c r="E45" s="15"/>
    </row>
    <row r="46">
      <c r="A46" s="15"/>
      <c r="D46" s="15"/>
      <c r="E46" s="15"/>
    </row>
    <row r="47">
      <c r="A47" s="15"/>
      <c r="D47" s="15"/>
      <c r="E47" s="15"/>
    </row>
    <row r="48">
      <c r="A48" s="15"/>
      <c r="D48" s="15"/>
      <c r="E48" s="15"/>
    </row>
    <row r="49">
      <c r="A49" s="15"/>
      <c r="D49" s="15"/>
      <c r="E49" s="15"/>
    </row>
    <row r="50">
      <c r="A50" s="15"/>
      <c r="D50" s="15"/>
      <c r="E50" s="15"/>
    </row>
    <row r="51">
      <c r="A51" s="15"/>
      <c r="D51" s="15"/>
      <c r="E51" s="15"/>
    </row>
    <row r="52">
      <c r="A52" s="15"/>
      <c r="D52" s="15"/>
      <c r="E52" s="15"/>
    </row>
    <row r="53">
      <c r="A53" s="15"/>
      <c r="D53" s="15"/>
      <c r="E53" s="15"/>
    </row>
    <row r="54">
      <c r="A54" s="15"/>
      <c r="D54" s="15"/>
      <c r="E54" s="15"/>
    </row>
    <row r="55">
      <c r="A55" s="15"/>
      <c r="D55" s="15"/>
      <c r="E55" s="15"/>
    </row>
    <row r="56">
      <c r="A56" s="15"/>
      <c r="D56" s="15"/>
      <c r="E56" s="15"/>
    </row>
    <row r="57">
      <c r="A57" s="15"/>
      <c r="D57" s="15"/>
      <c r="E57" s="15"/>
    </row>
    <row r="58">
      <c r="A58" s="15"/>
      <c r="D58" s="15"/>
      <c r="E58" s="15"/>
    </row>
    <row r="59">
      <c r="A59" s="15"/>
      <c r="D59" s="15"/>
      <c r="E59" s="15"/>
    </row>
    <row r="60">
      <c r="A60" s="15"/>
      <c r="D60" s="15"/>
      <c r="E60" s="15"/>
    </row>
    <row r="61">
      <c r="A61" s="15"/>
      <c r="D61" s="15"/>
      <c r="E61" s="15"/>
    </row>
    <row r="62">
      <c r="A62" s="15"/>
      <c r="D62" s="15"/>
      <c r="E62" s="15"/>
    </row>
    <row r="63">
      <c r="A63" s="15"/>
      <c r="D63" s="15"/>
      <c r="E63" s="15"/>
    </row>
    <row r="64">
      <c r="A64" s="15"/>
      <c r="D64" s="15"/>
      <c r="E64" s="15"/>
    </row>
    <row r="65">
      <c r="A65" s="15"/>
      <c r="D65" s="15"/>
      <c r="E65" s="15"/>
    </row>
    <row r="66">
      <c r="A66" s="15"/>
      <c r="D66" s="15"/>
      <c r="E66" s="15"/>
    </row>
    <row r="67">
      <c r="A67" s="15"/>
      <c r="D67" s="15"/>
      <c r="E67" s="15"/>
    </row>
    <row r="68">
      <c r="A68" s="15"/>
      <c r="D68" s="15"/>
      <c r="E68" s="15"/>
    </row>
    <row r="69">
      <c r="A69" s="15"/>
      <c r="D69" s="15"/>
      <c r="E69" s="15"/>
    </row>
    <row r="70">
      <c r="A70" s="15"/>
      <c r="D70" s="15"/>
      <c r="E70" s="15"/>
    </row>
    <row r="71">
      <c r="A71" s="15"/>
      <c r="D71" s="15"/>
      <c r="E71" s="15"/>
    </row>
    <row r="72">
      <c r="A72" s="15"/>
      <c r="D72" s="15"/>
      <c r="E72" s="15"/>
    </row>
    <row r="73">
      <c r="A73" s="15"/>
      <c r="D73" s="15"/>
      <c r="E73" s="15"/>
    </row>
    <row r="74">
      <c r="A74" s="15"/>
      <c r="D74" s="15"/>
      <c r="E74" s="15"/>
    </row>
    <row r="75">
      <c r="A75" s="15"/>
      <c r="D75" s="15"/>
      <c r="E75" s="15"/>
    </row>
    <row r="76">
      <c r="A76" s="15"/>
      <c r="D76" s="15"/>
      <c r="E76" s="15"/>
    </row>
    <row r="77">
      <c r="A77" s="15"/>
      <c r="D77" s="15"/>
      <c r="E77" s="15"/>
    </row>
    <row r="78">
      <c r="A78" s="15"/>
      <c r="D78" s="15"/>
      <c r="E78" s="15"/>
    </row>
    <row r="79">
      <c r="A79" s="15"/>
      <c r="D79" s="15"/>
      <c r="E79" s="15"/>
    </row>
    <row r="80">
      <c r="A80" s="15"/>
      <c r="D80" s="15"/>
      <c r="E80" s="15"/>
    </row>
    <row r="81">
      <c r="A81" s="15"/>
      <c r="D81" s="15"/>
      <c r="E81" s="15"/>
    </row>
    <row r="82">
      <c r="A82" s="15"/>
      <c r="D82" s="15"/>
      <c r="E82" s="15"/>
    </row>
    <row r="83">
      <c r="A83" s="15"/>
      <c r="D83" s="15"/>
      <c r="E83" s="15"/>
    </row>
    <row r="84">
      <c r="A84" s="15"/>
      <c r="D84" s="15"/>
      <c r="E84" s="15"/>
    </row>
    <row r="85">
      <c r="A85" s="15"/>
      <c r="D85" s="15"/>
      <c r="E85" s="15"/>
    </row>
    <row r="86">
      <c r="A86" s="15"/>
      <c r="D86" s="15"/>
      <c r="E86" s="15"/>
    </row>
    <row r="87">
      <c r="A87" s="15"/>
      <c r="D87" s="15"/>
      <c r="E87" s="15"/>
    </row>
    <row r="88">
      <c r="A88" s="15"/>
      <c r="D88" s="15"/>
      <c r="E88" s="15"/>
    </row>
    <row r="89">
      <c r="A89" s="15"/>
      <c r="D89" s="15"/>
      <c r="E89" s="15"/>
    </row>
    <row r="90">
      <c r="A90" s="15"/>
      <c r="D90" s="15"/>
      <c r="E90" s="15"/>
    </row>
    <row r="91">
      <c r="A91" s="15"/>
      <c r="D91" s="15"/>
      <c r="E91" s="15"/>
    </row>
    <row r="92">
      <c r="A92" s="15"/>
      <c r="D92" s="15"/>
      <c r="E92" s="15"/>
    </row>
    <row r="93">
      <c r="A93" s="15"/>
      <c r="D93" s="15"/>
      <c r="E93" s="15"/>
    </row>
    <row r="94">
      <c r="A94" s="15"/>
      <c r="D94" s="15"/>
      <c r="E94" s="15"/>
    </row>
    <row r="95">
      <c r="A95" s="15"/>
      <c r="D95" s="15"/>
      <c r="E95" s="15"/>
    </row>
    <row r="96">
      <c r="A96" s="15"/>
      <c r="D96" s="15"/>
      <c r="E96" s="15"/>
    </row>
    <row r="97">
      <c r="A97" s="15"/>
      <c r="D97" s="15"/>
      <c r="E97" s="15"/>
    </row>
    <row r="98">
      <c r="A98" s="15"/>
      <c r="D98" s="15"/>
      <c r="E98" s="15"/>
    </row>
    <row r="99">
      <c r="A99" s="15"/>
      <c r="D99" s="15"/>
      <c r="E99" s="15"/>
    </row>
    <row r="100">
      <c r="A100" s="15"/>
      <c r="D100" s="15"/>
      <c r="E100" s="15"/>
    </row>
    <row r="101">
      <c r="A101" s="15"/>
      <c r="D101" s="15"/>
      <c r="E101" s="15"/>
    </row>
    <row r="102">
      <c r="A102" s="15"/>
      <c r="D102" s="15"/>
      <c r="E102" s="15"/>
    </row>
    <row r="103">
      <c r="A103" s="15"/>
      <c r="D103" s="15"/>
      <c r="E103" s="15"/>
    </row>
    <row r="104">
      <c r="A104" s="15"/>
      <c r="D104" s="15"/>
      <c r="E104" s="15"/>
    </row>
    <row r="105">
      <c r="A105" s="15"/>
      <c r="D105" s="15"/>
      <c r="E105" s="15"/>
    </row>
    <row r="106">
      <c r="A106" s="15"/>
      <c r="D106" s="15"/>
      <c r="E106" s="15"/>
    </row>
    <row r="107">
      <c r="A107" s="15"/>
      <c r="D107" s="15"/>
      <c r="E107" s="15"/>
    </row>
    <row r="108">
      <c r="A108" s="15"/>
      <c r="D108" s="15"/>
      <c r="E108" s="15"/>
    </row>
    <row r="109">
      <c r="A109" s="15"/>
      <c r="D109" s="15"/>
      <c r="E109" s="15"/>
    </row>
    <row r="110">
      <c r="A110" s="15"/>
      <c r="D110" s="15"/>
      <c r="E110" s="15"/>
    </row>
    <row r="111">
      <c r="A111" s="15"/>
      <c r="D111" s="15"/>
      <c r="E111" s="15"/>
    </row>
    <row r="112">
      <c r="A112" s="15"/>
      <c r="D112" s="15"/>
      <c r="E112" s="15"/>
    </row>
    <row r="113">
      <c r="A113" s="15"/>
      <c r="D113" s="15"/>
      <c r="E113" s="15"/>
    </row>
    <row r="114">
      <c r="A114" s="15"/>
      <c r="D114" s="15"/>
      <c r="E114" s="15"/>
    </row>
    <row r="115">
      <c r="A115" s="15"/>
      <c r="D115" s="15"/>
      <c r="E115" s="15"/>
    </row>
    <row r="116">
      <c r="A116" s="15"/>
      <c r="D116" s="15"/>
      <c r="E116" s="15"/>
    </row>
    <row r="117">
      <c r="A117" s="15"/>
      <c r="D117" s="15"/>
      <c r="E117" s="15"/>
    </row>
    <row r="118">
      <c r="A118" s="15"/>
      <c r="D118" s="15"/>
      <c r="E118" s="15"/>
    </row>
    <row r="119">
      <c r="A119" s="15"/>
      <c r="D119" s="15"/>
      <c r="E119" s="15"/>
    </row>
    <row r="120">
      <c r="A120" s="15"/>
      <c r="D120" s="15"/>
      <c r="E120" s="15"/>
    </row>
    <row r="121">
      <c r="A121" s="15"/>
      <c r="D121" s="15"/>
      <c r="E121" s="15"/>
    </row>
    <row r="122">
      <c r="A122" s="15"/>
      <c r="D122" s="15"/>
      <c r="E122" s="15"/>
    </row>
    <row r="123">
      <c r="A123" s="15"/>
      <c r="D123" s="15"/>
      <c r="E123" s="15"/>
    </row>
    <row r="124">
      <c r="A124" s="15"/>
      <c r="D124" s="15"/>
      <c r="E124" s="15"/>
    </row>
    <row r="125">
      <c r="A125" s="15"/>
      <c r="D125" s="15"/>
      <c r="E125" s="15"/>
    </row>
    <row r="126">
      <c r="A126" s="15"/>
      <c r="D126" s="15"/>
      <c r="E126" s="15"/>
    </row>
    <row r="127">
      <c r="A127" s="15"/>
      <c r="D127" s="15"/>
      <c r="E127" s="15"/>
    </row>
    <row r="128">
      <c r="A128" s="15"/>
      <c r="D128" s="15"/>
      <c r="E128" s="15"/>
    </row>
    <row r="129">
      <c r="A129" s="15"/>
      <c r="D129" s="15"/>
      <c r="E129" s="15"/>
    </row>
    <row r="130">
      <c r="A130" s="15"/>
      <c r="D130" s="15"/>
      <c r="E130" s="15"/>
    </row>
    <row r="131">
      <c r="A131" s="15"/>
      <c r="D131" s="15"/>
      <c r="E131" s="15"/>
    </row>
    <row r="132">
      <c r="A132" s="15"/>
      <c r="D132" s="15"/>
      <c r="E132" s="15"/>
    </row>
    <row r="133">
      <c r="A133" s="15"/>
      <c r="D133" s="15"/>
      <c r="E133" s="15"/>
    </row>
    <row r="134">
      <c r="A134" s="15"/>
      <c r="D134" s="15"/>
      <c r="E134" s="15"/>
    </row>
    <row r="135">
      <c r="A135" s="15"/>
      <c r="D135" s="15"/>
      <c r="E135" s="15"/>
    </row>
    <row r="136">
      <c r="A136" s="15"/>
      <c r="D136" s="15"/>
      <c r="E136" s="15"/>
    </row>
    <row r="137">
      <c r="A137" s="15"/>
      <c r="D137" s="15"/>
      <c r="E137" s="15"/>
    </row>
    <row r="138">
      <c r="A138" s="15"/>
      <c r="D138" s="15"/>
      <c r="E138" s="15"/>
    </row>
    <row r="139">
      <c r="A139" s="15"/>
      <c r="D139" s="15"/>
      <c r="E139" s="15"/>
    </row>
    <row r="140">
      <c r="A140" s="15"/>
      <c r="D140" s="15"/>
      <c r="E140" s="15"/>
    </row>
    <row r="141">
      <c r="A141" s="15"/>
      <c r="D141" s="15"/>
      <c r="E141" s="15"/>
    </row>
    <row r="142">
      <c r="A142" s="15"/>
      <c r="D142" s="15"/>
      <c r="E142" s="15"/>
    </row>
    <row r="143">
      <c r="A143" s="15"/>
      <c r="D143" s="15"/>
      <c r="E143" s="15"/>
    </row>
    <row r="144">
      <c r="A144" s="15"/>
      <c r="D144" s="15"/>
      <c r="E144" s="15"/>
    </row>
    <row r="145">
      <c r="A145" s="15"/>
      <c r="D145" s="15"/>
      <c r="E145" s="15"/>
    </row>
    <row r="146">
      <c r="A146" s="15"/>
      <c r="D146" s="15"/>
      <c r="E146" s="15"/>
    </row>
    <row r="147">
      <c r="A147" s="15"/>
      <c r="D147" s="15"/>
      <c r="E147" s="15"/>
    </row>
    <row r="148">
      <c r="A148" s="15"/>
      <c r="D148" s="15"/>
      <c r="E148" s="15"/>
    </row>
    <row r="149">
      <c r="A149" s="15"/>
      <c r="D149" s="15"/>
      <c r="E149" s="15"/>
    </row>
    <row r="150">
      <c r="A150" s="15"/>
      <c r="D150" s="15"/>
      <c r="E150" s="15"/>
    </row>
    <row r="151">
      <c r="A151" s="15"/>
      <c r="D151" s="15"/>
      <c r="E151" s="15"/>
    </row>
    <row r="152">
      <c r="A152" s="15"/>
      <c r="D152" s="15"/>
      <c r="E152" s="15"/>
    </row>
    <row r="153">
      <c r="A153" s="15"/>
      <c r="D153" s="15"/>
      <c r="E153" s="15"/>
    </row>
    <row r="154">
      <c r="A154" s="15"/>
      <c r="D154" s="15"/>
      <c r="E154" s="15"/>
    </row>
    <row r="155">
      <c r="A155" s="15"/>
      <c r="D155" s="15"/>
      <c r="E155" s="15"/>
    </row>
    <row r="156">
      <c r="A156" s="15"/>
      <c r="D156" s="15"/>
      <c r="E156" s="15"/>
    </row>
    <row r="157">
      <c r="A157" s="15"/>
      <c r="D157" s="15"/>
      <c r="E157" s="15"/>
    </row>
    <row r="158">
      <c r="A158" s="15"/>
      <c r="D158" s="15"/>
      <c r="E158" s="15"/>
    </row>
    <row r="159">
      <c r="A159" s="15"/>
      <c r="D159" s="15"/>
      <c r="E159" s="15"/>
    </row>
    <row r="160">
      <c r="A160" s="15"/>
      <c r="D160" s="15"/>
      <c r="E160" s="15"/>
    </row>
    <row r="161">
      <c r="A161" s="15"/>
      <c r="D161" s="15"/>
      <c r="E161" s="15"/>
    </row>
    <row r="162">
      <c r="A162" s="15"/>
      <c r="D162" s="15"/>
      <c r="E162" s="15"/>
    </row>
    <row r="163">
      <c r="A163" s="15"/>
      <c r="D163" s="15"/>
      <c r="E163" s="15"/>
    </row>
    <row r="164">
      <c r="A164" s="15"/>
      <c r="D164" s="15"/>
      <c r="E164" s="15"/>
    </row>
    <row r="165">
      <c r="A165" s="15"/>
      <c r="D165" s="15"/>
      <c r="E165" s="15"/>
    </row>
    <row r="166">
      <c r="A166" s="15"/>
      <c r="D166" s="15"/>
      <c r="E166" s="15"/>
    </row>
    <row r="167">
      <c r="A167" s="15"/>
      <c r="D167" s="15"/>
      <c r="E167" s="15"/>
    </row>
    <row r="168">
      <c r="A168" s="15"/>
      <c r="D168" s="15"/>
      <c r="E168" s="15"/>
    </row>
    <row r="169">
      <c r="A169" s="15"/>
      <c r="D169" s="15"/>
      <c r="E169" s="15"/>
    </row>
    <row r="170">
      <c r="A170" s="15"/>
      <c r="D170" s="15"/>
      <c r="E170" s="15"/>
    </row>
    <row r="171">
      <c r="A171" s="15"/>
      <c r="D171" s="15"/>
      <c r="E171" s="15"/>
    </row>
    <row r="172">
      <c r="A172" s="15"/>
      <c r="D172" s="15"/>
      <c r="E172" s="15"/>
    </row>
    <row r="173">
      <c r="A173" s="15"/>
      <c r="D173" s="15"/>
      <c r="E173" s="15"/>
    </row>
    <row r="174">
      <c r="A174" s="15"/>
      <c r="D174" s="15"/>
      <c r="E174" s="15"/>
    </row>
    <row r="175">
      <c r="A175" s="15"/>
      <c r="D175" s="15"/>
      <c r="E175" s="15"/>
    </row>
    <row r="176">
      <c r="A176" s="15"/>
      <c r="D176" s="15"/>
      <c r="E176" s="15"/>
    </row>
    <row r="177">
      <c r="A177" s="15"/>
      <c r="D177" s="15"/>
      <c r="E177" s="15"/>
    </row>
    <row r="178">
      <c r="A178" s="15"/>
      <c r="D178" s="15"/>
      <c r="E178" s="15"/>
    </row>
    <row r="179">
      <c r="A179" s="15"/>
      <c r="D179" s="15"/>
      <c r="E179" s="15"/>
    </row>
    <row r="180">
      <c r="A180" s="15"/>
      <c r="D180" s="15"/>
      <c r="E180" s="15"/>
    </row>
    <row r="181">
      <c r="A181" s="15"/>
      <c r="D181" s="15"/>
      <c r="E181" s="15"/>
    </row>
    <row r="182">
      <c r="A182" s="15"/>
      <c r="D182" s="15"/>
      <c r="E182" s="15"/>
    </row>
    <row r="183">
      <c r="A183" s="15"/>
      <c r="D183" s="15"/>
      <c r="E183" s="15"/>
    </row>
    <row r="184">
      <c r="A184" s="15"/>
      <c r="D184" s="15"/>
      <c r="E184" s="15"/>
    </row>
    <row r="185">
      <c r="A185" s="15"/>
      <c r="D185" s="15"/>
      <c r="E185" s="15"/>
    </row>
    <row r="186">
      <c r="A186" s="15"/>
      <c r="D186" s="15"/>
      <c r="E186" s="15"/>
    </row>
    <row r="187">
      <c r="A187" s="15"/>
      <c r="D187" s="15"/>
      <c r="E187" s="15"/>
    </row>
    <row r="188">
      <c r="A188" s="15"/>
      <c r="D188" s="15"/>
      <c r="E188" s="15"/>
    </row>
    <row r="189">
      <c r="A189" s="15"/>
      <c r="D189" s="15"/>
      <c r="E189" s="15"/>
    </row>
    <row r="190">
      <c r="A190" s="15"/>
      <c r="D190" s="15"/>
      <c r="E190" s="15"/>
    </row>
    <row r="191">
      <c r="A191" s="15"/>
      <c r="D191" s="15"/>
      <c r="E191" s="15"/>
    </row>
    <row r="192">
      <c r="A192" s="15"/>
      <c r="D192" s="15"/>
      <c r="E192" s="15"/>
    </row>
    <row r="193">
      <c r="A193" s="15"/>
      <c r="D193" s="15"/>
      <c r="E193" s="15"/>
    </row>
    <row r="194">
      <c r="A194" s="15"/>
      <c r="D194" s="15"/>
      <c r="E194" s="15"/>
    </row>
    <row r="195">
      <c r="A195" s="15"/>
      <c r="D195" s="15"/>
      <c r="E195" s="15"/>
    </row>
    <row r="196">
      <c r="A196" s="15"/>
      <c r="D196" s="15"/>
      <c r="E196" s="15"/>
    </row>
    <row r="197">
      <c r="A197" s="15"/>
      <c r="D197" s="15"/>
      <c r="E197" s="15"/>
    </row>
    <row r="198">
      <c r="A198" s="15"/>
      <c r="D198" s="15"/>
      <c r="E198" s="15"/>
    </row>
    <row r="199">
      <c r="A199" s="15"/>
      <c r="D199" s="15"/>
      <c r="E199" s="15"/>
    </row>
    <row r="200">
      <c r="A200" s="15"/>
      <c r="D200" s="15"/>
      <c r="E200" s="15"/>
    </row>
    <row r="201">
      <c r="A201" s="15"/>
      <c r="D201" s="15"/>
      <c r="E201" s="15"/>
    </row>
    <row r="202">
      <c r="A202" s="15"/>
      <c r="D202" s="15"/>
      <c r="E202" s="15"/>
    </row>
    <row r="203">
      <c r="A203" s="15"/>
      <c r="D203" s="15"/>
      <c r="E203" s="15"/>
    </row>
    <row r="204">
      <c r="A204" s="15"/>
      <c r="D204" s="15"/>
      <c r="E204" s="15"/>
    </row>
    <row r="205">
      <c r="A205" s="15"/>
      <c r="D205" s="15"/>
      <c r="E205" s="15"/>
    </row>
    <row r="206">
      <c r="A206" s="15"/>
      <c r="D206" s="15"/>
      <c r="E206" s="15"/>
    </row>
    <row r="207">
      <c r="A207" s="15"/>
      <c r="D207" s="15"/>
      <c r="E207" s="15"/>
    </row>
    <row r="208">
      <c r="A208" s="15"/>
      <c r="D208" s="15"/>
      <c r="E208" s="15"/>
    </row>
    <row r="209">
      <c r="A209" s="15"/>
      <c r="D209" s="15"/>
      <c r="E209" s="15"/>
    </row>
    <row r="210">
      <c r="A210" s="15"/>
      <c r="D210" s="15"/>
      <c r="E210" s="15"/>
    </row>
    <row r="211">
      <c r="A211" s="15"/>
      <c r="D211" s="15"/>
      <c r="E211" s="15"/>
    </row>
    <row r="212">
      <c r="A212" s="15"/>
      <c r="D212" s="15"/>
      <c r="E212" s="15"/>
    </row>
    <row r="213">
      <c r="A213" s="15"/>
      <c r="D213" s="15"/>
      <c r="E213" s="15"/>
    </row>
    <row r="214">
      <c r="A214" s="15"/>
      <c r="D214" s="15"/>
      <c r="E214" s="15"/>
    </row>
    <row r="215">
      <c r="A215" s="15"/>
      <c r="D215" s="15"/>
      <c r="E215" s="15"/>
    </row>
    <row r="216">
      <c r="A216" s="15"/>
      <c r="D216" s="15"/>
      <c r="E216" s="15"/>
    </row>
    <row r="217">
      <c r="A217" s="15"/>
      <c r="D217" s="15"/>
      <c r="E217" s="15"/>
    </row>
    <row r="218">
      <c r="A218" s="15"/>
      <c r="D218" s="15"/>
      <c r="E218" s="15"/>
    </row>
    <row r="219">
      <c r="A219" s="15"/>
      <c r="D219" s="15"/>
      <c r="E219" s="15"/>
    </row>
    <row r="220">
      <c r="A220" s="15"/>
      <c r="D220" s="15"/>
      <c r="E220" s="15"/>
    </row>
    <row r="221">
      <c r="A221" s="15"/>
      <c r="D221" s="15"/>
      <c r="E221" s="15"/>
    </row>
    <row r="222">
      <c r="A222" s="15"/>
      <c r="D222" s="15"/>
      <c r="E222" s="15"/>
    </row>
    <row r="223">
      <c r="A223" s="15"/>
      <c r="D223" s="15"/>
      <c r="E223" s="15"/>
    </row>
    <row r="224">
      <c r="A224" s="15"/>
      <c r="D224" s="15"/>
      <c r="E224" s="15"/>
    </row>
    <row r="225">
      <c r="A225" s="15"/>
      <c r="D225" s="15"/>
      <c r="E225" s="15"/>
    </row>
    <row r="226">
      <c r="A226" s="15"/>
      <c r="D226" s="15"/>
      <c r="E226" s="15"/>
    </row>
    <row r="227">
      <c r="A227" s="15"/>
      <c r="D227" s="15"/>
      <c r="E227" s="15"/>
    </row>
    <row r="228">
      <c r="A228" s="15"/>
      <c r="D228" s="15"/>
      <c r="E228" s="15"/>
    </row>
    <row r="229">
      <c r="A229" s="15"/>
      <c r="D229" s="15"/>
      <c r="E229" s="15"/>
    </row>
    <row r="230">
      <c r="A230" s="15"/>
      <c r="D230" s="15"/>
      <c r="E230" s="15"/>
    </row>
    <row r="231">
      <c r="A231" s="15"/>
      <c r="D231" s="15"/>
      <c r="E231" s="15"/>
    </row>
    <row r="232">
      <c r="A232" s="15"/>
      <c r="D232" s="15"/>
      <c r="E232" s="15"/>
    </row>
    <row r="233">
      <c r="A233" s="15"/>
      <c r="D233" s="15"/>
      <c r="E233" s="15"/>
    </row>
    <row r="234">
      <c r="A234" s="15"/>
      <c r="D234" s="15"/>
      <c r="E234" s="15"/>
    </row>
    <row r="235">
      <c r="A235" s="15"/>
      <c r="D235" s="15"/>
      <c r="E235" s="15"/>
    </row>
    <row r="236">
      <c r="A236" s="15"/>
      <c r="D236" s="15"/>
      <c r="E236" s="15"/>
    </row>
    <row r="237">
      <c r="A237" s="15"/>
      <c r="D237" s="15"/>
      <c r="E237" s="15"/>
    </row>
    <row r="238">
      <c r="A238" s="15"/>
      <c r="D238" s="15"/>
      <c r="E238" s="15"/>
    </row>
    <row r="239">
      <c r="A239" s="15"/>
      <c r="D239" s="15"/>
      <c r="E239" s="15"/>
    </row>
    <row r="240">
      <c r="A240" s="15"/>
      <c r="D240" s="15"/>
      <c r="E240" s="15"/>
    </row>
    <row r="241">
      <c r="A241" s="15"/>
      <c r="D241" s="15"/>
      <c r="E241" s="15"/>
    </row>
    <row r="242">
      <c r="A242" s="15"/>
      <c r="D242" s="15"/>
      <c r="E242" s="15"/>
    </row>
    <row r="243">
      <c r="A243" s="15"/>
      <c r="D243" s="15"/>
      <c r="E243" s="15"/>
    </row>
    <row r="244">
      <c r="A244" s="15"/>
      <c r="D244" s="15"/>
      <c r="E244" s="15"/>
    </row>
    <row r="245">
      <c r="A245" s="15"/>
      <c r="D245" s="15"/>
      <c r="E245" s="15"/>
    </row>
    <row r="246">
      <c r="A246" s="15"/>
      <c r="D246" s="15"/>
      <c r="E246" s="15"/>
    </row>
    <row r="247">
      <c r="A247" s="15"/>
      <c r="D247" s="15"/>
      <c r="E247" s="15"/>
    </row>
    <row r="248">
      <c r="A248" s="15"/>
      <c r="D248" s="15"/>
      <c r="E248" s="15"/>
    </row>
    <row r="249">
      <c r="A249" s="15"/>
      <c r="D249" s="15"/>
      <c r="E249" s="15"/>
    </row>
    <row r="250">
      <c r="A250" s="15"/>
      <c r="D250" s="15"/>
      <c r="E250" s="15"/>
    </row>
    <row r="251">
      <c r="A251" s="15"/>
      <c r="D251" s="15"/>
      <c r="E251" s="15"/>
    </row>
    <row r="252">
      <c r="A252" s="15"/>
      <c r="D252" s="15"/>
      <c r="E252" s="15"/>
    </row>
    <row r="253">
      <c r="A253" s="15"/>
      <c r="D253" s="15"/>
      <c r="E253" s="15"/>
    </row>
    <row r="254">
      <c r="A254" s="15"/>
      <c r="D254" s="15"/>
      <c r="E254" s="15"/>
    </row>
    <row r="255">
      <c r="A255" s="15"/>
      <c r="D255" s="15"/>
      <c r="E255" s="15"/>
    </row>
    <row r="256">
      <c r="A256" s="15"/>
      <c r="D256" s="15"/>
      <c r="E256" s="15"/>
    </row>
    <row r="257">
      <c r="A257" s="15"/>
      <c r="D257" s="15"/>
      <c r="E257" s="15"/>
    </row>
    <row r="258">
      <c r="A258" s="15"/>
      <c r="D258" s="15"/>
      <c r="E258" s="15"/>
    </row>
    <row r="259">
      <c r="A259" s="15"/>
      <c r="D259" s="15"/>
      <c r="E259" s="15"/>
    </row>
    <row r="260">
      <c r="A260" s="15"/>
      <c r="D260" s="15"/>
      <c r="E260" s="15"/>
    </row>
    <row r="261">
      <c r="A261" s="15"/>
      <c r="D261" s="15"/>
      <c r="E261" s="15"/>
    </row>
    <row r="262">
      <c r="A262" s="15"/>
      <c r="D262" s="15"/>
      <c r="E262" s="15"/>
    </row>
    <row r="263">
      <c r="A263" s="15"/>
      <c r="D263" s="15"/>
      <c r="E263" s="15"/>
    </row>
    <row r="264">
      <c r="A264" s="15"/>
      <c r="D264" s="15"/>
      <c r="E264" s="15"/>
    </row>
    <row r="265">
      <c r="A265" s="15"/>
      <c r="D265" s="15"/>
      <c r="E265" s="15"/>
    </row>
    <row r="266">
      <c r="A266" s="15"/>
      <c r="D266" s="15"/>
      <c r="E266" s="15"/>
    </row>
    <row r="267">
      <c r="A267" s="15"/>
      <c r="D267" s="15"/>
      <c r="E267" s="15"/>
    </row>
    <row r="268">
      <c r="A268" s="15"/>
      <c r="D268" s="15"/>
      <c r="E268" s="15"/>
    </row>
    <row r="269">
      <c r="A269" s="15"/>
      <c r="D269" s="15"/>
      <c r="E269" s="15"/>
    </row>
    <row r="270">
      <c r="A270" s="15"/>
      <c r="D270" s="15"/>
      <c r="E270" s="15"/>
    </row>
    <row r="271">
      <c r="A271" s="15"/>
      <c r="D271" s="15"/>
      <c r="E271" s="15"/>
    </row>
    <row r="272">
      <c r="A272" s="15"/>
      <c r="D272" s="15"/>
      <c r="E272" s="15"/>
    </row>
    <row r="273">
      <c r="A273" s="15"/>
      <c r="D273" s="15"/>
      <c r="E273" s="15"/>
    </row>
    <row r="274">
      <c r="A274" s="15"/>
      <c r="D274" s="15"/>
      <c r="E274" s="15"/>
    </row>
    <row r="275">
      <c r="A275" s="15"/>
      <c r="D275" s="15"/>
      <c r="E275" s="15"/>
    </row>
    <row r="276">
      <c r="A276" s="15"/>
      <c r="D276" s="15"/>
      <c r="E276" s="15"/>
    </row>
    <row r="277">
      <c r="A277" s="15"/>
      <c r="D277" s="15"/>
      <c r="E277" s="15"/>
    </row>
    <row r="278">
      <c r="A278" s="15"/>
      <c r="D278" s="15"/>
      <c r="E278" s="15"/>
    </row>
    <row r="279">
      <c r="A279" s="15"/>
      <c r="D279" s="15"/>
      <c r="E279" s="15"/>
    </row>
    <row r="280">
      <c r="A280" s="15"/>
      <c r="D280" s="15"/>
      <c r="E280" s="15"/>
    </row>
    <row r="281">
      <c r="A281" s="15"/>
      <c r="D281" s="15"/>
      <c r="E281" s="15"/>
    </row>
    <row r="282">
      <c r="A282" s="15"/>
      <c r="D282" s="15"/>
      <c r="E282" s="15"/>
    </row>
    <row r="283">
      <c r="A283" s="15"/>
      <c r="D283" s="15"/>
      <c r="E283" s="15"/>
    </row>
    <row r="284">
      <c r="A284" s="15"/>
      <c r="D284" s="15"/>
      <c r="E284" s="15"/>
    </row>
    <row r="285">
      <c r="A285" s="15"/>
      <c r="D285" s="15"/>
      <c r="E285" s="15"/>
    </row>
    <row r="286">
      <c r="A286" s="15"/>
      <c r="D286" s="15"/>
      <c r="E286" s="15"/>
    </row>
    <row r="287">
      <c r="A287" s="15"/>
      <c r="D287" s="15"/>
      <c r="E287" s="15"/>
    </row>
    <row r="288">
      <c r="A288" s="15"/>
      <c r="D288" s="15"/>
      <c r="E288" s="15"/>
    </row>
    <row r="289">
      <c r="A289" s="15"/>
      <c r="D289" s="15"/>
      <c r="E289" s="15"/>
    </row>
    <row r="290">
      <c r="A290" s="15"/>
      <c r="D290" s="15"/>
      <c r="E290" s="15"/>
    </row>
    <row r="291">
      <c r="A291" s="15"/>
      <c r="D291" s="15"/>
      <c r="E291" s="15"/>
    </row>
    <row r="292">
      <c r="A292" s="15"/>
      <c r="D292" s="15"/>
      <c r="E292" s="15"/>
    </row>
    <row r="293">
      <c r="A293" s="15"/>
      <c r="D293" s="15"/>
      <c r="E293" s="15"/>
    </row>
    <row r="294">
      <c r="A294" s="15"/>
      <c r="D294" s="15"/>
      <c r="E294" s="15"/>
    </row>
    <row r="295">
      <c r="A295" s="15"/>
      <c r="D295" s="15"/>
      <c r="E295" s="15"/>
    </row>
    <row r="296">
      <c r="A296" s="15"/>
      <c r="D296" s="15"/>
      <c r="E296" s="15"/>
    </row>
    <row r="297">
      <c r="A297" s="15"/>
      <c r="D297" s="15"/>
      <c r="E297" s="15"/>
    </row>
    <row r="298">
      <c r="A298" s="15"/>
      <c r="D298" s="15"/>
      <c r="E298" s="15"/>
    </row>
    <row r="299">
      <c r="A299" s="15"/>
      <c r="D299" s="15"/>
      <c r="E299" s="15"/>
    </row>
    <row r="300">
      <c r="A300" s="15"/>
      <c r="D300" s="15"/>
      <c r="E300" s="15"/>
    </row>
    <row r="301">
      <c r="A301" s="15"/>
      <c r="D301" s="15"/>
      <c r="E301" s="15"/>
    </row>
    <row r="302">
      <c r="A302" s="15"/>
      <c r="D302" s="15"/>
      <c r="E302" s="15"/>
    </row>
    <row r="303">
      <c r="A303" s="15"/>
      <c r="D303" s="15"/>
      <c r="E303" s="15"/>
    </row>
    <row r="304">
      <c r="A304" s="15"/>
      <c r="D304" s="15"/>
      <c r="E304" s="15"/>
    </row>
    <row r="305">
      <c r="A305" s="15"/>
      <c r="D305" s="15"/>
      <c r="E305" s="15"/>
    </row>
    <row r="306">
      <c r="A306" s="15"/>
      <c r="D306" s="15"/>
      <c r="E306" s="15"/>
    </row>
    <row r="307">
      <c r="A307" s="15"/>
      <c r="D307" s="15"/>
      <c r="E307" s="15"/>
    </row>
    <row r="308">
      <c r="A308" s="15"/>
      <c r="D308" s="15"/>
      <c r="E308" s="15"/>
    </row>
    <row r="309">
      <c r="A309" s="15"/>
      <c r="D309" s="15"/>
      <c r="E309" s="15"/>
    </row>
    <row r="310">
      <c r="A310" s="15"/>
      <c r="D310" s="15"/>
      <c r="E310" s="15"/>
    </row>
    <row r="311">
      <c r="A311" s="15"/>
      <c r="D311" s="15"/>
      <c r="E311" s="15"/>
    </row>
    <row r="312">
      <c r="A312" s="15"/>
      <c r="D312" s="15"/>
      <c r="E312" s="15"/>
    </row>
    <row r="313">
      <c r="A313" s="15"/>
      <c r="D313" s="15"/>
      <c r="E313" s="15"/>
    </row>
    <row r="314">
      <c r="A314" s="15"/>
      <c r="D314" s="15"/>
      <c r="E314" s="15"/>
    </row>
    <row r="315">
      <c r="A315" s="15"/>
      <c r="D315" s="15"/>
      <c r="E315" s="15"/>
    </row>
    <row r="316">
      <c r="A316" s="15"/>
      <c r="D316" s="15"/>
      <c r="E316" s="15"/>
    </row>
    <row r="317">
      <c r="A317" s="15"/>
      <c r="D317" s="15"/>
      <c r="E317" s="15"/>
    </row>
    <row r="318">
      <c r="A318" s="15"/>
      <c r="D318" s="15"/>
      <c r="E318" s="15"/>
    </row>
    <row r="319">
      <c r="A319" s="15"/>
      <c r="D319" s="15"/>
      <c r="E319" s="15"/>
    </row>
    <row r="320">
      <c r="A320" s="15"/>
      <c r="D320" s="15"/>
      <c r="E320" s="15"/>
    </row>
    <row r="321">
      <c r="A321" s="15"/>
      <c r="D321" s="15"/>
      <c r="E321" s="15"/>
    </row>
    <row r="322">
      <c r="A322" s="15"/>
      <c r="D322" s="15"/>
      <c r="E322" s="15"/>
    </row>
    <row r="323">
      <c r="A323" s="15"/>
      <c r="D323" s="15"/>
      <c r="E323" s="15"/>
    </row>
    <row r="324">
      <c r="A324" s="15"/>
      <c r="D324" s="15"/>
      <c r="E324" s="15"/>
    </row>
    <row r="325">
      <c r="A325" s="15"/>
      <c r="D325" s="15"/>
      <c r="E325" s="15"/>
    </row>
    <row r="326">
      <c r="A326" s="15"/>
      <c r="D326" s="15"/>
      <c r="E326" s="15"/>
    </row>
    <row r="327">
      <c r="A327" s="15"/>
      <c r="D327" s="15"/>
      <c r="E327" s="15"/>
    </row>
    <row r="328">
      <c r="A328" s="15"/>
      <c r="D328" s="15"/>
      <c r="E328" s="15"/>
    </row>
    <row r="329">
      <c r="A329" s="15"/>
      <c r="D329" s="15"/>
      <c r="E329" s="15"/>
    </row>
    <row r="330">
      <c r="A330" s="15"/>
      <c r="D330" s="15"/>
      <c r="E330" s="15"/>
    </row>
    <row r="331">
      <c r="A331" s="15"/>
      <c r="D331" s="15"/>
      <c r="E331" s="15"/>
    </row>
    <row r="332">
      <c r="A332" s="15"/>
      <c r="D332" s="15"/>
      <c r="E332" s="15"/>
    </row>
    <row r="333">
      <c r="A333" s="15"/>
      <c r="D333" s="15"/>
      <c r="E333" s="15"/>
    </row>
    <row r="334">
      <c r="A334" s="15"/>
      <c r="D334" s="15"/>
      <c r="E334" s="15"/>
    </row>
    <row r="335">
      <c r="A335" s="15"/>
      <c r="D335" s="15"/>
      <c r="E335" s="15"/>
    </row>
    <row r="336">
      <c r="A336" s="15"/>
      <c r="D336" s="15"/>
      <c r="E336" s="15"/>
    </row>
    <row r="337">
      <c r="A337" s="15"/>
      <c r="D337" s="15"/>
      <c r="E337" s="15"/>
    </row>
    <row r="338">
      <c r="A338" s="15"/>
      <c r="D338" s="15"/>
      <c r="E338" s="15"/>
    </row>
    <row r="339">
      <c r="A339" s="15"/>
      <c r="D339" s="15"/>
      <c r="E339" s="15"/>
    </row>
    <row r="340">
      <c r="A340" s="15"/>
      <c r="D340" s="15"/>
      <c r="E340" s="15"/>
    </row>
    <row r="341">
      <c r="A341" s="15"/>
      <c r="D341" s="15"/>
      <c r="E341" s="15"/>
    </row>
    <row r="342">
      <c r="A342" s="15"/>
      <c r="D342" s="15"/>
      <c r="E342" s="15"/>
    </row>
    <row r="343">
      <c r="A343" s="15"/>
      <c r="D343" s="15"/>
      <c r="E343" s="15"/>
    </row>
    <row r="344">
      <c r="A344" s="15"/>
      <c r="D344" s="15"/>
      <c r="E344" s="15"/>
    </row>
    <row r="345">
      <c r="A345" s="15"/>
      <c r="D345" s="15"/>
      <c r="E345" s="15"/>
    </row>
    <row r="346">
      <c r="A346" s="15"/>
      <c r="D346" s="15"/>
      <c r="E346" s="15"/>
    </row>
    <row r="347">
      <c r="A347" s="15"/>
      <c r="D347" s="15"/>
      <c r="E347" s="15"/>
    </row>
    <row r="348">
      <c r="A348" s="15"/>
      <c r="D348" s="15"/>
      <c r="E348" s="15"/>
    </row>
    <row r="349">
      <c r="A349" s="15"/>
      <c r="D349" s="15"/>
      <c r="E349" s="15"/>
    </row>
    <row r="350">
      <c r="A350" s="15"/>
      <c r="D350" s="15"/>
      <c r="E350" s="15"/>
    </row>
    <row r="351">
      <c r="A351" s="15"/>
      <c r="D351" s="15"/>
      <c r="E351" s="15"/>
    </row>
    <row r="352">
      <c r="A352" s="15"/>
      <c r="D352" s="15"/>
      <c r="E352" s="15"/>
    </row>
    <row r="353">
      <c r="A353" s="15"/>
      <c r="D353" s="15"/>
      <c r="E353" s="15"/>
    </row>
    <row r="354">
      <c r="A354" s="15"/>
      <c r="D354" s="15"/>
      <c r="E354" s="15"/>
    </row>
    <row r="355">
      <c r="A355" s="15"/>
      <c r="D355" s="15"/>
      <c r="E355" s="15"/>
    </row>
    <row r="356">
      <c r="A356" s="15"/>
      <c r="D356" s="15"/>
      <c r="E356" s="15"/>
    </row>
    <row r="357">
      <c r="A357" s="15"/>
      <c r="D357" s="15"/>
      <c r="E357" s="15"/>
    </row>
    <row r="358">
      <c r="A358" s="15"/>
      <c r="D358" s="15"/>
      <c r="E358" s="15"/>
    </row>
    <row r="359">
      <c r="A359" s="15"/>
      <c r="D359" s="15"/>
      <c r="E359" s="15"/>
    </row>
    <row r="360">
      <c r="A360" s="15"/>
      <c r="D360" s="15"/>
      <c r="E360" s="15"/>
    </row>
    <row r="361">
      <c r="A361" s="15"/>
      <c r="D361" s="15"/>
      <c r="E361" s="15"/>
    </row>
    <row r="362">
      <c r="A362" s="15"/>
      <c r="D362" s="15"/>
      <c r="E362" s="15"/>
    </row>
    <row r="363">
      <c r="A363" s="15"/>
      <c r="D363" s="15"/>
      <c r="E363" s="15"/>
    </row>
    <row r="364">
      <c r="A364" s="15"/>
      <c r="D364" s="15"/>
      <c r="E364" s="15"/>
    </row>
    <row r="365">
      <c r="A365" s="15"/>
      <c r="D365" s="15"/>
      <c r="E365" s="15"/>
    </row>
    <row r="366">
      <c r="A366" s="15"/>
      <c r="D366" s="15"/>
      <c r="E366" s="15"/>
    </row>
    <row r="367">
      <c r="A367" s="15"/>
      <c r="D367" s="15"/>
      <c r="E367" s="15"/>
    </row>
    <row r="368">
      <c r="A368" s="15"/>
      <c r="D368" s="15"/>
      <c r="E368" s="15"/>
    </row>
    <row r="369">
      <c r="A369" s="15"/>
      <c r="D369" s="15"/>
      <c r="E369" s="15"/>
    </row>
    <row r="370">
      <c r="A370" s="15"/>
      <c r="D370" s="15"/>
      <c r="E370" s="15"/>
    </row>
    <row r="371">
      <c r="A371" s="15"/>
      <c r="D371" s="15"/>
      <c r="E371" s="15"/>
    </row>
    <row r="372">
      <c r="A372" s="15"/>
      <c r="D372" s="15"/>
      <c r="E372" s="15"/>
    </row>
    <row r="373">
      <c r="A373" s="15"/>
      <c r="D373" s="15"/>
      <c r="E373" s="15"/>
    </row>
    <row r="374">
      <c r="A374" s="15"/>
      <c r="D374" s="15"/>
      <c r="E374" s="15"/>
    </row>
    <row r="375">
      <c r="A375" s="15"/>
      <c r="D375" s="15"/>
      <c r="E375" s="15"/>
    </row>
    <row r="376">
      <c r="A376" s="15"/>
      <c r="D376" s="15"/>
      <c r="E376" s="15"/>
    </row>
    <row r="377">
      <c r="A377" s="15"/>
      <c r="D377" s="15"/>
      <c r="E377" s="15"/>
    </row>
    <row r="378">
      <c r="A378" s="15"/>
      <c r="D378" s="15"/>
      <c r="E378" s="15"/>
    </row>
    <row r="379">
      <c r="A379" s="15"/>
      <c r="D379" s="15"/>
      <c r="E379" s="15"/>
    </row>
    <row r="380">
      <c r="A380" s="15"/>
      <c r="D380" s="15"/>
      <c r="E380" s="15"/>
    </row>
    <row r="381">
      <c r="A381" s="15"/>
      <c r="D381" s="15"/>
      <c r="E381" s="15"/>
    </row>
    <row r="382">
      <c r="A382" s="15"/>
      <c r="D382" s="15"/>
      <c r="E382" s="15"/>
    </row>
    <row r="383">
      <c r="A383" s="15"/>
      <c r="D383" s="15"/>
      <c r="E383" s="15"/>
    </row>
    <row r="384">
      <c r="A384" s="15"/>
      <c r="D384" s="15"/>
      <c r="E384" s="15"/>
    </row>
    <row r="385">
      <c r="A385" s="15"/>
      <c r="D385" s="15"/>
      <c r="E385" s="15"/>
    </row>
    <row r="386">
      <c r="A386" s="15"/>
      <c r="D386" s="15"/>
      <c r="E386" s="15"/>
    </row>
    <row r="387">
      <c r="A387" s="15"/>
      <c r="D387" s="15"/>
      <c r="E387" s="15"/>
    </row>
    <row r="388">
      <c r="A388" s="15"/>
      <c r="D388" s="15"/>
      <c r="E388" s="15"/>
    </row>
    <row r="389">
      <c r="A389" s="15"/>
      <c r="D389" s="15"/>
      <c r="E389" s="15"/>
    </row>
    <row r="390">
      <c r="A390" s="15"/>
      <c r="D390" s="15"/>
      <c r="E390" s="15"/>
    </row>
    <row r="391">
      <c r="A391" s="15"/>
      <c r="D391" s="15"/>
      <c r="E391" s="15"/>
    </row>
    <row r="392">
      <c r="A392" s="15"/>
      <c r="D392" s="15"/>
      <c r="E392" s="15"/>
    </row>
    <row r="393">
      <c r="A393" s="15"/>
      <c r="D393" s="15"/>
      <c r="E393" s="15"/>
    </row>
    <row r="394">
      <c r="A394" s="15"/>
      <c r="D394" s="15"/>
      <c r="E394" s="15"/>
    </row>
    <row r="395">
      <c r="A395" s="15"/>
      <c r="D395" s="15"/>
      <c r="E395" s="15"/>
    </row>
    <row r="396">
      <c r="A396" s="15"/>
      <c r="D396" s="15"/>
      <c r="E396" s="15"/>
    </row>
    <row r="397">
      <c r="A397" s="15"/>
      <c r="D397" s="15"/>
      <c r="E397" s="15"/>
    </row>
    <row r="398">
      <c r="A398" s="15"/>
      <c r="D398" s="15"/>
      <c r="E398" s="15"/>
    </row>
    <row r="399">
      <c r="A399" s="15"/>
      <c r="D399" s="15"/>
      <c r="E399" s="15"/>
    </row>
    <row r="400">
      <c r="A400" s="15"/>
      <c r="D400" s="15"/>
      <c r="E400" s="15"/>
    </row>
    <row r="401">
      <c r="A401" s="15"/>
      <c r="D401" s="15"/>
      <c r="E401" s="15"/>
    </row>
    <row r="402">
      <c r="A402" s="15"/>
      <c r="D402" s="15"/>
      <c r="E402" s="15"/>
    </row>
    <row r="403">
      <c r="A403" s="15"/>
      <c r="D403" s="15"/>
      <c r="E403" s="15"/>
    </row>
    <row r="404">
      <c r="A404" s="15"/>
      <c r="D404" s="15"/>
      <c r="E404" s="15"/>
    </row>
    <row r="405">
      <c r="A405" s="15"/>
      <c r="D405" s="15"/>
      <c r="E405" s="15"/>
    </row>
    <row r="406">
      <c r="A406" s="15"/>
      <c r="D406" s="15"/>
      <c r="E406" s="15"/>
    </row>
    <row r="407">
      <c r="A407" s="15"/>
      <c r="D407" s="15"/>
      <c r="E407" s="15"/>
    </row>
    <row r="408">
      <c r="A408" s="15"/>
      <c r="D408" s="15"/>
      <c r="E408" s="15"/>
    </row>
    <row r="409">
      <c r="A409" s="15"/>
      <c r="D409" s="15"/>
      <c r="E409" s="15"/>
    </row>
    <row r="410">
      <c r="A410" s="15"/>
      <c r="D410" s="15"/>
      <c r="E410" s="15"/>
    </row>
    <row r="411">
      <c r="A411" s="15"/>
      <c r="D411" s="15"/>
      <c r="E411" s="15"/>
    </row>
    <row r="412">
      <c r="A412" s="15"/>
      <c r="D412" s="15"/>
      <c r="E412" s="15"/>
    </row>
    <row r="413">
      <c r="A413" s="15"/>
      <c r="D413" s="15"/>
      <c r="E413" s="15"/>
    </row>
    <row r="414">
      <c r="A414" s="15"/>
      <c r="D414" s="15"/>
      <c r="E414" s="15"/>
    </row>
    <row r="415">
      <c r="A415" s="15"/>
      <c r="D415" s="15"/>
      <c r="E415" s="15"/>
    </row>
    <row r="416">
      <c r="A416" s="15"/>
      <c r="D416" s="15"/>
      <c r="E416" s="15"/>
    </row>
    <row r="417">
      <c r="A417" s="15"/>
      <c r="D417" s="15"/>
      <c r="E417" s="15"/>
    </row>
    <row r="418">
      <c r="A418" s="15"/>
      <c r="D418" s="15"/>
      <c r="E418" s="15"/>
    </row>
    <row r="419">
      <c r="A419" s="15"/>
      <c r="D419" s="15"/>
      <c r="E419" s="15"/>
    </row>
    <row r="420">
      <c r="A420" s="15"/>
      <c r="D420" s="15"/>
      <c r="E420" s="15"/>
    </row>
    <row r="421">
      <c r="A421" s="15"/>
      <c r="D421" s="15"/>
      <c r="E421" s="15"/>
    </row>
    <row r="422">
      <c r="A422" s="15"/>
      <c r="D422" s="15"/>
      <c r="E422" s="15"/>
    </row>
    <row r="423">
      <c r="A423" s="15"/>
      <c r="D423" s="15"/>
      <c r="E423" s="15"/>
    </row>
    <row r="424">
      <c r="A424" s="15"/>
      <c r="D424" s="15"/>
      <c r="E424" s="15"/>
    </row>
    <row r="425">
      <c r="A425" s="15"/>
      <c r="D425" s="15"/>
      <c r="E425" s="15"/>
    </row>
    <row r="426">
      <c r="A426" s="15"/>
      <c r="D426" s="15"/>
      <c r="E426" s="15"/>
    </row>
    <row r="427">
      <c r="A427" s="15"/>
      <c r="D427" s="15"/>
      <c r="E427" s="15"/>
    </row>
    <row r="428">
      <c r="A428" s="15"/>
      <c r="D428" s="15"/>
      <c r="E428" s="15"/>
    </row>
    <row r="429">
      <c r="A429" s="15"/>
      <c r="D429" s="15"/>
      <c r="E429" s="15"/>
    </row>
    <row r="430">
      <c r="A430" s="15"/>
      <c r="D430" s="15"/>
      <c r="E430" s="15"/>
    </row>
    <row r="431">
      <c r="A431" s="15"/>
      <c r="D431" s="15"/>
      <c r="E431" s="15"/>
    </row>
    <row r="432">
      <c r="A432" s="15"/>
      <c r="D432" s="15"/>
      <c r="E432" s="15"/>
    </row>
    <row r="433">
      <c r="A433" s="15"/>
      <c r="D433" s="15"/>
      <c r="E433" s="15"/>
    </row>
    <row r="434">
      <c r="A434" s="15"/>
      <c r="D434" s="15"/>
      <c r="E434" s="15"/>
    </row>
    <row r="435">
      <c r="A435" s="15"/>
      <c r="D435" s="15"/>
      <c r="E435" s="15"/>
    </row>
    <row r="436">
      <c r="A436" s="15"/>
      <c r="D436" s="15"/>
      <c r="E436" s="15"/>
    </row>
    <row r="437">
      <c r="A437" s="15"/>
      <c r="D437" s="15"/>
      <c r="E437" s="15"/>
    </row>
    <row r="438">
      <c r="A438" s="15"/>
      <c r="D438" s="15"/>
      <c r="E438" s="15"/>
    </row>
    <row r="439">
      <c r="A439" s="15"/>
      <c r="D439" s="15"/>
      <c r="E439" s="15"/>
    </row>
    <row r="440">
      <c r="A440" s="15"/>
      <c r="D440" s="15"/>
      <c r="E440" s="15"/>
    </row>
    <row r="441">
      <c r="A441" s="15"/>
      <c r="D441" s="15"/>
      <c r="E441" s="15"/>
    </row>
    <row r="442">
      <c r="A442" s="15"/>
      <c r="D442" s="15"/>
      <c r="E442" s="15"/>
    </row>
    <row r="443">
      <c r="A443" s="15"/>
      <c r="D443" s="15"/>
      <c r="E443" s="15"/>
    </row>
    <row r="444">
      <c r="A444" s="15"/>
      <c r="D444" s="15"/>
      <c r="E444" s="15"/>
    </row>
    <row r="445">
      <c r="A445" s="15"/>
      <c r="D445" s="15"/>
      <c r="E445" s="15"/>
    </row>
    <row r="446">
      <c r="A446" s="15"/>
      <c r="D446" s="15"/>
      <c r="E446" s="15"/>
    </row>
    <row r="447">
      <c r="A447" s="15"/>
      <c r="D447" s="15"/>
      <c r="E447" s="15"/>
    </row>
    <row r="448">
      <c r="A448" s="15"/>
      <c r="D448" s="15"/>
      <c r="E448" s="15"/>
    </row>
    <row r="449">
      <c r="A449" s="15"/>
      <c r="D449" s="15"/>
      <c r="E449" s="15"/>
    </row>
    <row r="450">
      <c r="A450" s="15"/>
      <c r="D450" s="15"/>
      <c r="E450" s="15"/>
    </row>
    <row r="451">
      <c r="A451" s="15"/>
      <c r="D451" s="15"/>
      <c r="E451" s="15"/>
    </row>
    <row r="452">
      <c r="A452" s="15"/>
      <c r="D452" s="15"/>
      <c r="E452" s="15"/>
    </row>
    <row r="453">
      <c r="A453" s="15"/>
      <c r="D453" s="15"/>
      <c r="E453" s="15"/>
    </row>
    <row r="454">
      <c r="A454" s="15"/>
      <c r="D454" s="15"/>
      <c r="E454" s="15"/>
    </row>
    <row r="455">
      <c r="A455" s="15"/>
      <c r="D455" s="15"/>
      <c r="E455" s="15"/>
    </row>
    <row r="456">
      <c r="A456" s="15"/>
      <c r="D456" s="15"/>
      <c r="E456" s="15"/>
    </row>
    <row r="457">
      <c r="A457" s="15"/>
      <c r="D457" s="15"/>
      <c r="E457" s="15"/>
    </row>
    <row r="458">
      <c r="A458" s="15"/>
      <c r="D458" s="15"/>
      <c r="E458" s="15"/>
    </row>
    <row r="459">
      <c r="A459" s="15"/>
      <c r="D459" s="15"/>
      <c r="E459" s="15"/>
    </row>
    <row r="460">
      <c r="A460" s="15"/>
      <c r="D460" s="15"/>
      <c r="E460" s="15"/>
    </row>
    <row r="461">
      <c r="A461" s="15"/>
      <c r="D461" s="15"/>
      <c r="E461" s="15"/>
    </row>
    <row r="462">
      <c r="A462" s="15"/>
      <c r="D462" s="15"/>
      <c r="E462" s="15"/>
    </row>
    <row r="463">
      <c r="A463" s="15"/>
      <c r="D463" s="15"/>
      <c r="E463" s="15"/>
    </row>
    <row r="464">
      <c r="A464" s="15"/>
      <c r="D464" s="15"/>
      <c r="E464" s="15"/>
    </row>
    <row r="465">
      <c r="A465" s="15"/>
      <c r="D465" s="15"/>
      <c r="E465" s="15"/>
    </row>
    <row r="466">
      <c r="A466" s="15"/>
      <c r="D466" s="15"/>
      <c r="E466" s="15"/>
    </row>
    <row r="467">
      <c r="A467" s="15"/>
      <c r="D467" s="15"/>
      <c r="E467" s="15"/>
    </row>
    <row r="468">
      <c r="A468" s="15"/>
      <c r="D468" s="15"/>
      <c r="E468" s="15"/>
    </row>
    <row r="469">
      <c r="A469" s="15"/>
      <c r="D469" s="15"/>
      <c r="E469" s="15"/>
    </row>
    <row r="470">
      <c r="A470" s="15"/>
      <c r="D470" s="15"/>
      <c r="E470" s="15"/>
    </row>
    <row r="471">
      <c r="A471" s="15"/>
      <c r="D471" s="15"/>
      <c r="E471" s="15"/>
    </row>
    <row r="472">
      <c r="A472" s="15"/>
      <c r="D472" s="15"/>
      <c r="E472" s="15"/>
    </row>
    <row r="473">
      <c r="A473" s="15"/>
      <c r="D473" s="15"/>
      <c r="E473" s="15"/>
    </row>
    <row r="474">
      <c r="A474" s="15"/>
      <c r="D474" s="15"/>
      <c r="E474" s="15"/>
    </row>
    <row r="475">
      <c r="A475" s="15"/>
      <c r="D475" s="15"/>
      <c r="E475" s="15"/>
    </row>
    <row r="476">
      <c r="A476" s="15"/>
      <c r="D476" s="15"/>
      <c r="E476" s="15"/>
    </row>
    <row r="477">
      <c r="A477" s="15"/>
      <c r="D477" s="15"/>
      <c r="E477" s="15"/>
    </row>
    <row r="478">
      <c r="A478" s="15"/>
      <c r="D478" s="15"/>
      <c r="E478" s="15"/>
    </row>
    <row r="479">
      <c r="A479" s="15"/>
      <c r="D479" s="15"/>
      <c r="E479" s="15"/>
    </row>
    <row r="480">
      <c r="A480" s="15"/>
      <c r="D480" s="15"/>
      <c r="E480" s="15"/>
    </row>
    <row r="481">
      <c r="A481" s="15"/>
      <c r="D481" s="15"/>
      <c r="E481" s="15"/>
    </row>
    <row r="482">
      <c r="A482" s="15"/>
      <c r="D482" s="15"/>
      <c r="E482" s="15"/>
    </row>
    <row r="483">
      <c r="A483" s="15"/>
      <c r="D483" s="15"/>
      <c r="E483" s="15"/>
    </row>
    <row r="484">
      <c r="A484" s="15"/>
      <c r="D484" s="15"/>
      <c r="E484" s="15"/>
    </row>
    <row r="485">
      <c r="A485" s="15"/>
      <c r="D485" s="15"/>
      <c r="E485" s="15"/>
    </row>
    <row r="486">
      <c r="A486" s="15"/>
      <c r="D486" s="15"/>
      <c r="E486" s="15"/>
    </row>
    <row r="487">
      <c r="A487" s="15"/>
      <c r="D487" s="15"/>
      <c r="E487" s="15"/>
    </row>
    <row r="488">
      <c r="A488" s="15"/>
      <c r="D488" s="15"/>
      <c r="E488" s="15"/>
    </row>
    <row r="489">
      <c r="A489" s="15"/>
      <c r="D489" s="15"/>
      <c r="E489" s="15"/>
    </row>
    <row r="490">
      <c r="A490" s="15"/>
      <c r="D490" s="15"/>
      <c r="E490" s="15"/>
    </row>
    <row r="491">
      <c r="A491" s="15"/>
      <c r="D491" s="15"/>
      <c r="E491" s="15"/>
    </row>
    <row r="492">
      <c r="A492" s="15"/>
      <c r="D492" s="15"/>
      <c r="E492" s="15"/>
    </row>
    <row r="493">
      <c r="A493" s="15"/>
      <c r="D493" s="15"/>
      <c r="E493" s="15"/>
    </row>
    <row r="494">
      <c r="A494" s="15"/>
      <c r="D494" s="15"/>
      <c r="E494" s="15"/>
    </row>
    <row r="495">
      <c r="A495" s="15"/>
      <c r="D495" s="15"/>
      <c r="E495" s="15"/>
    </row>
    <row r="496">
      <c r="A496" s="15"/>
      <c r="D496" s="15"/>
      <c r="E496" s="15"/>
    </row>
    <row r="497">
      <c r="A497" s="15"/>
      <c r="D497" s="15"/>
      <c r="E497" s="15"/>
    </row>
    <row r="498">
      <c r="A498" s="15"/>
      <c r="D498" s="15"/>
      <c r="E498" s="15"/>
    </row>
    <row r="499">
      <c r="A499" s="15"/>
      <c r="D499" s="15"/>
      <c r="E499" s="15"/>
    </row>
    <row r="500">
      <c r="A500" s="15"/>
      <c r="D500" s="15"/>
      <c r="E500" s="15"/>
    </row>
    <row r="501">
      <c r="A501" s="15"/>
      <c r="D501" s="15"/>
      <c r="E501" s="15"/>
    </row>
    <row r="502">
      <c r="A502" s="15"/>
      <c r="D502" s="15"/>
      <c r="E502" s="15"/>
    </row>
    <row r="503">
      <c r="A503" s="15"/>
      <c r="D503" s="15"/>
      <c r="E503" s="15"/>
    </row>
    <row r="504">
      <c r="A504" s="15"/>
      <c r="D504" s="15"/>
      <c r="E504" s="15"/>
    </row>
    <row r="505">
      <c r="A505" s="15"/>
      <c r="D505" s="15"/>
      <c r="E505" s="15"/>
    </row>
    <row r="506">
      <c r="A506" s="15"/>
      <c r="D506" s="15"/>
      <c r="E506" s="15"/>
    </row>
    <row r="507">
      <c r="A507" s="15"/>
      <c r="D507" s="15"/>
      <c r="E507" s="15"/>
    </row>
    <row r="508">
      <c r="A508" s="15"/>
      <c r="D508" s="15"/>
      <c r="E508" s="15"/>
    </row>
    <row r="509">
      <c r="A509" s="15"/>
      <c r="D509" s="15"/>
      <c r="E509" s="15"/>
    </row>
    <row r="510">
      <c r="A510" s="15"/>
      <c r="D510" s="15"/>
      <c r="E510" s="15"/>
    </row>
    <row r="511">
      <c r="A511" s="15"/>
      <c r="D511" s="15"/>
      <c r="E511" s="15"/>
    </row>
    <row r="512">
      <c r="A512" s="15"/>
      <c r="D512" s="15"/>
      <c r="E512" s="15"/>
    </row>
    <row r="513">
      <c r="A513" s="15"/>
      <c r="D513" s="15"/>
      <c r="E513" s="15"/>
    </row>
    <row r="514">
      <c r="A514" s="15"/>
      <c r="D514" s="15"/>
      <c r="E514" s="15"/>
    </row>
    <row r="515">
      <c r="A515" s="15"/>
      <c r="D515" s="15"/>
      <c r="E515" s="15"/>
    </row>
    <row r="516">
      <c r="A516" s="15"/>
      <c r="D516" s="15"/>
      <c r="E516" s="15"/>
    </row>
    <row r="517">
      <c r="A517" s="15"/>
      <c r="D517" s="15"/>
      <c r="E517" s="15"/>
    </row>
    <row r="518">
      <c r="A518" s="15"/>
      <c r="D518" s="15"/>
      <c r="E518" s="15"/>
    </row>
    <row r="519">
      <c r="A519" s="15"/>
      <c r="D519" s="15"/>
      <c r="E519" s="15"/>
    </row>
    <row r="520">
      <c r="A520" s="15"/>
      <c r="D520" s="15"/>
      <c r="E520" s="15"/>
    </row>
    <row r="521">
      <c r="A521" s="15"/>
      <c r="D521" s="15"/>
      <c r="E521" s="15"/>
    </row>
    <row r="522">
      <c r="A522" s="15"/>
      <c r="D522" s="15"/>
      <c r="E522" s="15"/>
    </row>
    <row r="523">
      <c r="A523" s="15"/>
      <c r="D523" s="15"/>
      <c r="E523" s="15"/>
    </row>
    <row r="524">
      <c r="A524" s="15"/>
      <c r="D524" s="15"/>
      <c r="E524" s="15"/>
    </row>
    <row r="525">
      <c r="A525" s="15"/>
      <c r="D525" s="15"/>
      <c r="E525" s="15"/>
    </row>
    <row r="526">
      <c r="A526" s="15"/>
      <c r="D526" s="15"/>
      <c r="E526" s="15"/>
    </row>
    <row r="527">
      <c r="A527" s="15"/>
      <c r="D527" s="15"/>
      <c r="E527" s="15"/>
    </row>
    <row r="528">
      <c r="A528" s="15"/>
      <c r="D528" s="15"/>
      <c r="E528" s="15"/>
    </row>
    <row r="529">
      <c r="A529" s="15"/>
      <c r="D529" s="15"/>
      <c r="E529" s="15"/>
    </row>
    <row r="530">
      <c r="A530" s="15"/>
      <c r="D530" s="15"/>
      <c r="E530" s="15"/>
    </row>
    <row r="531">
      <c r="A531" s="15"/>
      <c r="D531" s="15"/>
      <c r="E531" s="15"/>
    </row>
    <row r="532">
      <c r="A532" s="15"/>
      <c r="D532" s="15"/>
      <c r="E532" s="15"/>
    </row>
    <row r="533">
      <c r="A533" s="15"/>
      <c r="D533" s="15"/>
      <c r="E533" s="15"/>
    </row>
    <row r="534">
      <c r="A534" s="15"/>
      <c r="D534" s="15"/>
      <c r="E534" s="15"/>
    </row>
    <row r="535">
      <c r="A535" s="15"/>
      <c r="D535" s="15"/>
      <c r="E535" s="15"/>
    </row>
    <row r="536">
      <c r="A536" s="15"/>
      <c r="D536" s="15"/>
      <c r="E536" s="15"/>
    </row>
    <row r="537">
      <c r="A537" s="15"/>
      <c r="D537" s="15"/>
      <c r="E537" s="15"/>
    </row>
    <row r="538">
      <c r="A538" s="15"/>
      <c r="D538" s="15"/>
      <c r="E538" s="15"/>
    </row>
    <row r="539">
      <c r="A539" s="15"/>
      <c r="D539" s="15"/>
      <c r="E539" s="15"/>
    </row>
    <row r="540">
      <c r="A540" s="15"/>
      <c r="D540" s="15"/>
      <c r="E540" s="15"/>
    </row>
    <row r="541">
      <c r="A541" s="15"/>
      <c r="D541" s="15"/>
      <c r="E541" s="15"/>
    </row>
    <row r="542">
      <c r="A542" s="15"/>
      <c r="D542" s="15"/>
      <c r="E542" s="15"/>
    </row>
    <row r="543">
      <c r="A543" s="15"/>
      <c r="D543" s="15"/>
      <c r="E543" s="15"/>
    </row>
    <row r="544">
      <c r="A544" s="15"/>
      <c r="D544" s="15"/>
      <c r="E544" s="15"/>
    </row>
    <row r="545">
      <c r="A545" s="15"/>
      <c r="D545" s="15"/>
      <c r="E545" s="15"/>
    </row>
    <row r="546">
      <c r="A546" s="15"/>
      <c r="D546" s="15"/>
      <c r="E546" s="15"/>
    </row>
    <row r="547">
      <c r="A547" s="15"/>
      <c r="D547" s="15"/>
      <c r="E547" s="15"/>
    </row>
    <row r="548">
      <c r="A548" s="15"/>
      <c r="D548" s="15"/>
      <c r="E548" s="15"/>
    </row>
    <row r="549">
      <c r="A549" s="15"/>
      <c r="D549" s="15"/>
      <c r="E549" s="15"/>
    </row>
    <row r="550">
      <c r="A550" s="15"/>
      <c r="D550" s="15"/>
      <c r="E550" s="15"/>
    </row>
    <row r="551">
      <c r="A551" s="15"/>
      <c r="D551" s="15"/>
      <c r="E551" s="15"/>
    </row>
    <row r="552">
      <c r="A552" s="15"/>
      <c r="D552" s="15"/>
      <c r="E552" s="15"/>
    </row>
    <row r="553">
      <c r="A553" s="15"/>
      <c r="D553" s="15"/>
      <c r="E553" s="15"/>
    </row>
    <row r="554">
      <c r="A554" s="15"/>
      <c r="D554" s="15"/>
      <c r="E554" s="15"/>
    </row>
    <row r="555">
      <c r="A555" s="15"/>
      <c r="D555" s="15"/>
      <c r="E555" s="15"/>
    </row>
    <row r="556">
      <c r="A556" s="15"/>
      <c r="D556" s="15"/>
      <c r="E556" s="15"/>
    </row>
    <row r="557">
      <c r="A557" s="15"/>
      <c r="D557" s="15"/>
      <c r="E557" s="15"/>
    </row>
    <row r="558">
      <c r="A558" s="15"/>
      <c r="D558" s="15"/>
      <c r="E558" s="15"/>
    </row>
    <row r="559">
      <c r="A559" s="15"/>
      <c r="D559" s="15"/>
      <c r="E559" s="15"/>
    </row>
    <row r="560">
      <c r="A560" s="15"/>
      <c r="D560" s="15"/>
      <c r="E560" s="15"/>
    </row>
    <row r="561">
      <c r="A561" s="15"/>
      <c r="D561" s="15"/>
      <c r="E561" s="15"/>
    </row>
    <row r="562">
      <c r="A562" s="15"/>
      <c r="D562" s="15"/>
      <c r="E562" s="15"/>
    </row>
    <row r="563">
      <c r="A563" s="15"/>
      <c r="D563" s="15"/>
      <c r="E563" s="15"/>
    </row>
    <row r="564">
      <c r="A564" s="15"/>
      <c r="D564" s="15"/>
      <c r="E564" s="15"/>
    </row>
    <row r="565">
      <c r="A565" s="15"/>
      <c r="D565" s="15"/>
      <c r="E565" s="15"/>
    </row>
    <row r="566">
      <c r="A566" s="15"/>
      <c r="D566" s="15"/>
      <c r="E566" s="15"/>
    </row>
    <row r="567">
      <c r="A567" s="15"/>
      <c r="D567" s="15"/>
      <c r="E567" s="15"/>
    </row>
    <row r="568">
      <c r="A568" s="15"/>
      <c r="D568" s="15"/>
      <c r="E568" s="15"/>
    </row>
    <row r="569">
      <c r="A569" s="15"/>
      <c r="D569" s="15"/>
      <c r="E569" s="15"/>
    </row>
    <row r="570">
      <c r="A570" s="15"/>
      <c r="D570" s="15"/>
      <c r="E570" s="15"/>
    </row>
    <row r="571">
      <c r="A571" s="15"/>
      <c r="D571" s="15"/>
      <c r="E571" s="15"/>
    </row>
    <row r="572">
      <c r="A572" s="15"/>
      <c r="D572" s="15"/>
      <c r="E572" s="15"/>
    </row>
    <row r="573">
      <c r="A573" s="15"/>
      <c r="D573" s="15"/>
      <c r="E573" s="15"/>
    </row>
    <row r="574">
      <c r="A574" s="15"/>
      <c r="D574" s="15"/>
      <c r="E574" s="15"/>
    </row>
    <row r="575">
      <c r="A575" s="15"/>
      <c r="D575" s="15"/>
      <c r="E575" s="15"/>
    </row>
    <row r="576">
      <c r="A576" s="15"/>
      <c r="D576" s="15"/>
      <c r="E576" s="15"/>
    </row>
    <row r="577">
      <c r="A577" s="15"/>
      <c r="D577" s="15"/>
      <c r="E577" s="15"/>
    </row>
    <row r="578">
      <c r="A578" s="15"/>
      <c r="D578" s="15"/>
      <c r="E578" s="15"/>
    </row>
    <row r="579">
      <c r="A579" s="15"/>
      <c r="D579" s="15"/>
      <c r="E579" s="15"/>
    </row>
    <row r="580">
      <c r="A580" s="15"/>
      <c r="D580" s="15"/>
      <c r="E580" s="15"/>
    </row>
    <row r="581">
      <c r="A581" s="15"/>
      <c r="D581" s="15"/>
      <c r="E581" s="15"/>
    </row>
    <row r="582">
      <c r="A582" s="15"/>
      <c r="D582" s="15"/>
      <c r="E582" s="15"/>
    </row>
    <row r="583">
      <c r="A583" s="15"/>
      <c r="D583" s="15"/>
      <c r="E583" s="15"/>
    </row>
    <row r="584">
      <c r="A584" s="15"/>
      <c r="D584" s="15"/>
      <c r="E584" s="15"/>
    </row>
    <row r="585">
      <c r="A585" s="15"/>
      <c r="D585" s="15"/>
      <c r="E585" s="15"/>
    </row>
    <row r="586">
      <c r="A586" s="15"/>
      <c r="D586" s="15"/>
      <c r="E586" s="15"/>
    </row>
    <row r="587">
      <c r="A587" s="15"/>
      <c r="D587" s="15"/>
      <c r="E587" s="15"/>
    </row>
    <row r="588">
      <c r="A588" s="15"/>
      <c r="D588" s="15"/>
      <c r="E588" s="15"/>
    </row>
    <row r="589">
      <c r="A589" s="15"/>
      <c r="D589" s="15"/>
      <c r="E589" s="15"/>
    </row>
    <row r="590">
      <c r="A590" s="15"/>
      <c r="D590" s="15"/>
      <c r="E590" s="15"/>
    </row>
    <row r="591">
      <c r="A591" s="15"/>
      <c r="D591" s="15"/>
      <c r="E591" s="15"/>
    </row>
    <row r="592">
      <c r="A592" s="15"/>
      <c r="D592" s="15"/>
      <c r="E592" s="15"/>
    </row>
    <row r="593">
      <c r="A593" s="15"/>
      <c r="D593" s="15"/>
      <c r="E593" s="15"/>
    </row>
    <row r="594">
      <c r="A594" s="15"/>
      <c r="D594" s="15"/>
      <c r="E594" s="15"/>
    </row>
    <row r="595">
      <c r="A595" s="15"/>
      <c r="D595" s="15"/>
      <c r="E595" s="15"/>
    </row>
    <row r="596">
      <c r="A596" s="15"/>
      <c r="D596" s="15"/>
      <c r="E596" s="15"/>
    </row>
    <row r="597">
      <c r="A597" s="15"/>
      <c r="D597" s="15"/>
      <c r="E597" s="15"/>
    </row>
    <row r="598">
      <c r="A598" s="15"/>
      <c r="D598" s="15"/>
      <c r="E598" s="15"/>
    </row>
    <row r="599">
      <c r="A599" s="15"/>
      <c r="D599" s="15"/>
      <c r="E599" s="15"/>
    </row>
    <row r="600">
      <c r="A600" s="15"/>
      <c r="D600" s="15"/>
      <c r="E600" s="15"/>
    </row>
    <row r="601">
      <c r="A601" s="15"/>
      <c r="D601" s="15"/>
      <c r="E601" s="15"/>
    </row>
    <row r="602">
      <c r="A602" s="15"/>
      <c r="D602" s="15"/>
      <c r="E602" s="15"/>
    </row>
    <row r="603">
      <c r="A603" s="15"/>
      <c r="D603" s="15"/>
      <c r="E603" s="15"/>
    </row>
    <row r="604">
      <c r="A604" s="15"/>
      <c r="D604" s="15"/>
      <c r="E604" s="15"/>
    </row>
    <row r="605">
      <c r="A605" s="15"/>
      <c r="D605" s="15"/>
      <c r="E605" s="15"/>
    </row>
    <row r="606">
      <c r="A606" s="15"/>
      <c r="D606" s="15"/>
      <c r="E606" s="15"/>
    </row>
    <row r="607">
      <c r="A607" s="15"/>
      <c r="D607" s="15"/>
      <c r="E607" s="15"/>
    </row>
    <row r="608">
      <c r="A608" s="15"/>
      <c r="D608" s="15"/>
      <c r="E608" s="15"/>
    </row>
    <row r="609">
      <c r="A609" s="15"/>
      <c r="D609" s="15"/>
      <c r="E609" s="15"/>
    </row>
    <row r="610">
      <c r="A610" s="15"/>
      <c r="D610" s="15"/>
      <c r="E610" s="15"/>
    </row>
    <row r="611">
      <c r="A611" s="15"/>
      <c r="D611" s="15"/>
      <c r="E611" s="15"/>
    </row>
    <row r="612">
      <c r="A612" s="15"/>
      <c r="D612" s="15"/>
      <c r="E612" s="15"/>
    </row>
    <row r="613">
      <c r="A613" s="15"/>
      <c r="D613" s="15"/>
      <c r="E613" s="15"/>
    </row>
    <row r="614">
      <c r="A614" s="15"/>
      <c r="D614" s="15"/>
      <c r="E614" s="15"/>
    </row>
    <row r="615">
      <c r="A615" s="15"/>
      <c r="D615" s="15"/>
      <c r="E615" s="15"/>
    </row>
    <row r="616">
      <c r="A616" s="15"/>
      <c r="D616" s="15"/>
      <c r="E616" s="15"/>
    </row>
    <row r="617">
      <c r="A617" s="15"/>
      <c r="D617" s="15"/>
      <c r="E617" s="15"/>
    </row>
    <row r="618">
      <c r="A618" s="15"/>
      <c r="D618" s="15"/>
      <c r="E618" s="15"/>
    </row>
    <row r="619">
      <c r="A619" s="15"/>
      <c r="D619" s="15"/>
      <c r="E619" s="15"/>
    </row>
    <row r="620">
      <c r="A620" s="15"/>
      <c r="D620" s="15"/>
      <c r="E620" s="15"/>
    </row>
    <row r="621">
      <c r="A621" s="15"/>
      <c r="D621" s="15"/>
      <c r="E621" s="15"/>
    </row>
    <row r="622">
      <c r="A622" s="15"/>
      <c r="D622" s="15"/>
      <c r="E622" s="15"/>
    </row>
    <row r="623">
      <c r="A623" s="15"/>
      <c r="D623" s="15"/>
      <c r="E623" s="15"/>
    </row>
    <row r="624">
      <c r="A624" s="15"/>
      <c r="D624" s="15"/>
      <c r="E624" s="15"/>
    </row>
    <row r="625">
      <c r="A625" s="15"/>
      <c r="D625" s="15"/>
      <c r="E625" s="15"/>
    </row>
    <row r="626">
      <c r="A626" s="15"/>
      <c r="D626" s="15"/>
      <c r="E626" s="15"/>
    </row>
    <row r="627">
      <c r="A627" s="15"/>
      <c r="D627" s="15"/>
      <c r="E627" s="15"/>
    </row>
    <row r="628">
      <c r="A628" s="15"/>
      <c r="D628" s="15"/>
      <c r="E628" s="15"/>
    </row>
    <row r="629">
      <c r="A629" s="15"/>
      <c r="D629" s="15"/>
      <c r="E629" s="15"/>
    </row>
    <row r="630">
      <c r="A630" s="15"/>
      <c r="D630" s="15"/>
      <c r="E630" s="15"/>
    </row>
    <row r="631">
      <c r="A631" s="15"/>
      <c r="D631" s="15"/>
      <c r="E631" s="15"/>
    </row>
    <row r="632">
      <c r="A632" s="15"/>
      <c r="D632" s="15"/>
      <c r="E632" s="15"/>
    </row>
    <row r="633">
      <c r="A633" s="15"/>
      <c r="D633" s="15"/>
      <c r="E633" s="15"/>
    </row>
    <row r="634">
      <c r="A634" s="15"/>
      <c r="D634" s="15"/>
      <c r="E634" s="15"/>
    </row>
    <row r="635">
      <c r="A635" s="15"/>
      <c r="D635" s="15"/>
      <c r="E635" s="15"/>
    </row>
    <row r="636">
      <c r="A636" s="15"/>
      <c r="D636" s="15"/>
      <c r="E636" s="15"/>
    </row>
    <row r="637">
      <c r="A637" s="15"/>
      <c r="D637" s="15"/>
      <c r="E637" s="15"/>
    </row>
    <row r="638">
      <c r="A638" s="15"/>
      <c r="D638" s="15"/>
      <c r="E638" s="15"/>
    </row>
    <row r="639">
      <c r="A639" s="15"/>
      <c r="D639" s="15"/>
      <c r="E639" s="15"/>
    </row>
    <row r="640">
      <c r="A640" s="15"/>
      <c r="D640" s="15"/>
      <c r="E640" s="15"/>
    </row>
    <row r="641">
      <c r="A641" s="15"/>
      <c r="D641" s="15"/>
      <c r="E641" s="15"/>
    </row>
    <row r="642">
      <c r="A642" s="15"/>
      <c r="D642" s="15"/>
      <c r="E642" s="15"/>
    </row>
    <row r="643">
      <c r="A643" s="15"/>
      <c r="D643" s="15"/>
      <c r="E643" s="15"/>
    </row>
    <row r="644">
      <c r="A644" s="15"/>
      <c r="D644" s="15"/>
      <c r="E644" s="15"/>
    </row>
    <row r="645">
      <c r="A645" s="15"/>
      <c r="D645" s="15"/>
      <c r="E645" s="15"/>
    </row>
    <row r="646">
      <c r="A646" s="15"/>
      <c r="D646" s="15"/>
      <c r="E646" s="15"/>
    </row>
    <row r="647">
      <c r="A647" s="15"/>
      <c r="D647" s="15"/>
      <c r="E647" s="15"/>
    </row>
    <row r="648">
      <c r="A648" s="15"/>
      <c r="D648" s="15"/>
      <c r="E648" s="15"/>
    </row>
    <row r="649">
      <c r="A649" s="15"/>
      <c r="D649" s="15"/>
      <c r="E649" s="15"/>
    </row>
    <row r="650">
      <c r="A650" s="15"/>
      <c r="D650" s="15"/>
      <c r="E650" s="15"/>
    </row>
    <row r="651">
      <c r="A651" s="15"/>
      <c r="D651" s="15"/>
      <c r="E651" s="15"/>
    </row>
    <row r="652">
      <c r="A652" s="15"/>
      <c r="D652" s="15"/>
      <c r="E652" s="15"/>
    </row>
    <row r="653">
      <c r="A653" s="15"/>
      <c r="D653" s="15"/>
      <c r="E653" s="15"/>
    </row>
    <row r="654">
      <c r="A654" s="15"/>
      <c r="D654" s="15"/>
      <c r="E654" s="15"/>
    </row>
    <row r="655">
      <c r="A655" s="15"/>
      <c r="D655" s="15"/>
      <c r="E655" s="15"/>
    </row>
    <row r="656">
      <c r="A656" s="15"/>
      <c r="D656" s="15"/>
      <c r="E656" s="15"/>
    </row>
    <row r="657">
      <c r="A657" s="15"/>
      <c r="D657" s="15"/>
      <c r="E657" s="15"/>
    </row>
    <row r="658">
      <c r="A658" s="15"/>
      <c r="D658" s="15"/>
      <c r="E658" s="15"/>
    </row>
    <row r="659">
      <c r="A659" s="15"/>
      <c r="D659" s="15"/>
      <c r="E659" s="15"/>
    </row>
    <row r="660">
      <c r="A660" s="15"/>
      <c r="D660" s="15"/>
      <c r="E660" s="15"/>
    </row>
    <row r="661">
      <c r="A661" s="15"/>
      <c r="D661" s="15"/>
      <c r="E661" s="15"/>
    </row>
    <row r="662">
      <c r="A662" s="15"/>
      <c r="D662" s="15"/>
      <c r="E662" s="15"/>
    </row>
    <row r="663">
      <c r="A663" s="15"/>
      <c r="D663" s="15"/>
      <c r="E663" s="15"/>
    </row>
    <row r="664">
      <c r="A664" s="15"/>
      <c r="D664" s="15"/>
      <c r="E664" s="15"/>
    </row>
    <row r="665">
      <c r="A665" s="15"/>
      <c r="D665" s="15"/>
      <c r="E665" s="15"/>
    </row>
    <row r="666">
      <c r="A666" s="15"/>
      <c r="D666" s="15"/>
      <c r="E666" s="15"/>
    </row>
    <row r="667">
      <c r="A667" s="15"/>
      <c r="D667" s="15"/>
      <c r="E667" s="15"/>
    </row>
    <row r="668">
      <c r="A668" s="15"/>
      <c r="D668" s="15"/>
      <c r="E668" s="15"/>
    </row>
    <row r="669">
      <c r="A669" s="15"/>
      <c r="D669" s="15"/>
      <c r="E669" s="15"/>
    </row>
    <row r="670">
      <c r="A670" s="15"/>
      <c r="D670" s="15"/>
      <c r="E670" s="15"/>
    </row>
    <row r="671">
      <c r="A671" s="15"/>
      <c r="D671" s="15"/>
      <c r="E671" s="15"/>
    </row>
    <row r="672">
      <c r="A672" s="15"/>
      <c r="D672" s="15"/>
      <c r="E672" s="15"/>
    </row>
    <row r="673">
      <c r="A673" s="15"/>
      <c r="D673" s="15"/>
      <c r="E673" s="15"/>
    </row>
    <row r="674">
      <c r="A674" s="15"/>
      <c r="D674" s="15"/>
      <c r="E674" s="15"/>
    </row>
    <row r="675">
      <c r="A675" s="15"/>
      <c r="D675" s="15"/>
      <c r="E675" s="15"/>
    </row>
    <row r="676">
      <c r="A676" s="15"/>
      <c r="D676" s="15"/>
      <c r="E676" s="15"/>
    </row>
    <row r="677">
      <c r="A677" s="15"/>
      <c r="D677" s="15"/>
      <c r="E677" s="15"/>
    </row>
    <row r="678">
      <c r="A678" s="15"/>
      <c r="D678" s="15"/>
      <c r="E678" s="15"/>
    </row>
    <row r="679">
      <c r="A679" s="15"/>
      <c r="D679" s="15"/>
      <c r="E679" s="15"/>
    </row>
    <row r="680">
      <c r="A680" s="15"/>
      <c r="D680" s="15"/>
      <c r="E680" s="15"/>
    </row>
    <row r="681">
      <c r="A681" s="15"/>
      <c r="D681" s="15"/>
      <c r="E681" s="15"/>
    </row>
    <row r="682">
      <c r="A682" s="15"/>
      <c r="D682" s="15"/>
      <c r="E682" s="15"/>
    </row>
    <row r="683">
      <c r="A683" s="15"/>
      <c r="D683" s="15"/>
      <c r="E683" s="15"/>
    </row>
    <row r="684">
      <c r="A684" s="15"/>
      <c r="D684" s="15"/>
      <c r="E684" s="15"/>
    </row>
    <row r="685">
      <c r="A685" s="15"/>
      <c r="D685" s="15"/>
      <c r="E685" s="15"/>
    </row>
    <row r="686">
      <c r="A686" s="15"/>
      <c r="D686" s="15"/>
      <c r="E686" s="15"/>
    </row>
    <row r="687">
      <c r="A687" s="15"/>
      <c r="D687" s="15"/>
      <c r="E687" s="15"/>
    </row>
    <row r="688">
      <c r="A688" s="15"/>
      <c r="D688" s="15"/>
      <c r="E688" s="15"/>
    </row>
    <row r="689">
      <c r="A689" s="15"/>
      <c r="D689" s="15"/>
      <c r="E689" s="15"/>
    </row>
    <row r="690">
      <c r="A690" s="15"/>
      <c r="D690" s="15"/>
      <c r="E690" s="15"/>
    </row>
    <row r="691">
      <c r="A691" s="15"/>
      <c r="D691" s="15"/>
      <c r="E691" s="15"/>
    </row>
    <row r="692">
      <c r="A692" s="15"/>
      <c r="D692" s="15"/>
      <c r="E692" s="15"/>
    </row>
    <row r="693">
      <c r="A693" s="15"/>
      <c r="D693" s="15"/>
      <c r="E693" s="15"/>
    </row>
    <row r="694">
      <c r="A694" s="15"/>
      <c r="D694" s="15"/>
      <c r="E694" s="15"/>
    </row>
    <row r="695">
      <c r="A695" s="15"/>
      <c r="D695" s="15"/>
      <c r="E695" s="15"/>
    </row>
    <row r="696">
      <c r="A696" s="15"/>
      <c r="D696" s="15"/>
      <c r="E696" s="15"/>
    </row>
    <row r="697">
      <c r="A697" s="15"/>
      <c r="D697" s="15"/>
      <c r="E697" s="15"/>
    </row>
    <row r="698">
      <c r="A698" s="15"/>
      <c r="D698" s="15"/>
      <c r="E698" s="15"/>
    </row>
    <row r="699">
      <c r="A699" s="15"/>
      <c r="D699" s="15"/>
      <c r="E699" s="15"/>
    </row>
    <row r="700">
      <c r="A700" s="15"/>
      <c r="D700" s="15"/>
      <c r="E700" s="15"/>
    </row>
    <row r="701">
      <c r="A701" s="15"/>
      <c r="D701" s="15"/>
      <c r="E701" s="15"/>
    </row>
    <row r="702">
      <c r="A702" s="15"/>
      <c r="D702" s="15"/>
      <c r="E702" s="15"/>
    </row>
    <row r="703">
      <c r="A703" s="15"/>
      <c r="D703" s="15"/>
      <c r="E703" s="15"/>
    </row>
    <row r="704">
      <c r="A704" s="15"/>
      <c r="D704" s="15"/>
      <c r="E704" s="15"/>
    </row>
    <row r="705">
      <c r="A705" s="15"/>
      <c r="D705" s="15"/>
      <c r="E705" s="15"/>
    </row>
    <row r="706">
      <c r="A706" s="15"/>
      <c r="D706" s="15"/>
      <c r="E706" s="15"/>
    </row>
    <row r="707">
      <c r="A707" s="15"/>
      <c r="D707" s="15"/>
      <c r="E707" s="15"/>
    </row>
    <row r="708">
      <c r="A708" s="15"/>
      <c r="D708" s="15"/>
      <c r="E708" s="15"/>
    </row>
    <row r="709">
      <c r="A709" s="15"/>
      <c r="D709" s="15"/>
      <c r="E709" s="15"/>
    </row>
    <row r="710">
      <c r="A710" s="15"/>
      <c r="D710" s="15"/>
      <c r="E710" s="15"/>
    </row>
    <row r="711">
      <c r="A711" s="15"/>
      <c r="D711" s="15"/>
      <c r="E711" s="15"/>
    </row>
    <row r="712">
      <c r="A712" s="15"/>
      <c r="D712" s="15"/>
      <c r="E712" s="15"/>
    </row>
    <row r="713">
      <c r="A713" s="15"/>
      <c r="D713" s="15"/>
      <c r="E713" s="15"/>
    </row>
    <row r="714">
      <c r="A714" s="15"/>
      <c r="D714" s="15"/>
      <c r="E714" s="15"/>
    </row>
    <row r="715">
      <c r="A715" s="15"/>
      <c r="D715" s="15"/>
      <c r="E715" s="15"/>
    </row>
    <row r="716">
      <c r="A716" s="15"/>
      <c r="D716" s="15"/>
      <c r="E716" s="15"/>
    </row>
    <row r="717">
      <c r="A717" s="15"/>
      <c r="D717" s="15"/>
      <c r="E717" s="15"/>
    </row>
    <row r="718">
      <c r="A718" s="15"/>
      <c r="D718" s="15"/>
      <c r="E718" s="15"/>
    </row>
    <row r="719">
      <c r="A719" s="15"/>
      <c r="D719" s="15"/>
      <c r="E719" s="15"/>
    </row>
    <row r="720">
      <c r="A720" s="15"/>
      <c r="D720" s="15"/>
      <c r="E720" s="15"/>
    </row>
    <row r="721">
      <c r="A721" s="15"/>
      <c r="D721" s="15"/>
      <c r="E721" s="15"/>
    </row>
    <row r="722">
      <c r="A722" s="15"/>
      <c r="D722" s="15"/>
      <c r="E722" s="15"/>
    </row>
    <row r="723">
      <c r="A723" s="15"/>
      <c r="D723" s="15"/>
      <c r="E723" s="15"/>
    </row>
    <row r="724">
      <c r="A724" s="15"/>
      <c r="D724" s="15"/>
      <c r="E724" s="15"/>
    </row>
    <row r="725">
      <c r="A725" s="15"/>
      <c r="D725" s="15"/>
      <c r="E725" s="15"/>
    </row>
    <row r="726">
      <c r="A726" s="15"/>
      <c r="D726" s="15"/>
      <c r="E726" s="15"/>
    </row>
    <row r="727">
      <c r="A727" s="15"/>
      <c r="D727" s="15"/>
      <c r="E727" s="15"/>
    </row>
    <row r="728">
      <c r="A728" s="15"/>
      <c r="D728" s="15"/>
      <c r="E728" s="15"/>
    </row>
    <row r="729">
      <c r="A729" s="15"/>
      <c r="D729" s="15"/>
      <c r="E729" s="15"/>
    </row>
    <row r="730">
      <c r="A730" s="15"/>
      <c r="D730" s="15"/>
      <c r="E730" s="15"/>
    </row>
    <row r="731">
      <c r="A731" s="15"/>
      <c r="D731" s="15"/>
      <c r="E731" s="15"/>
    </row>
    <row r="732">
      <c r="A732" s="15"/>
      <c r="D732" s="15"/>
      <c r="E732" s="15"/>
    </row>
    <row r="733">
      <c r="A733" s="15"/>
      <c r="D733" s="15"/>
      <c r="E733" s="15"/>
    </row>
    <row r="734">
      <c r="A734" s="15"/>
      <c r="D734" s="15"/>
      <c r="E734" s="15"/>
    </row>
    <row r="735">
      <c r="A735" s="15"/>
      <c r="D735" s="15"/>
      <c r="E735" s="15"/>
    </row>
    <row r="736">
      <c r="A736" s="15"/>
      <c r="D736" s="15"/>
      <c r="E736" s="15"/>
    </row>
    <row r="737">
      <c r="A737" s="15"/>
      <c r="D737" s="15"/>
      <c r="E737" s="15"/>
    </row>
    <row r="738">
      <c r="A738" s="15"/>
      <c r="D738" s="15"/>
      <c r="E738" s="15"/>
    </row>
    <row r="739">
      <c r="A739" s="15"/>
      <c r="D739" s="15"/>
      <c r="E739" s="15"/>
    </row>
    <row r="740">
      <c r="A740" s="15"/>
      <c r="D740" s="15"/>
      <c r="E740" s="15"/>
    </row>
    <row r="741">
      <c r="A741" s="15"/>
      <c r="D741" s="15"/>
      <c r="E741" s="15"/>
    </row>
    <row r="742">
      <c r="A742" s="15"/>
      <c r="D742" s="15"/>
      <c r="E742" s="15"/>
    </row>
    <row r="743">
      <c r="A743" s="15"/>
      <c r="D743" s="15"/>
      <c r="E743" s="15"/>
    </row>
    <row r="744">
      <c r="A744" s="15"/>
      <c r="D744" s="15"/>
      <c r="E744" s="15"/>
    </row>
    <row r="745">
      <c r="A745" s="15"/>
      <c r="D745" s="15"/>
      <c r="E745" s="15"/>
    </row>
    <row r="746">
      <c r="A746" s="15"/>
      <c r="D746" s="15"/>
      <c r="E746" s="15"/>
    </row>
    <row r="747">
      <c r="A747" s="15"/>
      <c r="D747" s="15"/>
      <c r="E747" s="15"/>
    </row>
    <row r="748">
      <c r="A748" s="15"/>
      <c r="D748" s="15"/>
      <c r="E748" s="15"/>
    </row>
    <row r="749">
      <c r="A749" s="15"/>
      <c r="D749" s="15"/>
      <c r="E749" s="15"/>
    </row>
    <row r="750">
      <c r="A750" s="15"/>
      <c r="D750" s="15"/>
      <c r="E750" s="15"/>
    </row>
    <row r="751">
      <c r="A751" s="15"/>
      <c r="D751" s="15"/>
      <c r="E751" s="15"/>
    </row>
    <row r="752">
      <c r="A752" s="15"/>
      <c r="D752" s="15"/>
      <c r="E752" s="15"/>
    </row>
    <row r="753">
      <c r="A753" s="15"/>
      <c r="D753" s="15"/>
      <c r="E753" s="15"/>
    </row>
    <row r="754">
      <c r="A754" s="15"/>
      <c r="D754" s="15"/>
      <c r="E754" s="15"/>
    </row>
    <row r="755">
      <c r="A755" s="15"/>
      <c r="D755" s="15"/>
      <c r="E755" s="15"/>
    </row>
    <row r="756">
      <c r="A756" s="15"/>
      <c r="D756" s="15"/>
      <c r="E756" s="15"/>
    </row>
    <row r="757">
      <c r="A757" s="15"/>
      <c r="D757" s="15"/>
      <c r="E757" s="15"/>
    </row>
    <row r="758">
      <c r="A758" s="15"/>
      <c r="D758" s="15"/>
      <c r="E758" s="15"/>
    </row>
    <row r="759">
      <c r="A759" s="15"/>
      <c r="D759" s="15"/>
      <c r="E759" s="15"/>
    </row>
    <row r="760">
      <c r="A760" s="15"/>
      <c r="D760" s="15"/>
      <c r="E760" s="15"/>
    </row>
    <row r="761">
      <c r="A761" s="15"/>
      <c r="D761" s="15"/>
      <c r="E761" s="15"/>
    </row>
    <row r="762">
      <c r="A762" s="15"/>
      <c r="D762" s="15"/>
      <c r="E762" s="15"/>
    </row>
    <row r="763">
      <c r="A763" s="15"/>
      <c r="D763" s="15"/>
      <c r="E763" s="15"/>
    </row>
    <row r="764">
      <c r="A764" s="15"/>
      <c r="D764" s="15"/>
      <c r="E764" s="15"/>
    </row>
    <row r="765">
      <c r="A765" s="15"/>
      <c r="D765" s="15"/>
      <c r="E765" s="15"/>
    </row>
    <row r="766">
      <c r="A766" s="15"/>
      <c r="D766" s="15"/>
      <c r="E766" s="15"/>
    </row>
    <row r="767">
      <c r="A767" s="15"/>
      <c r="D767" s="15"/>
      <c r="E767" s="15"/>
    </row>
    <row r="768">
      <c r="A768" s="15"/>
      <c r="D768" s="15"/>
      <c r="E768" s="15"/>
    </row>
    <row r="769">
      <c r="A769" s="15"/>
      <c r="D769" s="15"/>
      <c r="E769" s="15"/>
    </row>
    <row r="770">
      <c r="A770" s="15"/>
      <c r="D770" s="15"/>
      <c r="E770" s="15"/>
    </row>
    <row r="771">
      <c r="A771" s="15"/>
      <c r="D771" s="15"/>
      <c r="E771" s="15"/>
    </row>
    <row r="772">
      <c r="A772" s="15"/>
      <c r="D772" s="15"/>
      <c r="E772" s="15"/>
    </row>
    <row r="773">
      <c r="A773" s="15"/>
      <c r="D773" s="15"/>
      <c r="E773" s="15"/>
    </row>
    <row r="774">
      <c r="A774" s="15"/>
      <c r="D774" s="15"/>
      <c r="E774" s="15"/>
    </row>
    <row r="775">
      <c r="A775" s="15"/>
      <c r="D775" s="15"/>
      <c r="E775" s="15"/>
    </row>
    <row r="776">
      <c r="A776" s="15"/>
      <c r="D776" s="15"/>
      <c r="E776" s="15"/>
    </row>
    <row r="777">
      <c r="A777" s="15"/>
      <c r="D777" s="15"/>
      <c r="E777" s="15"/>
    </row>
    <row r="778">
      <c r="A778" s="15"/>
      <c r="D778" s="15"/>
      <c r="E778" s="15"/>
    </row>
    <row r="779">
      <c r="A779" s="15"/>
      <c r="D779" s="15"/>
      <c r="E779" s="15"/>
    </row>
    <row r="780">
      <c r="A780" s="15"/>
      <c r="D780" s="15"/>
      <c r="E780" s="15"/>
    </row>
    <row r="781">
      <c r="A781" s="15"/>
      <c r="D781" s="15"/>
      <c r="E781" s="15"/>
    </row>
    <row r="782">
      <c r="A782" s="15"/>
      <c r="D782" s="15"/>
      <c r="E782" s="15"/>
    </row>
    <row r="783">
      <c r="A783" s="15"/>
      <c r="D783" s="15"/>
      <c r="E783" s="15"/>
    </row>
    <row r="784">
      <c r="A784" s="15"/>
      <c r="D784" s="15"/>
      <c r="E784" s="15"/>
    </row>
    <row r="785">
      <c r="A785" s="15"/>
      <c r="D785" s="15"/>
      <c r="E785" s="15"/>
    </row>
    <row r="786">
      <c r="A786" s="15"/>
      <c r="D786" s="15"/>
      <c r="E786" s="15"/>
    </row>
    <row r="787">
      <c r="A787" s="15"/>
      <c r="D787" s="15"/>
      <c r="E787" s="15"/>
    </row>
    <row r="788">
      <c r="A788" s="15"/>
      <c r="D788" s="15"/>
      <c r="E788" s="15"/>
    </row>
    <row r="789">
      <c r="A789" s="15"/>
      <c r="D789" s="15"/>
      <c r="E789" s="15"/>
    </row>
    <row r="790">
      <c r="A790" s="15"/>
      <c r="D790" s="15"/>
      <c r="E790" s="15"/>
    </row>
    <row r="791">
      <c r="A791" s="15"/>
      <c r="D791" s="15"/>
      <c r="E791" s="15"/>
    </row>
    <row r="792">
      <c r="A792" s="15"/>
      <c r="D792" s="15"/>
      <c r="E792" s="15"/>
    </row>
    <row r="793">
      <c r="A793" s="15"/>
      <c r="D793" s="15"/>
      <c r="E793" s="15"/>
    </row>
    <row r="794">
      <c r="A794" s="15"/>
      <c r="D794" s="15"/>
      <c r="E794" s="15"/>
    </row>
    <row r="795">
      <c r="A795" s="15"/>
      <c r="D795" s="15"/>
      <c r="E795" s="15"/>
    </row>
    <row r="796">
      <c r="A796" s="15"/>
      <c r="D796" s="15"/>
      <c r="E796" s="15"/>
    </row>
    <row r="797">
      <c r="A797" s="15"/>
      <c r="D797" s="15"/>
      <c r="E797" s="15"/>
    </row>
    <row r="798">
      <c r="A798" s="15"/>
      <c r="D798" s="15"/>
      <c r="E798" s="15"/>
    </row>
    <row r="799">
      <c r="A799" s="15"/>
      <c r="D799" s="15"/>
      <c r="E799" s="15"/>
    </row>
    <row r="800">
      <c r="A800" s="15"/>
      <c r="D800" s="15"/>
      <c r="E800" s="15"/>
    </row>
    <row r="801">
      <c r="A801" s="15"/>
      <c r="D801" s="15"/>
      <c r="E801" s="15"/>
    </row>
    <row r="802">
      <c r="A802" s="15"/>
      <c r="D802" s="15"/>
      <c r="E802" s="15"/>
    </row>
    <row r="803">
      <c r="A803" s="15"/>
      <c r="D803" s="15"/>
      <c r="E803" s="15"/>
    </row>
    <row r="804">
      <c r="A804" s="15"/>
      <c r="D804" s="15"/>
      <c r="E804" s="15"/>
    </row>
    <row r="805">
      <c r="A805" s="15"/>
      <c r="D805" s="15"/>
      <c r="E805" s="15"/>
    </row>
    <row r="806">
      <c r="A806" s="15"/>
      <c r="D806" s="15"/>
      <c r="E806" s="15"/>
    </row>
    <row r="807">
      <c r="A807" s="15"/>
      <c r="D807" s="15"/>
      <c r="E807" s="15"/>
    </row>
    <row r="808">
      <c r="A808" s="15"/>
      <c r="D808" s="15"/>
      <c r="E808" s="15"/>
    </row>
    <row r="809">
      <c r="A809" s="15"/>
      <c r="D809" s="15"/>
      <c r="E809" s="15"/>
    </row>
    <row r="810">
      <c r="A810" s="15"/>
      <c r="D810" s="15"/>
      <c r="E810" s="15"/>
    </row>
    <row r="811">
      <c r="A811" s="15"/>
      <c r="D811" s="15"/>
      <c r="E811" s="15"/>
    </row>
    <row r="812">
      <c r="A812" s="15"/>
      <c r="D812" s="15"/>
      <c r="E812" s="15"/>
    </row>
    <row r="813">
      <c r="A813" s="15"/>
      <c r="D813" s="15"/>
      <c r="E813" s="15"/>
    </row>
    <row r="814">
      <c r="A814" s="15"/>
      <c r="D814" s="15"/>
      <c r="E814" s="15"/>
    </row>
    <row r="815">
      <c r="A815" s="15"/>
      <c r="D815" s="15"/>
      <c r="E815" s="15"/>
    </row>
    <row r="816">
      <c r="A816" s="15"/>
      <c r="D816" s="15"/>
      <c r="E816" s="15"/>
    </row>
    <row r="817">
      <c r="A817" s="15"/>
      <c r="D817" s="15"/>
      <c r="E817" s="15"/>
    </row>
    <row r="818">
      <c r="A818" s="15"/>
      <c r="D818" s="15"/>
      <c r="E818" s="15"/>
    </row>
    <row r="819">
      <c r="A819" s="15"/>
      <c r="D819" s="15"/>
      <c r="E819" s="15"/>
    </row>
    <row r="820">
      <c r="A820" s="15"/>
      <c r="D820" s="15"/>
      <c r="E820" s="15"/>
    </row>
    <row r="821">
      <c r="A821" s="15"/>
      <c r="D821" s="15"/>
      <c r="E821" s="15"/>
    </row>
    <row r="822">
      <c r="A822" s="15"/>
      <c r="D822" s="15"/>
      <c r="E822" s="15"/>
    </row>
    <row r="823">
      <c r="A823" s="15"/>
      <c r="D823" s="15"/>
      <c r="E823" s="15"/>
    </row>
    <row r="824">
      <c r="A824" s="15"/>
      <c r="D824" s="15"/>
      <c r="E824" s="15"/>
    </row>
    <row r="825">
      <c r="A825" s="15"/>
      <c r="D825" s="15"/>
      <c r="E825" s="15"/>
    </row>
    <row r="826">
      <c r="A826" s="15"/>
      <c r="D826" s="15"/>
      <c r="E826" s="15"/>
    </row>
    <row r="827">
      <c r="A827" s="15"/>
      <c r="D827" s="15"/>
      <c r="E827" s="15"/>
    </row>
    <row r="828">
      <c r="A828" s="15"/>
      <c r="D828" s="15"/>
      <c r="E828" s="15"/>
    </row>
    <row r="829">
      <c r="A829" s="15"/>
      <c r="D829" s="15"/>
      <c r="E829" s="15"/>
    </row>
    <row r="830">
      <c r="A830" s="15"/>
      <c r="D830" s="15"/>
      <c r="E830" s="15"/>
    </row>
    <row r="831">
      <c r="A831" s="15"/>
      <c r="D831" s="15"/>
      <c r="E831" s="15"/>
    </row>
    <row r="832">
      <c r="A832" s="15"/>
      <c r="D832" s="15"/>
      <c r="E832" s="15"/>
    </row>
    <row r="833">
      <c r="A833" s="15"/>
      <c r="D833" s="15"/>
      <c r="E833" s="15"/>
    </row>
    <row r="834">
      <c r="A834" s="15"/>
      <c r="D834" s="15"/>
      <c r="E834" s="15"/>
    </row>
    <row r="835">
      <c r="A835" s="15"/>
      <c r="D835" s="15"/>
      <c r="E835" s="15"/>
    </row>
    <row r="836">
      <c r="A836" s="15"/>
      <c r="D836" s="15"/>
      <c r="E836" s="15"/>
    </row>
    <row r="837">
      <c r="A837" s="15"/>
      <c r="D837" s="15"/>
      <c r="E837" s="15"/>
    </row>
    <row r="838">
      <c r="A838" s="15"/>
      <c r="D838" s="15"/>
      <c r="E838" s="15"/>
    </row>
    <row r="839">
      <c r="A839" s="15"/>
      <c r="D839" s="15"/>
      <c r="E839" s="15"/>
    </row>
    <row r="840">
      <c r="A840" s="15"/>
      <c r="D840" s="15"/>
      <c r="E840" s="15"/>
    </row>
    <row r="841">
      <c r="A841" s="15"/>
      <c r="D841" s="15"/>
      <c r="E841" s="15"/>
    </row>
    <row r="842">
      <c r="A842" s="15"/>
      <c r="D842" s="15"/>
      <c r="E842" s="15"/>
    </row>
    <row r="843">
      <c r="A843" s="15"/>
      <c r="D843" s="15"/>
      <c r="E843" s="15"/>
    </row>
    <row r="844">
      <c r="A844" s="15"/>
      <c r="D844" s="15"/>
      <c r="E844" s="15"/>
    </row>
    <row r="845">
      <c r="A845" s="15"/>
      <c r="D845" s="15"/>
      <c r="E845" s="15"/>
    </row>
    <row r="846">
      <c r="A846" s="15"/>
      <c r="D846" s="15"/>
      <c r="E846" s="15"/>
    </row>
    <row r="847">
      <c r="A847" s="15"/>
      <c r="D847" s="15"/>
      <c r="E847" s="15"/>
    </row>
    <row r="848">
      <c r="A848" s="15"/>
      <c r="D848" s="15"/>
      <c r="E848" s="15"/>
    </row>
    <row r="849">
      <c r="A849" s="15"/>
      <c r="D849" s="15"/>
      <c r="E849" s="15"/>
    </row>
    <row r="850">
      <c r="A850" s="15"/>
      <c r="D850" s="15"/>
      <c r="E850" s="15"/>
    </row>
    <row r="851">
      <c r="A851" s="15"/>
      <c r="D851" s="15"/>
      <c r="E851" s="15"/>
    </row>
    <row r="852">
      <c r="A852" s="15"/>
      <c r="D852" s="15"/>
      <c r="E852" s="15"/>
    </row>
    <row r="853">
      <c r="A853" s="15"/>
      <c r="D853" s="15"/>
      <c r="E853" s="15"/>
    </row>
    <row r="854">
      <c r="A854" s="15"/>
      <c r="D854" s="15"/>
      <c r="E854" s="15"/>
    </row>
    <row r="855">
      <c r="A855" s="15"/>
      <c r="D855" s="15"/>
      <c r="E855" s="15"/>
    </row>
    <row r="856">
      <c r="A856" s="15"/>
      <c r="D856" s="15"/>
      <c r="E856" s="15"/>
    </row>
    <row r="857">
      <c r="A857" s="15"/>
      <c r="D857" s="15"/>
      <c r="E857" s="15"/>
    </row>
    <row r="858">
      <c r="A858" s="15"/>
      <c r="D858" s="15"/>
      <c r="E858" s="15"/>
    </row>
    <row r="859">
      <c r="A859" s="15"/>
      <c r="D859" s="15"/>
      <c r="E859" s="15"/>
    </row>
    <row r="860">
      <c r="A860" s="15"/>
      <c r="D860" s="15"/>
      <c r="E860" s="15"/>
    </row>
    <row r="861">
      <c r="A861" s="15"/>
      <c r="D861" s="15"/>
      <c r="E861" s="15"/>
    </row>
    <row r="862">
      <c r="A862" s="15"/>
      <c r="D862" s="15"/>
      <c r="E862" s="15"/>
    </row>
    <row r="863">
      <c r="A863" s="15"/>
      <c r="D863" s="15"/>
      <c r="E863" s="15"/>
    </row>
    <row r="864">
      <c r="A864" s="15"/>
      <c r="D864" s="15"/>
      <c r="E864" s="15"/>
    </row>
    <row r="865">
      <c r="A865" s="15"/>
      <c r="D865" s="15"/>
      <c r="E865" s="15"/>
    </row>
    <row r="866">
      <c r="A866" s="15"/>
      <c r="D866" s="15"/>
      <c r="E866" s="15"/>
    </row>
    <row r="867">
      <c r="A867" s="15"/>
      <c r="D867" s="15"/>
      <c r="E867" s="15"/>
    </row>
    <row r="868">
      <c r="A868" s="15"/>
      <c r="D868" s="15"/>
      <c r="E868" s="15"/>
    </row>
    <row r="869">
      <c r="A869" s="15"/>
      <c r="D869" s="15"/>
      <c r="E869" s="15"/>
    </row>
    <row r="870">
      <c r="A870" s="15"/>
      <c r="D870" s="15"/>
      <c r="E870" s="15"/>
    </row>
    <row r="871">
      <c r="A871" s="15"/>
      <c r="D871" s="15"/>
      <c r="E871" s="15"/>
    </row>
    <row r="872">
      <c r="A872" s="15"/>
      <c r="D872" s="15"/>
      <c r="E872" s="15"/>
    </row>
    <row r="873">
      <c r="A873" s="15"/>
      <c r="D873" s="15"/>
      <c r="E873" s="15"/>
    </row>
    <row r="874">
      <c r="A874" s="15"/>
      <c r="D874" s="15"/>
      <c r="E874" s="15"/>
    </row>
    <row r="875">
      <c r="A875" s="15"/>
      <c r="D875" s="15"/>
      <c r="E875" s="15"/>
    </row>
    <row r="876">
      <c r="A876" s="15"/>
      <c r="D876" s="15"/>
      <c r="E876" s="15"/>
    </row>
    <row r="877">
      <c r="A877" s="15"/>
      <c r="D877" s="15"/>
      <c r="E877" s="15"/>
    </row>
    <row r="878">
      <c r="A878" s="15"/>
      <c r="D878" s="15"/>
      <c r="E878" s="15"/>
    </row>
    <row r="879">
      <c r="A879" s="15"/>
      <c r="D879" s="15"/>
      <c r="E879" s="15"/>
    </row>
    <row r="880">
      <c r="A880" s="15"/>
      <c r="D880" s="15"/>
      <c r="E880" s="15"/>
    </row>
    <row r="881">
      <c r="A881" s="15"/>
      <c r="D881" s="15"/>
      <c r="E881" s="15"/>
    </row>
    <row r="882">
      <c r="A882" s="15"/>
      <c r="D882" s="15"/>
      <c r="E882" s="15"/>
    </row>
    <row r="883">
      <c r="A883" s="15"/>
      <c r="D883" s="15"/>
      <c r="E883" s="15"/>
    </row>
    <row r="884">
      <c r="A884" s="15"/>
      <c r="D884" s="15"/>
      <c r="E884" s="15"/>
    </row>
    <row r="885">
      <c r="A885" s="15"/>
      <c r="D885" s="15"/>
      <c r="E885" s="15"/>
    </row>
    <row r="886">
      <c r="A886" s="15"/>
      <c r="D886" s="15"/>
      <c r="E886" s="15"/>
    </row>
    <row r="887">
      <c r="A887" s="15"/>
      <c r="D887" s="15"/>
      <c r="E887" s="15"/>
    </row>
    <row r="888">
      <c r="A888" s="15"/>
      <c r="D888" s="15"/>
      <c r="E888" s="15"/>
    </row>
    <row r="889">
      <c r="A889" s="15"/>
      <c r="D889" s="15"/>
      <c r="E889" s="15"/>
    </row>
    <row r="890">
      <c r="A890" s="15"/>
      <c r="D890" s="15"/>
      <c r="E890" s="15"/>
    </row>
    <row r="891">
      <c r="A891" s="15"/>
      <c r="D891" s="15"/>
      <c r="E891" s="15"/>
    </row>
    <row r="892">
      <c r="A892" s="15"/>
      <c r="D892" s="15"/>
      <c r="E892" s="15"/>
    </row>
    <row r="893">
      <c r="A893" s="15"/>
      <c r="D893" s="15"/>
      <c r="E893" s="15"/>
    </row>
    <row r="894">
      <c r="A894" s="15"/>
      <c r="D894" s="15"/>
      <c r="E894" s="15"/>
    </row>
    <row r="895">
      <c r="A895" s="15"/>
      <c r="D895" s="15"/>
      <c r="E895" s="15"/>
    </row>
    <row r="896">
      <c r="A896" s="15"/>
      <c r="D896" s="15"/>
      <c r="E896" s="15"/>
    </row>
    <row r="897">
      <c r="A897" s="15"/>
      <c r="D897" s="15"/>
      <c r="E897" s="15"/>
    </row>
    <row r="898">
      <c r="A898" s="15"/>
      <c r="D898" s="15"/>
      <c r="E898" s="15"/>
    </row>
    <row r="899">
      <c r="A899" s="15"/>
      <c r="D899" s="15"/>
      <c r="E899" s="15"/>
    </row>
    <row r="900">
      <c r="A900" s="15"/>
      <c r="D900" s="15"/>
      <c r="E900" s="15"/>
    </row>
    <row r="901">
      <c r="A901" s="15"/>
      <c r="D901" s="15"/>
      <c r="E901" s="15"/>
    </row>
    <row r="902">
      <c r="A902" s="15"/>
      <c r="D902" s="15"/>
      <c r="E902" s="15"/>
    </row>
    <row r="903">
      <c r="A903" s="15"/>
      <c r="D903" s="15"/>
      <c r="E903" s="15"/>
    </row>
    <row r="904">
      <c r="A904" s="15"/>
      <c r="D904" s="15"/>
      <c r="E904" s="15"/>
    </row>
    <row r="905">
      <c r="A905" s="15"/>
      <c r="D905" s="15"/>
      <c r="E905" s="15"/>
    </row>
    <row r="906">
      <c r="A906" s="15"/>
      <c r="D906" s="15"/>
      <c r="E906" s="15"/>
    </row>
    <row r="907">
      <c r="A907" s="15"/>
      <c r="D907" s="15"/>
      <c r="E907" s="15"/>
    </row>
    <row r="908">
      <c r="A908" s="15"/>
      <c r="D908" s="15"/>
      <c r="E908" s="15"/>
    </row>
    <row r="909">
      <c r="A909" s="15"/>
      <c r="D909" s="15"/>
      <c r="E909" s="15"/>
    </row>
    <row r="910">
      <c r="A910" s="15"/>
      <c r="D910" s="15"/>
      <c r="E910" s="15"/>
    </row>
    <row r="911">
      <c r="A911" s="15"/>
      <c r="D911" s="15"/>
      <c r="E911" s="15"/>
    </row>
    <row r="912">
      <c r="A912" s="15"/>
      <c r="D912" s="15"/>
      <c r="E912" s="15"/>
    </row>
    <row r="913">
      <c r="A913" s="15"/>
      <c r="D913" s="15"/>
      <c r="E913" s="15"/>
    </row>
    <row r="914">
      <c r="A914" s="15"/>
      <c r="D914" s="15"/>
      <c r="E914" s="15"/>
    </row>
    <row r="915">
      <c r="A915" s="15"/>
      <c r="D915" s="15"/>
      <c r="E915" s="15"/>
    </row>
    <row r="916">
      <c r="A916" s="15"/>
      <c r="D916" s="15"/>
      <c r="E916" s="15"/>
    </row>
    <row r="917">
      <c r="A917" s="15"/>
      <c r="D917" s="15"/>
      <c r="E917" s="15"/>
    </row>
    <row r="918">
      <c r="A918" s="15"/>
      <c r="D918" s="15"/>
      <c r="E918" s="15"/>
    </row>
    <row r="919">
      <c r="A919" s="15"/>
      <c r="D919" s="15"/>
      <c r="E919" s="15"/>
    </row>
    <row r="920">
      <c r="A920" s="15"/>
      <c r="D920" s="15"/>
      <c r="E920" s="15"/>
    </row>
    <row r="921">
      <c r="A921" s="15"/>
      <c r="D921" s="15"/>
      <c r="E921" s="15"/>
    </row>
    <row r="922">
      <c r="A922" s="15"/>
      <c r="D922" s="15"/>
      <c r="E922" s="15"/>
    </row>
    <row r="923">
      <c r="A923" s="15"/>
      <c r="D923" s="15"/>
      <c r="E923" s="15"/>
    </row>
    <row r="924">
      <c r="A924" s="15"/>
      <c r="D924" s="15"/>
      <c r="E924" s="15"/>
    </row>
    <row r="925">
      <c r="A925" s="15"/>
      <c r="D925" s="15"/>
      <c r="E925" s="15"/>
    </row>
    <row r="926">
      <c r="A926" s="15"/>
      <c r="D926" s="15"/>
      <c r="E926" s="15"/>
    </row>
    <row r="927">
      <c r="A927" s="15"/>
      <c r="D927" s="15"/>
      <c r="E927" s="15"/>
    </row>
    <row r="928">
      <c r="A928" s="15"/>
      <c r="D928" s="15"/>
      <c r="E928" s="15"/>
    </row>
    <row r="929">
      <c r="A929" s="15"/>
      <c r="D929" s="15"/>
      <c r="E929" s="15"/>
    </row>
    <row r="930">
      <c r="A930" s="15"/>
      <c r="D930" s="15"/>
      <c r="E930" s="15"/>
    </row>
    <row r="931">
      <c r="A931" s="15"/>
      <c r="D931" s="15"/>
      <c r="E931" s="15"/>
    </row>
    <row r="932">
      <c r="A932" s="15"/>
      <c r="D932" s="15"/>
      <c r="E932" s="15"/>
    </row>
    <row r="933">
      <c r="A933" s="15"/>
      <c r="D933" s="15"/>
      <c r="E933" s="15"/>
    </row>
    <row r="934">
      <c r="A934" s="15"/>
      <c r="D934" s="15"/>
      <c r="E934" s="15"/>
    </row>
    <row r="935">
      <c r="A935" s="15"/>
      <c r="D935" s="15"/>
      <c r="E935" s="15"/>
    </row>
    <row r="936">
      <c r="A936" s="15"/>
      <c r="D936" s="15"/>
      <c r="E936" s="15"/>
    </row>
    <row r="937">
      <c r="A937" s="15"/>
      <c r="D937" s="15"/>
      <c r="E937" s="15"/>
    </row>
    <row r="938">
      <c r="A938" s="15"/>
      <c r="D938" s="15"/>
      <c r="E938" s="15"/>
    </row>
    <row r="939">
      <c r="A939" s="15"/>
      <c r="D939" s="15"/>
      <c r="E939" s="15"/>
    </row>
    <row r="940">
      <c r="A940" s="15"/>
      <c r="D940" s="15"/>
      <c r="E940" s="15"/>
    </row>
    <row r="941">
      <c r="A941" s="15"/>
      <c r="D941" s="15"/>
      <c r="E941" s="15"/>
    </row>
    <row r="942">
      <c r="A942" s="15"/>
      <c r="D942" s="15"/>
      <c r="E942" s="15"/>
    </row>
    <row r="943">
      <c r="A943" s="15"/>
      <c r="D943" s="15"/>
      <c r="E943" s="15"/>
    </row>
    <row r="944">
      <c r="A944" s="15"/>
      <c r="D944" s="15"/>
      <c r="E944" s="15"/>
    </row>
    <row r="945">
      <c r="A945" s="15"/>
      <c r="D945" s="15"/>
      <c r="E945" s="15"/>
    </row>
    <row r="946">
      <c r="A946" s="15"/>
      <c r="D946" s="15"/>
      <c r="E946" s="15"/>
    </row>
    <row r="947">
      <c r="A947" s="15"/>
      <c r="D947" s="15"/>
      <c r="E947" s="15"/>
    </row>
    <row r="948">
      <c r="A948" s="15"/>
      <c r="D948" s="15"/>
      <c r="E948" s="15"/>
    </row>
    <row r="949">
      <c r="A949" s="15"/>
      <c r="D949" s="15"/>
      <c r="E949" s="15"/>
    </row>
    <row r="950">
      <c r="A950" s="15"/>
      <c r="D950" s="15"/>
      <c r="E950" s="15"/>
    </row>
    <row r="951">
      <c r="A951" s="15"/>
      <c r="D951" s="15"/>
      <c r="E951" s="15"/>
    </row>
    <row r="952">
      <c r="A952" s="15"/>
      <c r="D952" s="15"/>
      <c r="E952" s="15"/>
    </row>
    <row r="953">
      <c r="A953" s="15"/>
      <c r="D953" s="15"/>
      <c r="E953" s="15"/>
    </row>
    <row r="954">
      <c r="A954" s="15"/>
      <c r="D954" s="15"/>
      <c r="E954" s="15"/>
    </row>
    <row r="955">
      <c r="A955" s="15"/>
      <c r="D955" s="15"/>
      <c r="E955" s="15"/>
    </row>
    <row r="956">
      <c r="A956" s="15"/>
      <c r="D956" s="15"/>
      <c r="E956" s="15"/>
    </row>
    <row r="957">
      <c r="A957" s="15"/>
      <c r="D957" s="15"/>
      <c r="E957" s="15"/>
    </row>
    <row r="958">
      <c r="A958" s="15"/>
      <c r="D958" s="15"/>
      <c r="E958" s="15"/>
    </row>
    <row r="959">
      <c r="A959" s="15"/>
      <c r="D959" s="15"/>
      <c r="E959" s="15"/>
    </row>
    <row r="960">
      <c r="A960" s="15"/>
      <c r="D960" s="15"/>
      <c r="E960" s="15"/>
    </row>
    <row r="961">
      <c r="A961" s="15"/>
      <c r="D961" s="15"/>
      <c r="E961" s="15"/>
    </row>
    <row r="962">
      <c r="A962" s="15"/>
      <c r="D962" s="15"/>
      <c r="E962" s="15"/>
    </row>
    <row r="963">
      <c r="A963" s="15"/>
      <c r="D963" s="15"/>
      <c r="E963" s="15"/>
    </row>
    <row r="964">
      <c r="A964" s="15"/>
      <c r="D964" s="15"/>
      <c r="E964" s="15"/>
    </row>
    <row r="965">
      <c r="A965" s="15"/>
      <c r="D965" s="15"/>
      <c r="E965" s="15"/>
    </row>
    <row r="966">
      <c r="A966" s="15"/>
      <c r="D966" s="15"/>
      <c r="E966" s="15"/>
    </row>
    <row r="967">
      <c r="A967" s="15"/>
      <c r="D967" s="15"/>
      <c r="E967" s="15"/>
    </row>
    <row r="968">
      <c r="A968" s="15"/>
      <c r="D968" s="15"/>
      <c r="E968" s="15"/>
    </row>
    <row r="969">
      <c r="A969" s="15"/>
      <c r="D969" s="15"/>
      <c r="E969" s="15"/>
    </row>
    <row r="970">
      <c r="A970" s="15"/>
      <c r="D970" s="15"/>
      <c r="E970" s="15"/>
    </row>
    <row r="971">
      <c r="A971" s="15"/>
      <c r="D971" s="15"/>
      <c r="E971" s="15"/>
    </row>
    <row r="972">
      <c r="A972" s="15"/>
      <c r="D972" s="15"/>
      <c r="E972" s="15"/>
    </row>
    <row r="973">
      <c r="A973" s="15"/>
      <c r="D973" s="15"/>
      <c r="E973" s="15"/>
    </row>
    <row r="974">
      <c r="A974" s="15"/>
      <c r="D974" s="15"/>
      <c r="E974" s="15"/>
    </row>
    <row r="975">
      <c r="A975" s="15"/>
      <c r="D975" s="15"/>
      <c r="E975" s="15"/>
    </row>
    <row r="976">
      <c r="A976" s="15"/>
      <c r="D976" s="15"/>
      <c r="E976" s="15"/>
    </row>
    <row r="977">
      <c r="A977" s="15"/>
      <c r="D977" s="15"/>
      <c r="E977" s="15"/>
    </row>
    <row r="978">
      <c r="A978" s="15"/>
      <c r="D978" s="15"/>
      <c r="E978" s="15"/>
    </row>
    <row r="979">
      <c r="A979" s="15"/>
      <c r="D979" s="15"/>
      <c r="E979" s="15"/>
    </row>
    <row r="980">
      <c r="A980" s="15"/>
      <c r="D980" s="15"/>
      <c r="E980" s="15"/>
    </row>
    <row r="981">
      <c r="A981" s="15"/>
      <c r="D981" s="15"/>
      <c r="E981" s="15"/>
    </row>
    <row r="982">
      <c r="A982" s="15"/>
      <c r="D982" s="15"/>
      <c r="E982" s="15"/>
    </row>
    <row r="983">
      <c r="A983" s="15"/>
      <c r="D983" s="15"/>
      <c r="E983" s="15"/>
    </row>
    <row r="984">
      <c r="A984" s="15"/>
      <c r="D984" s="15"/>
      <c r="E984" s="15"/>
    </row>
    <row r="985">
      <c r="A985" s="15"/>
      <c r="D985" s="15"/>
      <c r="E985" s="15"/>
    </row>
    <row r="986">
      <c r="A986" s="15"/>
      <c r="D986" s="15"/>
      <c r="E986" s="15"/>
    </row>
    <row r="987">
      <c r="A987" s="15"/>
      <c r="D987" s="15"/>
      <c r="E987" s="15"/>
    </row>
    <row r="988">
      <c r="A988" s="15"/>
      <c r="D988" s="15"/>
      <c r="E988" s="15"/>
    </row>
    <row r="989">
      <c r="A989" s="15"/>
      <c r="D989" s="15"/>
      <c r="E989" s="15"/>
    </row>
    <row r="990">
      <c r="A990" s="15"/>
      <c r="D990" s="15"/>
      <c r="E990" s="15"/>
    </row>
    <row r="991">
      <c r="A991" s="15"/>
      <c r="D991" s="15"/>
      <c r="E991" s="15"/>
    </row>
    <row r="992">
      <c r="A992" s="15"/>
      <c r="D992" s="15"/>
      <c r="E992" s="15"/>
    </row>
    <row r="993">
      <c r="A993" s="15"/>
      <c r="D993" s="15"/>
      <c r="E993" s="15"/>
    </row>
    <row r="994">
      <c r="A994" s="15"/>
      <c r="D994" s="15"/>
      <c r="E994" s="15"/>
    </row>
    <row r="995">
      <c r="A995" s="15"/>
      <c r="D995" s="15"/>
      <c r="E995" s="15"/>
    </row>
    <row r="996">
      <c r="A996" s="15"/>
      <c r="D996" s="15"/>
      <c r="E996" s="15"/>
    </row>
    <row r="997">
      <c r="A997" s="15"/>
      <c r="D997" s="15"/>
      <c r="E997" s="15"/>
    </row>
    <row r="998">
      <c r="A998" s="15"/>
      <c r="D998" s="15"/>
      <c r="E998" s="15"/>
    </row>
    <row r="999">
      <c r="A999" s="15"/>
      <c r="D999" s="15"/>
      <c r="E999" s="15"/>
    </row>
    <row r="1000">
      <c r="A1000" s="15"/>
      <c r="D1000" s="15"/>
      <c r="E1000" s="15"/>
    </row>
  </sheetData>
  <drawing r:id="rId4"/>
  <legacyDrawing r:id="rId5"/>
</worksheet>
</file>

<file path=xl/worksheets/sheet3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88"/>
    <col customWidth="1" min="2" max="2" width="22.5"/>
    <col customWidth="1" min="3" max="3" width="4.75"/>
    <col customWidth="1" min="4" max="4" width="14.88"/>
  </cols>
  <sheetData>
    <row r="1">
      <c r="A1" s="11" t="s">
        <v>5662</v>
      </c>
      <c r="B1" s="10" t="s">
        <v>10374</v>
      </c>
      <c r="D1" s="25" t="s">
        <v>8382</v>
      </c>
    </row>
    <row r="2">
      <c r="A2" s="11">
        <v>1.0</v>
      </c>
      <c r="B2" s="15" t="s">
        <v>8929</v>
      </c>
      <c r="D2" s="15" t="s">
        <v>8383</v>
      </c>
    </row>
    <row r="3">
      <c r="A3" s="11">
        <v>1.0</v>
      </c>
      <c r="B3" s="15" t="s">
        <v>8930</v>
      </c>
      <c r="D3" s="15" t="s">
        <v>8383</v>
      </c>
    </row>
    <row r="4">
      <c r="A4" s="11">
        <v>1.0</v>
      </c>
      <c r="B4" s="15" t="s">
        <v>8931</v>
      </c>
      <c r="D4" s="15" t="s">
        <v>8383</v>
      </c>
    </row>
    <row r="5">
      <c r="A5" s="11">
        <v>1.0</v>
      </c>
      <c r="B5" s="15" t="s">
        <v>8932</v>
      </c>
      <c r="D5" s="15" t="s">
        <v>8383</v>
      </c>
      <c r="E5" s="213"/>
    </row>
    <row r="6">
      <c r="A6" s="11">
        <v>1.0</v>
      </c>
      <c r="B6" s="15" t="s">
        <v>8933</v>
      </c>
      <c r="D6" s="15" t="s">
        <v>8383</v>
      </c>
      <c r="E6" s="213"/>
    </row>
    <row r="7">
      <c r="A7" s="11">
        <v>1.0</v>
      </c>
      <c r="B7" s="15" t="s">
        <v>8934</v>
      </c>
      <c r="D7" s="15" t="s">
        <v>8383</v>
      </c>
      <c r="E7" s="214" t="s">
        <v>10375</v>
      </c>
    </row>
    <row r="8">
      <c r="A8" s="11">
        <v>1.0</v>
      </c>
      <c r="B8" s="15" t="s">
        <v>8935</v>
      </c>
      <c r="D8" s="15" t="s">
        <v>8383</v>
      </c>
      <c r="E8" s="213"/>
    </row>
    <row r="9">
      <c r="A9" s="11">
        <v>1.0</v>
      </c>
      <c r="B9" s="15" t="s">
        <v>8936</v>
      </c>
      <c r="D9" s="15" t="s">
        <v>8383</v>
      </c>
    </row>
    <row r="10">
      <c r="A10" s="11">
        <v>1.0</v>
      </c>
      <c r="B10" s="15" t="s">
        <v>8937</v>
      </c>
      <c r="D10" s="15" t="s">
        <v>8383</v>
      </c>
    </row>
    <row r="11">
      <c r="A11" s="11">
        <v>1.0</v>
      </c>
      <c r="B11" s="15" t="s">
        <v>8938</v>
      </c>
      <c r="D11" s="15" t="s">
        <v>8383</v>
      </c>
    </row>
    <row r="12">
      <c r="A12" s="11">
        <v>1.0</v>
      </c>
      <c r="B12" s="15" t="s">
        <v>9151</v>
      </c>
      <c r="D12" s="15" t="s">
        <v>8383</v>
      </c>
    </row>
    <row r="13">
      <c r="A13" s="11">
        <v>1.0</v>
      </c>
      <c r="B13" s="15" t="s">
        <v>8940</v>
      </c>
      <c r="D13" s="15" t="s">
        <v>8383</v>
      </c>
    </row>
    <row r="14">
      <c r="A14" s="11">
        <v>1.0</v>
      </c>
      <c r="B14" s="15" t="s">
        <v>8941</v>
      </c>
      <c r="D14" s="15" t="s">
        <v>8383</v>
      </c>
    </row>
    <row r="15">
      <c r="A15" s="11">
        <v>1.0</v>
      </c>
      <c r="B15" s="15" t="s">
        <v>8942</v>
      </c>
      <c r="D15" s="15" t="s">
        <v>8383</v>
      </c>
    </row>
    <row r="16">
      <c r="A16" s="11">
        <v>1.0</v>
      </c>
      <c r="B16" s="15" t="s">
        <v>8943</v>
      </c>
      <c r="D16" s="15" t="s">
        <v>8383</v>
      </c>
    </row>
    <row r="17">
      <c r="A17" s="11">
        <v>1.0</v>
      </c>
      <c r="B17" s="15" t="s">
        <v>8944</v>
      </c>
      <c r="D17" s="15" t="s">
        <v>8383</v>
      </c>
    </row>
    <row r="18">
      <c r="A18" s="11">
        <v>1.0</v>
      </c>
      <c r="B18" s="15" t="s">
        <v>8945</v>
      </c>
      <c r="D18" s="15" t="s">
        <v>8383</v>
      </c>
    </row>
    <row r="19">
      <c r="A19" s="11">
        <v>1.0</v>
      </c>
      <c r="B19" s="15" t="s">
        <v>8946</v>
      </c>
      <c r="D19" s="15" t="s">
        <v>8383</v>
      </c>
    </row>
    <row r="20">
      <c r="A20" s="11">
        <v>1.0</v>
      </c>
      <c r="B20" s="15" t="s">
        <v>8947</v>
      </c>
      <c r="D20" s="15" t="s">
        <v>8383</v>
      </c>
    </row>
    <row r="21">
      <c r="A21" s="11">
        <v>1.0</v>
      </c>
      <c r="B21" s="15" t="s">
        <v>8948</v>
      </c>
      <c r="D21" s="15" t="s">
        <v>8383</v>
      </c>
    </row>
    <row r="22">
      <c r="A22" s="11">
        <v>1.0</v>
      </c>
      <c r="B22" s="15" t="s">
        <v>8949</v>
      </c>
      <c r="D22" s="15" t="s">
        <v>8383</v>
      </c>
    </row>
    <row r="23">
      <c r="A23" s="11">
        <v>1.0</v>
      </c>
      <c r="B23" s="15" t="s">
        <v>8950</v>
      </c>
      <c r="D23" s="15" t="s">
        <v>8383</v>
      </c>
    </row>
    <row r="24">
      <c r="A24" s="11">
        <v>1.0</v>
      </c>
      <c r="B24" s="15" t="s">
        <v>8951</v>
      </c>
      <c r="D24" s="15" t="s">
        <v>8383</v>
      </c>
    </row>
    <row r="25">
      <c r="A25" s="11">
        <v>1.0</v>
      </c>
      <c r="B25" s="15" t="s">
        <v>8952</v>
      </c>
      <c r="D25" s="15" t="s">
        <v>8383</v>
      </c>
    </row>
    <row r="26">
      <c r="A26" s="11">
        <v>1.0</v>
      </c>
      <c r="B26" s="15" t="s">
        <v>8953</v>
      </c>
      <c r="D26" s="15" t="s">
        <v>8383</v>
      </c>
    </row>
    <row r="27">
      <c r="A27" s="11">
        <v>1.0</v>
      </c>
      <c r="B27" s="15" t="s">
        <v>8954</v>
      </c>
      <c r="D27" s="15" t="s">
        <v>8383</v>
      </c>
    </row>
    <row r="28">
      <c r="A28" s="11">
        <v>1.0</v>
      </c>
      <c r="B28" s="15" t="s">
        <v>8956</v>
      </c>
      <c r="D28" s="15" t="s">
        <v>8383</v>
      </c>
    </row>
    <row r="29">
      <c r="A29" s="11">
        <v>1.0</v>
      </c>
      <c r="B29" s="15" t="s">
        <v>8958</v>
      </c>
      <c r="D29" s="15" t="s">
        <v>8383</v>
      </c>
    </row>
    <row r="30">
      <c r="A30" s="11">
        <v>1.0</v>
      </c>
      <c r="B30" s="15" t="s">
        <v>8960</v>
      </c>
      <c r="D30" s="15" t="s">
        <v>8383</v>
      </c>
    </row>
    <row r="31">
      <c r="A31" s="11">
        <v>1.0</v>
      </c>
      <c r="B31" s="15" t="s">
        <v>8962</v>
      </c>
      <c r="D31" s="15" t="s">
        <v>8383</v>
      </c>
    </row>
    <row r="32">
      <c r="A32" s="11">
        <v>1.0</v>
      </c>
      <c r="B32" s="10" t="s">
        <v>8964</v>
      </c>
      <c r="D32" s="15" t="s">
        <v>8383</v>
      </c>
    </row>
    <row r="33">
      <c r="A33" s="11">
        <v>1.0</v>
      </c>
      <c r="B33" s="15" t="s">
        <v>8966</v>
      </c>
      <c r="D33" s="15" t="s">
        <v>8383</v>
      </c>
    </row>
    <row r="34">
      <c r="A34" s="11">
        <v>1.0</v>
      </c>
      <c r="B34" s="15" t="s">
        <v>8968</v>
      </c>
      <c r="D34" s="15" t="s">
        <v>8383</v>
      </c>
    </row>
    <row r="35">
      <c r="A35" s="11">
        <v>1.0</v>
      </c>
      <c r="B35" s="15" t="s">
        <v>8970</v>
      </c>
      <c r="D35" s="15" t="s">
        <v>8383</v>
      </c>
    </row>
    <row r="36">
      <c r="A36" s="11">
        <v>1.0</v>
      </c>
      <c r="B36" s="15" t="s">
        <v>8972</v>
      </c>
      <c r="D36" s="15" t="s">
        <v>8383</v>
      </c>
    </row>
    <row r="37">
      <c r="A37" s="11">
        <v>1.0</v>
      </c>
      <c r="B37" s="15" t="s">
        <v>8974</v>
      </c>
      <c r="D37" s="15" t="s">
        <v>8383</v>
      </c>
    </row>
    <row r="38">
      <c r="A38" s="11">
        <v>1.0</v>
      </c>
      <c r="B38" s="15" t="s">
        <v>8976</v>
      </c>
      <c r="D38" s="15" t="s">
        <v>8383</v>
      </c>
    </row>
    <row r="39">
      <c r="A39" s="11">
        <v>1.0</v>
      </c>
      <c r="B39" s="15" t="s">
        <v>8978</v>
      </c>
      <c r="D39" s="15" t="s">
        <v>8383</v>
      </c>
    </row>
    <row r="40">
      <c r="A40" s="11">
        <v>1.0</v>
      </c>
      <c r="B40" s="15" t="s">
        <v>8980</v>
      </c>
      <c r="D40" s="15" t="s">
        <v>8383</v>
      </c>
    </row>
    <row r="41">
      <c r="A41" s="11">
        <v>1.0</v>
      </c>
      <c r="B41" s="15" t="s">
        <v>8982</v>
      </c>
      <c r="D41" s="15" t="s">
        <v>8383</v>
      </c>
    </row>
    <row r="42">
      <c r="A42" s="11">
        <v>1.0</v>
      </c>
      <c r="B42" s="15" t="s">
        <v>8984</v>
      </c>
      <c r="D42" s="15" t="s">
        <v>8383</v>
      </c>
    </row>
    <row r="43">
      <c r="A43" s="11">
        <v>2.0</v>
      </c>
      <c r="B43" s="15" t="s">
        <v>8929</v>
      </c>
      <c r="D43" s="15" t="s">
        <v>8387</v>
      </c>
    </row>
    <row r="44">
      <c r="A44" s="11">
        <v>2.0</v>
      </c>
      <c r="B44" s="15" t="s">
        <v>8930</v>
      </c>
      <c r="D44" s="15" t="s">
        <v>8387</v>
      </c>
    </row>
    <row r="45">
      <c r="A45" s="11">
        <v>2.0</v>
      </c>
      <c r="B45" s="15" t="s">
        <v>8931</v>
      </c>
      <c r="D45" s="15" t="s">
        <v>8387</v>
      </c>
    </row>
    <row r="46">
      <c r="A46" s="11">
        <v>2.0</v>
      </c>
      <c r="B46" s="15" t="s">
        <v>8932</v>
      </c>
      <c r="D46" s="15" t="s">
        <v>8387</v>
      </c>
    </row>
    <row r="47">
      <c r="A47" s="11">
        <v>2.0</v>
      </c>
      <c r="B47" s="15" t="s">
        <v>8933</v>
      </c>
      <c r="D47" s="15" t="s">
        <v>8387</v>
      </c>
    </row>
    <row r="48">
      <c r="A48" s="11">
        <v>2.0</v>
      </c>
      <c r="B48" s="15" t="s">
        <v>8934</v>
      </c>
      <c r="D48" s="15" t="s">
        <v>8387</v>
      </c>
    </row>
    <row r="49">
      <c r="A49" s="11">
        <v>2.0</v>
      </c>
      <c r="B49" s="15" t="s">
        <v>8935</v>
      </c>
      <c r="D49" s="15" t="s">
        <v>8387</v>
      </c>
    </row>
    <row r="50">
      <c r="A50" s="11">
        <v>2.0</v>
      </c>
      <c r="B50" s="15" t="s">
        <v>8936</v>
      </c>
      <c r="D50" s="15" t="s">
        <v>8387</v>
      </c>
    </row>
    <row r="51">
      <c r="A51" s="11">
        <v>2.0</v>
      </c>
      <c r="B51" s="15" t="s">
        <v>8937</v>
      </c>
      <c r="D51" s="15" t="s">
        <v>8387</v>
      </c>
    </row>
    <row r="52">
      <c r="A52" s="11">
        <v>2.0</v>
      </c>
      <c r="B52" s="15" t="s">
        <v>8938</v>
      </c>
      <c r="D52" s="15" t="s">
        <v>8387</v>
      </c>
    </row>
    <row r="53">
      <c r="A53" s="11">
        <v>2.0</v>
      </c>
      <c r="B53" s="15" t="s">
        <v>9151</v>
      </c>
      <c r="D53" s="15" t="s">
        <v>8387</v>
      </c>
    </row>
    <row r="54">
      <c r="A54" s="11">
        <v>2.0</v>
      </c>
      <c r="B54" s="15" t="s">
        <v>8940</v>
      </c>
      <c r="D54" s="15" t="s">
        <v>8387</v>
      </c>
    </row>
    <row r="55">
      <c r="A55" s="11">
        <v>2.0</v>
      </c>
      <c r="B55" s="15" t="s">
        <v>8941</v>
      </c>
      <c r="D55" s="15" t="s">
        <v>8387</v>
      </c>
    </row>
    <row r="56">
      <c r="A56" s="11">
        <v>2.0</v>
      </c>
      <c r="B56" s="15" t="s">
        <v>8942</v>
      </c>
      <c r="D56" s="15" t="s">
        <v>8387</v>
      </c>
    </row>
    <row r="57">
      <c r="A57" s="11">
        <v>2.0</v>
      </c>
      <c r="B57" s="15" t="s">
        <v>8943</v>
      </c>
      <c r="D57" s="15" t="s">
        <v>8387</v>
      </c>
    </row>
    <row r="58">
      <c r="A58" s="11">
        <v>2.0</v>
      </c>
      <c r="B58" s="15" t="s">
        <v>8944</v>
      </c>
      <c r="D58" s="15" t="s">
        <v>8387</v>
      </c>
    </row>
    <row r="59">
      <c r="A59" s="11">
        <v>2.0</v>
      </c>
      <c r="B59" s="15" t="s">
        <v>8945</v>
      </c>
      <c r="D59" s="15" t="s">
        <v>8387</v>
      </c>
    </row>
    <row r="60">
      <c r="A60" s="11">
        <v>2.0</v>
      </c>
      <c r="B60" s="15" t="s">
        <v>8946</v>
      </c>
      <c r="D60" s="15" t="s">
        <v>8387</v>
      </c>
    </row>
    <row r="61">
      <c r="A61" s="11">
        <v>2.0</v>
      </c>
      <c r="B61" s="15" t="s">
        <v>8947</v>
      </c>
      <c r="D61" s="15" t="s">
        <v>8387</v>
      </c>
    </row>
    <row r="62">
      <c r="A62" s="11">
        <v>2.0</v>
      </c>
      <c r="B62" s="15" t="s">
        <v>8948</v>
      </c>
      <c r="D62" s="15" t="s">
        <v>8387</v>
      </c>
    </row>
    <row r="63">
      <c r="A63" s="11">
        <v>2.0</v>
      </c>
      <c r="B63" s="15" t="s">
        <v>8949</v>
      </c>
      <c r="D63" s="15" t="s">
        <v>8387</v>
      </c>
    </row>
    <row r="64">
      <c r="A64" s="11">
        <v>2.0</v>
      </c>
      <c r="B64" s="15" t="s">
        <v>8950</v>
      </c>
      <c r="D64" s="15" t="s">
        <v>8387</v>
      </c>
    </row>
    <row r="65">
      <c r="A65" s="11">
        <v>2.0</v>
      </c>
      <c r="B65" s="15" t="s">
        <v>8951</v>
      </c>
      <c r="D65" s="15" t="s">
        <v>8387</v>
      </c>
    </row>
    <row r="66">
      <c r="A66" s="11">
        <v>2.0</v>
      </c>
      <c r="B66" s="15" t="s">
        <v>8952</v>
      </c>
      <c r="D66" s="15" t="s">
        <v>8387</v>
      </c>
    </row>
    <row r="67">
      <c r="A67" s="11">
        <v>2.0</v>
      </c>
      <c r="B67" s="15" t="s">
        <v>8953</v>
      </c>
      <c r="D67" s="15" t="s">
        <v>8387</v>
      </c>
    </row>
    <row r="68">
      <c r="A68" s="11">
        <v>2.0</v>
      </c>
      <c r="B68" s="15" t="s">
        <v>8956</v>
      </c>
      <c r="D68" s="15" t="s">
        <v>8387</v>
      </c>
    </row>
    <row r="69">
      <c r="A69" s="11">
        <v>2.0</v>
      </c>
      <c r="B69" s="15" t="s">
        <v>9038</v>
      </c>
      <c r="D69" s="15" t="s">
        <v>8387</v>
      </c>
    </row>
    <row r="70">
      <c r="A70" s="11">
        <v>2.0</v>
      </c>
      <c r="B70" s="15" t="s">
        <v>8958</v>
      </c>
      <c r="D70" s="15" t="s">
        <v>8387</v>
      </c>
    </row>
    <row r="71">
      <c r="A71" s="11">
        <v>2.0</v>
      </c>
      <c r="B71" s="15" t="s">
        <v>9041</v>
      </c>
      <c r="D71" s="15" t="s">
        <v>8387</v>
      </c>
    </row>
    <row r="72">
      <c r="A72" s="11">
        <v>2.0</v>
      </c>
      <c r="B72" s="15" t="s">
        <v>8960</v>
      </c>
      <c r="D72" s="15" t="s">
        <v>8387</v>
      </c>
    </row>
    <row r="73">
      <c r="A73" s="11">
        <v>2.0</v>
      </c>
      <c r="B73" s="15" t="s">
        <v>9044</v>
      </c>
      <c r="D73" s="15" t="s">
        <v>8387</v>
      </c>
    </row>
    <row r="74">
      <c r="A74" s="11">
        <v>2.0</v>
      </c>
      <c r="B74" s="10" t="s">
        <v>8964</v>
      </c>
      <c r="D74" s="15" t="s">
        <v>8387</v>
      </c>
    </row>
    <row r="75">
      <c r="A75" s="11">
        <v>2.0</v>
      </c>
      <c r="B75" s="15" t="s">
        <v>8966</v>
      </c>
      <c r="D75" s="15" t="s">
        <v>8387</v>
      </c>
    </row>
    <row r="76">
      <c r="A76" s="11">
        <v>2.0</v>
      </c>
      <c r="B76" s="15" t="s">
        <v>8968</v>
      </c>
      <c r="D76" s="15" t="s">
        <v>8387</v>
      </c>
    </row>
    <row r="77">
      <c r="A77" s="11">
        <v>2.0</v>
      </c>
      <c r="B77" s="15" t="s">
        <v>8970</v>
      </c>
      <c r="D77" s="15" t="s">
        <v>8387</v>
      </c>
    </row>
    <row r="78">
      <c r="A78" s="11">
        <v>2.0</v>
      </c>
      <c r="B78" s="15" t="s">
        <v>9050</v>
      </c>
      <c r="D78" s="15" t="s">
        <v>8387</v>
      </c>
    </row>
    <row r="79">
      <c r="A79" s="11">
        <v>2.0</v>
      </c>
      <c r="B79" s="15" t="s">
        <v>8972</v>
      </c>
      <c r="D79" s="15" t="s">
        <v>8387</v>
      </c>
    </row>
    <row r="80">
      <c r="A80" s="11">
        <v>2.0</v>
      </c>
      <c r="B80" s="15" t="s">
        <v>8976</v>
      </c>
      <c r="D80" s="15" t="s">
        <v>8387</v>
      </c>
    </row>
    <row r="81">
      <c r="A81" s="11">
        <v>2.0</v>
      </c>
      <c r="B81" s="15" t="s">
        <v>8980</v>
      </c>
      <c r="D81" s="15" t="s">
        <v>8387</v>
      </c>
    </row>
    <row r="82">
      <c r="A82" s="11">
        <v>2.0</v>
      </c>
      <c r="B82" s="15" t="s">
        <v>9055</v>
      </c>
      <c r="D82" s="15" t="s">
        <v>8387</v>
      </c>
    </row>
    <row r="83">
      <c r="A83" s="11">
        <v>2.0</v>
      </c>
      <c r="B83" s="15" t="s">
        <v>8984</v>
      </c>
      <c r="D83" s="15" t="s">
        <v>8387</v>
      </c>
    </row>
    <row r="84">
      <c r="A84" s="12">
        <v>3.0</v>
      </c>
      <c r="B84" s="15" t="s">
        <v>8929</v>
      </c>
      <c r="D84" s="15" t="s">
        <v>5767</v>
      </c>
    </row>
    <row r="85">
      <c r="A85" s="12">
        <v>3.0</v>
      </c>
      <c r="B85" s="15" t="s">
        <v>8930</v>
      </c>
      <c r="D85" s="15" t="s">
        <v>5767</v>
      </c>
    </row>
    <row r="86">
      <c r="A86" s="12">
        <v>3.0</v>
      </c>
      <c r="B86" s="15" t="s">
        <v>8931</v>
      </c>
      <c r="D86" s="15" t="s">
        <v>5767</v>
      </c>
    </row>
    <row r="87">
      <c r="A87" s="12">
        <v>3.0</v>
      </c>
      <c r="B87" s="15" t="s">
        <v>8932</v>
      </c>
      <c r="D87" s="15" t="s">
        <v>5767</v>
      </c>
    </row>
    <row r="88">
      <c r="A88" s="12">
        <v>3.0</v>
      </c>
      <c r="B88" s="15" t="s">
        <v>8933</v>
      </c>
      <c r="D88" s="15" t="s">
        <v>5767</v>
      </c>
    </row>
    <row r="89">
      <c r="A89" s="12">
        <v>3.0</v>
      </c>
      <c r="B89" s="15" t="s">
        <v>8934</v>
      </c>
      <c r="D89" s="15" t="s">
        <v>5767</v>
      </c>
    </row>
    <row r="90">
      <c r="A90" s="12">
        <v>3.0</v>
      </c>
      <c r="B90" s="15" t="s">
        <v>8935</v>
      </c>
      <c r="D90" s="15" t="s">
        <v>5767</v>
      </c>
    </row>
    <row r="91">
      <c r="A91" s="12">
        <v>3.0</v>
      </c>
      <c r="B91" s="15" t="s">
        <v>8936</v>
      </c>
      <c r="D91" s="15" t="s">
        <v>5767</v>
      </c>
    </row>
    <row r="92">
      <c r="A92" s="12">
        <v>3.0</v>
      </c>
      <c r="B92" s="15" t="s">
        <v>8937</v>
      </c>
      <c r="D92" s="15" t="s">
        <v>5767</v>
      </c>
    </row>
    <row r="93">
      <c r="A93" s="12">
        <v>3.0</v>
      </c>
      <c r="B93" s="15" t="s">
        <v>8938</v>
      </c>
      <c r="D93" s="15" t="s">
        <v>5767</v>
      </c>
    </row>
    <row r="94">
      <c r="A94" s="12">
        <v>3.0</v>
      </c>
      <c r="B94" s="15" t="s">
        <v>9151</v>
      </c>
      <c r="D94" s="15" t="s">
        <v>5767</v>
      </c>
    </row>
    <row r="95">
      <c r="A95" s="12">
        <v>3.0</v>
      </c>
      <c r="B95" s="15" t="s">
        <v>8940</v>
      </c>
      <c r="D95" s="15" t="s">
        <v>5767</v>
      </c>
    </row>
    <row r="96">
      <c r="A96" s="12">
        <v>3.0</v>
      </c>
      <c r="B96" s="15" t="s">
        <v>8941</v>
      </c>
      <c r="D96" s="15" t="s">
        <v>5767</v>
      </c>
    </row>
    <row r="97">
      <c r="A97" s="12">
        <v>3.0</v>
      </c>
      <c r="B97" s="15" t="s">
        <v>8942</v>
      </c>
      <c r="D97" s="15" t="s">
        <v>5767</v>
      </c>
    </row>
    <row r="98">
      <c r="A98" s="12">
        <v>3.0</v>
      </c>
      <c r="B98" s="15" t="s">
        <v>8943</v>
      </c>
      <c r="D98" s="15" t="s">
        <v>5767</v>
      </c>
    </row>
    <row r="99">
      <c r="A99" s="12">
        <v>3.0</v>
      </c>
      <c r="B99" s="15" t="s">
        <v>8944</v>
      </c>
      <c r="D99" s="15" t="s">
        <v>5767</v>
      </c>
    </row>
    <row r="100">
      <c r="A100" s="12">
        <v>3.0</v>
      </c>
      <c r="B100" s="15" t="s">
        <v>8945</v>
      </c>
      <c r="D100" s="15" t="s">
        <v>5767</v>
      </c>
    </row>
    <row r="101">
      <c r="A101" s="12">
        <v>3.0</v>
      </c>
      <c r="B101" s="15" t="s">
        <v>8946</v>
      </c>
      <c r="D101" s="15" t="s">
        <v>5767</v>
      </c>
    </row>
    <row r="102">
      <c r="A102" s="12">
        <v>3.0</v>
      </c>
      <c r="B102" s="15" t="s">
        <v>8947</v>
      </c>
      <c r="D102" s="15" t="s">
        <v>5767</v>
      </c>
    </row>
    <row r="103">
      <c r="A103" s="12">
        <v>3.0</v>
      </c>
      <c r="B103" s="15" t="s">
        <v>8948</v>
      </c>
      <c r="D103" s="15" t="s">
        <v>5767</v>
      </c>
    </row>
    <row r="104">
      <c r="A104" s="12">
        <v>3.0</v>
      </c>
      <c r="B104" s="15" t="s">
        <v>8949</v>
      </c>
      <c r="D104" s="15" t="s">
        <v>5767</v>
      </c>
    </row>
    <row r="105">
      <c r="A105" s="12">
        <v>3.0</v>
      </c>
      <c r="B105" s="15" t="s">
        <v>8950</v>
      </c>
      <c r="D105" s="15" t="s">
        <v>5767</v>
      </c>
    </row>
    <row r="106">
      <c r="A106" s="12">
        <v>3.0</v>
      </c>
      <c r="B106" s="15" t="s">
        <v>8951</v>
      </c>
      <c r="D106" s="15" t="s">
        <v>5767</v>
      </c>
    </row>
    <row r="107">
      <c r="A107" s="12">
        <v>3.0</v>
      </c>
      <c r="B107" s="15" t="s">
        <v>8952</v>
      </c>
      <c r="D107" s="15" t="s">
        <v>5767</v>
      </c>
    </row>
    <row r="108">
      <c r="A108" s="12">
        <v>3.0</v>
      </c>
      <c r="B108" s="15" t="s">
        <v>8953</v>
      </c>
      <c r="D108" s="15" t="s">
        <v>5767</v>
      </c>
    </row>
    <row r="109">
      <c r="A109" s="12">
        <v>3.0</v>
      </c>
      <c r="B109" s="15" t="s">
        <v>8956</v>
      </c>
      <c r="D109" s="15" t="s">
        <v>5767</v>
      </c>
    </row>
    <row r="110">
      <c r="A110" s="12">
        <v>3.0</v>
      </c>
      <c r="B110" s="15" t="s">
        <v>9084</v>
      </c>
      <c r="D110" s="15" t="s">
        <v>5767</v>
      </c>
    </row>
    <row r="111">
      <c r="A111" s="12">
        <v>3.0</v>
      </c>
      <c r="B111" s="15" t="s">
        <v>9086</v>
      </c>
      <c r="D111" s="15" t="s">
        <v>5767</v>
      </c>
    </row>
    <row r="112">
      <c r="A112" s="12">
        <v>3.0</v>
      </c>
      <c r="B112" s="15" t="s">
        <v>9088</v>
      </c>
      <c r="D112" s="15" t="s">
        <v>5767</v>
      </c>
    </row>
    <row r="113">
      <c r="A113" s="12">
        <v>3.0</v>
      </c>
      <c r="B113" s="15" t="s">
        <v>9041</v>
      </c>
      <c r="D113" s="15" t="s">
        <v>5767</v>
      </c>
    </row>
    <row r="114">
      <c r="A114" s="12">
        <v>3.0</v>
      </c>
      <c r="B114" s="15" t="s">
        <v>8960</v>
      </c>
      <c r="D114" s="15" t="s">
        <v>5767</v>
      </c>
    </row>
    <row r="115">
      <c r="A115" s="12">
        <v>3.0</v>
      </c>
      <c r="B115" s="15" t="s">
        <v>9092</v>
      </c>
      <c r="D115" s="15" t="s">
        <v>5767</v>
      </c>
    </row>
    <row r="116">
      <c r="A116" s="12">
        <v>3.0</v>
      </c>
      <c r="B116" s="15" t="s">
        <v>8962</v>
      </c>
      <c r="D116" s="15" t="s">
        <v>5767</v>
      </c>
    </row>
    <row r="117">
      <c r="A117" s="12">
        <v>3.0</v>
      </c>
      <c r="B117" s="15" t="s">
        <v>8966</v>
      </c>
      <c r="D117" s="15" t="s">
        <v>5767</v>
      </c>
    </row>
    <row r="118">
      <c r="A118" s="12">
        <v>3.0</v>
      </c>
      <c r="B118" s="15" t="s">
        <v>8968</v>
      </c>
      <c r="D118" s="15" t="s">
        <v>5767</v>
      </c>
    </row>
    <row r="119">
      <c r="A119" s="12">
        <v>3.0</v>
      </c>
      <c r="B119" s="15" t="s">
        <v>8970</v>
      </c>
      <c r="D119" s="15" t="s">
        <v>5767</v>
      </c>
    </row>
    <row r="120">
      <c r="A120" s="12">
        <v>3.0</v>
      </c>
      <c r="B120" s="15" t="s">
        <v>8976</v>
      </c>
      <c r="D120" s="15" t="s">
        <v>5767</v>
      </c>
    </row>
    <row r="121">
      <c r="A121" s="12">
        <v>3.0</v>
      </c>
      <c r="B121" s="15" t="s">
        <v>8978</v>
      </c>
      <c r="D121" s="15" t="s">
        <v>5767</v>
      </c>
    </row>
    <row r="122">
      <c r="A122" s="12">
        <v>3.0</v>
      </c>
      <c r="B122" s="15" t="s">
        <v>8980</v>
      </c>
      <c r="D122" s="15" t="s">
        <v>5767</v>
      </c>
    </row>
    <row r="123">
      <c r="A123" s="12">
        <v>3.0</v>
      </c>
      <c r="B123" s="15" t="s">
        <v>8982</v>
      </c>
      <c r="D123" s="15" t="s">
        <v>5767</v>
      </c>
    </row>
    <row r="124">
      <c r="A124" s="12">
        <v>3.0</v>
      </c>
      <c r="B124" s="15" t="s">
        <v>9102</v>
      </c>
      <c r="D124" s="15" t="s">
        <v>5767</v>
      </c>
    </row>
    <row r="125">
      <c r="A125" s="12">
        <v>4.0</v>
      </c>
      <c r="B125" s="15" t="s">
        <v>8929</v>
      </c>
      <c r="D125" s="15" t="s">
        <v>8389</v>
      </c>
    </row>
    <row r="126">
      <c r="A126" s="12">
        <v>4.0</v>
      </c>
      <c r="B126" s="15" t="s">
        <v>8930</v>
      </c>
      <c r="D126" s="15" t="s">
        <v>8389</v>
      </c>
    </row>
    <row r="127">
      <c r="A127" s="12">
        <v>4.0</v>
      </c>
      <c r="B127" s="15" t="s">
        <v>8931</v>
      </c>
      <c r="D127" s="15" t="s">
        <v>8389</v>
      </c>
    </row>
    <row r="128">
      <c r="A128" s="12">
        <v>4.0</v>
      </c>
      <c r="B128" s="15" t="s">
        <v>8932</v>
      </c>
      <c r="D128" s="15" t="s">
        <v>8389</v>
      </c>
    </row>
    <row r="129">
      <c r="A129" s="12">
        <v>4.0</v>
      </c>
      <c r="B129" s="15" t="s">
        <v>8933</v>
      </c>
      <c r="D129" s="15" t="s">
        <v>8389</v>
      </c>
    </row>
    <row r="130">
      <c r="A130" s="12">
        <v>4.0</v>
      </c>
      <c r="B130" s="15" t="s">
        <v>8934</v>
      </c>
      <c r="D130" s="15" t="s">
        <v>8389</v>
      </c>
    </row>
    <row r="131">
      <c r="A131" s="12">
        <v>4.0</v>
      </c>
      <c r="B131" s="15" t="s">
        <v>8935</v>
      </c>
      <c r="D131" s="15" t="s">
        <v>8389</v>
      </c>
    </row>
    <row r="132">
      <c r="A132" s="12">
        <v>4.0</v>
      </c>
      <c r="B132" s="15" t="s">
        <v>8936</v>
      </c>
      <c r="D132" s="15" t="s">
        <v>8389</v>
      </c>
    </row>
    <row r="133">
      <c r="A133" s="12">
        <v>4.0</v>
      </c>
      <c r="B133" s="15" t="s">
        <v>8937</v>
      </c>
      <c r="D133" s="15" t="s">
        <v>8389</v>
      </c>
    </row>
    <row r="134">
      <c r="A134" s="12">
        <v>4.0</v>
      </c>
      <c r="B134" s="15" t="s">
        <v>8938</v>
      </c>
      <c r="D134" s="15" t="s">
        <v>8389</v>
      </c>
    </row>
    <row r="135">
      <c r="A135" s="12">
        <v>4.0</v>
      </c>
      <c r="B135" s="15" t="s">
        <v>9151</v>
      </c>
      <c r="D135" s="15" t="s">
        <v>8389</v>
      </c>
    </row>
    <row r="136">
      <c r="A136" s="12">
        <v>4.0</v>
      </c>
      <c r="B136" s="15" t="s">
        <v>8940</v>
      </c>
      <c r="D136" s="15" t="s">
        <v>8389</v>
      </c>
    </row>
    <row r="137">
      <c r="A137" s="12">
        <v>4.0</v>
      </c>
      <c r="B137" s="15" t="s">
        <v>8941</v>
      </c>
      <c r="D137" s="15" t="s">
        <v>8389</v>
      </c>
    </row>
    <row r="138">
      <c r="A138" s="12">
        <v>4.0</v>
      </c>
      <c r="B138" s="15" t="s">
        <v>8942</v>
      </c>
      <c r="D138" s="15" t="s">
        <v>8389</v>
      </c>
    </row>
    <row r="139">
      <c r="A139" s="12">
        <v>4.0</v>
      </c>
      <c r="B139" s="15" t="s">
        <v>8943</v>
      </c>
      <c r="D139" s="15" t="s">
        <v>8389</v>
      </c>
    </row>
    <row r="140">
      <c r="A140" s="12">
        <v>4.0</v>
      </c>
      <c r="B140" s="15" t="s">
        <v>8944</v>
      </c>
      <c r="D140" s="15" t="s">
        <v>8389</v>
      </c>
    </row>
    <row r="141">
      <c r="A141" s="12">
        <v>4.0</v>
      </c>
      <c r="B141" s="15" t="s">
        <v>8945</v>
      </c>
      <c r="D141" s="15" t="s">
        <v>8389</v>
      </c>
    </row>
    <row r="142">
      <c r="A142" s="12">
        <v>4.0</v>
      </c>
      <c r="B142" s="15" t="s">
        <v>8946</v>
      </c>
      <c r="D142" s="15" t="s">
        <v>8389</v>
      </c>
    </row>
    <row r="143">
      <c r="A143" s="12">
        <v>4.0</v>
      </c>
      <c r="B143" s="15" t="s">
        <v>8947</v>
      </c>
      <c r="D143" s="15" t="s">
        <v>8389</v>
      </c>
    </row>
    <row r="144">
      <c r="A144" s="12">
        <v>4.0</v>
      </c>
      <c r="B144" s="15" t="s">
        <v>8948</v>
      </c>
      <c r="D144" s="15" t="s">
        <v>8389</v>
      </c>
    </row>
    <row r="145">
      <c r="A145" s="12">
        <v>4.0</v>
      </c>
      <c r="B145" s="15" t="s">
        <v>8949</v>
      </c>
      <c r="D145" s="15" t="s">
        <v>8389</v>
      </c>
    </row>
    <row r="146">
      <c r="A146" s="12">
        <v>4.0</v>
      </c>
      <c r="B146" s="15" t="s">
        <v>8950</v>
      </c>
      <c r="D146" s="15" t="s">
        <v>8389</v>
      </c>
    </row>
    <row r="147">
      <c r="A147" s="12">
        <v>4.0</v>
      </c>
      <c r="B147" s="15" t="s">
        <v>8951</v>
      </c>
      <c r="D147" s="15" t="s">
        <v>8389</v>
      </c>
    </row>
    <row r="148">
      <c r="A148" s="12">
        <v>4.0</v>
      </c>
      <c r="B148" s="15" t="s">
        <v>8952</v>
      </c>
      <c r="D148" s="15" t="s">
        <v>8389</v>
      </c>
    </row>
    <row r="149">
      <c r="A149" s="12">
        <v>4.0</v>
      </c>
      <c r="B149" s="15" t="s">
        <v>8953</v>
      </c>
      <c r="D149" s="15" t="s">
        <v>8389</v>
      </c>
    </row>
    <row r="150">
      <c r="A150" s="12">
        <v>4.0</v>
      </c>
      <c r="B150" s="15" t="s">
        <v>9038</v>
      </c>
      <c r="D150" s="15" t="s">
        <v>8389</v>
      </c>
    </row>
    <row r="151">
      <c r="A151" s="12">
        <v>4.0</v>
      </c>
      <c r="B151" s="15" t="s">
        <v>9107</v>
      </c>
      <c r="D151" s="15" t="s">
        <v>8389</v>
      </c>
    </row>
    <row r="152">
      <c r="A152" s="12">
        <v>4.0</v>
      </c>
      <c r="B152" s="15" t="s">
        <v>9109</v>
      </c>
      <c r="D152" s="15" t="s">
        <v>8389</v>
      </c>
    </row>
    <row r="153">
      <c r="A153" s="12">
        <v>4.0</v>
      </c>
      <c r="B153" s="15" t="s">
        <v>9044</v>
      </c>
      <c r="D153" s="15" t="s">
        <v>8389</v>
      </c>
    </row>
    <row r="154">
      <c r="A154" s="12">
        <v>4.0</v>
      </c>
      <c r="B154" s="15" t="s">
        <v>9112</v>
      </c>
      <c r="D154" s="15" t="s">
        <v>8389</v>
      </c>
    </row>
    <row r="155">
      <c r="A155" s="12">
        <v>4.0</v>
      </c>
      <c r="B155" s="15" t="s">
        <v>9114</v>
      </c>
      <c r="D155" s="15" t="s">
        <v>8389</v>
      </c>
    </row>
    <row r="156">
      <c r="A156" s="12">
        <v>4.0</v>
      </c>
      <c r="B156" s="15" t="s">
        <v>9116</v>
      </c>
      <c r="D156" s="15" t="s">
        <v>8389</v>
      </c>
    </row>
    <row r="157">
      <c r="A157" s="12">
        <v>4.0</v>
      </c>
      <c r="B157" s="15" t="s">
        <v>9118</v>
      </c>
      <c r="D157" s="15" t="s">
        <v>8389</v>
      </c>
    </row>
    <row r="158">
      <c r="A158" s="12">
        <v>4.0</v>
      </c>
      <c r="B158" s="15" t="s">
        <v>8968</v>
      </c>
      <c r="D158" s="15" t="s">
        <v>8389</v>
      </c>
    </row>
    <row r="159">
      <c r="A159" s="12">
        <v>4.0</v>
      </c>
      <c r="B159" s="15" t="s">
        <v>8972</v>
      </c>
      <c r="D159" s="15" t="s">
        <v>8389</v>
      </c>
    </row>
    <row r="160">
      <c r="A160" s="12">
        <v>4.0</v>
      </c>
      <c r="B160" s="15" t="s">
        <v>8980</v>
      </c>
      <c r="D160" s="15" t="s">
        <v>8389</v>
      </c>
    </row>
    <row r="161">
      <c r="A161" s="12">
        <v>4.0</v>
      </c>
      <c r="B161" s="15" t="s">
        <v>9123</v>
      </c>
      <c r="D161" s="15" t="s">
        <v>8389</v>
      </c>
    </row>
    <row r="162">
      <c r="A162" s="12">
        <v>4.0</v>
      </c>
      <c r="B162" s="15" t="s">
        <v>9125</v>
      </c>
      <c r="D162" s="15" t="s">
        <v>8389</v>
      </c>
    </row>
    <row r="163">
      <c r="A163" s="12">
        <v>4.0</v>
      </c>
      <c r="B163" s="10" t="s">
        <v>9127</v>
      </c>
      <c r="D163" s="15" t="s">
        <v>8389</v>
      </c>
    </row>
    <row r="164">
      <c r="A164" s="12">
        <v>4.0</v>
      </c>
      <c r="B164" s="15" t="s">
        <v>9129</v>
      </c>
      <c r="D164" s="15" t="s">
        <v>8389</v>
      </c>
    </row>
    <row r="165">
      <c r="A165" s="12">
        <v>4.0</v>
      </c>
      <c r="B165" s="15" t="s">
        <v>9131</v>
      </c>
      <c r="D165" s="15" t="s">
        <v>8389</v>
      </c>
    </row>
    <row r="166">
      <c r="A166" s="12">
        <v>4.0</v>
      </c>
      <c r="B166" s="15" t="s">
        <v>9133</v>
      </c>
      <c r="D166" s="15" t="s">
        <v>8389</v>
      </c>
    </row>
    <row r="167">
      <c r="A167" s="12">
        <v>5.0</v>
      </c>
      <c r="B167" s="15" t="s">
        <v>8929</v>
      </c>
      <c r="D167" s="15" t="s">
        <v>8391</v>
      </c>
    </row>
    <row r="168">
      <c r="A168" s="12">
        <v>5.0</v>
      </c>
      <c r="B168" s="15" t="s">
        <v>8930</v>
      </c>
      <c r="D168" s="15" t="s">
        <v>8391</v>
      </c>
    </row>
    <row r="169">
      <c r="A169" s="12">
        <v>5.0</v>
      </c>
      <c r="B169" s="15" t="s">
        <v>8931</v>
      </c>
      <c r="D169" s="15" t="s">
        <v>8391</v>
      </c>
    </row>
    <row r="170">
      <c r="A170" s="12">
        <v>5.0</v>
      </c>
      <c r="B170" s="15" t="s">
        <v>8932</v>
      </c>
      <c r="D170" s="15" t="s">
        <v>8391</v>
      </c>
    </row>
    <row r="171">
      <c r="A171" s="12">
        <v>5.0</v>
      </c>
      <c r="B171" s="15" t="s">
        <v>8933</v>
      </c>
      <c r="D171" s="15" t="s">
        <v>8391</v>
      </c>
    </row>
    <row r="172">
      <c r="A172" s="12">
        <v>5.0</v>
      </c>
      <c r="B172" s="15" t="s">
        <v>8934</v>
      </c>
      <c r="D172" s="15" t="s">
        <v>8391</v>
      </c>
    </row>
    <row r="173">
      <c r="A173" s="12">
        <v>5.0</v>
      </c>
      <c r="B173" s="15" t="s">
        <v>8935</v>
      </c>
      <c r="D173" s="15" t="s">
        <v>8391</v>
      </c>
    </row>
    <row r="174">
      <c r="A174" s="12">
        <v>5.0</v>
      </c>
      <c r="B174" s="15" t="s">
        <v>8936</v>
      </c>
      <c r="D174" s="15" t="s">
        <v>8391</v>
      </c>
    </row>
    <row r="175">
      <c r="A175" s="12">
        <v>5.0</v>
      </c>
      <c r="B175" s="15" t="s">
        <v>8937</v>
      </c>
      <c r="D175" s="15" t="s">
        <v>8391</v>
      </c>
    </row>
    <row r="176">
      <c r="A176" s="12">
        <v>5.0</v>
      </c>
      <c r="B176" s="15" t="s">
        <v>8938</v>
      </c>
      <c r="D176" s="15" t="s">
        <v>8391</v>
      </c>
    </row>
    <row r="177">
      <c r="A177" s="12">
        <v>5.0</v>
      </c>
      <c r="B177" s="15" t="s">
        <v>9151</v>
      </c>
      <c r="D177" s="15" t="s">
        <v>8391</v>
      </c>
    </row>
    <row r="178">
      <c r="A178" s="12">
        <v>5.0</v>
      </c>
      <c r="B178" s="15" t="s">
        <v>8940</v>
      </c>
      <c r="D178" s="15" t="s">
        <v>8391</v>
      </c>
    </row>
    <row r="179">
      <c r="A179" s="12">
        <v>5.0</v>
      </c>
      <c r="B179" s="15" t="s">
        <v>8941</v>
      </c>
      <c r="D179" s="15" t="s">
        <v>8391</v>
      </c>
    </row>
    <row r="180">
      <c r="A180" s="12">
        <v>5.0</v>
      </c>
      <c r="B180" s="15" t="s">
        <v>8942</v>
      </c>
      <c r="D180" s="15" t="s">
        <v>8391</v>
      </c>
    </row>
    <row r="181">
      <c r="A181" s="12">
        <v>5.0</v>
      </c>
      <c r="B181" s="15" t="s">
        <v>8943</v>
      </c>
      <c r="D181" s="15" t="s">
        <v>8391</v>
      </c>
    </row>
    <row r="182">
      <c r="A182" s="12">
        <v>5.0</v>
      </c>
      <c r="B182" s="15" t="s">
        <v>8944</v>
      </c>
      <c r="D182" s="15" t="s">
        <v>8391</v>
      </c>
    </row>
    <row r="183">
      <c r="A183" s="12">
        <v>5.0</v>
      </c>
      <c r="B183" s="15" t="s">
        <v>8945</v>
      </c>
      <c r="D183" s="15" t="s">
        <v>8391</v>
      </c>
    </row>
    <row r="184">
      <c r="A184" s="12">
        <v>5.0</v>
      </c>
      <c r="B184" s="15" t="s">
        <v>8946</v>
      </c>
      <c r="D184" s="15" t="s">
        <v>8391</v>
      </c>
    </row>
    <row r="185">
      <c r="A185" s="12">
        <v>5.0</v>
      </c>
      <c r="B185" s="15" t="s">
        <v>8947</v>
      </c>
      <c r="D185" s="15" t="s">
        <v>8391</v>
      </c>
    </row>
    <row r="186">
      <c r="A186" s="12">
        <v>5.0</v>
      </c>
      <c r="B186" s="15" t="s">
        <v>8948</v>
      </c>
      <c r="D186" s="15" t="s">
        <v>8391</v>
      </c>
    </row>
    <row r="187">
      <c r="A187" s="12">
        <v>5.0</v>
      </c>
      <c r="B187" s="15" t="s">
        <v>8949</v>
      </c>
      <c r="D187" s="15" t="s">
        <v>8391</v>
      </c>
    </row>
    <row r="188">
      <c r="A188" s="12">
        <v>5.0</v>
      </c>
      <c r="B188" s="15" t="s">
        <v>8950</v>
      </c>
      <c r="D188" s="15" t="s">
        <v>8391</v>
      </c>
    </row>
    <row r="189">
      <c r="A189" s="12">
        <v>5.0</v>
      </c>
      <c r="B189" s="15" t="s">
        <v>8951</v>
      </c>
      <c r="D189" s="15" t="s">
        <v>8391</v>
      </c>
    </row>
    <row r="190">
      <c r="A190" s="12">
        <v>5.0</v>
      </c>
      <c r="B190" s="15" t="s">
        <v>8952</v>
      </c>
      <c r="D190" s="15" t="s">
        <v>8391</v>
      </c>
    </row>
    <row r="191">
      <c r="A191" s="12">
        <v>5.0</v>
      </c>
      <c r="B191" s="15" t="s">
        <v>8953</v>
      </c>
      <c r="D191" s="15" t="s">
        <v>8391</v>
      </c>
    </row>
    <row r="192">
      <c r="A192" s="12">
        <v>5.0</v>
      </c>
      <c r="B192" s="15" t="s">
        <v>8954</v>
      </c>
      <c r="D192" s="15" t="s">
        <v>8391</v>
      </c>
    </row>
    <row r="193">
      <c r="A193" s="12">
        <v>6.0</v>
      </c>
      <c r="B193" s="15" t="s">
        <v>9138</v>
      </c>
      <c r="D193" s="15" t="s">
        <v>8777</v>
      </c>
    </row>
    <row r="194">
      <c r="A194" s="12">
        <v>7.0</v>
      </c>
      <c r="B194" s="15" t="s">
        <v>9138</v>
      </c>
      <c r="D194" s="15" t="s">
        <v>8390</v>
      </c>
    </row>
    <row r="195">
      <c r="A195" s="12">
        <v>8.0</v>
      </c>
      <c r="B195" s="15" t="s">
        <v>8929</v>
      </c>
      <c r="D195" s="15" t="s">
        <v>8386</v>
      </c>
    </row>
    <row r="196">
      <c r="A196" s="12">
        <v>8.0</v>
      </c>
      <c r="B196" s="15" t="s">
        <v>8930</v>
      </c>
      <c r="D196" s="15" t="s">
        <v>8386</v>
      </c>
    </row>
    <row r="197">
      <c r="A197" s="12">
        <v>8.0</v>
      </c>
      <c r="B197" s="15" t="s">
        <v>8931</v>
      </c>
      <c r="D197" s="15" t="s">
        <v>8386</v>
      </c>
    </row>
    <row r="198">
      <c r="A198" s="12">
        <v>8.0</v>
      </c>
      <c r="B198" s="15" t="s">
        <v>8932</v>
      </c>
      <c r="D198" s="15" t="s">
        <v>8386</v>
      </c>
    </row>
    <row r="199">
      <c r="A199" s="12">
        <v>8.0</v>
      </c>
      <c r="B199" s="15" t="s">
        <v>8933</v>
      </c>
      <c r="D199" s="15" t="s">
        <v>8386</v>
      </c>
    </row>
    <row r="200">
      <c r="A200" s="12">
        <v>8.0</v>
      </c>
      <c r="B200" s="15" t="s">
        <v>8934</v>
      </c>
      <c r="D200" s="15" t="s">
        <v>8386</v>
      </c>
    </row>
    <row r="201">
      <c r="A201" s="12">
        <v>8.0</v>
      </c>
      <c r="B201" s="15" t="s">
        <v>8935</v>
      </c>
      <c r="D201" s="15" t="s">
        <v>8386</v>
      </c>
    </row>
    <row r="202">
      <c r="A202" s="12">
        <v>8.0</v>
      </c>
      <c r="B202" s="15" t="s">
        <v>8936</v>
      </c>
      <c r="D202" s="15" t="s">
        <v>8386</v>
      </c>
    </row>
    <row r="203">
      <c r="A203" s="12">
        <v>8.0</v>
      </c>
      <c r="B203" s="15" t="s">
        <v>8937</v>
      </c>
      <c r="D203" s="15" t="s">
        <v>8386</v>
      </c>
    </row>
    <row r="204">
      <c r="A204" s="12">
        <v>8.0</v>
      </c>
      <c r="B204" s="15" t="s">
        <v>8938</v>
      </c>
      <c r="D204" s="15" t="s">
        <v>8386</v>
      </c>
    </row>
    <row r="205">
      <c r="A205" s="12">
        <v>8.0</v>
      </c>
      <c r="B205" s="15" t="s">
        <v>9151</v>
      </c>
      <c r="D205" s="15" t="s">
        <v>8386</v>
      </c>
    </row>
    <row r="206">
      <c r="A206" s="12">
        <v>8.0</v>
      </c>
      <c r="B206" s="15" t="s">
        <v>8940</v>
      </c>
      <c r="D206" s="15" t="s">
        <v>8386</v>
      </c>
    </row>
    <row r="207">
      <c r="A207" s="12">
        <v>8.0</v>
      </c>
      <c r="B207" s="15" t="s">
        <v>8941</v>
      </c>
      <c r="D207" s="15" t="s">
        <v>8386</v>
      </c>
    </row>
    <row r="208">
      <c r="A208" s="12">
        <v>8.0</v>
      </c>
      <c r="B208" s="15" t="s">
        <v>8942</v>
      </c>
      <c r="D208" s="15" t="s">
        <v>8386</v>
      </c>
    </row>
    <row r="209">
      <c r="A209" s="12">
        <v>8.0</v>
      </c>
      <c r="B209" s="15" t="s">
        <v>8943</v>
      </c>
      <c r="D209" s="15" t="s">
        <v>8386</v>
      </c>
    </row>
    <row r="210">
      <c r="A210" s="12">
        <v>8.0</v>
      </c>
      <c r="B210" s="15" t="s">
        <v>8944</v>
      </c>
      <c r="D210" s="15" t="s">
        <v>8386</v>
      </c>
    </row>
    <row r="211">
      <c r="A211" s="12">
        <v>8.0</v>
      </c>
      <c r="B211" s="15" t="s">
        <v>8945</v>
      </c>
      <c r="D211" s="15" t="s">
        <v>8386</v>
      </c>
    </row>
    <row r="212">
      <c r="A212" s="12">
        <v>8.0</v>
      </c>
      <c r="B212" s="15" t="s">
        <v>8946</v>
      </c>
      <c r="D212" s="15" t="s">
        <v>8386</v>
      </c>
    </row>
    <row r="213">
      <c r="A213" s="12">
        <v>8.0</v>
      </c>
      <c r="B213" s="15" t="s">
        <v>8947</v>
      </c>
      <c r="D213" s="15" t="s">
        <v>8386</v>
      </c>
    </row>
    <row r="214">
      <c r="A214" s="12">
        <v>8.0</v>
      </c>
      <c r="B214" s="15" t="s">
        <v>8948</v>
      </c>
      <c r="D214" s="15" t="s">
        <v>8386</v>
      </c>
    </row>
    <row r="215">
      <c r="A215" s="12">
        <v>8.0</v>
      </c>
      <c r="B215" s="15" t="s">
        <v>8949</v>
      </c>
      <c r="D215" s="15" t="s">
        <v>8386</v>
      </c>
    </row>
    <row r="216">
      <c r="A216" s="12">
        <v>8.0</v>
      </c>
      <c r="B216" s="15" t="s">
        <v>8950</v>
      </c>
      <c r="D216" s="15" t="s">
        <v>8386</v>
      </c>
    </row>
    <row r="217">
      <c r="A217" s="12">
        <v>8.0</v>
      </c>
      <c r="B217" s="15" t="s">
        <v>8951</v>
      </c>
      <c r="D217" s="15" t="s">
        <v>8386</v>
      </c>
    </row>
    <row r="218">
      <c r="A218" s="12">
        <v>8.0</v>
      </c>
      <c r="B218" s="15" t="s">
        <v>8952</v>
      </c>
      <c r="D218" s="15" t="s">
        <v>8386</v>
      </c>
    </row>
    <row r="219">
      <c r="A219" s="12">
        <v>8.0</v>
      </c>
      <c r="B219" s="15" t="s">
        <v>8953</v>
      </c>
      <c r="D219" s="15" t="s">
        <v>8386</v>
      </c>
    </row>
    <row r="220">
      <c r="A220" s="12">
        <v>8.0</v>
      </c>
      <c r="B220" s="15" t="s">
        <v>8956</v>
      </c>
      <c r="D220" s="15" t="s">
        <v>8386</v>
      </c>
    </row>
    <row r="221">
      <c r="A221" s="12">
        <v>8.0</v>
      </c>
      <c r="B221" s="15" t="s">
        <v>9084</v>
      </c>
      <c r="D221" s="15" t="s">
        <v>8386</v>
      </c>
    </row>
    <row r="222">
      <c r="A222" s="12">
        <v>8.0</v>
      </c>
      <c r="B222" s="15" t="s">
        <v>9086</v>
      </c>
      <c r="D222" s="15" t="s">
        <v>8386</v>
      </c>
    </row>
    <row r="223">
      <c r="A223" s="12">
        <v>8.0</v>
      </c>
      <c r="B223" s="15" t="s">
        <v>9088</v>
      </c>
      <c r="D223" s="15" t="s">
        <v>8386</v>
      </c>
    </row>
    <row r="224">
      <c r="A224" s="12">
        <v>8.0</v>
      </c>
      <c r="B224" s="15" t="s">
        <v>9041</v>
      </c>
      <c r="D224" s="15" t="s">
        <v>8386</v>
      </c>
    </row>
    <row r="225">
      <c r="A225" s="12">
        <v>8.0</v>
      </c>
      <c r="B225" s="15" t="s">
        <v>8960</v>
      </c>
      <c r="D225" s="15" t="s">
        <v>8386</v>
      </c>
    </row>
    <row r="226">
      <c r="A226" s="12">
        <v>8.0</v>
      </c>
      <c r="B226" s="15" t="s">
        <v>9092</v>
      </c>
      <c r="D226" s="15" t="s">
        <v>8386</v>
      </c>
    </row>
    <row r="227">
      <c r="A227" s="12">
        <v>8.0</v>
      </c>
      <c r="B227" s="15" t="s">
        <v>8962</v>
      </c>
      <c r="D227" s="15" t="s">
        <v>8386</v>
      </c>
    </row>
    <row r="228">
      <c r="A228" s="12">
        <v>8.0</v>
      </c>
      <c r="B228" s="15" t="s">
        <v>8966</v>
      </c>
      <c r="D228" s="15" t="s">
        <v>8386</v>
      </c>
    </row>
    <row r="229">
      <c r="A229" s="12">
        <v>8.0</v>
      </c>
      <c r="B229" s="15" t="s">
        <v>8968</v>
      </c>
      <c r="D229" s="15" t="s">
        <v>8386</v>
      </c>
    </row>
    <row r="230">
      <c r="A230" s="12">
        <v>8.0</v>
      </c>
      <c r="B230" s="15" t="s">
        <v>8970</v>
      </c>
      <c r="D230" s="15" t="s">
        <v>8386</v>
      </c>
    </row>
    <row r="231">
      <c r="A231" s="12">
        <v>8.0</v>
      </c>
      <c r="B231" s="15" t="s">
        <v>8976</v>
      </c>
      <c r="D231" s="15" t="s">
        <v>8386</v>
      </c>
    </row>
    <row r="232">
      <c r="A232" s="12">
        <v>8.0</v>
      </c>
      <c r="B232" s="15" t="s">
        <v>8978</v>
      </c>
      <c r="D232" s="15" t="s">
        <v>8386</v>
      </c>
    </row>
    <row r="233">
      <c r="A233" s="12">
        <v>8.0</v>
      </c>
      <c r="B233" s="15" t="s">
        <v>8980</v>
      </c>
      <c r="D233" s="15" t="s">
        <v>8386</v>
      </c>
    </row>
    <row r="234">
      <c r="A234" s="12">
        <v>8.0</v>
      </c>
      <c r="B234" s="15" t="s">
        <v>8982</v>
      </c>
      <c r="D234" s="15" t="s">
        <v>8386</v>
      </c>
    </row>
    <row r="235">
      <c r="A235" s="12">
        <v>8.0</v>
      </c>
      <c r="B235" s="15" t="s">
        <v>9102</v>
      </c>
      <c r="D235" s="15" t="s">
        <v>8386</v>
      </c>
    </row>
    <row r="236">
      <c r="A236" s="12">
        <v>9.0</v>
      </c>
      <c r="B236" s="15" t="s">
        <v>9138</v>
      </c>
      <c r="D236" s="15" t="s">
        <v>8392</v>
      </c>
    </row>
    <row r="237">
      <c r="A237" s="12">
        <v>10.0</v>
      </c>
      <c r="B237" s="15" t="s">
        <v>8929</v>
      </c>
      <c r="D237" s="15" t="s">
        <v>8778</v>
      </c>
    </row>
    <row r="238">
      <c r="A238" s="12">
        <v>10.0</v>
      </c>
      <c r="B238" s="15" t="s">
        <v>8930</v>
      </c>
      <c r="D238" s="15" t="s">
        <v>8778</v>
      </c>
    </row>
    <row r="239">
      <c r="A239" s="12">
        <v>10.0</v>
      </c>
      <c r="B239" s="15" t="s">
        <v>8931</v>
      </c>
      <c r="D239" s="15" t="s">
        <v>8778</v>
      </c>
    </row>
    <row r="240">
      <c r="A240" s="12">
        <v>10.0</v>
      </c>
      <c r="B240" s="15" t="s">
        <v>8932</v>
      </c>
      <c r="D240" s="15" t="s">
        <v>8778</v>
      </c>
    </row>
    <row r="241">
      <c r="A241" s="12">
        <v>10.0</v>
      </c>
      <c r="B241" s="15" t="s">
        <v>8933</v>
      </c>
      <c r="D241" s="15" t="s">
        <v>8778</v>
      </c>
    </row>
    <row r="242">
      <c r="A242" s="12">
        <v>10.0</v>
      </c>
      <c r="B242" s="15" t="s">
        <v>8934</v>
      </c>
      <c r="D242" s="15" t="s">
        <v>8778</v>
      </c>
    </row>
    <row r="243">
      <c r="A243" s="12">
        <v>10.0</v>
      </c>
      <c r="B243" s="15" t="s">
        <v>8935</v>
      </c>
      <c r="D243" s="15" t="s">
        <v>8778</v>
      </c>
    </row>
    <row r="244">
      <c r="A244" s="12">
        <v>10.0</v>
      </c>
      <c r="B244" s="15" t="s">
        <v>8936</v>
      </c>
      <c r="D244" s="15" t="s">
        <v>8778</v>
      </c>
    </row>
    <row r="245">
      <c r="A245" s="12">
        <v>10.0</v>
      </c>
      <c r="B245" s="15" t="s">
        <v>8937</v>
      </c>
      <c r="D245" s="15" t="s">
        <v>8778</v>
      </c>
    </row>
    <row r="246">
      <c r="A246" s="12">
        <v>10.0</v>
      </c>
      <c r="B246" s="15" t="s">
        <v>8938</v>
      </c>
      <c r="D246" s="15" t="s">
        <v>8778</v>
      </c>
    </row>
    <row r="247">
      <c r="A247" s="12">
        <v>10.0</v>
      </c>
      <c r="B247" s="15" t="s">
        <v>9151</v>
      </c>
      <c r="D247" s="15" t="s">
        <v>8778</v>
      </c>
    </row>
    <row r="248">
      <c r="A248" s="12">
        <v>10.0</v>
      </c>
      <c r="B248" s="15" t="s">
        <v>8940</v>
      </c>
      <c r="D248" s="15" t="s">
        <v>8778</v>
      </c>
    </row>
    <row r="249">
      <c r="A249" s="12">
        <v>10.0</v>
      </c>
      <c r="B249" s="15" t="s">
        <v>8941</v>
      </c>
      <c r="D249" s="15" t="s">
        <v>8778</v>
      </c>
    </row>
    <row r="250">
      <c r="A250" s="12">
        <v>10.0</v>
      </c>
      <c r="B250" s="15" t="s">
        <v>8942</v>
      </c>
      <c r="D250" s="15" t="s">
        <v>8778</v>
      </c>
    </row>
    <row r="251">
      <c r="A251" s="12">
        <v>10.0</v>
      </c>
      <c r="B251" s="15" t="s">
        <v>8943</v>
      </c>
      <c r="D251" s="15" t="s">
        <v>8778</v>
      </c>
    </row>
    <row r="252">
      <c r="A252" s="12">
        <v>10.0</v>
      </c>
      <c r="B252" s="15" t="s">
        <v>8944</v>
      </c>
      <c r="D252" s="15" t="s">
        <v>8778</v>
      </c>
    </row>
    <row r="253">
      <c r="A253" s="12">
        <v>10.0</v>
      </c>
      <c r="B253" s="15" t="s">
        <v>8945</v>
      </c>
      <c r="D253" s="15" t="s">
        <v>8778</v>
      </c>
    </row>
    <row r="254">
      <c r="A254" s="12">
        <v>10.0</v>
      </c>
      <c r="B254" s="15" t="s">
        <v>8946</v>
      </c>
      <c r="D254" s="15" t="s">
        <v>8778</v>
      </c>
    </row>
    <row r="255">
      <c r="A255" s="12">
        <v>10.0</v>
      </c>
      <c r="B255" s="15" t="s">
        <v>8947</v>
      </c>
      <c r="D255" s="15" t="s">
        <v>8778</v>
      </c>
    </row>
    <row r="256">
      <c r="A256" s="12">
        <v>10.0</v>
      </c>
      <c r="B256" s="15" t="s">
        <v>8948</v>
      </c>
      <c r="D256" s="15" t="s">
        <v>8778</v>
      </c>
    </row>
    <row r="257">
      <c r="A257" s="12">
        <v>10.0</v>
      </c>
      <c r="B257" s="15" t="s">
        <v>8949</v>
      </c>
      <c r="D257" s="15" t="s">
        <v>8778</v>
      </c>
    </row>
    <row r="258">
      <c r="A258" s="12">
        <v>10.0</v>
      </c>
      <c r="B258" s="15" t="s">
        <v>8950</v>
      </c>
      <c r="D258" s="15" t="s">
        <v>8778</v>
      </c>
    </row>
    <row r="259">
      <c r="A259" s="12">
        <v>10.0</v>
      </c>
      <c r="B259" s="15" t="s">
        <v>8951</v>
      </c>
      <c r="D259" s="15" t="s">
        <v>8778</v>
      </c>
    </row>
    <row r="260">
      <c r="A260" s="12">
        <v>10.0</v>
      </c>
      <c r="B260" s="15" t="s">
        <v>8952</v>
      </c>
      <c r="D260" s="15" t="s">
        <v>8778</v>
      </c>
    </row>
    <row r="261">
      <c r="A261" s="12">
        <v>10.0</v>
      </c>
      <c r="B261" s="15" t="s">
        <v>8953</v>
      </c>
      <c r="D261" s="15" t="s">
        <v>8778</v>
      </c>
    </row>
    <row r="262">
      <c r="A262" s="12">
        <v>10.0</v>
      </c>
      <c r="B262" s="15" t="s">
        <v>8954</v>
      </c>
      <c r="D262" s="15" t="s">
        <v>8778</v>
      </c>
    </row>
    <row r="263">
      <c r="A263" s="12">
        <v>11.0</v>
      </c>
      <c r="B263" s="15" t="s">
        <v>9138</v>
      </c>
      <c r="D263" s="15" t="s">
        <v>8388</v>
      </c>
    </row>
    <row r="264">
      <c r="A264" s="12">
        <v>12.0</v>
      </c>
      <c r="B264" s="15" t="s">
        <v>9138</v>
      </c>
      <c r="D264" s="15" t="s">
        <v>8779</v>
      </c>
    </row>
    <row r="265">
      <c r="A265" s="12">
        <v>13.0</v>
      </c>
      <c r="B265" s="15" t="s">
        <v>8929</v>
      </c>
      <c r="D265" s="15" t="s">
        <v>8385</v>
      </c>
    </row>
    <row r="266">
      <c r="A266" s="12">
        <v>13.0</v>
      </c>
      <c r="B266" s="15" t="s">
        <v>8930</v>
      </c>
      <c r="D266" s="15" t="s">
        <v>8385</v>
      </c>
    </row>
    <row r="267">
      <c r="A267" s="12">
        <v>13.0</v>
      </c>
      <c r="B267" s="15" t="s">
        <v>8931</v>
      </c>
      <c r="D267" s="15" t="s">
        <v>8385</v>
      </c>
    </row>
    <row r="268">
      <c r="A268" s="12">
        <v>13.0</v>
      </c>
      <c r="B268" s="15" t="s">
        <v>8932</v>
      </c>
      <c r="D268" s="15" t="s">
        <v>8385</v>
      </c>
    </row>
    <row r="269">
      <c r="A269" s="12">
        <v>13.0</v>
      </c>
      <c r="B269" s="15" t="s">
        <v>8933</v>
      </c>
      <c r="D269" s="15" t="s">
        <v>8385</v>
      </c>
    </row>
    <row r="270">
      <c r="A270" s="12">
        <v>13.0</v>
      </c>
      <c r="B270" s="15" t="s">
        <v>8934</v>
      </c>
      <c r="D270" s="15" t="s">
        <v>8385</v>
      </c>
    </row>
    <row r="271">
      <c r="A271" s="12">
        <v>13.0</v>
      </c>
      <c r="B271" s="15" t="s">
        <v>8935</v>
      </c>
      <c r="D271" s="15" t="s">
        <v>8385</v>
      </c>
    </row>
    <row r="272">
      <c r="A272" s="12">
        <v>13.0</v>
      </c>
      <c r="B272" s="15" t="s">
        <v>8936</v>
      </c>
      <c r="D272" s="15" t="s">
        <v>8385</v>
      </c>
    </row>
    <row r="273">
      <c r="A273" s="12">
        <v>13.0</v>
      </c>
      <c r="B273" s="15" t="s">
        <v>8937</v>
      </c>
      <c r="D273" s="15" t="s">
        <v>8385</v>
      </c>
    </row>
    <row r="274">
      <c r="A274" s="12">
        <v>13.0</v>
      </c>
      <c r="B274" s="15" t="s">
        <v>8938</v>
      </c>
      <c r="D274" s="15" t="s">
        <v>8385</v>
      </c>
    </row>
    <row r="275">
      <c r="A275" s="12">
        <v>13.0</v>
      </c>
      <c r="B275" s="15" t="s">
        <v>9151</v>
      </c>
      <c r="D275" s="15" t="s">
        <v>8385</v>
      </c>
    </row>
    <row r="276">
      <c r="A276" s="12">
        <v>13.0</v>
      </c>
      <c r="B276" s="15" t="s">
        <v>8940</v>
      </c>
      <c r="D276" s="15" t="s">
        <v>8385</v>
      </c>
    </row>
    <row r="277">
      <c r="A277" s="12">
        <v>13.0</v>
      </c>
      <c r="B277" s="15" t="s">
        <v>8941</v>
      </c>
      <c r="D277" s="15" t="s">
        <v>8385</v>
      </c>
    </row>
    <row r="278">
      <c r="A278" s="12">
        <v>13.0</v>
      </c>
      <c r="B278" s="15" t="s">
        <v>8942</v>
      </c>
      <c r="D278" s="15" t="s">
        <v>8385</v>
      </c>
    </row>
    <row r="279">
      <c r="A279" s="12">
        <v>13.0</v>
      </c>
      <c r="B279" s="15" t="s">
        <v>8943</v>
      </c>
      <c r="D279" s="15" t="s">
        <v>8385</v>
      </c>
    </row>
    <row r="280">
      <c r="A280" s="12">
        <v>13.0</v>
      </c>
      <c r="B280" s="15" t="s">
        <v>8944</v>
      </c>
      <c r="D280" s="15" t="s">
        <v>8385</v>
      </c>
    </row>
    <row r="281">
      <c r="A281" s="12">
        <v>13.0</v>
      </c>
      <c r="B281" s="15" t="s">
        <v>8945</v>
      </c>
      <c r="D281" s="15" t="s">
        <v>8385</v>
      </c>
    </row>
    <row r="282">
      <c r="A282" s="12">
        <v>13.0</v>
      </c>
      <c r="B282" s="15" t="s">
        <v>8946</v>
      </c>
      <c r="D282" s="15" t="s">
        <v>8385</v>
      </c>
    </row>
    <row r="283">
      <c r="A283" s="12">
        <v>13.0</v>
      </c>
      <c r="B283" s="15" t="s">
        <v>8947</v>
      </c>
      <c r="D283" s="15" t="s">
        <v>8385</v>
      </c>
    </row>
    <row r="284">
      <c r="A284" s="12">
        <v>13.0</v>
      </c>
      <c r="B284" s="15" t="s">
        <v>8948</v>
      </c>
      <c r="D284" s="15" t="s">
        <v>8385</v>
      </c>
    </row>
    <row r="285">
      <c r="A285" s="12">
        <v>13.0</v>
      </c>
      <c r="B285" s="15" t="s">
        <v>8949</v>
      </c>
      <c r="D285" s="15" t="s">
        <v>8385</v>
      </c>
    </row>
    <row r="286">
      <c r="A286" s="12">
        <v>13.0</v>
      </c>
      <c r="B286" s="15" t="s">
        <v>8950</v>
      </c>
      <c r="D286" s="15" t="s">
        <v>8385</v>
      </c>
    </row>
    <row r="287">
      <c r="A287" s="12">
        <v>13.0</v>
      </c>
      <c r="B287" s="15" t="s">
        <v>8951</v>
      </c>
      <c r="D287" s="15" t="s">
        <v>8385</v>
      </c>
    </row>
    <row r="288">
      <c r="A288" s="12">
        <v>13.0</v>
      </c>
      <c r="B288" s="15" t="s">
        <v>8952</v>
      </c>
      <c r="D288" s="15" t="s">
        <v>8385</v>
      </c>
    </row>
    <row r="289">
      <c r="A289" s="12">
        <v>13.0</v>
      </c>
      <c r="B289" s="15" t="s">
        <v>8953</v>
      </c>
      <c r="D289" s="15" t="s">
        <v>8385</v>
      </c>
    </row>
    <row r="290">
      <c r="A290" s="12">
        <v>13.0</v>
      </c>
      <c r="B290" s="15" t="s">
        <v>9038</v>
      </c>
      <c r="D290" s="15" t="s">
        <v>8385</v>
      </c>
    </row>
    <row r="291">
      <c r="A291" s="12">
        <v>13.0</v>
      </c>
      <c r="B291" s="15" t="s">
        <v>9107</v>
      </c>
      <c r="D291" s="15" t="s">
        <v>8385</v>
      </c>
    </row>
    <row r="292">
      <c r="A292" s="12">
        <v>13.0</v>
      </c>
      <c r="B292" s="15" t="s">
        <v>9109</v>
      </c>
      <c r="D292" s="15" t="s">
        <v>8385</v>
      </c>
    </row>
    <row r="293">
      <c r="A293" s="12">
        <v>13.0</v>
      </c>
      <c r="B293" s="15" t="s">
        <v>9044</v>
      </c>
      <c r="D293" s="15" t="s">
        <v>8385</v>
      </c>
    </row>
    <row r="294">
      <c r="A294" s="12">
        <v>13.0</v>
      </c>
      <c r="B294" s="15" t="s">
        <v>9112</v>
      </c>
      <c r="D294" s="15" t="s">
        <v>8385</v>
      </c>
    </row>
    <row r="295">
      <c r="A295" s="12">
        <v>13.0</v>
      </c>
      <c r="B295" s="15" t="s">
        <v>9114</v>
      </c>
      <c r="D295" s="15" t="s">
        <v>8385</v>
      </c>
    </row>
    <row r="296">
      <c r="A296" s="12">
        <v>13.0</v>
      </c>
      <c r="B296" s="15" t="s">
        <v>9116</v>
      </c>
      <c r="D296" s="15" t="s">
        <v>8385</v>
      </c>
    </row>
    <row r="297">
      <c r="A297" s="12">
        <v>13.0</v>
      </c>
      <c r="B297" s="15" t="s">
        <v>9118</v>
      </c>
      <c r="D297" s="15" t="s">
        <v>8385</v>
      </c>
    </row>
    <row r="298">
      <c r="A298" s="12">
        <v>13.0</v>
      </c>
      <c r="B298" s="15" t="s">
        <v>8968</v>
      </c>
      <c r="D298" s="15" t="s">
        <v>8385</v>
      </c>
    </row>
    <row r="299">
      <c r="A299" s="12">
        <v>13.0</v>
      </c>
      <c r="B299" s="15" t="s">
        <v>8972</v>
      </c>
      <c r="D299" s="15" t="s">
        <v>8385</v>
      </c>
    </row>
    <row r="300">
      <c r="A300" s="12">
        <v>13.0</v>
      </c>
      <c r="B300" s="15" t="s">
        <v>8980</v>
      </c>
      <c r="D300" s="15" t="s">
        <v>8385</v>
      </c>
    </row>
    <row r="301">
      <c r="A301" s="12">
        <v>13.0</v>
      </c>
      <c r="B301" s="15" t="s">
        <v>9123</v>
      </c>
      <c r="D301" s="15" t="s">
        <v>8385</v>
      </c>
    </row>
    <row r="302">
      <c r="A302" s="12">
        <v>13.0</v>
      </c>
      <c r="B302" s="15" t="s">
        <v>9125</v>
      </c>
      <c r="D302" s="15" t="s">
        <v>8385</v>
      </c>
    </row>
    <row r="303">
      <c r="A303" s="12">
        <v>13.0</v>
      </c>
      <c r="B303" s="10" t="s">
        <v>9127</v>
      </c>
      <c r="D303" s="15" t="s">
        <v>8385</v>
      </c>
    </row>
    <row r="304">
      <c r="A304" s="12">
        <v>13.0</v>
      </c>
      <c r="B304" s="15" t="s">
        <v>9129</v>
      </c>
      <c r="D304" s="15" t="s">
        <v>8385</v>
      </c>
    </row>
    <row r="305">
      <c r="A305" s="12">
        <v>13.0</v>
      </c>
      <c r="B305" s="15" t="s">
        <v>9131</v>
      </c>
      <c r="D305" s="15" t="s">
        <v>8385</v>
      </c>
    </row>
    <row r="306">
      <c r="A306" s="12">
        <v>13.0</v>
      </c>
      <c r="B306" s="15" t="s">
        <v>9133</v>
      </c>
      <c r="D306" s="15" t="s">
        <v>8385</v>
      </c>
    </row>
    <row r="307">
      <c r="A307" s="12">
        <v>14.0</v>
      </c>
      <c r="B307" s="15" t="s">
        <v>9138</v>
      </c>
      <c r="D307" s="15" t="s">
        <v>8782</v>
      </c>
    </row>
    <row r="308">
      <c r="A308" s="12">
        <v>15.0</v>
      </c>
      <c r="B308" s="15" t="s">
        <v>9138</v>
      </c>
      <c r="D308" s="15" t="s">
        <v>8783</v>
      </c>
    </row>
    <row r="309">
      <c r="A309" s="12">
        <v>16.0</v>
      </c>
      <c r="B309" s="15" t="s">
        <v>9138</v>
      </c>
      <c r="D309" s="15" t="s">
        <v>9259</v>
      </c>
    </row>
    <row r="310">
      <c r="A310" s="12"/>
      <c r="B310" s="15"/>
      <c r="D310" s="15"/>
    </row>
    <row r="311">
      <c r="A311" s="28"/>
      <c r="B311" s="15"/>
      <c r="D311" s="15"/>
    </row>
    <row r="312">
      <c r="A312" s="28"/>
      <c r="B312" s="15"/>
      <c r="D312" s="15"/>
    </row>
    <row r="313">
      <c r="A313" s="28"/>
      <c r="B313" s="15"/>
      <c r="D313" s="15"/>
    </row>
    <row r="314">
      <c r="A314" s="28"/>
      <c r="B314" s="15"/>
      <c r="D314" s="15"/>
    </row>
    <row r="315">
      <c r="A315" s="28"/>
      <c r="B315" s="15"/>
      <c r="D315" s="15"/>
    </row>
    <row r="316">
      <c r="A316" s="28"/>
      <c r="B316" s="15"/>
      <c r="D316" s="15"/>
    </row>
    <row r="317">
      <c r="A317" s="28"/>
      <c r="B317" s="15"/>
      <c r="D317" s="15"/>
    </row>
    <row r="318">
      <c r="A318" s="28"/>
      <c r="B318" s="15"/>
      <c r="D318" s="15"/>
    </row>
    <row r="319">
      <c r="A319" s="28"/>
      <c r="B319" s="15"/>
      <c r="D319" s="15"/>
    </row>
    <row r="320">
      <c r="A320" s="28"/>
      <c r="B320" s="15"/>
      <c r="D320" s="15"/>
    </row>
    <row r="321">
      <c r="A321" s="28"/>
      <c r="B321" s="15"/>
      <c r="D321" s="15"/>
    </row>
    <row r="322">
      <c r="A322" s="28"/>
      <c r="B322" s="15"/>
      <c r="D322" s="15"/>
    </row>
    <row r="323">
      <c r="A323" s="28"/>
      <c r="B323" s="15"/>
      <c r="D323" s="15"/>
    </row>
    <row r="324">
      <c r="A324" s="28"/>
      <c r="B324" s="15"/>
      <c r="D324" s="15"/>
    </row>
    <row r="325">
      <c r="A325" s="28"/>
      <c r="B325" s="15"/>
      <c r="D325" s="15"/>
    </row>
    <row r="326">
      <c r="A326" s="28"/>
      <c r="B326" s="15"/>
      <c r="D326" s="15"/>
    </row>
    <row r="327">
      <c r="A327" s="28"/>
      <c r="B327" s="15"/>
      <c r="D327" s="15"/>
    </row>
    <row r="328">
      <c r="A328" s="28"/>
      <c r="B328" s="15"/>
      <c r="D328" s="15"/>
    </row>
    <row r="329">
      <c r="A329" s="28"/>
      <c r="B329" s="15"/>
      <c r="D329" s="15"/>
    </row>
    <row r="330">
      <c r="A330" s="28"/>
      <c r="B330" s="15"/>
      <c r="D330" s="15"/>
    </row>
    <row r="331">
      <c r="A331" s="28"/>
      <c r="B331" s="15"/>
      <c r="D331" s="15"/>
    </row>
    <row r="332">
      <c r="A332" s="28"/>
      <c r="B332" s="15"/>
      <c r="D332" s="15"/>
    </row>
    <row r="333">
      <c r="A333" s="28"/>
      <c r="B333" s="15"/>
      <c r="D333" s="15"/>
    </row>
    <row r="334">
      <c r="A334" s="28"/>
      <c r="B334" s="15"/>
      <c r="D334" s="15"/>
    </row>
    <row r="335">
      <c r="A335" s="28"/>
      <c r="B335" s="15"/>
      <c r="D335" s="15"/>
    </row>
    <row r="336">
      <c r="A336" s="28"/>
      <c r="B336" s="15"/>
      <c r="D336" s="15"/>
    </row>
    <row r="337">
      <c r="A337" s="28"/>
      <c r="B337" s="15"/>
      <c r="D337" s="15"/>
    </row>
    <row r="338">
      <c r="A338" s="28"/>
      <c r="B338" s="15"/>
      <c r="D338" s="15"/>
    </row>
    <row r="339">
      <c r="A339" s="28"/>
      <c r="B339" s="15"/>
      <c r="D339" s="15"/>
    </row>
    <row r="340">
      <c r="A340" s="28"/>
      <c r="B340" s="15"/>
      <c r="D340" s="15"/>
    </row>
    <row r="341">
      <c r="A341" s="28"/>
      <c r="B341" s="15"/>
      <c r="D341" s="15"/>
    </row>
    <row r="342">
      <c r="A342" s="28"/>
      <c r="B342" s="15"/>
      <c r="D342" s="15"/>
    </row>
    <row r="343">
      <c r="A343" s="28"/>
      <c r="B343" s="15"/>
      <c r="D343" s="15"/>
    </row>
    <row r="344">
      <c r="A344" s="28"/>
      <c r="B344" s="15"/>
      <c r="D344" s="15"/>
    </row>
    <row r="345">
      <c r="A345" s="28"/>
      <c r="B345" s="15"/>
      <c r="D345" s="15"/>
    </row>
    <row r="346">
      <c r="A346" s="28"/>
      <c r="B346" s="15"/>
      <c r="D346" s="15"/>
    </row>
    <row r="347">
      <c r="A347" s="28"/>
      <c r="B347" s="15"/>
      <c r="D347" s="15"/>
    </row>
    <row r="348">
      <c r="A348" s="28"/>
      <c r="B348" s="15"/>
      <c r="D348" s="15"/>
    </row>
    <row r="349">
      <c r="A349" s="28"/>
      <c r="B349" s="15"/>
      <c r="D349" s="15"/>
    </row>
    <row r="350">
      <c r="A350" s="28"/>
      <c r="B350" s="15"/>
      <c r="D350" s="15"/>
    </row>
    <row r="351">
      <c r="A351" s="28"/>
      <c r="B351" s="15"/>
      <c r="D351" s="15"/>
    </row>
    <row r="352">
      <c r="A352" s="28"/>
      <c r="B352" s="15"/>
      <c r="D352" s="15"/>
    </row>
    <row r="353">
      <c r="A353" s="28"/>
      <c r="B353" s="15"/>
      <c r="D353" s="15"/>
    </row>
    <row r="354">
      <c r="A354" s="28"/>
      <c r="B354" s="15"/>
      <c r="D354" s="15"/>
    </row>
    <row r="355">
      <c r="A355" s="28"/>
      <c r="B355" s="15"/>
      <c r="D355" s="15"/>
    </row>
    <row r="356">
      <c r="A356" s="28"/>
      <c r="B356" s="15"/>
      <c r="D356" s="15"/>
    </row>
    <row r="357">
      <c r="A357" s="28"/>
      <c r="B357" s="15"/>
      <c r="D357" s="15"/>
    </row>
    <row r="358">
      <c r="A358" s="28"/>
      <c r="B358" s="15"/>
      <c r="D358" s="15"/>
    </row>
    <row r="359">
      <c r="A359" s="28"/>
      <c r="B359" s="15"/>
      <c r="D359" s="15"/>
    </row>
    <row r="360">
      <c r="A360" s="28"/>
      <c r="B360" s="15"/>
      <c r="D360" s="15"/>
    </row>
    <row r="361">
      <c r="A361" s="28"/>
      <c r="B361" s="15"/>
      <c r="D361" s="15"/>
    </row>
    <row r="362">
      <c r="A362" s="28"/>
      <c r="B362" s="15"/>
      <c r="D362" s="15"/>
    </row>
    <row r="363">
      <c r="A363" s="28"/>
      <c r="B363" s="15"/>
      <c r="D363" s="15"/>
    </row>
    <row r="364">
      <c r="A364" s="28"/>
      <c r="B364" s="15"/>
      <c r="D364" s="15"/>
    </row>
    <row r="365">
      <c r="A365" s="28"/>
      <c r="B365" s="15"/>
      <c r="D365" s="15"/>
    </row>
    <row r="366">
      <c r="A366" s="28"/>
      <c r="B366" s="15"/>
      <c r="D366" s="15"/>
    </row>
    <row r="367">
      <c r="A367" s="28"/>
      <c r="B367" s="15"/>
      <c r="D367" s="15"/>
    </row>
    <row r="368">
      <c r="A368" s="28"/>
      <c r="B368" s="15"/>
      <c r="D368" s="15"/>
    </row>
    <row r="369">
      <c r="A369" s="28"/>
      <c r="B369" s="15"/>
      <c r="D369" s="15"/>
    </row>
    <row r="370">
      <c r="A370" s="28"/>
      <c r="B370" s="15"/>
      <c r="D370" s="15"/>
    </row>
    <row r="371">
      <c r="A371" s="28"/>
      <c r="B371" s="15"/>
      <c r="D371" s="15"/>
    </row>
    <row r="372">
      <c r="A372" s="28"/>
      <c r="B372" s="15"/>
      <c r="D372" s="15"/>
    </row>
    <row r="373">
      <c r="A373" s="28"/>
      <c r="B373" s="15"/>
      <c r="D373" s="15"/>
    </row>
    <row r="374">
      <c r="A374" s="28"/>
      <c r="B374" s="15"/>
      <c r="D374" s="15"/>
    </row>
    <row r="375">
      <c r="A375" s="28"/>
      <c r="B375" s="15"/>
      <c r="D375" s="15"/>
    </row>
    <row r="376">
      <c r="A376" s="28"/>
      <c r="B376" s="15"/>
      <c r="D376" s="15"/>
    </row>
    <row r="377">
      <c r="A377" s="28"/>
      <c r="B377" s="15"/>
      <c r="D377" s="15"/>
    </row>
    <row r="378">
      <c r="A378" s="28"/>
      <c r="B378" s="15"/>
      <c r="D378" s="15"/>
    </row>
    <row r="379">
      <c r="A379" s="28"/>
      <c r="B379" s="15"/>
      <c r="D379" s="15"/>
    </row>
    <row r="380">
      <c r="A380" s="28"/>
      <c r="B380" s="15"/>
      <c r="D380" s="15"/>
    </row>
    <row r="381">
      <c r="A381" s="28"/>
      <c r="B381" s="15"/>
      <c r="D381" s="15"/>
    </row>
    <row r="382">
      <c r="A382" s="28"/>
      <c r="B382" s="15"/>
      <c r="D382" s="15"/>
    </row>
    <row r="383">
      <c r="A383" s="28"/>
      <c r="B383" s="15"/>
      <c r="D383" s="15"/>
    </row>
    <row r="384">
      <c r="A384" s="28"/>
      <c r="B384" s="15"/>
      <c r="D384" s="15"/>
    </row>
    <row r="385">
      <c r="A385" s="28"/>
      <c r="B385" s="15"/>
      <c r="D385" s="15"/>
    </row>
    <row r="386">
      <c r="A386" s="28"/>
      <c r="B386" s="15"/>
      <c r="D386" s="15"/>
    </row>
    <row r="387">
      <c r="A387" s="28"/>
      <c r="B387" s="15"/>
      <c r="D387" s="15"/>
    </row>
    <row r="388">
      <c r="A388" s="28"/>
      <c r="B388" s="15"/>
      <c r="D388" s="15"/>
    </row>
    <row r="389">
      <c r="A389" s="28"/>
      <c r="B389" s="15"/>
      <c r="D389" s="15"/>
    </row>
    <row r="390">
      <c r="A390" s="28"/>
      <c r="B390" s="15"/>
      <c r="D390" s="15"/>
    </row>
    <row r="391">
      <c r="A391" s="28"/>
      <c r="B391" s="15"/>
      <c r="D391" s="15"/>
    </row>
    <row r="392">
      <c r="A392" s="28"/>
      <c r="B392" s="15"/>
      <c r="D392" s="15"/>
    </row>
    <row r="393">
      <c r="A393" s="28"/>
      <c r="B393" s="15"/>
      <c r="D393" s="15"/>
    </row>
    <row r="394">
      <c r="A394" s="28"/>
      <c r="B394" s="15"/>
      <c r="D394" s="15"/>
    </row>
    <row r="395">
      <c r="A395" s="28"/>
      <c r="B395" s="15"/>
      <c r="D395" s="15"/>
    </row>
    <row r="396">
      <c r="A396" s="28"/>
      <c r="B396" s="15"/>
      <c r="D396" s="15"/>
    </row>
    <row r="397">
      <c r="A397" s="28"/>
      <c r="B397" s="15"/>
      <c r="D397" s="15"/>
    </row>
    <row r="398">
      <c r="A398" s="28"/>
      <c r="B398" s="15"/>
      <c r="D398" s="15"/>
    </row>
    <row r="399">
      <c r="A399" s="28"/>
      <c r="B399" s="15"/>
      <c r="D399" s="15"/>
    </row>
    <row r="400">
      <c r="A400" s="28"/>
      <c r="B400" s="15"/>
      <c r="D400" s="15"/>
    </row>
    <row r="401">
      <c r="A401" s="28"/>
      <c r="B401" s="15"/>
      <c r="D401" s="15"/>
    </row>
    <row r="402">
      <c r="A402" s="28"/>
      <c r="B402" s="15"/>
      <c r="D402" s="15"/>
    </row>
    <row r="403">
      <c r="A403" s="28"/>
      <c r="B403" s="15"/>
      <c r="D403" s="15"/>
    </row>
    <row r="404">
      <c r="A404" s="28"/>
      <c r="B404" s="15"/>
      <c r="D404" s="15"/>
    </row>
    <row r="405">
      <c r="A405" s="28"/>
      <c r="B405" s="15"/>
      <c r="D405" s="15"/>
    </row>
    <row r="406">
      <c r="A406" s="28"/>
      <c r="B406" s="15"/>
      <c r="D406" s="15"/>
    </row>
    <row r="407">
      <c r="A407" s="28"/>
      <c r="B407" s="15"/>
      <c r="D407" s="15"/>
    </row>
    <row r="408">
      <c r="A408" s="28"/>
      <c r="B408" s="15"/>
      <c r="D408" s="15"/>
    </row>
    <row r="409">
      <c r="A409" s="28"/>
      <c r="B409" s="15"/>
      <c r="D409" s="15"/>
    </row>
    <row r="410">
      <c r="A410" s="28"/>
      <c r="B410" s="15"/>
      <c r="D410" s="15"/>
    </row>
    <row r="411">
      <c r="A411" s="28"/>
      <c r="B411" s="15"/>
      <c r="D411" s="15"/>
    </row>
    <row r="412">
      <c r="A412" s="28"/>
      <c r="B412" s="15"/>
      <c r="D412" s="15"/>
    </row>
    <row r="413">
      <c r="A413" s="28"/>
      <c r="B413" s="15"/>
      <c r="D413" s="15"/>
    </row>
    <row r="414">
      <c r="A414" s="28"/>
      <c r="B414" s="15"/>
      <c r="D414" s="15"/>
    </row>
    <row r="415">
      <c r="A415" s="28"/>
      <c r="B415" s="15"/>
      <c r="D415" s="15"/>
    </row>
    <row r="416">
      <c r="A416" s="28"/>
      <c r="B416" s="15"/>
      <c r="D416" s="15"/>
    </row>
    <row r="417">
      <c r="A417" s="28"/>
      <c r="B417" s="15"/>
      <c r="D417" s="15"/>
    </row>
    <row r="418">
      <c r="A418" s="28"/>
      <c r="B418" s="15"/>
      <c r="D418" s="15"/>
    </row>
    <row r="419">
      <c r="A419" s="28"/>
      <c r="B419" s="15"/>
      <c r="D419" s="15"/>
    </row>
    <row r="420">
      <c r="A420" s="28"/>
      <c r="B420" s="15"/>
      <c r="D420" s="15"/>
    </row>
    <row r="421">
      <c r="A421" s="28"/>
      <c r="B421" s="15"/>
      <c r="D421" s="15"/>
    </row>
    <row r="422">
      <c r="A422" s="28"/>
      <c r="B422" s="15"/>
      <c r="D422" s="15"/>
    </row>
    <row r="423">
      <c r="A423" s="28"/>
      <c r="B423" s="15"/>
      <c r="D423" s="15"/>
    </row>
    <row r="424">
      <c r="A424" s="28"/>
      <c r="B424" s="15"/>
      <c r="D424" s="15"/>
    </row>
    <row r="425">
      <c r="A425" s="28"/>
      <c r="B425" s="15"/>
      <c r="D425" s="15"/>
    </row>
    <row r="426">
      <c r="A426" s="28"/>
      <c r="B426" s="15"/>
      <c r="D426" s="15"/>
    </row>
    <row r="427">
      <c r="A427" s="28"/>
      <c r="B427" s="15"/>
      <c r="D427" s="15"/>
    </row>
    <row r="428">
      <c r="A428" s="28"/>
      <c r="B428" s="15"/>
      <c r="D428" s="15"/>
    </row>
    <row r="429">
      <c r="A429" s="28"/>
      <c r="B429" s="15"/>
      <c r="D429" s="15"/>
    </row>
    <row r="430">
      <c r="A430" s="28"/>
      <c r="B430" s="15"/>
      <c r="D430" s="15"/>
    </row>
    <row r="431">
      <c r="A431" s="28"/>
      <c r="B431" s="15"/>
      <c r="D431" s="15"/>
    </row>
    <row r="432">
      <c r="A432" s="28"/>
      <c r="B432" s="15"/>
      <c r="D432" s="15"/>
    </row>
    <row r="433">
      <c r="A433" s="28"/>
      <c r="B433" s="15"/>
      <c r="D433" s="15"/>
    </row>
    <row r="434">
      <c r="A434" s="28"/>
      <c r="B434" s="15"/>
      <c r="D434" s="15"/>
    </row>
    <row r="435">
      <c r="A435" s="28"/>
      <c r="B435" s="15"/>
      <c r="D435" s="15"/>
    </row>
    <row r="436">
      <c r="A436" s="28"/>
      <c r="B436" s="15"/>
      <c r="D436" s="15"/>
    </row>
    <row r="437">
      <c r="A437" s="28"/>
      <c r="B437" s="15"/>
      <c r="D437" s="15"/>
    </row>
    <row r="438">
      <c r="A438" s="28"/>
      <c r="B438" s="15"/>
      <c r="D438" s="15"/>
    </row>
    <row r="439">
      <c r="A439" s="28"/>
      <c r="B439" s="15"/>
      <c r="D439" s="15"/>
    </row>
    <row r="440">
      <c r="A440" s="28"/>
      <c r="B440" s="15"/>
      <c r="D440" s="15"/>
    </row>
    <row r="441">
      <c r="A441" s="28"/>
      <c r="B441" s="15"/>
      <c r="D441" s="15"/>
    </row>
    <row r="442">
      <c r="A442" s="28"/>
      <c r="B442" s="15"/>
      <c r="D442" s="15"/>
    </row>
    <row r="443">
      <c r="A443" s="28"/>
      <c r="B443" s="15"/>
      <c r="D443" s="15"/>
    </row>
    <row r="444">
      <c r="A444" s="28"/>
      <c r="B444" s="15"/>
      <c r="D444" s="15"/>
    </row>
    <row r="445">
      <c r="A445" s="28"/>
      <c r="B445" s="15"/>
      <c r="D445" s="15"/>
    </row>
    <row r="446">
      <c r="A446" s="28"/>
      <c r="B446" s="15"/>
      <c r="D446" s="15"/>
    </row>
    <row r="447">
      <c r="A447" s="28"/>
      <c r="B447" s="15"/>
      <c r="D447" s="15"/>
    </row>
    <row r="448">
      <c r="A448" s="28"/>
      <c r="B448" s="15"/>
      <c r="D448" s="15"/>
    </row>
    <row r="449">
      <c r="A449" s="28"/>
      <c r="B449" s="15"/>
      <c r="D449" s="15"/>
    </row>
    <row r="450">
      <c r="A450" s="28"/>
      <c r="B450" s="15"/>
      <c r="D450" s="15"/>
    </row>
    <row r="451">
      <c r="A451" s="28"/>
      <c r="B451" s="15"/>
      <c r="D451" s="15"/>
    </row>
    <row r="452">
      <c r="A452" s="28"/>
      <c r="B452" s="15"/>
      <c r="D452" s="15"/>
    </row>
    <row r="453">
      <c r="A453" s="28"/>
      <c r="B453" s="15"/>
      <c r="D453" s="15"/>
    </row>
    <row r="454">
      <c r="A454" s="28"/>
      <c r="B454" s="15"/>
      <c r="D454" s="15"/>
    </row>
    <row r="455">
      <c r="A455" s="28"/>
      <c r="B455" s="15"/>
      <c r="D455" s="15"/>
    </row>
    <row r="456">
      <c r="A456" s="28"/>
      <c r="B456" s="15"/>
      <c r="D456" s="15"/>
    </row>
    <row r="457">
      <c r="A457" s="28"/>
      <c r="B457" s="15"/>
      <c r="D457" s="15"/>
    </row>
    <row r="458">
      <c r="A458" s="28"/>
      <c r="B458" s="15"/>
      <c r="D458" s="15"/>
    </row>
    <row r="459">
      <c r="A459" s="28"/>
      <c r="B459" s="15"/>
      <c r="D459" s="15"/>
    </row>
    <row r="460">
      <c r="A460" s="28"/>
      <c r="B460" s="15"/>
      <c r="D460" s="15"/>
    </row>
    <row r="461">
      <c r="A461" s="28"/>
      <c r="B461" s="15"/>
      <c r="D461" s="15"/>
    </row>
    <row r="462">
      <c r="A462" s="28"/>
      <c r="B462" s="15"/>
      <c r="D462" s="15"/>
    </row>
    <row r="463">
      <c r="A463" s="28"/>
      <c r="B463" s="15"/>
      <c r="D463" s="15"/>
    </row>
    <row r="464">
      <c r="A464" s="28"/>
      <c r="B464" s="15"/>
      <c r="D464" s="15"/>
    </row>
    <row r="465">
      <c r="A465" s="28"/>
      <c r="B465" s="15"/>
      <c r="D465" s="15"/>
    </row>
    <row r="466">
      <c r="A466" s="28"/>
      <c r="B466" s="15"/>
      <c r="D466" s="15"/>
    </row>
    <row r="467">
      <c r="A467" s="28"/>
      <c r="B467" s="15"/>
      <c r="D467" s="15"/>
    </row>
    <row r="468">
      <c r="A468" s="28"/>
      <c r="B468" s="15"/>
      <c r="D468" s="15"/>
    </row>
    <row r="469">
      <c r="A469" s="28"/>
      <c r="B469" s="15"/>
      <c r="D469" s="15"/>
    </row>
    <row r="470">
      <c r="A470" s="28"/>
      <c r="B470" s="15"/>
      <c r="D470" s="15"/>
    </row>
    <row r="471">
      <c r="A471" s="28"/>
      <c r="B471" s="15"/>
      <c r="D471" s="15"/>
    </row>
    <row r="472">
      <c r="A472" s="28"/>
      <c r="B472" s="15"/>
      <c r="D472" s="15"/>
    </row>
    <row r="473">
      <c r="A473" s="28"/>
      <c r="B473" s="15"/>
      <c r="D473" s="15"/>
    </row>
    <row r="474">
      <c r="A474" s="28"/>
      <c r="B474" s="15"/>
      <c r="D474" s="15"/>
    </row>
    <row r="475">
      <c r="A475" s="28"/>
      <c r="B475" s="15"/>
      <c r="D475" s="15"/>
    </row>
    <row r="476">
      <c r="A476" s="28"/>
      <c r="B476" s="15"/>
      <c r="D476" s="15"/>
    </row>
    <row r="477">
      <c r="A477" s="28"/>
      <c r="B477" s="15"/>
      <c r="D477" s="15"/>
    </row>
    <row r="478">
      <c r="A478" s="28"/>
      <c r="B478" s="15"/>
      <c r="D478" s="15"/>
    </row>
    <row r="479">
      <c r="A479" s="28"/>
      <c r="B479" s="15"/>
      <c r="D479" s="15"/>
    </row>
    <row r="480">
      <c r="A480" s="28"/>
      <c r="B480" s="15"/>
      <c r="D480" s="15"/>
    </row>
    <row r="481">
      <c r="A481" s="28"/>
      <c r="B481" s="15"/>
      <c r="D481" s="15"/>
    </row>
    <row r="482">
      <c r="A482" s="28"/>
      <c r="B482" s="15"/>
      <c r="D482" s="15"/>
    </row>
    <row r="483">
      <c r="A483" s="28"/>
      <c r="B483" s="15"/>
      <c r="D483" s="15"/>
    </row>
    <row r="484">
      <c r="A484" s="28"/>
      <c r="B484" s="15"/>
      <c r="D484" s="15"/>
    </row>
    <row r="485">
      <c r="A485" s="28"/>
      <c r="B485" s="15"/>
      <c r="D485" s="15"/>
    </row>
    <row r="486">
      <c r="A486" s="28"/>
      <c r="B486" s="15"/>
      <c r="D486" s="15"/>
    </row>
    <row r="487">
      <c r="A487" s="28"/>
      <c r="B487" s="15"/>
      <c r="D487" s="15"/>
    </row>
    <row r="488">
      <c r="A488" s="28"/>
      <c r="B488" s="15"/>
      <c r="D488" s="15"/>
    </row>
    <row r="489">
      <c r="A489" s="28"/>
      <c r="B489" s="15"/>
      <c r="D489" s="15"/>
    </row>
    <row r="490">
      <c r="A490" s="28"/>
      <c r="B490" s="15"/>
      <c r="D490" s="15"/>
    </row>
    <row r="491">
      <c r="A491" s="28"/>
      <c r="B491" s="15"/>
      <c r="D491" s="15"/>
    </row>
    <row r="492">
      <c r="A492" s="28"/>
      <c r="B492" s="15"/>
      <c r="D492" s="15"/>
    </row>
    <row r="493">
      <c r="A493" s="28"/>
      <c r="B493" s="15"/>
      <c r="D493" s="15"/>
    </row>
    <row r="494">
      <c r="A494" s="28"/>
      <c r="B494" s="15"/>
      <c r="D494" s="15"/>
    </row>
    <row r="495">
      <c r="A495" s="28"/>
      <c r="B495" s="15"/>
      <c r="D495" s="15"/>
    </row>
    <row r="496">
      <c r="A496" s="28"/>
      <c r="B496" s="15"/>
      <c r="D496" s="15"/>
    </row>
    <row r="497">
      <c r="A497" s="28"/>
      <c r="B497" s="15"/>
      <c r="D497" s="15"/>
    </row>
    <row r="498">
      <c r="A498" s="28"/>
      <c r="B498" s="15"/>
      <c r="D498" s="15"/>
    </row>
    <row r="499">
      <c r="A499" s="28"/>
      <c r="B499" s="15"/>
      <c r="D499" s="15"/>
    </row>
    <row r="500">
      <c r="A500" s="28"/>
      <c r="B500" s="15"/>
      <c r="D500" s="15"/>
    </row>
    <row r="501">
      <c r="A501" s="28"/>
      <c r="B501" s="15"/>
      <c r="D501" s="15"/>
    </row>
    <row r="502">
      <c r="A502" s="28"/>
      <c r="B502" s="15"/>
      <c r="D502" s="15"/>
    </row>
    <row r="503">
      <c r="A503" s="28"/>
      <c r="B503" s="15"/>
      <c r="D503" s="15"/>
    </row>
    <row r="504">
      <c r="A504" s="28"/>
      <c r="B504" s="15"/>
      <c r="D504" s="15"/>
    </row>
    <row r="505">
      <c r="A505" s="28"/>
      <c r="B505" s="15"/>
      <c r="D505" s="15"/>
    </row>
    <row r="506">
      <c r="A506" s="28"/>
      <c r="B506" s="15"/>
      <c r="D506" s="15"/>
    </row>
    <row r="507">
      <c r="A507" s="28"/>
      <c r="B507" s="15"/>
      <c r="D507" s="15"/>
    </row>
    <row r="508">
      <c r="A508" s="28"/>
      <c r="B508" s="15"/>
      <c r="D508" s="15"/>
    </row>
    <row r="509">
      <c r="A509" s="28"/>
      <c r="B509" s="15"/>
      <c r="D509" s="15"/>
    </row>
    <row r="510">
      <c r="A510" s="28"/>
      <c r="B510" s="15"/>
      <c r="D510" s="15"/>
    </row>
    <row r="511">
      <c r="A511" s="28"/>
      <c r="B511" s="15"/>
      <c r="D511" s="15"/>
    </row>
    <row r="512">
      <c r="A512" s="28"/>
      <c r="B512" s="15"/>
      <c r="D512" s="15"/>
    </row>
    <row r="513">
      <c r="A513" s="28"/>
      <c r="B513" s="15"/>
      <c r="D513" s="15"/>
    </row>
    <row r="514">
      <c r="A514" s="28"/>
      <c r="B514" s="15"/>
      <c r="D514" s="15"/>
    </row>
    <row r="515">
      <c r="A515" s="28"/>
      <c r="B515" s="15"/>
      <c r="D515" s="15"/>
    </row>
    <row r="516">
      <c r="A516" s="28"/>
      <c r="B516" s="15"/>
      <c r="D516" s="15"/>
    </row>
    <row r="517">
      <c r="A517" s="28"/>
      <c r="B517" s="15"/>
      <c r="D517" s="15"/>
    </row>
    <row r="518">
      <c r="A518" s="28"/>
      <c r="B518" s="15"/>
      <c r="D518" s="15"/>
    </row>
    <row r="519">
      <c r="A519" s="28"/>
      <c r="B519" s="15"/>
      <c r="D519" s="15"/>
    </row>
    <row r="520">
      <c r="A520" s="28"/>
      <c r="B520" s="15"/>
      <c r="D520" s="15"/>
    </row>
    <row r="521">
      <c r="A521" s="28"/>
      <c r="B521" s="15"/>
      <c r="D521" s="15"/>
    </row>
    <row r="522">
      <c r="A522" s="28"/>
      <c r="B522" s="15"/>
      <c r="D522" s="15"/>
    </row>
    <row r="523">
      <c r="A523" s="28"/>
      <c r="B523" s="15"/>
      <c r="D523" s="15"/>
    </row>
    <row r="524">
      <c r="A524" s="28"/>
      <c r="B524" s="15"/>
      <c r="D524" s="15"/>
    </row>
    <row r="525">
      <c r="A525" s="28"/>
      <c r="B525" s="15"/>
      <c r="D525" s="15"/>
    </row>
    <row r="526">
      <c r="A526" s="28"/>
      <c r="B526" s="15"/>
      <c r="D526" s="15"/>
    </row>
    <row r="527">
      <c r="A527" s="28"/>
      <c r="B527" s="15"/>
      <c r="D527" s="15"/>
    </row>
    <row r="528">
      <c r="A528" s="28"/>
      <c r="B528" s="15"/>
      <c r="D528" s="15"/>
    </row>
    <row r="529">
      <c r="A529" s="28"/>
      <c r="B529" s="15"/>
      <c r="D529" s="15"/>
    </row>
    <row r="530">
      <c r="A530" s="28"/>
      <c r="B530" s="15"/>
      <c r="D530" s="15"/>
    </row>
    <row r="531">
      <c r="A531" s="28"/>
      <c r="B531" s="15"/>
      <c r="D531" s="15"/>
    </row>
    <row r="532">
      <c r="A532" s="28"/>
      <c r="B532" s="15"/>
      <c r="D532" s="15"/>
    </row>
    <row r="533">
      <c r="A533" s="28"/>
      <c r="B533" s="15"/>
      <c r="D533" s="15"/>
    </row>
    <row r="534">
      <c r="A534" s="28"/>
      <c r="B534" s="15"/>
      <c r="D534" s="15"/>
    </row>
    <row r="535">
      <c r="A535" s="28"/>
      <c r="B535" s="15"/>
      <c r="D535" s="15"/>
    </row>
    <row r="536">
      <c r="A536" s="28"/>
      <c r="B536" s="15"/>
      <c r="D536" s="15"/>
    </row>
    <row r="537">
      <c r="A537" s="28"/>
      <c r="B537" s="15"/>
      <c r="D537" s="15"/>
    </row>
    <row r="538">
      <c r="A538" s="28"/>
      <c r="B538" s="15"/>
      <c r="D538" s="15"/>
    </row>
    <row r="539">
      <c r="A539" s="28"/>
      <c r="B539" s="15"/>
      <c r="D539" s="15"/>
    </row>
    <row r="540">
      <c r="A540" s="28"/>
      <c r="B540" s="15"/>
      <c r="D540" s="15"/>
    </row>
    <row r="541">
      <c r="A541" s="28"/>
      <c r="B541" s="15"/>
      <c r="D541" s="15"/>
    </row>
    <row r="542">
      <c r="A542" s="28"/>
      <c r="B542" s="15"/>
      <c r="D542" s="15"/>
    </row>
    <row r="543">
      <c r="A543" s="28"/>
      <c r="B543" s="15"/>
      <c r="D543" s="15"/>
    </row>
    <row r="544">
      <c r="A544" s="28"/>
      <c r="B544" s="15"/>
      <c r="D544" s="15"/>
    </row>
    <row r="545">
      <c r="A545" s="28"/>
      <c r="B545" s="15"/>
      <c r="D545" s="15"/>
    </row>
    <row r="546">
      <c r="A546" s="28"/>
      <c r="B546" s="15"/>
      <c r="D546" s="15"/>
    </row>
    <row r="547">
      <c r="A547" s="28"/>
      <c r="B547" s="15"/>
      <c r="D547" s="15"/>
    </row>
    <row r="548">
      <c r="A548" s="28"/>
      <c r="B548" s="15"/>
      <c r="D548" s="15"/>
    </row>
    <row r="549">
      <c r="A549" s="28"/>
      <c r="B549" s="15"/>
      <c r="D549" s="15"/>
    </row>
    <row r="550">
      <c r="A550" s="28"/>
      <c r="B550" s="15"/>
      <c r="D550" s="15"/>
    </row>
    <row r="551">
      <c r="A551" s="28"/>
      <c r="B551" s="15"/>
      <c r="D551" s="15"/>
    </row>
    <row r="552">
      <c r="A552" s="28"/>
      <c r="B552" s="15"/>
      <c r="D552" s="15"/>
    </row>
    <row r="553">
      <c r="A553" s="28"/>
      <c r="B553" s="15"/>
      <c r="D553" s="15"/>
    </row>
    <row r="554">
      <c r="A554" s="28"/>
      <c r="B554" s="15"/>
      <c r="D554" s="15"/>
    </row>
    <row r="555">
      <c r="A555" s="28"/>
      <c r="B555" s="15"/>
      <c r="D555" s="15"/>
    </row>
    <row r="556">
      <c r="A556" s="28"/>
      <c r="B556" s="15"/>
      <c r="D556" s="15"/>
    </row>
    <row r="557">
      <c r="A557" s="28"/>
      <c r="B557" s="15"/>
      <c r="D557" s="15"/>
    </row>
    <row r="558">
      <c r="A558" s="28"/>
      <c r="B558" s="15"/>
      <c r="D558" s="15"/>
    </row>
    <row r="559">
      <c r="A559" s="28"/>
      <c r="B559" s="15"/>
      <c r="D559" s="15"/>
    </row>
    <row r="560">
      <c r="A560" s="28"/>
      <c r="B560" s="15"/>
      <c r="D560" s="15"/>
    </row>
    <row r="561">
      <c r="A561" s="28"/>
      <c r="B561" s="15"/>
      <c r="D561" s="15"/>
    </row>
    <row r="562">
      <c r="A562" s="28"/>
      <c r="B562" s="15"/>
      <c r="D562" s="15"/>
    </row>
    <row r="563">
      <c r="A563" s="28"/>
      <c r="B563" s="15"/>
      <c r="D563" s="15"/>
    </row>
    <row r="564">
      <c r="A564" s="28"/>
      <c r="B564" s="15"/>
      <c r="D564" s="15"/>
    </row>
    <row r="565">
      <c r="A565" s="28"/>
      <c r="B565" s="15"/>
      <c r="D565" s="15"/>
    </row>
    <row r="566">
      <c r="A566" s="28"/>
      <c r="B566" s="15"/>
      <c r="D566" s="15"/>
    </row>
    <row r="567">
      <c r="A567" s="28"/>
      <c r="B567" s="15"/>
      <c r="D567" s="15"/>
    </row>
    <row r="568">
      <c r="A568" s="28"/>
      <c r="B568" s="15"/>
      <c r="D568" s="15"/>
    </row>
    <row r="569">
      <c r="A569" s="28"/>
      <c r="B569" s="15"/>
      <c r="D569" s="15"/>
    </row>
    <row r="570">
      <c r="A570" s="28"/>
      <c r="B570" s="15"/>
      <c r="D570" s="15"/>
    </row>
    <row r="571">
      <c r="A571" s="28"/>
      <c r="B571" s="15"/>
      <c r="D571" s="15"/>
    </row>
    <row r="572">
      <c r="A572" s="28"/>
      <c r="B572" s="15"/>
      <c r="D572" s="15"/>
    </row>
    <row r="573">
      <c r="A573" s="28"/>
      <c r="B573" s="15"/>
      <c r="D573" s="15"/>
    </row>
    <row r="574">
      <c r="A574" s="28"/>
      <c r="B574" s="15"/>
      <c r="D574" s="15"/>
    </row>
    <row r="575">
      <c r="A575" s="28"/>
      <c r="B575" s="15"/>
      <c r="D575" s="15"/>
    </row>
    <row r="576">
      <c r="A576" s="28"/>
      <c r="B576" s="15"/>
      <c r="D576" s="15"/>
    </row>
    <row r="577">
      <c r="A577" s="28"/>
      <c r="B577" s="15"/>
      <c r="D577" s="15"/>
    </row>
    <row r="578">
      <c r="A578" s="28"/>
      <c r="B578" s="15"/>
      <c r="D578" s="15"/>
    </row>
    <row r="579">
      <c r="A579" s="28"/>
      <c r="B579" s="15"/>
      <c r="D579" s="15"/>
    </row>
    <row r="580">
      <c r="A580" s="28"/>
      <c r="B580" s="15"/>
      <c r="D580" s="15"/>
    </row>
    <row r="581">
      <c r="A581" s="28"/>
      <c r="B581" s="15"/>
      <c r="D581" s="15"/>
    </row>
    <row r="582">
      <c r="A582" s="28"/>
      <c r="B582" s="15"/>
      <c r="D582" s="15"/>
    </row>
    <row r="583">
      <c r="A583" s="28"/>
      <c r="B583" s="15"/>
      <c r="D583" s="15"/>
    </row>
    <row r="584">
      <c r="A584" s="28"/>
      <c r="B584" s="15"/>
      <c r="D584" s="15"/>
    </row>
    <row r="585">
      <c r="A585" s="28"/>
      <c r="B585" s="15"/>
      <c r="D585" s="15"/>
    </row>
    <row r="586">
      <c r="A586" s="28"/>
      <c r="B586" s="15"/>
      <c r="D586" s="15"/>
    </row>
    <row r="587">
      <c r="A587" s="28"/>
      <c r="B587" s="15"/>
      <c r="D587" s="15"/>
    </row>
    <row r="588">
      <c r="A588" s="28"/>
      <c r="B588" s="15"/>
      <c r="D588" s="15"/>
    </row>
    <row r="589">
      <c r="A589" s="28"/>
      <c r="B589" s="15"/>
      <c r="D589" s="15"/>
    </row>
    <row r="590">
      <c r="A590" s="28"/>
      <c r="B590" s="15"/>
      <c r="D590" s="15"/>
    </row>
    <row r="591">
      <c r="A591" s="28"/>
      <c r="B591" s="15"/>
      <c r="D591" s="15"/>
    </row>
    <row r="592">
      <c r="A592" s="28"/>
      <c r="B592" s="15"/>
      <c r="D592" s="15"/>
    </row>
    <row r="593">
      <c r="A593" s="28"/>
      <c r="B593" s="15"/>
      <c r="D593" s="15"/>
    </row>
    <row r="594">
      <c r="A594" s="28"/>
      <c r="B594" s="15"/>
      <c r="D594" s="15"/>
    </row>
    <row r="595">
      <c r="A595" s="28"/>
      <c r="B595" s="15"/>
      <c r="D595" s="15"/>
    </row>
    <row r="596">
      <c r="A596" s="28"/>
      <c r="B596" s="15"/>
      <c r="D596" s="15"/>
    </row>
    <row r="597">
      <c r="A597" s="28"/>
      <c r="B597" s="15"/>
      <c r="D597" s="15"/>
    </row>
    <row r="598">
      <c r="A598" s="28"/>
      <c r="B598" s="15"/>
      <c r="D598" s="15"/>
    </row>
    <row r="599">
      <c r="A599" s="28"/>
      <c r="B599" s="15"/>
      <c r="D599" s="15"/>
    </row>
    <row r="600">
      <c r="A600" s="28"/>
      <c r="B600" s="15"/>
      <c r="D600" s="15"/>
    </row>
    <row r="601">
      <c r="A601" s="28"/>
      <c r="B601" s="15"/>
      <c r="D601" s="15"/>
    </row>
    <row r="602">
      <c r="A602" s="28"/>
      <c r="B602" s="15"/>
      <c r="D602" s="15"/>
    </row>
    <row r="603">
      <c r="A603" s="28"/>
      <c r="B603" s="15"/>
      <c r="D603" s="15"/>
    </row>
    <row r="604">
      <c r="A604" s="28"/>
      <c r="B604" s="15"/>
      <c r="D604" s="15"/>
    </row>
    <row r="605">
      <c r="A605" s="28"/>
      <c r="B605" s="15"/>
      <c r="D605" s="15"/>
    </row>
    <row r="606">
      <c r="A606" s="28"/>
      <c r="B606" s="15"/>
      <c r="D606" s="15"/>
    </row>
    <row r="607">
      <c r="A607" s="28"/>
      <c r="B607" s="15"/>
      <c r="D607" s="15"/>
    </row>
    <row r="608">
      <c r="A608" s="28"/>
      <c r="B608" s="15"/>
      <c r="D608" s="15"/>
    </row>
    <row r="609">
      <c r="A609" s="28"/>
      <c r="B609" s="15"/>
      <c r="D609" s="15"/>
    </row>
    <row r="610">
      <c r="A610" s="28"/>
      <c r="B610" s="15"/>
      <c r="D610" s="15"/>
    </row>
    <row r="611">
      <c r="A611" s="28"/>
      <c r="B611" s="15"/>
      <c r="D611" s="15"/>
    </row>
    <row r="612">
      <c r="A612" s="28"/>
      <c r="B612" s="15"/>
      <c r="D612" s="15"/>
    </row>
    <row r="613">
      <c r="A613" s="28"/>
      <c r="B613" s="15"/>
      <c r="D613" s="15"/>
    </row>
    <row r="614">
      <c r="A614" s="28"/>
      <c r="B614" s="15"/>
      <c r="D614" s="15"/>
    </row>
    <row r="615">
      <c r="A615" s="28"/>
      <c r="B615" s="15"/>
      <c r="D615" s="15"/>
    </row>
    <row r="616">
      <c r="A616" s="28"/>
      <c r="B616" s="15"/>
      <c r="D616" s="15"/>
    </row>
    <row r="617">
      <c r="A617" s="28"/>
      <c r="B617" s="15"/>
      <c r="D617" s="15"/>
    </row>
    <row r="618">
      <c r="A618" s="28"/>
      <c r="B618" s="15"/>
      <c r="D618" s="15"/>
    </row>
    <row r="619">
      <c r="A619" s="28"/>
      <c r="B619" s="15"/>
      <c r="D619" s="15"/>
    </row>
    <row r="620">
      <c r="A620" s="28"/>
      <c r="B620" s="15"/>
      <c r="D620" s="15"/>
    </row>
    <row r="621">
      <c r="A621" s="28"/>
      <c r="B621" s="15"/>
      <c r="D621" s="15"/>
    </row>
    <row r="622">
      <c r="A622" s="28"/>
      <c r="B622" s="15"/>
      <c r="D622" s="15"/>
    </row>
    <row r="623">
      <c r="A623" s="28"/>
      <c r="B623" s="15"/>
      <c r="D623" s="15"/>
    </row>
    <row r="624">
      <c r="A624" s="28"/>
      <c r="B624" s="15"/>
      <c r="D624" s="15"/>
    </row>
    <row r="625">
      <c r="A625" s="28"/>
      <c r="B625" s="15"/>
      <c r="D625" s="15"/>
    </row>
    <row r="626">
      <c r="A626" s="28"/>
      <c r="B626" s="15"/>
      <c r="D626" s="15"/>
    </row>
    <row r="627">
      <c r="A627" s="28"/>
      <c r="B627" s="15"/>
      <c r="D627" s="15"/>
    </row>
    <row r="628">
      <c r="A628" s="28"/>
      <c r="B628" s="15"/>
      <c r="D628" s="15"/>
    </row>
    <row r="629">
      <c r="A629" s="28"/>
      <c r="B629" s="15"/>
      <c r="D629" s="15"/>
    </row>
    <row r="630">
      <c r="A630" s="28"/>
      <c r="B630" s="15"/>
      <c r="D630" s="15"/>
    </row>
    <row r="631">
      <c r="A631" s="28"/>
      <c r="B631" s="15"/>
      <c r="D631" s="15"/>
    </row>
    <row r="632">
      <c r="A632" s="28"/>
      <c r="B632" s="15"/>
      <c r="D632" s="15"/>
    </row>
    <row r="633">
      <c r="A633" s="28"/>
      <c r="B633" s="15"/>
      <c r="D633" s="15"/>
    </row>
    <row r="634">
      <c r="A634" s="28"/>
      <c r="B634" s="15"/>
      <c r="D634" s="15"/>
    </row>
    <row r="635">
      <c r="A635" s="28"/>
      <c r="B635" s="15"/>
      <c r="D635" s="15"/>
    </row>
    <row r="636">
      <c r="A636" s="28"/>
      <c r="B636" s="15"/>
      <c r="D636" s="15"/>
    </row>
    <row r="637">
      <c r="A637" s="28"/>
      <c r="B637" s="15"/>
      <c r="D637" s="15"/>
    </row>
    <row r="638">
      <c r="A638" s="28"/>
      <c r="B638" s="15"/>
      <c r="D638" s="15"/>
    </row>
    <row r="639">
      <c r="A639" s="28"/>
      <c r="B639" s="15"/>
      <c r="D639" s="15"/>
    </row>
    <row r="640">
      <c r="A640" s="28"/>
      <c r="B640" s="15"/>
      <c r="D640" s="15"/>
    </row>
    <row r="641">
      <c r="A641" s="28"/>
      <c r="B641" s="15"/>
      <c r="D641" s="15"/>
    </row>
    <row r="642">
      <c r="A642" s="28"/>
      <c r="B642" s="15"/>
      <c r="D642" s="15"/>
    </row>
    <row r="643">
      <c r="A643" s="28"/>
      <c r="B643" s="15"/>
      <c r="D643" s="15"/>
    </row>
    <row r="644">
      <c r="A644" s="28"/>
      <c r="B644" s="15"/>
      <c r="D644" s="15"/>
    </row>
    <row r="645">
      <c r="A645" s="28"/>
      <c r="B645" s="15"/>
      <c r="D645" s="15"/>
    </row>
    <row r="646">
      <c r="A646" s="28"/>
      <c r="B646" s="15"/>
      <c r="D646" s="15"/>
    </row>
    <row r="647">
      <c r="A647" s="28"/>
      <c r="B647" s="15"/>
      <c r="D647" s="15"/>
    </row>
    <row r="648">
      <c r="A648" s="28"/>
      <c r="B648" s="15"/>
      <c r="D648" s="15"/>
    </row>
    <row r="649">
      <c r="A649" s="28"/>
      <c r="B649" s="15"/>
      <c r="D649" s="15"/>
    </row>
    <row r="650">
      <c r="A650" s="28"/>
      <c r="B650" s="15"/>
      <c r="D650" s="15"/>
    </row>
    <row r="651">
      <c r="A651" s="28"/>
      <c r="B651" s="15"/>
      <c r="D651" s="15"/>
    </row>
    <row r="652">
      <c r="A652" s="28"/>
      <c r="B652" s="15"/>
      <c r="D652" s="15"/>
    </row>
    <row r="653">
      <c r="A653" s="28"/>
      <c r="B653" s="15"/>
      <c r="D653" s="15"/>
    </row>
    <row r="654">
      <c r="A654" s="28"/>
      <c r="B654" s="15"/>
      <c r="D654" s="15"/>
    </row>
    <row r="655">
      <c r="A655" s="28"/>
      <c r="B655" s="15"/>
      <c r="D655" s="15"/>
    </row>
    <row r="656">
      <c r="A656" s="28"/>
      <c r="B656" s="15"/>
      <c r="D656" s="15"/>
    </row>
    <row r="657">
      <c r="A657" s="28"/>
      <c r="B657" s="15"/>
      <c r="D657" s="15"/>
    </row>
    <row r="658">
      <c r="A658" s="28"/>
      <c r="B658" s="15"/>
      <c r="D658" s="15"/>
    </row>
    <row r="659">
      <c r="A659" s="28"/>
      <c r="B659" s="15"/>
      <c r="D659" s="15"/>
    </row>
    <row r="660">
      <c r="A660" s="28"/>
      <c r="B660" s="15"/>
      <c r="D660" s="15"/>
    </row>
    <row r="661">
      <c r="A661" s="28"/>
      <c r="B661" s="15"/>
      <c r="D661" s="15"/>
    </row>
    <row r="662">
      <c r="A662" s="28"/>
      <c r="B662" s="15"/>
      <c r="D662" s="15"/>
    </row>
    <row r="663">
      <c r="A663" s="28"/>
      <c r="B663" s="15"/>
      <c r="D663" s="15"/>
    </row>
    <row r="664">
      <c r="A664" s="28"/>
      <c r="B664" s="15"/>
      <c r="D664" s="15"/>
    </row>
    <row r="665">
      <c r="A665" s="28"/>
      <c r="B665" s="15"/>
      <c r="D665" s="15"/>
    </row>
    <row r="666">
      <c r="A666" s="28"/>
      <c r="B666" s="15"/>
      <c r="D666" s="15"/>
    </row>
    <row r="667">
      <c r="A667" s="28"/>
      <c r="B667" s="15"/>
      <c r="D667" s="15"/>
    </row>
    <row r="668">
      <c r="A668" s="28"/>
      <c r="B668" s="15"/>
      <c r="D668" s="15"/>
    </row>
    <row r="669">
      <c r="A669" s="28"/>
      <c r="B669" s="15"/>
      <c r="D669" s="15"/>
    </row>
    <row r="670">
      <c r="A670" s="28"/>
      <c r="B670" s="15"/>
      <c r="D670" s="15"/>
    </row>
    <row r="671">
      <c r="A671" s="28"/>
      <c r="B671" s="15"/>
      <c r="D671" s="15"/>
    </row>
    <row r="672">
      <c r="A672" s="28"/>
      <c r="B672" s="15"/>
      <c r="D672" s="15"/>
    </row>
    <row r="673">
      <c r="A673" s="28"/>
      <c r="B673" s="15"/>
      <c r="D673" s="15"/>
    </row>
    <row r="674">
      <c r="A674" s="28"/>
      <c r="B674" s="15"/>
      <c r="D674" s="15"/>
    </row>
    <row r="675">
      <c r="A675" s="28"/>
      <c r="B675" s="15"/>
      <c r="D675" s="15"/>
    </row>
    <row r="676">
      <c r="A676" s="28"/>
      <c r="B676" s="15"/>
      <c r="D676" s="15"/>
    </row>
    <row r="677">
      <c r="A677" s="28"/>
      <c r="B677" s="15"/>
      <c r="D677" s="15"/>
    </row>
    <row r="678">
      <c r="A678" s="28"/>
      <c r="B678" s="15"/>
      <c r="D678" s="15"/>
    </row>
    <row r="679">
      <c r="A679" s="28"/>
      <c r="B679" s="15"/>
      <c r="D679" s="15"/>
    </row>
    <row r="680">
      <c r="A680" s="28"/>
      <c r="B680" s="15"/>
      <c r="D680" s="15"/>
    </row>
    <row r="681">
      <c r="A681" s="28"/>
      <c r="B681" s="15"/>
      <c r="D681" s="15"/>
    </row>
    <row r="682">
      <c r="A682" s="28"/>
      <c r="B682" s="15"/>
      <c r="D682" s="15"/>
    </row>
    <row r="683">
      <c r="A683" s="28"/>
      <c r="B683" s="15"/>
      <c r="D683" s="15"/>
    </row>
    <row r="684">
      <c r="A684" s="28"/>
      <c r="B684" s="15"/>
      <c r="D684" s="15"/>
    </row>
    <row r="685">
      <c r="A685" s="28"/>
      <c r="B685" s="15"/>
      <c r="D685" s="15"/>
    </row>
    <row r="686">
      <c r="A686" s="28"/>
      <c r="B686" s="15"/>
      <c r="D686" s="15"/>
    </row>
    <row r="687">
      <c r="A687" s="28"/>
      <c r="B687" s="15"/>
      <c r="D687" s="15"/>
    </row>
    <row r="688">
      <c r="A688" s="28"/>
      <c r="B688" s="15"/>
      <c r="D688" s="15"/>
    </row>
    <row r="689">
      <c r="A689" s="28"/>
      <c r="B689" s="15"/>
      <c r="D689" s="15"/>
    </row>
    <row r="690">
      <c r="A690" s="28"/>
      <c r="B690" s="15"/>
      <c r="D690" s="15"/>
    </row>
    <row r="691">
      <c r="A691" s="28"/>
      <c r="B691" s="15"/>
      <c r="D691" s="15"/>
    </row>
    <row r="692">
      <c r="A692" s="28"/>
      <c r="B692" s="15"/>
      <c r="D692" s="15"/>
    </row>
    <row r="693">
      <c r="A693" s="28"/>
      <c r="B693" s="15"/>
      <c r="D693" s="15"/>
    </row>
    <row r="694">
      <c r="A694" s="28"/>
      <c r="B694" s="15"/>
      <c r="D694" s="15"/>
    </row>
    <row r="695">
      <c r="A695" s="28"/>
      <c r="B695" s="15"/>
      <c r="D695" s="15"/>
    </row>
    <row r="696">
      <c r="A696" s="28"/>
      <c r="B696" s="15"/>
      <c r="D696" s="15"/>
    </row>
    <row r="697">
      <c r="A697" s="28"/>
      <c r="B697" s="15"/>
      <c r="D697" s="15"/>
    </row>
    <row r="698">
      <c r="A698" s="28"/>
      <c r="B698" s="15"/>
      <c r="D698" s="15"/>
    </row>
    <row r="699">
      <c r="A699" s="28"/>
      <c r="B699" s="15"/>
      <c r="D699" s="15"/>
    </row>
    <row r="700">
      <c r="A700" s="28"/>
      <c r="B700" s="15"/>
      <c r="D700" s="15"/>
    </row>
    <row r="701">
      <c r="A701" s="28"/>
      <c r="B701" s="15"/>
      <c r="D701" s="15"/>
    </row>
    <row r="702">
      <c r="A702" s="28"/>
      <c r="B702" s="15"/>
      <c r="D702" s="15"/>
    </row>
    <row r="703">
      <c r="A703" s="28"/>
      <c r="B703" s="15"/>
      <c r="D703" s="15"/>
    </row>
    <row r="704">
      <c r="A704" s="28"/>
      <c r="B704" s="15"/>
      <c r="D704" s="15"/>
    </row>
    <row r="705">
      <c r="A705" s="28"/>
      <c r="B705" s="15"/>
      <c r="D705" s="15"/>
    </row>
    <row r="706">
      <c r="A706" s="28"/>
      <c r="B706" s="15"/>
      <c r="D706" s="15"/>
    </row>
    <row r="707">
      <c r="A707" s="28"/>
      <c r="B707" s="15"/>
      <c r="D707" s="15"/>
    </row>
    <row r="708">
      <c r="A708" s="28"/>
      <c r="B708" s="15"/>
      <c r="D708" s="15"/>
    </row>
    <row r="709">
      <c r="A709" s="28"/>
      <c r="B709" s="15"/>
      <c r="D709" s="15"/>
    </row>
    <row r="710">
      <c r="A710" s="28"/>
      <c r="B710" s="15"/>
      <c r="D710" s="15"/>
    </row>
    <row r="711">
      <c r="A711" s="28"/>
      <c r="B711" s="15"/>
      <c r="D711" s="15"/>
    </row>
    <row r="712">
      <c r="A712" s="28"/>
      <c r="B712" s="15"/>
      <c r="D712" s="15"/>
    </row>
    <row r="713">
      <c r="A713" s="28"/>
      <c r="B713" s="15"/>
      <c r="D713" s="15"/>
    </row>
    <row r="714">
      <c r="A714" s="28"/>
      <c r="B714" s="15"/>
      <c r="D714" s="15"/>
    </row>
    <row r="715">
      <c r="A715" s="28"/>
      <c r="B715" s="15"/>
      <c r="D715" s="15"/>
    </row>
    <row r="716">
      <c r="A716" s="28"/>
      <c r="B716" s="15"/>
      <c r="D716" s="15"/>
    </row>
    <row r="717">
      <c r="A717" s="28"/>
      <c r="B717" s="15"/>
      <c r="D717" s="15"/>
    </row>
    <row r="718">
      <c r="A718" s="28"/>
      <c r="B718" s="15"/>
      <c r="D718" s="15"/>
    </row>
    <row r="719">
      <c r="A719" s="28"/>
      <c r="B719" s="15"/>
      <c r="D719" s="15"/>
    </row>
    <row r="720">
      <c r="A720" s="28"/>
      <c r="B720" s="15"/>
      <c r="D720" s="15"/>
    </row>
    <row r="721">
      <c r="A721" s="28"/>
      <c r="B721" s="15"/>
      <c r="D721" s="15"/>
    </row>
    <row r="722">
      <c r="A722" s="28"/>
      <c r="B722" s="15"/>
      <c r="D722" s="15"/>
    </row>
    <row r="723">
      <c r="A723" s="28"/>
      <c r="B723" s="15"/>
      <c r="D723" s="15"/>
    </row>
    <row r="724">
      <c r="A724" s="28"/>
      <c r="B724" s="15"/>
      <c r="D724" s="15"/>
    </row>
    <row r="725">
      <c r="A725" s="28"/>
      <c r="B725" s="15"/>
      <c r="D725" s="15"/>
    </row>
    <row r="726">
      <c r="A726" s="28"/>
      <c r="B726" s="15"/>
      <c r="D726" s="15"/>
    </row>
    <row r="727">
      <c r="A727" s="28"/>
      <c r="B727" s="15"/>
      <c r="D727" s="15"/>
    </row>
    <row r="728">
      <c r="A728" s="28"/>
      <c r="B728" s="15"/>
      <c r="D728" s="15"/>
    </row>
    <row r="729">
      <c r="A729" s="28"/>
      <c r="B729" s="15"/>
      <c r="D729" s="15"/>
    </row>
    <row r="730">
      <c r="A730" s="28"/>
      <c r="B730" s="15"/>
      <c r="D730" s="15"/>
    </row>
    <row r="731">
      <c r="A731" s="28"/>
      <c r="B731" s="15"/>
      <c r="D731" s="15"/>
    </row>
    <row r="732">
      <c r="A732" s="28"/>
      <c r="B732" s="15"/>
      <c r="D732" s="15"/>
    </row>
    <row r="733">
      <c r="A733" s="28"/>
      <c r="B733" s="15"/>
      <c r="D733" s="15"/>
    </row>
    <row r="734">
      <c r="A734" s="28"/>
      <c r="B734" s="15"/>
      <c r="D734" s="15"/>
    </row>
    <row r="735">
      <c r="A735" s="28"/>
      <c r="B735" s="15"/>
      <c r="D735" s="15"/>
    </row>
    <row r="736">
      <c r="A736" s="28"/>
      <c r="B736" s="15"/>
      <c r="D736" s="15"/>
    </row>
    <row r="737">
      <c r="A737" s="28"/>
      <c r="B737" s="15"/>
      <c r="D737" s="15"/>
    </row>
    <row r="738">
      <c r="A738" s="28"/>
      <c r="B738" s="15"/>
      <c r="D738" s="15"/>
    </row>
    <row r="739">
      <c r="A739" s="28"/>
      <c r="B739" s="15"/>
      <c r="D739" s="15"/>
    </row>
    <row r="740">
      <c r="A740" s="28"/>
      <c r="B740" s="15"/>
      <c r="D740" s="15"/>
    </row>
    <row r="741">
      <c r="A741" s="28"/>
      <c r="B741" s="15"/>
      <c r="D741" s="15"/>
    </row>
    <row r="742">
      <c r="A742" s="28"/>
      <c r="B742" s="15"/>
      <c r="D742" s="15"/>
    </row>
    <row r="743">
      <c r="A743" s="28"/>
      <c r="B743" s="15"/>
      <c r="D743" s="15"/>
    </row>
    <row r="744">
      <c r="A744" s="28"/>
      <c r="B744" s="15"/>
      <c r="D744" s="15"/>
    </row>
    <row r="745">
      <c r="A745" s="28"/>
      <c r="B745" s="15"/>
      <c r="D745" s="15"/>
    </row>
    <row r="746">
      <c r="A746" s="28"/>
      <c r="B746" s="15"/>
      <c r="D746" s="15"/>
    </row>
    <row r="747">
      <c r="A747" s="28"/>
      <c r="B747" s="15"/>
      <c r="D747" s="15"/>
    </row>
    <row r="748">
      <c r="A748" s="28"/>
      <c r="B748" s="15"/>
      <c r="D748" s="15"/>
    </row>
    <row r="749">
      <c r="A749" s="28"/>
      <c r="B749" s="15"/>
      <c r="D749" s="15"/>
    </row>
    <row r="750">
      <c r="A750" s="28"/>
      <c r="B750" s="15"/>
      <c r="D750" s="15"/>
    </row>
    <row r="751">
      <c r="A751" s="28"/>
      <c r="B751" s="15"/>
      <c r="D751" s="15"/>
    </row>
    <row r="752">
      <c r="A752" s="28"/>
      <c r="B752" s="15"/>
      <c r="D752" s="15"/>
    </row>
    <row r="753">
      <c r="A753" s="28"/>
      <c r="B753" s="15"/>
      <c r="D753" s="15"/>
    </row>
    <row r="754">
      <c r="A754" s="28"/>
      <c r="B754" s="15"/>
      <c r="D754" s="15"/>
    </row>
    <row r="755">
      <c r="A755" s="28"/>
      <c r="B755" s="15"/>
      <c r="D755" s="15"/>
    </row>
    <row r="756">
      <c r="A756" s="28"/>
      <c r="B756" s="15"/>
      <c r="D756" s="15"/>
    </row>
    <row r="757">
      <c r="A757" s="28"/>
      <c r="B757" s="15"/>
      <c r="D757" s="15"/>
    </row>
    <row r="758">
      <c r="A758" s="28"/>
      <c r="B758" s="15"/>
      <c r="D758" s="15"/>
    </row>
    <row r="759">
      <c r="A759" s="28"/>
      <c r="B759" s="15"/>
      <c r="D759" s="15"/>
    </row>
    <row r="760">
      <c r="A760" s="28"/>
      <c r="B760" s="15"/>
      <c r="D760" s="15"/>
    </row>
    <row r="761">
      <c r="A761" s="28"/>
      <c r="B761" s="15"/>
      <c r="D761" s="15"/>
    </row>
    <row r="762">
      <c r="A762" s="28"/>
      <c r="B762" s="15"/>
      <c r="D762" s="15"/>
    </row>
    <row r="763">
      <c r="A763" s="28"/>
      <c r="B763" s="15"/>
      <c r="D763" s="15"/>
    </row>
    <row r="764">
      <c r="A764" s="28"/>
      <c r="B764" s="15"/>
      <c r="D764" s="15"/>
    </row>
    <row r="765">
      <c r="A765" s="28"/>
      <c r="B765" s="15"/>
      <c r="D765" s="15"/>
    </row>
    <row r="766">
      <c r="A766" s="28"/>
      <c r="B766" s="15"/>
      <c r="D766" s="15"/>
    </row>
    <row r="767">
      <c r="A767" s="28"/>
      <c r="B767" s="15"/>
      <c r="D767" s="15"/>
    </row>
    <row r="768">
      <c r="A768" s="28"/>
      <c r="B768" s="15"/>
      <c r="D768" s="15"/>
    </row>
    <row r="769">
      <c r="A769" s="28"/>
      <c r="B769" s="15"/>
      <c r="D769" s="15"/>
    </row>
    <row r="770">
      <c r="A770" s="28"/>
      <c r="B770" s="15"/>
      <c r="D770" s="15"/>
    </row>
    <row r="771">
      <c r="A771" s="28"/>
      <c r="B771" s="15"/>
      <c r="D771" s="15"/>
    </row>
    <row r="772">
      <c r="A772" s="28"/>
      <c r="B772" s="15"/>
      <c r="D772" s="15"/>
    </row>
    <row r="773">
      <c r="A773" s="28"/>
      <c r="B773" s="15"/>
      <c r="D773" s="15"/>
    </row>
    <row r="774">
      <c r="A774" s="28"/>
      <c r="B774" s="15"/>
      <c r="D774" s="15"/>
    </row>
    <row r="775">
      <c r="A775" s="28"/>
      <c r="B775" s="15"/>
      <c r="D775" s="15"/>
    </row>
    <row r="776">
      <c r="A776" s="28"/>
      <c r="B776" s="15"/>
      <c r="D776" s="15"/>
    </row>
    <row r="777">
      <c r="A777" s="28"/>
      <c r="B777" s="15"/>
      <c r="D777" s="15"/>
    </row>
    <row r="778">
      <c r="A778" s="28"/>
      <c r="B778" s="15"/>
      <c r="D778" s="15"/>
    </row>
    <row r="779">
      <c r="A779" s="28"/>
      <c r="B779" s="15"/>
      <c r="D779" s="15"/>
    </row>
    <row r="780">
      <c r="A780" s="28"/>
      <c r="B780" s="15"/>
      <c r="D780" s="15"/>
    </row>
    <row r="781">
      <c r="A781" s="28"/>
      <c r="B781" s="15"/>
      <c r="D781" s="15"/>
    </row>
    <row r="782">
      <c r="A782" s="28"/>
      <c r="B782" s="15"/>
      <c r="D782" s="15"/>
    </row>
    <row r="783">
      <c r="A783" s="28"/>
      <c r="B783" s="15"/>
      <c r="D783" s="15"/>
    </row>
    <row r="784">
      <c r="A784" s="28"/>
      <c r="B784" s="15"/>
      <c r="D784" s="15"/>
    </row>
    <row r="785">
      <c r="A785" s="28"/>
      <c r="B785" s="15"/>
      <c r="D785" s="15"/>
    </row>
    <row r="786">
      <c r="A786" s="28"/>
      <c r="B786" s="15"/>
      <c r="D786" s="15"/>
    </row>
    <row r="787">
      <c r="A787" s="28"/>
      <c r="B787" s="15"/>
      <c r="D787" s="15"/>
    </row>
    <row r="788">
      <c r="A788" s="28"/>
      <c r="B788" s="15"/>
      <c r="D788" s="15"/>
    </row>
    <row r="789">
      <c r="A789" s="28"/>
      <c r="B789" s="15"/>
      <c r="D789" s="15"/>
    </row>
    <row r="790">
      <c r="A790" s="28"/>
      <c r="B790" s="15"/>
      <c r="D790" s="15"/>
    </row>
    <row r="791">
      <c r="A791" s="28"/>
      <c r="B791" s="15"/>
      <c r="D791" s="15"/>
    </row>
    <row r="792">
      <c r="A792" s="28"/>
      <c r="B792" s="15"/>
      <c r="D792" s="15"/>
    </row>
    <row r="793">
      <c r="A793" s="28"/>
      <c r="B793" s="15"/>
      <c r="D793" s="15"/>
    </row>
    <row r="794">
      <c r="A794" s="28"/>
      <c r="B794" s="15"/>
      <c r="D794" s="15"/>
    </row>
    <row r="795">
      <c r="A795" s="28"/>
      <c r="B795" s="15"/>
      <c r="D795" s="15"/>
    </row>
    <row r="796">
      <c r="A796" s="28"/>
      <c r="B796" s="15"/>
      <c r="D796" s="15"/>
    </row>
    <row r="797">
      <c r="A797" s="28"/>
      <c r="B797" s="15"/>
      <c r="D797" s="15"/>
    </row>
    <row r="798">
      <c r="A798" s="28"/>
      <c r="B798" s="15"/>
      <c r="D798" s="15"/>
    </row>
    <row r="799">
      <c r="A799" s="28"/>
      <c r="B799" s="15"/>
      <c r="D799" s="15"/>
    </row>
    <row r="800">
      <c r="A800" s="28"/>
      <c r="B800" s="15"/>
      <c r="D800" s="15"/>
    </row>
    <row r="801">
      <c r="A801" s="28"/>
      <c r="B801" s="15"/>
      <c r="D801" s="15"/>
    </row>
    <row r="802">
      <c r="A802" s="28"/>
      <c r="B802" s="15"/>
      <c r="D802" s="15"/>
    </row>
    <row r="803">
      <c r="A803" s="28"/>
      <c r="B803" s="15"/>
      <c r="D803" s="15"/>
    </row>
    <row r="804">
      <c r="A804" s="28"/>
      <c r="B804" s="15"/>
      <c r="D804" s="15"/>
    </row>
    <row r="805">
      <c r="A805" s="28"/>
      <c r="B805" s="15"/>
      <c r="D805" s="15"/>
    </row>
    <row r="806">
      <c r="A806" s="28"/>
      <c r="B806" s="15"/>
      <c r="D806" s="15"/>
    </row>
    <row r="807">
      <c r="A807" s="28"/>
      <c r="B807" s="15"/>
      <c r="D807" s="15"/>
    </row>
    <row r="808">
      <c r="A808" s="28"/>
      <c r="B808" s="15"/>
      <c r="D808" s="15"/>
    </row>
    <row r="809">
      <c r="A809" s="28"/>
      <c r="B809" s="15"/>
      <c r="D809" s="15"/>
    </row>
    <row r="810">
      <c r="A810" s="28"/>
      <c r="B810" s="15"/>
      <c r="D810" s="15"/>
    </row>
    <row r="811">
      <c r="A811" s="28"/>
      <c r="B811" s="15"/>
      <c r="D811" s="15"/>
    </row>
    <row r="812">
      <c r="A812" s="28"/>
      <c r="B812" s="15"/>
      <c r="D812" s="15"/>
    </row>
    <row r="813">
      <c r="A813" s="28"/>
      <c r="B813" s="15"/>
      <c r="D813" s="15"/>
    </row>
    <row r="814">
      <c r="A814" s="28"/>
      <c r="B814" s="15"/>
      <c r="D814" s="15"/>
    </row>
    <row r="815">
      <c r="A815" s="28"/>
      <c r="B815" s="15"/>
      <c r="D815" s="15"/>
    </row>
    <row r="816">
      <c r="A816" s="28"/>
      <c r="B816" s="15"/>
      <c r="D816" s="15"/>
    </row>
    <row r="817">
      <c r="A817" s="28"/>
      <c r="B817" s="15"/>
      <c r="D817" s="15"/>
    </row>
    <row r="818">
      <c r="A818" s="28"/>
      <c r="B818" s="15"/>
      <c r="D818" s="15"/>
    </row>
    <row r="819">
      <c r="A819" s="28"/>
      <c r="B819" s="15"/>
      <c r="D819" s="15"/>
    </row>
    <row r="820">
      <c r="A820" s="28"/>
      <c r="B820" s="15"/>
      <c r="D820" s="15"/>
    </row>
    <row r="821">
      <c r="A821" s="28"/>
      <c r="B821" s="15"/>
      <c r="D821" s="15"/>
    </row>
    <row r="822">
      <c r="A822" s="28"/>
      <c r="B822" s="15"/>
      <c r="D822" s="15"/>
    </row>
    <row r="823">
      <c r="A823" s="28"/>
      <c r="B823" s="15"/>
      <c r="D823" s="15"/>
    </row>
    <row r="824">
      <c r="A824" s="28"/>
      <c r="B824" s="15"/>
      <c r="D824" s="15"/>
    </row>
    <row r="825">
      <c r="A825" s="28"/>
      <c r="B825" s="15"/>
      <c r="D825" s="15"/>
    </row>
    <row r="826">
      <c r="A826" s="28"/>
      <c r="B826" s="15"/>
      <c r="D826" s="15"/>
    </row>
    <row r="827">
      <c r="A827" s="28"/>
      <c r="B827" s="15"/>
      <c r="D827" s="15"/>
    </row>
    <row r="828">
      <c r="A828" s="28"/>
      <c r="B828" s="15"/>
      <c r="D828" s="15"/>
    </row>
    <row r="829">
      <c r="A829" s="28"/>
      <c r="B829" s="15"/>
      <c r="D829" s="15"/>
    </row>
    <row r="830">
      <c r="A830" s="28"/>
      <c r="B830" s="15"/>
      <c r="D830" s="15"/>
    </row>
    <row r="831">
      <c r="A831" s="28"/>
      <c r="B831" s="15"/>
      <c r="D831" s="15"/>
    </row>
    <row r="832">
      <c r="A832" s="28"/>
      <c r="B832" s="15"/>
      <c r="D832" s="15"/>
    </row>
    <row r="833">
      <c r="A833" s="28"/>
      <c r="B833" s="15"/>
      <c r="D833" s="15"/>
    </row>
    <row r="834">
      <c r="A834" s="28"/>
      <c r="B834" s="15"/>
      <c r="D834" s="15"/>
    </row>
    <row r="835">
      <c r="A835" s="28"/>
      <c r="B835" s="15"/>
      <c r="D835" s="15"/>
    </row>
    <row r="836">
      <c r="A836" s="28"/>
      <c r="B836" s="15"/>
      <c r="D836" s="15"/>
    </row>
    <row r="837">
      <c r="A837" s="28"/>
      <c r="B837" s="15"/>
      <c r="D837" s="15"/>
    </row>
    <row r="838">
      <c r="A838" s="28"/>
      <c r="B838" s="15"/>
      <c r="D838" s="15"/>
    </row>
    <row r="839">
      <c r="A839" s="28"/>
      <c r="B839" s="15"/>
      <c r="D839" s="15"/>
    </row>
    <row r="840">
      <c r="A840" s="28"/>
      <c r="B840" s="15"/>
      <c r="D840" s="15"/>
    </row>
    <row r="841">
      <c r="A841" s="28"/>
      <c r="B841" s="15"/>
      <c r="D841" s="15"/>
    </row>
    <row r="842">
      <c r="A842" s="28"/>
      <c r="B842" s="15"/>
      <c r="D842" s="15"/>
    </row>
    <row r="843">
      <c r="A843" s="28"/>
      <c r="B843" s="15"/>
      <c r="D843" s="15"/>
    </row>
    <row r="844">
      <c r="A844" s="28"/>
      <c r="B844" s="15"/>
      <c r="D844" s="15"/>
    </row>
    <row r="845">
      <c r="A845" s="28"/>
      <c r="B845" s="15"/>
      <c r="D845" s="15"/>
    </row>
    <row r="846">
      <c r="A846" s="28"/>
      <c r="B846" s="15"/>
      <c r="D846" s="15"/>
    </row>
    <row r="847">
      <c r="A847" s="28"/>
      <c r="B847" s="15"/>
      <c r="D847" s="15"/>
    </row>
    <row r="848">
      <c r="A848" s="28"/>
      <c r="B848" s="15"/>
      <c r="D848" s="15"/>
    </row>
    <row r="849">
      <c r="A849" s="28"/>
      <c r="B849" s="15"/>
      <c r="D849" s="15"/>
    </row>
    <row r="850">
      <c r="A850" s="28"/>
      <c r="B850" s="15"/>
      <c r="D850" s="15"/>
    </row>
    <row r="851">
      <c r="A851" s="28"/>
      <c r="B851" s="15"/>
      <c r="D851" s="15"/>
    </row>
    <row r="852">
      <c r="A852" s="28"/>
      <c r="B852" s="15"/>
      <c r="D852" s="15"/>
    </row>
    <row r="853">
      <c r="A853" s="28"/>
      <c r="B853" s="15"/>
      <c r="D853" s="15"/>
    </row>
    <row r="854">
      <c r="A854" s="28"/>
      <c r="B854" s="15"/>
      <c r="D854" s="15"/>
    </row>
    <row r="855">
      <c r="A855" s="28"/>
      <c r="B855" s="15"/>
      <c r="D855" s="15"/>
    </row>
    <row r="856">
      <c r="A856" s="28"/>
      <c r="B856" s="15"/>
      <c r="D856" s="15"/>
    </row>
    <row r="857">
      <c r="A857" s="28"/>
      <c r="B857" s="15"/>
      <c r="D857" s="15"/>
    </row>
    <row r="858">
      <c r="A858" s="28"/>
      <c r="B858" s="15"/>
      <c r="D858" s="15"/>
    </row>
    <row r="859">
      <c r="A859" s="28"/>
      <c r="B859" s="15"/>
      <c r="D859" s="15"/>
    </row>
    <row r="860">
      <c r="A860" s="28"/>
      <c r="B860" s="15"/>
      <c r="D860" s="15"/>
    </row>
    <row r="861">
      <c r="A861" s="28"/>
      <c r="B861" s="15"/>
      <c r="D861" s="15"/>
    </row>
    <row r="862">
      <c r="A862" s="28"/>
      <c r="B862" s="15"/>
      <c r="D862" s="15"/>
    </row>
    <row r="863">
      <c r="A863" s="28"/>
      <c r="B863" s="15"/>
      <c r="D863" s="15"/>
    </row>
    <row r="864">
      <c r="A864" s="28"/>
      <c r="B864" s="15"/>
      <c r="D864" s="15"/>
    </row>
    <row r="865">
      <c r="A865" s="28"/>
      <c r="B865" s="15"/>
      <c r="D865" s="15"/>
    </row>
    <row r="866">
      <c r="A866" s="28"/>
      <c r="B866" s="15"/>
      <c r="D866" s="15"/>
    </row>
    <row r="867">
      <c r="A867" s="28"/>
      <c r="B867" s="15"/>
      <c r="D867" s="15"/>
    </row>
    <row r="868">
      <c r="A868" s="28"/>
      <c r="B868" s="15"/>
      <c r="D868" s="15"/>
    </row>
    <row r="869">
      <c r="A869" s="28"/>
      <c r="B869" s="15"/>
      <c r="D869" s="15"/>
    </row>
    <row r="870">
      <c r="A870" s="28"/>
      <c r="B870" s="15"/>
      <c r="D870" s="15"/>
    </row>
    <row r="871">
      <c r="A871" s="28"/>
      <c r="B871" s="15"/>
      <c r="D871" s="15"/>
    </row>
    <row r="872">
      <c r="A872" s="28"/>
      <c r="B872" s="15"/>
      <c r="D872" s="15"/>
    </row>
    <row r="873">
      <c r="A873" s="28"/>
      <c r="B873" s="15"/>
      <c r="D873" s="15"/>
    </row>
    <row r="874">
      <c r="A874" s="28"/>
      <c r="B874" s="15"/>
      <c r="D874" s="15"/>
    </row>
    <row r="875">
      <c r="A875" s="28"/>
      <c r="B875" s="15"/>
      <c r="D875" s="15"/>
    </row>
    <row r="876">
      <c r="A876" s="28"/>
      <c r="B876" s="15"/>
      <c r="D876" s="15"/>
    </row>
    <row r="877">
      <c r="A877" s="28"/>
      <c r="B877" s="15"/>
      <c r="D877" s="15"/>
    </row>
    <row r="878">
      <c r="A878" s="28"/>
      <c r="B878" s="15"/>
      <c r="D878" s="15"/>
    </row>
    <row r="879">
      <c r="A879" s="28"/>
      <c r="B879" s="15"/>
      <c r="D879" s="15"/>
    </row>
    <row r="880">
      <c r="A880" s="28"/>
      <c r="B880" s="15"/>
      <c r="D880" s="15"/>
    </row>
    <row r="881">
      <c r="A881" s="28"/>
      <c r="B881" s="15"/>
      <c r="D881" s="15"/>
    </row>
    <row r="882">
      <c r="A882" s="28"/>
      <c r="B882" s="15"/>
      <c r="D882" s="15"/>
    </row>
    <row r="883">
      <c r="A883" s="28"/>
      <c r="B883" s="15"/>
      <c r="D883" s="15"/>
    </row>
    <row r="884">
      <c r="A884" s="28"/>
      <c r="B884" s="15"/>
      <c r="D884" s="15"/>
    </row>
    <row r="885">
      <c r="A885" s="28"/>
      <c r="B885" s="15"/>
      <c r="D885" s="15"/>
    </row>
    <row r="886">
      <c r="A886" s="28"/>
      <c r="B886" s="15"/>
      <c r="D886" s="15"/>
    </row>
    <row r="887">
      <c r="A887" s="28"/>
      <c r="B887" s="15"/>
      <c r="D887" s="15"/>
    </row>
    <row r="888">
      <c r="A888" s="28"/>
      <c r="B888" s="15"/>
      <c r="D888" s="15"/>
    </row>
    <row r="889">
      <c r="A889" s="28"/>
      <c r="B889" s="15"/>
      <c r="D889" s="15"/>
    </row>
    <row r="890">
      <c r="A890" s="28"/>
      <c r="B890" s="15"/>
      <c r="D890" s="15"/>
    </row>
    <row r="891">
      <c r="A891" s="28"/>
      <c r="B891" s="15"/>
      <c r="D891" s="15"/>
    </row>
    <row r="892">
      <c r="A892" s="28"/>
      <c r="B892" s="15"/>
      <c r="D892" s="15"/>
    </row>
    <row r="893">
      <c r="A893" s="28"/>
      <c r="B893" s="15"/>
      <c r="D893" s="15"/>
    </row>
    <row r="894">
      <c r="A894" s="28"/>
      <c r="B894" s="15"/>
      <c r="D894" s="15"/>
    </row>
    <row r="895">
      <c r="A895" s="28"/>
      <c r="B895" s="15"/>
      <c r="D895" s="15"/>
    </row>
    <row r="896">
      <c r="A896" s="28"/>
      <c r="B896" s="15"/>
      <c r="D896" s="15"/>
    </row>
    <row r="897">
      <c r="A897" s="28"/>
      <c r="B897" s="15"/>
      <c r="D897" s="15"/>
    </row>
    <row r="898">
      <c r="A898" s="28"/>
      <c r="B898" s="15"/>
      <c r="D898" s="15"/>
    </row>
    <row r="899">
      <c r="A899" s="28"/>
      <c r="B899" s="15"/>
      <c r="D899" s="15"/>
    </row>
    <row r="900">
      <c r="A900" s="28"/>
      <c r="B900" s="15"/>
      <c r="D900" s="15"/>
    </row>
    <row r="901">
      <c r="A901" s="28"/>
      <c r="B901" s="15"/>
      <c r="D901" s="15"/>
    </row>
    <row r="902">
      <c r="A902" s="28"/>
      <c r="B902" s="15"/>
      <c r="D902" s="15"/>
    </row>
    <row r="903">
      <c r="A903" s="28"/>
      <c r="B903" s="15"/>
      <c r="D903" s="15"/>
    </row>
    <row r="904">
      <c r="A904" s="28"/>
      <c r="B904" s="15"/>
      <c r="D904" s="15"/>
    </row>
    <row r="905">
      <c r="A905" s="28"/>
      <c r="B905" s="15"/>
      <c r="D905" s="15"/>
    </row>
    <row r="906">
      <c r="A906" s="28"/>
      <c r="B906" s="15"/>
      <c r="D906" s="15"/>
    </row>
    <row r="907">
      <c r="A907" s="28"/>
      <c r="B907" s="15"/>
      <c r="D907" s="15"/>
    </row>
    <row r="908">
      <c r="A908" s="28"/>
      <c r="B908" s="15"/>
      <c r="D908" s="15"/>
    </row>
    <row r="909">
      <c r="A909" s="28"/>
      <c r="B909" s="15"/>
      <c r="D909" s="15"/>
    </row>
    <row r="910">
      <c r="A910" s="28"/>
      <c r="B910" s="15"/>
      <c r="D910" s="15"/>
    </row>
    <row r="911">
      <c r="A911" s="28"/>
      <c r="B911" s="15"/>
      <c r="D911" s="15"/>
    </row>
    <row r="912">
      <c r="A912" s="28"/>
      <c r="B912" s="15"/>
      <c r="D912" s="15"/>
    </row>
    <row r="913">
      <c r="A913" s="28"/>
      <c r="B913" s="15"/>
      <c r="D913" s="15"/>
    </row>
    <row r="914">
      <c r="A914" s="28"/>
      <c r="B914" s="15"/>
      <c r="D914" s="15"/>
    </row>
    <row r="915">
      <c r="A915" s="28"/>
      <c r="B915" s="15"/>
      <c r="D915" s="15"/>
    </row>
    <row r="916">
      <c r="A916" s="28"/>
      <c r="B916" s="15"/>
      <c r="D916" s="15"/>
    </row>
    <row r="917">
      <c r="A917" s="28"/>
      <c r="B917" s="15"/>
      <c r="D917" s="15"/>
    </row>
    <row r="918">
      <c r="A918" s="28"/>
      <c r="B918" s="15"/>
      <c r="D918" s="15"/>
    </row>
    <row r="919">
      <c r="A919" s="28"/>
      <c r="B919" s="15"/>
      <c r="D919" s="15"/>
    </row>
    <row r="920">
      <c r="A920" s="28"/>
      <c r="B920" s="15"/>
      <c r="D920" s="15"/>
    </row>
    <row r="921">
      <c r="A921" s="28"/>
      <c r="B921" s="15"/>
      <c r="D921" s="15"/>
    </row>
    <row r="922">
      <c r="A922" s="28"/>
      <c r="B922" s="15"/>
      <c r="D922" s="15"/>
    </row>
    <row r="923">
      <c r="A923" s="28"/>
      <c r="B923" s="15"/>
      <c r="D923" s="15"/>
    </row>
    <row r="924">
      <c r="A924" s="28"/>
      <c r="B924" s="15"/>
      <c r="D924" s="15"/>
    </row>
    <row r="925">
      <c r="A925" s="28"/>
      <c r="B925" s="15"/>
      <c r="D925" s="15"/>
    </row>
    <row r="926">
      <c r="A926" s="28"/>
      <c r="B926" s="15"/>
      <c r="D926" s="15"/>
    </row>
    <row r="927">
      <c r="A927" s="28"/>
      <c r="B927" s="15"/>
      <c r="D927" s="15"/>
    </row>
    <row r="928">
      <c r="A928" s="28"/>
      <c r="B928" s="15"/>
      <c r="D928" s="15"/>
    </row>
    <row r="929">
      <c r="A929" s="28"/>
      <c r="B929" s="15"/>
      <c r="D929" s="15"/>
    </row>
    <row r="930">
      <c r="A930" s="28"/>
      <c r="B930" s="15"/>
      <c r="D930" s="15"/>
    </row>
    <row r="931">
      <c r="A931" s="28"/>
      <c r="B931" s="15"/>
      <c r="D931" s="15"/>
    </row>
    <row r="932">
      <c r="A932" s="28"/>
      <c r="B932" s="15"/>
      <c r="D932" s="15"/>
    </row>
    <row r="933">
      <c r="A933" s="28"/>
      <c r="B933" s="15"/>
      <c r="D933" s="15"/>
    </row>
    <row r="934">
      <c r="A934" s="28"/>
      <c r="B934" s="15"/>
      <c r="D934" s="15"/>
    </row>
    <row r="935">
      <c r="A935" s="28"/>
      <c r="B935" s="15"/>
      <c r="D935" s="15"/>
    </row>
    <row r="936">
      <c r="A936" s="28"/>
      <c r="B936" s="15"/>
      <c r="D936" s="15"/>
    </row>
    <row r="937">
      <c r="A937" s="28"/>
      <c r="B937" s="15"/>
      <c r="D937" s="15"/>
    </row>
    <row r="938">
      <c r="A938" s="28"/>
      <c r="B938" s="15"/>
      <c r="D938" s="15"/>
    </row>
    <row r="939">
      <c r="A939" s="28"/>
      <c r="B939" s="15"/>
      <c r="D939" s="15"/>
    </row>
    <row r="940">
      <c r="A940" s="28"/>
      <c r="B940" s="15"/>
      <c r="D940" s="15"/>
    </row>
    <row r="941">
      <c r="A941" s="28"/>
      <c r="B941" s="15"/>
      <c r="D941" s="15"/>
    </row>
    <row r="942">
      <c r="A942" s="28"/>
      <c r="B942" s="15"/>
      <c r="D942" s="15"/>
    </row>
    <row r="943">
      <c r="A943" s="28"/>
      <c r="B943" s="15"/>
      <c r="D943" s="15"/>
    </row>
    <row r="944">
      <c r="A944" s="28"/>
      <c r="B944" s="15"/>
      <c r="D944" s="15"/>
    </row>
    <row r="945">
      <c r="A945" s="28"/>
      <c r="B945" s="15"/>
      <c r="D945" s="15"/>
    </row>
    <row r="946">
      <c r="A946" s="28"/>
      <c r="B946" s="15"/>
      <c r="D946" s="15"/>
    </row>
    <row r="947">
      <c r="A947" s="28"/>
      <c r="B947" s="15"/>
      <c r="D947" s="15"/>
    </row>
    <row r="948">
      <c r="A948" s="28"/>
      <c r="B948" s="15"/>
      <c r="D948" s="15"/>
    </row>
    <row r="949">
      <c r="A949" s="28"/>
      <c r="B949" s="15"/>
      <c r="D949" s="15"/>
    </row>
    <row r="950">
      <c r="A950" s="28"/>
      <c r="B950" s="15"/>
      <c r="D950" s="15"/>
    </row>
    <row r="951">
      <c r="A951" s="28"/>
      <c r="B951" s="15"/>
      <c r="D951" s="15"/>
    </row>
    <row r="952">
      <c r="A952" s="28"/>
      <c r="B952" s="15"/>
      <c r="D952" s="15"/>
    </row>
    <row r="953">
      <c r="A953" s="28"/>
      <c r="B953" s="15"/>
      <c r="D953" s="15"/>
    </row>
    <row r="954">
      <c r="A954" s="28"/>
      <c r="B954" s="15"/>
      <c r="D954" s="15"/>
    </row>
    <row r="955">
      <c r="A955" s="28"/>
      <c r="B955" s="15"/>
      <c r="D955" s="15"/>
    </row>
    <row r="956">
      <c r="A956" s="28"/>
      <c r="B956" s="15"/>
      <c r="D956" s="15"/>
    </row>
    <row r="957">
      <c r="A957" s="28"/>
      <c r="B957" s="15"/>
      <c r="D957" s="15"/>
    </row>
    <row r="958">
      <c r="A958" s="28"/>
      <c r="B958" s="15"/>
      <c r="D958" s="15"/>
    </row>
    <row r="959">
      <c r="A959" s="28"/>
      <c r="B959" s="15"/>
      <c r="D959" s="15"/>
    </row>
    <row r="960">
      <c r="A960" s="28"/>
      <c r="B960" s="15"/>
      <c r="D960" s="15"/>
    </row>
    <row r="961">
      <c r="A961" s="28"/>
      <c r="B961" s="15"/>
      <c r="D961" s="15"/>
    </row>
    <row r="962">
      <c r="A962" s="28"/>
      <c r="B962" s="15"/>
      <c r="D962" s="15"/>
    </row>
    <row r="963">
      <c r="A963" s="28"/>
      <c r="B963" s="15"/>
      <c r="D963" s="15"/>
    </row>
    <row r="964">
      <c r="A964" s="28"/>
      <c r="B964" s="15"/>
      <c r="D964" s="15"/>
    </row>
    <row r="965">
      <c r="A965" s="28"/>
      <c r="B965" s="15"/>
      <c r="D965" s="15"/>
    </row>
    <row r="966">
      <c r="A966" s="28"/>
      <c r="B966" s="15"/>
      <c r="D966" s="15"/>
    </row>
    <row r="967">
      <c r="A967" s="28"/>
      <c r="B967" s="15"/>
      <c r="D967" s="15"/>
    </row>
    <row r="968">
      <c r="A968" s="28"/>
      <c r="B968" s="15"/>
      <c r="D968" s="15"/>
    </row>
    <row r="969">
      <c r="A969" s="28"/>
      <c r="B969" s="15"/>
      <c r="D969" s="15"/>
    </row>
    <row r="970">
      <c r="A970" s="28"/>
      <c r="B970" s="15"/>
      <c r="D970" s="15"/>
    </row>
    <row r="971">
      <c r="A971" s="28"/>
      <c r="B971" s="15"/>
      <c r="D971" s="15"/>
    </row>
    <row r="972">
      <c r="A972" s="28"/>
      <c r="B972" s="15"/>
      <c r="D972" s="15"/>
    </row>
    <row r="973">
      <c r="A973" s="28"/>
      <c r="B973" s="15"/>
      <c r="D973" s="15"/>
    </row>
    <row r="974">
      <c r="A974" s="28"/>
      <c r="B974" s="15"/>
      <c r="D974" s="15"/>
    </row>
    <row r="975">
      <c r="A975" s="28"/>
      <c r="B975" s="15"/>
      <c r="D975" s="15"/>
    </row>
    <row r="976">
      <c r="A976" s="28"/>
      <c r="B976" s="15"/>
      <c r="D976" s="15"/>
    </row>
    <row r="977">
      <c r="A977" s="28"/>
      <c r="B977" s="15"/>
      <c r="D977" s="15"/>
    </row>
    <row r="978">
      <c r="A978" s="28"/>
      <c r="B978" s="15"/>
      <c r="D978" s="15"/>
    </row>
    <row r="979">
      <c r="A979" s="28"/>
      <c r="B979" s="15"/>
      <c r="D979" s="15"/>
    </row>
    <row r="980">
      <c r="A980" s="28"/>
      <c r="B980" s="15"/>
      <c r="D980" s="15"/>
    </row>
    <row r="981">
      <c r="A981" s="28"/>
      <c r="B981" s="15"/>
      <c r="D981" s="15"/>
    </row>
    <row r="982">
      <c r="A982" s="28"/>
      <c r="B982" s="15"/>
      <c r="D982" s="15"/>
    </row>
    <row r="983">
      <c r="A983" s="28"/>
      <c r="B983" s="15"/>
      <c r="D983" s="15"/>
    </row>
    <row r="984">
      <c r="A984" s="28"/>
      <c r="B984" s="15"/>
      <c r="D984" s="15"/>
    </row>
    <row r="985">
      <c r="A985" s="28"/>
      <c r="B985" s="15"/>
      <c r="D985" s="15"/>
    </row>
    <row r="986">
      <c r="A986" s="28"/>
      <c r="B986" s="15"/>
      <c r="D986" s="15"/>
    </row>
    <row r="987">
      <c r="A987" s="28"/>
      <c r="B987" s="15"/>
      <c r="D987" s="15"/>
    </row>
    <row r="988">
      <c r="A988" s="28"/>
      <c r="B988" s="15"/>
      <c r="D988" s="15"/>
    </row>
    <row r="989">
      <c r="A989" s="28"/>
      <c r="B989" s="15"/>
      <c r="D989" s="15"/>
    </row>
    <row r="990">
      <c r="A990" s="28"/>
      <c r="B990" s="15"/>
      <c r="D990" s="15"/>
    </row>
    <row r="991">
      <c r="A991" s="28"/>
      <c r="B991" s="15"/>
      <c r="D991" s="15"/>
    </row>
    <row r="992">
      <c r="A992" s="28"/>
      <c r="B992" s="15"/>
      <c r="D992" s="15"/>
    </row>
    <row r="993">
      <c r="A993" s="28"/>
      <c r="B993" s="15"/>
      <c r="D993" s="15"/>
    </row>
    <row r="994">
      <c r="A994" s="28"/>
      <c r="B994" s="15"/>
      <c r="D994" s="15"/>
    </row>
    <row r="995">
      <c r="A995" s="28"/>
      <c r="B995" s="15"/>
      <c r="D995" s="15"/>
    </row>
    <row r="996">
      <c r="A996" s="28"/>
      <c r="B996" s="15"/>
      <c r="D996" s="15"/>
    </row>
    <row r="997">
      <c r="A997" s="28"/>
      <c r="B997" s="15"/>
      <c r="D997" s="15"/>
    </row>
    <row r="998">
      <c r="A998" s="28"/>
      <c r="B998" s="15"/>
      <c r="D998" s="15"/>
    </row>
    <row r="999">
      <c r="A999" s="28"/>
      <c r="B999" s="15"/>
      <c r="D999" s="15"/>
    </row>
    <row r="1000">
      <c r="A1000" s="28"/>
      <c r="B1000" s="15"/>
      <c r="D1000" s="15"/>
    </row>
    <row r="1001">
      <c r="A1001" s="28"/>
    </row>
  </sheetData>
  <hyperlinks>
    <hyperlink r:id="rId1" ref="E7"/>
  </hyperlinks>
  <drawing r:id="rId2"/>
</worksheet>
</file>

<file path=xl/worksheets/sheet3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88"/>
    <col customWidth="1" min="2" max="2" width="20.88"/>
    <col customWidth="1" min="3" max="3" width="6.5"/>
    <col customWidth="1" min="4" max="4" width="22.5"/>
  </cols>
  <sheetData>
    <row r="1">
      <c r="A1" s="11" t="s">
        <v>5662</v>
      </c>
      <c r="B1" s="13" t="s">
        <v>5663</v>
      </c>
      <c r="D1" s="10" t="s">
        <v>10376</v>
      </c>
    </row>
    <row r="2">
      <c r="A2" s="11" t="s">
        <v>9260</v>
      </c>
      <c r="B2" s="15" t="s">
        <v>5790</v>
      </c>
      <c r="D2" s="15" t="s">
        <v>6113</v>
      </c>
      <c r="E2" s="50"/>
    </row>
    <row r="3">
      <c r="A3" s="11" t="s">
        <v>9260</v>
      </c>
      <c r="B3" s="15" t="s">
        <v>9262</v>
      </c>
      <c r="D3" s="15" t="s">
        <v>6113</v>
      </c>
      <c r="E3" s="50"/>
    </row>
    <row r="4">
      <c r="A4" s="11" t="s">
        <v>9260</v>
      </c>
      <c r="B4" s="15" t="s">
        <v>6114</v>
      </c>
      <c r="D4" s="15" t="s">
        <v>6113</v>
      </c>
      <c r="E4" s="50"/>
    </row>
    <row r="5">
      <c r="A5" s="11" t="s">
        <v>9260</v>
      </c>
      <c r="B5" s="15" t="s">
        <v>6116</v>
      </c>
      <c r="D5" s="15" t="s">
        <v>6113</v>
      </c>
      <c r="E5" s="50"/>
    </row>
    <row r="6">
      <c r="A6" s="11" t="s">
        <v>9260</v>
      </c>
      <c r="B6" s="15" t="s">
        <v>9266</v>
      </c>
      <c r="D6" s="15" t="s">
        <v>6113</v>
      </c>
      <c r="E6" s="50"/>
    </row>
    <row r="7">
      <c r="A7" s="11" t="s">
        <v>9260</v>
      </c>
      <c r="B7" s="15" t="s">
        <v>6118</v>
      </c>
      <c r="D7" s="15" t="s">
        <v>6113</v>
      </c>
      <c r="E7" s="50"/>
    </row>
    <row r="8">
      <c r="A8" s="11" t="s">
        <v>9260</v>
      </c>
      <c r="B8" s="15" t="s">
        <v>6120</v>
      </c>
      <c r="D8" s="15" t="s">
        <v>6113</v>
      </c>
      <c r="E8" s="50"/>
    </row>
    <row r="9">
      <c r="A9" s="11" t="s">
        <v>9260</v>
      </c>
      <c r="B9" s="15" t="s">
        <v>6122</v>
      </c>
      <c r="D9" s="15" t="s">
        <v>6113</v>
      </c>
      <c r="E9" s="50"/>
    </row>
    <row r="10">
      <c r="A10" s="11" t="s">
        <v>9260</v>
      </c>
      <c r="B10" s="15" t="s">
        <v>6124</v>
      </c>
      <c r="D10" s="15" t="s">
        <v>6113</v>
      </c>
      <c r="E10" s="50"/>
    </row>
    <row r="11">
      <c r="A11" s="11" t="s">
        <v>9260</v>
      </c>
      <c r="B11" s="15" t="s">
        <v>5812</v>
      </c>
      <c r="D11" s="15" t="s">
        <v>6113</v>
      </c>
      <c r="E11" s="50"/>
    </row>
    <row r="12">
      <c r="A12" s="11" t="s">
        <v>9260</v>
      </c>
      <c r="B12" s="15" t="s">
        <v>6130</v>
      </c>
      <c r="D12" s="15" t="s">
        <v>6113</v>
      </c>
      <c r="E12" s="50"/>
    </row>
    <row r="13">
      <c r="A13" s="11" t="s">
        <v>9260</v>
      </c>
      <c r="B13" s="15" t="s">
        <v>6133</v>
      </c>
      <c r="D13" s="15" t="s">
        <v>6113</v>
      </c>
      <c r="E13" s="50"/>
    </row>
    <row r="14">
      <c r="A14" s="11" t="s">
        <v>9260</v>
      </c>
      <c r="B14" s="15" t="s">
        <v>6135</v>
      </c>
      <c r="D14" s="15" t="s">
        <v>6113</v>
      </c>
      <c r="E14" s="50"/>
    </row>
    <row r="15">
      <c r="A15" s="11" t="s">
        <v>9260</v>
      </c>
      <c r="B15" s="15" t="s">
        <v>6137</v>
      </c>
      <c r="D15" s="15" t="s">
        <v>6113</v>
      </c>
      <c r="E15" s="50"/>
    </row>
    <row r="16">
      <c r="A16" s="11" t="s">
        <v>9260</v>
      </c>
      <c r="B16" s="15" t="s">
        <v>6139</v>
      </c>
      <c r="D16" s="15" t="s">
        <v>6113</v>
      </c>
      <c r="E16" s="50"/>
    </row>
    <row r="17">
      <c r="A17" s="11" t="s">
        <v>9260</v>
      </c>
      <c r="B17" s="15" t="s">
        <v>9278</v>
      </c>
      <c r="D17" s="15" t="s">
        <v>6113</v>
      </c>
      <c r="E17" s="50"/>
    </row>
    <row r="18">
      <c r="A18" s="11" t="s">
        <v>9280</v>
      </c>
      <c r="B18" s="15" t="s">
        <v>6054</v>
      </c>
      <c r="D18" s="15" t="s">
        <v>6056</v>
      </c>
      <c r="E18" s="50"/>
    </row>
    <row r="19">
      <c r="A19" s="11" t="s">
        <v>9280</v>
      </c>
      <c r="B19" s="15" t="s">
        <v>6057</v>
      </c>
      <c r="D19" s="15" t="s">
        <v>6056</v>
      </c>
      <c r="E19" s="50"/>
    </row>
    <row r="20">
      <c r="A20" s="11" t="s">
        <v>9280</v>
      </c>
      <c r="B20" s="15" t="s">
        <v>6059</v>
      </c>
      <c r="D20" s="15" t="s">
        <v>6056</v>
      </c>
      <c r="E20" s="50"/>
    </row>
    <row r="21">
      <c r="A21" s="11" t="s">
        <v>9280</v>
      </c>
      <c r="B21" s="15" t="s">
        <v>6061</v>
      </c>
      <c r="D21" s="15" t="s">
        <v>6056</v>
      </c>
      <c r="E21" s="50"/>
    </row>
    <row r="22">
      <c r="A22" s="11" t="s">
        <v>9280</v>
      </c>
      <c r="B22" s="15" t="s">
        <v>6063</v>
      </c>
      <c r="D22" s="15" t="s">
        <v>6056</v>
      </c>
      <c r="E22" s="50"/>
    </row>
    <row r="23">
      <c r="A23" s="11" t="s">
        <v>9280</v>
      </c>
      <c r="B23" s="15" t="s">
        <v>6065</v>
      </c>
      <c r="D23" s="15" t="s">
        <v>6056</v>
      </c>
      <c r="E23" s="50"/>
    </row>
    <row r="24">
      <c r="A24" s="11" t="s">
        <v>9287</v>
      </c>
      <c r="B24" s="15" t="s">
        <v>9288</v>
      </c>
      <c r="D24" s="15" t="s">
        <v>6036</v>
      </c>
      <c r="E24" s="50"/>
    </row>
    <row r="25">
      <c r="A25" s="11" t="s">
        <v>9287</v>
      </c>
      <c r="B25" s="15" t="s">
        <v>5794</v>
      </c>
      <c r="D25" s="15" t="s">
        <v>6036</v>
      </c>
      <c r="E25" s="50"/>
    </row>
    <row r="26">
      <c r="A26" s="11" t="s">
        <v>9287</v>
      </c>
      <c r="B26" s="15" t="s">
        <v>5799</v>
      </c>
      <c r="D26" s="15" t="s">
        <v>6036</v>
      </c>
      <c r="E26" s="50"/>
    </row>
    <row r="27">
      <c r="A27" s="11" t="s">
        <v>9287</v>
      </c>
      <c r="B27" s="15" t="s">
        <v>9292</v>
      </c>
      <c r="D27" s="15" t="s">
        <v>6036</v>
      </c>
      <c r="E27" s="50"/>
    </row>
    <row r="28">
      <c r="A28" s="11" t="s">
        <v>9287</v>
      </c>
      <c r="B28" s="15" t="s">
        <v>5744</v>
      </c>
      <c r="D28" s="15" t="s">
        <v>6036</v>
      </c>
      <c r="E28" s="50"/>
    </row>
    <row r="29">
      <c r="A29" s="11" t="s">
        <v>9287</v>
      </c>
      <c r="B29" s="15" t="s">
        <v>9295</v>
      </c>
      <c r="D29" s="15" t="s">
        <v>6036</v>
      </c>
      <c r="E29" s="50"/>
    </row>
    <row r="30">
      <c r="A30" s="11" t="s">
        <v>9287</v>
      </c>
      <c r="B30" s="15" t="s">
        <v>9297</v>
      </c>
      <c r="D30" s="15" t="s">
        <v>6036</v>
      </c>
      <c r="E30" s="50"/>
    </row>
    <row r="31">
      <c r="A31" s="11" t="s">
        <v>9287</v>
      </c>
      <c r="B31" s="15" t="s">
        <v>6480</v>
      </c>
      <c r="D31" s="15" t="s">
        <v>6036</v>
      </c>
      <c r="E31" s="50"/>
    </row>
    <row r="32">
      <c r="A32" s="11" t="s">
        <v>9287</v>
      </c>
      <c r="B32" s="15" t="s">
        <v>9300</v>
      </c>
      <c r="D32" s="15" t="s">
        <v>6036</v>
      </c>
      <c r="E32" s="50"/>
    </row>
    <row r="33">
      <c r="A33" s="11" t="s">
        <v>9316</v>
      </c>
      <c r="B33" s="15" t="s">
        <v>9327</v>
      </c>
      <c r="D33" s="15" t="s">
        <v>5817</v>
      </c>
      <c r="E33" s="215" t="s">
        <v>10377</v>
      </c>
    </row>
    <row r="34">
      <c r="A34" s="11" t="s">
        <v>9316</v>
      </c>
      <c r="B34" s="15" t="s">
        <v>5830</v>
      </c>
      <c r="D34" s="15" t="s">
        <v>5817</v>
      </c>
      <c r="E34" s="50"/>
    </row>
    <row r="35">
      <c r="A35" s="11" t="s">
        <v>9316</v>
      </c>
      <c r="B35" s="15" t="s">
        <v>9324</v>
      </c>
      <c r="D35" s="15" t="s">
        <v>5817</v>
      </c>
      <c r="E35" s="50"/>
    </row>
    <row r="36">
      <c r="A36" s="11" t="s">
        <v>9316</v>
      </c>
      <c r="B36" s="15" t="s">
        <v>5838</v>
      </c>
      <c r="D36" s="15" t="s">
        <v>5817</v>
      </c>
      <c r="E36" s="50"/>
    </row>
    <row r="37">
      <c r="A37" s="11" t="s">
        <v>9316</v>
      </c>
      <c r="B37" s="15" t="s">
        <v>5840</v>
      </c>
      <c r="D37" s="15" t="s">
        <v>5817</v>
      </c>
      <c r="E37" s="50"/>
    </row>
    <row r="38">
      <c r="A38" s="11" t="s">
        <v>9316</v>
      </c>
      <c r="B38" s="15" t="s">
        <v>5842</v>
      </c>
      <c r="D38" s="15" t="s">
        <v>5817</v>
      </c>
      <c r="E38" s="50"/>
    </row>
    <row r="39">
      <c r="A39" s="11" t="s">
        <v>9316</v>
      </c>
      <c r="B39" s="15" t="s">
        <v>9364</v>
      </c>
      <c r="D39" s="15" t="s">
        <v>5817</v>
      </c>
      <c r="E39" s="50"/>
    </row>
    <row r="40">
      <c r="A40" s="11" t="s">
        <v>9316</v>
      </c>
      <c r="B40" s="15" t="s">
        <v>5848</v>
      </c>
      <c r="D40" s="15" t="s">
        <v>5817</v>
      </c>
      <c r="E40" s="50"/>
    </row>
    <row r="41">
      <c r="A41" s="11" t="s">
        <v>9316</v>
      </c>
      <c r="B41" s="15" t="s">
        <v>5850</v>
      </c>
      <c r="D41" s="15" t="s">
        <v>5817</v>
      </c>
      <c r="E41" s="50"/>
    </row>
    <row r="42">
      <c r="A42" s="11" t="s">
        <v>9316</v>
      </c>
      <c r="B42" s="15" t="s">
        <v>5852</v>
      </c>
      <c r="D42" s="15" t="s">
        <v>5817</v>
      </c>
      <c r="E42" s="50"/>
    </row>
    <row r="43">
      <c r="A43" s="11" t="s">
        <v>9316</v>
      </c>
      <c r="B43" s="15" t="s">
        <v>5854</v>
      </c>
      <c r="D43" s="15" t="s">
        <v>5817</v>
      </c>
      <c r="E43" s="50"/>
    </row>
    <row r="44">
      <c r="A44" s="11" t="s">
        <v>9316</v>
      </c>
      <c r="B44" s="15" t="s">
        <v>5856</v>
      </c>
      <c r="D44" s="15" t="s">
        <v>5817</v>
      </c>
      <c r="E44" s="50"/>
    </row>
    <row r="45">
      <c r="A45" s="11" t="s">
        <v>9316</v>
      </c>
      <c r="B45" s="15" t="s">
        <v>5858</v>
      </c>
      <c r="D45" s="15" t="s">
        <v>5817</v>
      </c>
      <c r="E45" s="50"/>
    </row>
    <row r="46">
      <c r="A46" s="11" t="s">
        <v>9316</v>
      </c>
      <c r="B46" s="15" t="s">
        <v>9385</v>
      </c>
      <c r="D46" s="15" t="s">
        <v>5817</v>
      </c>
      <c r="E46" s="50"/>
    </row>
    <row r="47">
      <c r="A47" s="11" t="s">
        <v>9316</v>
      </c>
      <c r="B47" s="15" t="s">
        <v>9388</v>
      </c>
      <c r="D47" s="15" t="s">
        <v>5817</v>
      </c>
      <c r="E47" s="50"/>
    </row>
    <row r="48">
      <c r="A48" s="11" t="s">
        <v>9316</v>
      </c>
      <c r="B48" s="15" t="s">
        <v>5862</v>
      </c>
      <c r="D48" s="15" t="s">
        <v>5817</v>
      </c>
      <c r="E48" s="50"/>
    </row>
    <row r="49">
      <c r="A49" s="11" t="s">
        <v>9316</v>
      </c>
      <c r="B49" s="15" t="s">
        <v>9393</v>
      </c>
      <c r="D49" s="15" t="s">
        <v>5817</v>
      </c>
      <c r="E49" s="50"/>
    </row>
    <row r="50">
      <c r="A50" s="11" t="s">
        <v>9316</v>
      </c>
      <c r="B50" s="15" t="s">
        <v>5866</v>
      </c>
      <c r="D50" s="15" t="s">
        <v>5817</v>
      </c>
      <c r="E50" s="50"/>
    </row>
    <row r="51">
      <c r="A51" s="11" t="s">
        <v>9316</v>
      </c>
      <c r="B51" s="15" t="s">
        <v>5868</v>
      </c>
      <c r="D51" s="15" t="s">
        <v>5817</v>
      </c>
      <c r="E51" s="50"/>
    </row>
    <row r="52">
      <c r="A52" s="11" t="s">
        <v>9316</v>
      </c>
      <c r="B52" s="15" t="s">
        <v>5870</v>
      </c>
      <c r="D52" s="15" t="s">
        <v>5817</v>
      </c>
      <c r="E52" s="50"/>
    </row>
    <row r="53">
      <c r="A53" s="11" t="s">
        <v>9316</v>
      </c>
      <c r="B53" s="15" t="s">
        <v>5872</v>
      </c>
      <c r="D53" s="15" t="s">
        <v>5817</v>
      </c>
      <c r="E53" s="50"/>
    </row>
    <row r="54">
      <c r="A54" s="11" t="s">
        <v>9316</v>
      </c>
      <c r="B54" s="15" t="s">
        <v>9400</v>
      </c>
      <c r="D54" s="15" t="s">
        <v>5817</v>
      </c>
      <c r="E54" s="50"/>
    </row>
    <row r="55">
      <c r="A55" s="11" t="s">
        <v>9316</v>
      </c>
      <c r="B55" s="15" t="s">
        <v>5876</v>
      </c>
      <c r="D55" s="15" t="s">
        <v>5817</v>
      </c>
      <c r="E55" s="50"/>
    </row>
    <row r="56">
      <c r="A56" s="11" t="s">
        <v>9316</v>
      </c>
      <c r="B56" s="15" t="s">
        <v>5878</v>
      </c>
      <c r="D56" s="15" t="s">
        <v>5817</v>
      </c>
      <c r="E56" s="50"/>
    </row>
    <row r="57">
      <c r="A57" s="11" t="s">
        <v>9316</v>
      </c>
      <c r="B57" s="15" t="s">
        <v>5882</v>
      </c>
      <c r="D57" s="15" t="s">
        <v>5817</v>
      </c>
      <c r="E57" s="50"/>
    </row>
    <row r="58">
      <c r="A58" s="11" t="s">
        <v>9316</v>
      </c>
      <c r="B58" s="15" t="s">
        <v>5884</v>
      </c>
      <c r="D58" s="15" t="s">
        <v>5817</v>
      </c>
      <c r="E58" s="50"/>
    </row>
    <row r="59">
      <c r="A59" s="11" t="s">
        <v>9316</v>
      </c>
      <c r="B59" s="15" t="s">
        <v>9424</v>
      </c>
      <c r="D59" s="15" t="s">
        <v>5817</v>
      </c>
      <c r="E59" s="50"/>
    </row>
    <row r="60">
      <c r="A60" s="11" t="s">
        <v>9316</v>
      </c>
      <c r="B60" s="15" t="s">
        <v>5894</v>
      </c>
      <c r="D60" s="15" t="s">
        <v>5817</v>
      </c>
      <c r="E60" s="50"/>
    </row>
    <row r="61">
      <c r="A61" s="11" t="s">
        <v>9316</v>
      </c>
      <c r="B61" s="15" t="s">
        <v>9445</v>
      </c>
      <c r="D61" s="15" t="s">
        <v>5817</v>
      </c>
      <c r="E61" s="50"/>
    </row>
    <row r="62">
      <c r="A62" s="11" t="s">
        <v>9316</v>
      </c>
      <c r="B62" s="15" t="s">
        <v>9448</v>
      </c>
      <c r="D62" s="15" t="s">
        <v>5817</v>
      </c>
      <c r="E62" s="50"/>
    </row>
    <row r="63">
      <c r="A63" s="11" t="s">
        <v>9316</v>
      </c>
      <c r="B63" s="15" t="s">
        <v>9451</v>
      </c>
      <c r="D63" s="15" t="s">
        <v>5817</v>
      </c>
      <c r="E63" s="50"/>
    </row>
    <row r="64">
      <c r="A64" s="11" t="s">
        <v>9316</v>
      </c>
      <c r="B64" s="15" t="s">
        <v>5900</v>
      </c>
      <c r="D64" s="15" t="s">
        <v>5817</v>
      </c>
      <c r="E64" s="50"/>
    </row>
    <row r="65">
      <c r="A65" s="11" t="s">
        <v>9316</v>
      </c>
      <c r="B65" s="15" t="s">
        <v>9481</v>
      </c>
      <c r="D65" s="15" t="s">
        <v>5817</v>
      </c>
      <c r="E65" s="50"/>
    </row>
    <row r="66">
      <c r="A66" s="11" t="s">
        <v>9316</v>
      </c>
      <c r="B66" s="15" t="s">
        <v>5906</v>
      </c>
      <c r="D66" s="15" t="s">
        <v>5817</v>
      </c>
      <c r="E66" s="50"/>
    </row>
    <row r="67">
      <c r="A67" s="11" t="s">
        <v>9316</v>
      </c>
      <c r="B67" s="15" t="s">
        <v>5918</v>
      </c>
      <c r="D67" s="15" t="s">
        <v>5817</v>
      </c>
      <c r="E67" s="50"/>
    </row>
    <row r="68">
      <c r="A68" s="11" t="s">
        <v>9316</v>
      </c>
      <c r="B68" s="15" t="s">
        <v>9504</v>
      </c>
      <c r="D68" s="15" t="s">
        <v>5817</v>
      </c>
      <c r="E68" s="50"/>
    </row>
    <row r="69">
      <c r="A69" s="11" t="s">
        <v>9316</v>
      </c>
      <c r="B69" s="15" t="s">
        <v>5920</v>
      </c>
      <c r="D69" s="15" t="s">
        <v>5817</v>
      </c>
      <c r="E69" s="50"/>
    </row>
    <row r="70">
      <c r="A70" s="11" t="s">
        <v>9316</v>
      </c>
      <c r="B70" s="15" t="s">
        <v>5928</v>
      </c>
      <c r="D70" s="15" t="s">
        <v>5817</v>
      </c>
      <c r="E70" s="50"/>
    </row>
    <row r="71">
      <c r="A71" s="11" t="s">
        <v>9316</v>
      </c>
      <c r="B71" s="15" t="s">
        <v>5939</v>
      </c>
      <c r="D71" s="15" t="s">
        <v>5817</v>
      </c>
      <c r="E71" s="50"/>
    </row>
    <row r="72">
      <c r="A72" s="11" t="s">
        <v>9316</v>
      </c>
      <c r="B72" s="15" t="s">
        <v>5943</v>
      </c>
      <c r="D72" s="15" t="s">
        <v>5817</v>
      </c>
      <c r="E72" s="50"/>
    </row>
    <row r="73">
      <c r="A73" s="11" t="s">
        <v>9316</v>
      </c>
      <c r="B73" s="15" t="s">
        <v>9523</v>
      </c>
      <c r="D73" s="15" t="s">
        <v>5817</v>
      </c>
      <c r="E73" s="50"/>
    </row>
    <row r="74">
      <c r="A74" s="11" t="s">
        <v>9316</v>
      </c>
      <c r="B74" s="15" t="s">
        <v>5945</v>
      </c>
      <c r="D74" s="15" t="s">
        <v>5817</v>
      </c>
      <c r="E74" s="50"/>
    </row>
    <row r="75">
      <c r="A75" s="11" t="s">
        <v>9316</v>
      </c>
      <c r="B75" s="15" t="s">
        <v>5947</v>
      </c>
      <c r="D75" s="15" t="s">
        <v>5817</v>
      </c>
      <c r="E75" s="50"/>
    </row>
    <row r="76">
      <c r="A76" s="11" t="s">
        <v>9316</v>
      </c>
      <c r="B76" s="15" t="s">
        <v>5949</v>
      </c>
      <c r="D76" s="15" t="s">
        <v>5817</v>
      </c>
      <c r="E76" s="50"/>
    </row>
    <row r="77">
      <c r="A77" s="11" t="s">
        <v>9316</v>
      </c>
      <c r="B77" s="15" t="s">
        <v>9534</v>
      </c>
      <c r="D77" s="15" t="s">
        <v>5817</v>
      </c>
      <c r="E77" s="50"/>
    </row>
    <row r="78">
      <c r="A78" s="11" t="s">
        <v>9316</v>
      </c>
      <c r="B78" s="15" t="s">
        <v>9317</v>
      </c>
      <c r="D78" s="15" t="s">
        <v>5817</v>
      </c>
      <c r="E78" s="50"/>
    </row>
    <row r="79">
      <c r="A79" s="11" t="s">
        <v>9316</v>
      </c>
      <c r="B79" s="15" t="s">
        <v>9319</v>
      </c>
      <c r="D79" s="15" t="s">
        <v>5817</v>
      </c>
      <c r="E79" s="50"/>
    </row>
    <row r="80">
      <c r="A80" s="11" t="s">
        <v>9316</v>
      </c>
      <c r="B80" s="15" t="s">
        <v>5820</v>
      </c>
      <c r="D80" s="15" t="s">
        <v>5817</v>
      </c>
      <c r="E80" s="50"/>
    </row>
    <row r="81">
      <c r="A81" s="11" t="s">
        <v>9316</v>
      </c>
      <c r="B81" s="15" t="s">
        <v>9322</v>
      </c>
      <c r="D81" s="15" t="s">
        <v>5817</v>
      </c>
      <c r="E81" s="50"/>
    </row>
    <row r="82">
      <c r="A82" s="11" t="s">
        <v>9316</v>
      </c>
      <c r="B82" s="15" t="s">
        <v>9337</v>
      </c>
      <c r="D82" s="15" t="s">
        <v>5817</v>
      </c>
      <c r="E82" s="50"/>
    </row>
    <row r="83">
      <c r="A83" s="11" t="s">
        <v>9316</v>
      </c>
      <c r="B83" s="15" t="s">
        <v>5826</v>
      </c>
      <c r="D83" s="15" t="s">
        <v>5817</v>
      </c>
      <c r="E83" s="50"/>
    </row>
    <row r="84">
      <c r="A84" s="11" t="s">
        <v>9316</v>
      </c>
      <c r="B84" s="15" t="s">
        <v>9344</v>
      </c>
      <c r="D84" s="15" t="s">
        <v>5817</v>
      </c>
      <c r="E84" s="50"/>
    </row>
    <row r="85">
      <c r="A85" s="11" t="s">
        <v>9316</v>
      </c>
      <c r="B85" s="15" t="s">
        <v>9346</v>
      </c>
      <c r="D85" s="15" t="s">
        <v>5817</v>
      </c>
      <c r="E85" s="50"/>
    </row>
    <row r="86">
      <c r="A86" s="11" t="s">
        <v>9316</v>
      </c>
      <c r="B86" s="15" t="s">
        <v>5834</v>
      </c>
      <c r="D86" s="15" t="s">
        <v>5817</v>
      </c>
      <c r="E86" s="50"/>
    </row>
    <row r="87">
      <c r="A87" s="11" t="s">
        <v>9316</v>
      </c>
      <c r="B87" s="15" t="s">
        <v>5836</v>
      </c>
      <c r="D87" s="15" t="s">
        <v>5817</v>
      </c>
      <c r="E87" s="50"/>
    </row>
    <row r="88">
      <c r="A88" s="11" t="s">
        <v>9316</v>
      </c>
      <c r="B88" s="15" t="s">
        <v>9350</v>
      </c>
      <c r="D88" s="15" t="s">
        <v>5817</v>
      </c>
      <c r="E88" s="50"/>
    </row>
    <row r="89">
      <c r="A89" s="11" t="s">
        <v>9316</v>
      </c>
      <c r="B89" s="15" t="s">
        <v>9418</v>
      </c>
      <c r="D89" s="15" t="s">
        <v>5817</v>
      </c>
      <c r="E89" s="50"/>
    </row>
    <row r="90">
      <c r="A90" s="11" t="s">
        <v>9316</v>
      </c>
      <c r="B90" s="10" t="s">
        <v>9456</v>
      </c>
      <c r="D90" s="15" t="s">
        <v>5817</v>
      </c>
      <c r="E90" s="50"/>
    </row>
    <row r="91">
      <c r="A91" s="11" t="s">
        <v>9316</v>
      </c>
      <c r="B91" s="15" t="s">
        <v>9458</v>
      </c>
      <c r="D91" s="15" t="s">
        <v>5817</v>
      </c>
      <c r="E91" s="50"/>
    </row>
    <row r="92">
      <c r="A92" s="11" t="s">
        <v>9316</v>
      </c>
      <c r="B92" s="15" t="s">
        <v>9460</v>
      </c>
      <c r="D92" s="15" t="s">
        <v>5817</v>
      </c>
      <c r="E92" s="50"/>
    </row>
    <row r="93">
      <c r="A93" s="11" t="s">
        <v>9316</v>
      </c>
      <c r="B93" s="15" t="s">
        <v>9462</v>
      </c>
      <c r="D93" s="15" t="s">
        <v>5817</v>
      </c>
      <c r="E93" s="50"/>
    </row>
    <row r="94">
      <c r="A94" s="11" t="s">
        <v>9316</v>
      </c>
      <c r="B94" s="15" t="s">
        <v>9464</v>
      </c>
      <c r="D94" s="15" t="s">
        <v>5817</v>
      </c>
      <c r="E94" s="50"/>
    </row>
    <row r="95">
      <c r="A95" s="11" t="s">
        <v>9316</v>
      </c>
      <c r="B95" s="15" t="s">
        <v>9484</v>
      </c>
      <c r="D95" s="15" t="s">
        <v>5817</v>
      </c>
      <c r="E95" s="50"/>
    </row>
    <row r="96">
      <c r="A96" s="11" t="s">
        <v>9316</v>
      </c>
      <c r="B96" s="15" t="s">
        <v>9494</v>
      </c>
      <c r="D96" s="15" t="s">
        <v>5817</v>
      </c>
      <c r="E96" s="50"/>
    </row>
    <row r="97">
      <c r="A97" s="11" t="s">
        <v>9316</v>
      </c>
      <c r="B97" s="15" t="s">
        <v>9496</v>
      </c>
      <c r="D97" s="15" t="s">
        <v>5817</v>
      </c>
      <c r="E97" s="50"/>
    </row>
    <row r="98">
      <c r="A98" s="11" t="s">
        <v>9316</v>
      </c>
      <c r="B98" s="15" t="s">
        <v>9498</v>
      </c>
      <c r="D98" s="15" t="s">
        <v>5817</v>
      </c>
      <c r="E98" s="50"/>
    </row>
    <row r="99">
      <c r="A99" s="11" t="s">
        <v>9316</v>
      </c>
      <c r="B99" s="15" t="s">
        <v>5922</v>
      </c>
      <c r="D99" s="15" t="s">
        <v>5817</v>
      </c>
      <c r="E99" s="50"/>
    </row>
    <row r="100">
      <c r="A100" s="11" t="s">
        <v>9316</v>
      </c>
      <c r="B100" s="15" t="s">
        <v>5924</v>
      </c>
      <c r="D100" s="15" t="s">
        <v>5817</v>
      </c>
      <c r="E100" s="50"/>
    </row>
    <row r="101">
      <c r="A101" s="11" t="s">
        <v>9316</v>
      </c>
      <c r="B101" s="15" t="s">
        <v>5926</v>
      </c>
      <c r="D101" s="15" t="s">
        <v>5817</v>
      </c>
      <c r="E101" s="50"/>
    </row>
    <row r="102">
      <c r="A102" s="11" t="s">
        <v>9316</v>
      </c>
      <c r="B102" s="15" t="s">
        <v>9514</v>
      </c>
      <c r="D102" s="15" t="s">
        <v>5817</v>
      </c>
      <c r="E102" s="50"/>
    </row>
    <row r="103">
      <c r="A103" s="11" t="s">
        <v>9316</v>
      </c>
      <c r="B103" s="15" t="s">
        <v>5933</v>
      </c>
      <c r="D103" s="15" t="s">
        <v>5817</v>
      </c>
      <c r="E103" s="50"/>
    </row>
    <row r="104">
      <c r="A104" s="11" t="s">
        <v>9316</v>
      </c>
      <c r="B104" s="15" t="s">
        <v>9517</v>
      </c>
      <c r="D104" s="15" t="s">
        <v>5817</v>
      </c>
      <c r="E104" s="50"/>
    </row>
    <row r="105">
      <c r="A105" s="11" t="s">
        <v>9316</v>
      </c>
      <c r="B105" s="15" t="s">
        <v>9532</v>
      </c>
      <c r="D105" s="15" t="s">
        <v>5817</v>
      </c>
      <c r="E105" s="50"/>
    </row>
    <row r="106">
      <c r="A106" s="11" t="s">
        <v>9316</v>
      </c>
      <c r="B106" s="15" t="s">
        <v>5953</v>
      </c>
      <c r="D106" s="15" t="s">
        <v>5817</v>
      </c>
      <c r="E106" s="50"/>
    </row>
    <row r="107">
      <c r="A107" s="11" t="s">
        <v>9306</v>
      </c>
      <c r="B107" s="15" t="s">
        <v>5955</v>
      </c>
      <c r="D107" s="15" t="s">
        <v>5817</v>
      </c>
      <c r="E107" s="50"/>
    </row>
    <row r="108">
      <c r="A108" s="11" t="s">
        <v>9306</v>
      </c>
      <c r="B108" s="15" t="s">
        <v>9307</v>
      </c>
      <c r="D108" s="15" t="s">
        <v>5966</v>
      </c>
      <c r="E108" s="50"/>
    </row>
    <row r="109">
      <c r="A109" s="11" t="s">
        <v>9306</v>
      </c>
      <c r="B109" s="15" t="s">
        <v>9310</v>
      </c>
      <c r="D109" s="15" t="s">
        <v>5966</v>
      </c>
      <c r="E109" s="50"/>
    </row>
    <row r="110">
      <c r="A110" s="11" t="s">
        <v>9306</v>
      </c>
      <c r="B110" s="15" t="s">
        <v>9313</v>
      </c>
      <c r="D110" s="15" t="s">
        <v>5966</v>
      </c>
      <c r="E110" s="50"/>
    </row>
    <row r="111">
      <c r="A111" s="11" t="s">
        <v>9306</v>
      </c>
      <c r="B111" s="15" t="s">
        <v>5964</v>
      </c>
      <c r="D111" s="15" t="s">
        <v>5966</v>
      </c>
      <c r="E111" s="50"/>
    </row>
    <row r="112">
      <c r="A112" s="11" t="s">
        <v>9306</v>
      </c>
      <c r="B112" s="15" t="s">
        <v>5967</v>
      </c>
      <c r="D112" s="15" t="s">
        <v>5966</v>
      </c>
      <c r="E112" s="50"/>
    </row>
    <row r="113">
      <c r="A113" s="11" t="s">
        <v>9306</v>
      </c>
      <c r="B113" s="15" t="s">
        <v>5969</v>
      </c>
      <c r="D113" s="15" t="s">
        <v>5966</v>
      </c>
      <c r="E113" s="50"/>
    </row>
    <row r="114">
      <c r="A114" s="11" t="s">
        <v>9306</v>
      </c>
      <c r="B114" s="15" t="s">
        <v>9352</v>
      </c>
      <c r="D114" s="15" t="s">
        <v>5966</v>
      </c>
      <c r="E114" s="50"/>
    </row>
    <row r="115">
      <c r="A115" s="11" t="s">
        <v>9306</v>
      </c>
      <c r="B115" s="15" t="s">
        <v>9355</v>
      </c>
      <c r="D115" s="15" t="s">
        <v>5966</v>
      </c>
      <c r="E115" s="50"/>
    </row>
    <row r="116">
      <c r="A116" s="11" t="s">
        <v>9306</v>
      </c>
      <c r="B116" s="15" t="s">
        <v>9410</v>
      </c>
      <c r="D116" s="15" t="s">
        <v>5966</v>
      </c>
      <c r="E116" s="50"/>
    </row>
    <row r="117">
      <c r="A117" s="11" t="s">
        <v>9306</v>
      </c>
      <c r="B117" s="15" t="s">
        <v>9413</v>
      </c>
      <c r="D117" s="15" t="s">
        <v>5966</v>
      </c>
      <c r="E117" s="50"/>
    </row>
    <row r="118">
      <c r="A118" s="11" t="s">
        <v>9306</v>
      </c>
      <c r="B118" s="15" t="s">
        <v>9436</v>
      </c>
      <c r="D118" s="15" t="s">
        <v>5966</v>
      </c>
      <c r="E118" s="50"/>
    </row>
    <row r="119">
      <c r="A119" s="11" t="s">
        <v>9306</v>
      </c>
      <c r="B119" s="15" t="s">
        <v>5973</v>
      </c>
      <c r="D119" s="15" t="s">
        <v>5966</v>
      </c>
      <c r="E119" s="50"/>
    </row>
    <row r="120">
      <c r="A120" s="11" t="s">
        <v>9306</v>
      </c>
      <c r="B120" s="15" t="s">
        <v>5975</v>
      </c>
      <c r="D120" s="15" t="s">
        <v>5966</v>
      </c>
      <c r="E120" s="50"/>
    </row>
    <row r="121">
      <c r="A121" s="11" t="s">
        <v>9306</v>
      </c>
      <c r="B121" s="15" t="s">
        <v>5977</v>
      </c>
      <c r="D121" s="15" t="s">
        <v>5966</v>
      </c>
      <c r="E121" s="50"/>
    </row>
    <row r="122">
      <c r="A122" s="11" t="s">
        <v>9306</v>
      </c>
      <c r="B122" s="15" t="s">
        <v>9488</v>
      </c>
      <c r="D122" s="15" t="s">
        <v>5966</v>
      </c>
      <c r="E122" s="50"/>
    </row>
    <row r="123">
      <c r="A123" s="11" t="s">
        <v>9306</v>
      </c>
      <c r="B123" s="15" t="s">
        <v>9491</v>
      </c>
      <c r="D123" s="15" t="s">
        <v>5966</v>
      </c>
      <c r="E123" s="50"/>
    </row>
    <row r="124">
      <c r="A124" s="11" t="s">
        <v>9306</v>
      </c>
      <c r="B124" s="15" t="s">
        <v>5990</v>
      </c>
      <c r="D124" s="15" t="s">
        <v>5966</v>
      </c>
      <c r="E124" s="50"/>
    </row>
    <row r="125">
      <c r="A125" s="11" t="s">
        <v>9302</v>
      </c>
      <c r="B125" s="15" t="s">
        <v>9303</v>
      </c>
      <c r="D125" s="15" t="s">
        <v>5994</v>
      </c>
      <c r="E125" s="50"/>
    </row>
    <row r="126">
      <c r="A126" s="11" t="s">
        <v>9302</v>
      </c>
      <c r="B126" s="15" t="s">
        <v>5996</v>
      </c>
      <c r="D126" s="15" t="s">
        <v>5994</v>
      </c>
      <c r="E126" s="50"/>
    </row>
    <row r="127">
      <c r="A127" s="11" t="s">
        <v>9302</v>
      </c>
      <c r="B127" s="15" t="s">
        <v>9433</v>
      </c>
      <c r="D127" s="15" t="s">
        <v>5994</v>
      </c>
      <c r="E127" s="50"/>
    </row>
    <row r="128">
      <c r="A128" s="11" t="s">
        <v>9302</v>
      </c>
      <c r="B128" s="15" t="s">
        <v>9466</v>
      </c>
      <c r="D128" s="15" t="s">
        <v>5994</v>
      </c>
      <c r="E128" s="50"/>
    </row>
    <row r="129">
      <c r="A129" s="11" t="s">
        <v>9302</v>
      </c>
      <c r="B129" s="15" t="s">
        <v>9469</v>
      </c>
      <c r="D129" s="15" t="s">
        <v>5994</v>
      </c>
      <c r="E129" s="50"/>
    </row>
    <row r="130">
      <c r="A130" s="11" t="s">
        <v>9302</v>
      </c>
      <c r="B130" s="15" t="s">
        <v>9472</v>
      </c>
      <c r="D130" s="15" t="s">
        <v>5994</v>
      </c>
      <c r="E130" s="50"/>
    </row>
    <row r="131">
      <c r="A131" s="11" t="s">
        <v>9302</v>
      </c>
      <c r="B131" s="15" t="s">
        <v>9475</v>
      </c>
      <c r="D131" s="15" t="s">
        <v>5994</v>
      </c>
      <c r="E131" s="50"/>
    </row>
    <row r="132">
      <c r="A132" s="11" t="s">
        <v>9302</v>
      </c>
      <c r="B132" s="15" t="s">
        <v>9478</v>
      </c>
      <c r="D132" s="15" t="s">
        <v>5994</v>
      </c>
      <c r="E132" s="50"/>
    </row>
    <row r="133">
      <c r="A133" s="11" t="s">
        <v>9341</v>
      </c>
      <c r="B133" s="15" t="s">
        <v>9342</v>
      </c>
      <c r="D133" s="15" t="s">
        <v>6015</v>
      </c>
      <c r="E133" s="215" t="s">
        <v>10378</v>
      </c>
    </row>
    <row r="134">
      <c r="A134" s="11" t="s">
        <v>9341</v>
      </c>
      <c r="B134" s="15" t="s">
        <v>9369</v>
      </c>
      <c r="D134" s="15" t="s">
        <v>6015</v>
      </c>
      <c r="E134" s="50"/>
    </row>
    <row r="135">
      <c r="A135" s="11" t="s">
        <v>9341</v>
      </c>
      <c r="B135" s="15" t="s">
        <v>9373</v>
      </c>
      <c r="D135" s="15" t="s">
        <v>6015</v>
      </c>
      <c r="E135" s="50"/>
    </row>
    <row r="136">
      <c r="A136" s="11" t="s">
        <v>9341</v>
      </c>
      <c r="B136" s="15" t="s">
        <v>9383</v>
      </c>
      <c r="D136" s="15" t="s">
        <v>6015</v>
      </c>
      <c r="E136" s="50"/>
    </row>
    <row r="137">
      <c r="A137" s="11" t="s">
        <v>9341</v>
      </c>
      <c r="B137" s="15" t="s">
        <v>9408</v>
      </c>
      <c r="D137" s="15" t="s">
        <v>6015</v>
      </c>
      <c r="E137" s="50"/>
    </row>
    <row r="138">
      <c r="A138" s="11" t="s">
        <v>9341</v>
      </c>
      <c r="B138" s="15" t="s">
        <v>9429</v>
      </c>
      <c r="D138" s="15" t="s">
        <v>6015</v>
      </c>
      <c r="E138" s="50"/>
    </row>
    <row r="139">
      <c r="A139" s="11"/>
      <c r="D139" s="15"/>
    </row>
    <row r="140">
      <c r="A140" s="11"/>
      <c r="D140" s="15"/>
    </row>
    <row r="141">
      <c r="A141" s="11"/>
      <c r="D141" s="15"/>
    </row>
    <row r="142">
      <c r="A142" s="11"/>
      <c r="D142" s="15"/>
    </row>
    <row r="143">
      <c r="A143" s="11"/>
      <c r="D143" s="15"/>
    </row>
    <row r="144">
      <c r="A144" s="11"/>
      <c r="D144" s="15"/>
    </row>
    <row r="145">
      <c r="A145" s="11"/>
      <c r="D145" s="15"/>
    </row>
    <row r="146">
      <c r="A146" s="11"/>
      <c r="D146" s="15"/>
    </row>
    <row r="147">
      <c r="A147" s="11"/>
      <c r="D147" s="15"/>
    </row>
    <row r="148">
      <c r="A148" s="11"/>
      <c r="D148" s="15"/>
    </row>
    <row r="149">
      <c r="A149" s="11"/>
      <c r="D149" s="15"/>
    </row>
    <row r="150">
      <c r="A150" s="11"/>
      <c r="D150" s="15"/>
    </row>
    <row r="151">
      <c r="A151" s="11"/>
      <c r="D151" s="15"/>
    </row>
    <row r="152">
      <c r="A152" s="11"/>
      <c r="D152" s="15"/>
    </row>
    <row r="153">
      <c r="A153" s="11"/>
      <c r="D153" s="15"/>
    </row>
    <row r="154">
      <c r="A154" s="11"/>
      <c r="D154" s="15"/>
    </row>
    <row r="155">
      <c r="A155" s="11"/>
      <c r="D155" s="15"/>
    </row>
    <row r="156">
      <c r="A156" s="11"/>
      <c r="D156" s="15"/>
    </row>
    <row r="157">
      <c r="A157" s="11"/>
      <c r="D157" s="15"/>
    </row>
    <row r="158">
      <c r="A158" s="11"/>
      <c r="D158" s="15"/>
    </row>
    <row r="159">
      <c r="A159" s="11"/>
      <c r="D159" s="15"/>
    </row>
    <row r="160">
      <c r="A160" s="11"/>
      <c r="D160" s="15"/>
    </row>
    <row r="161">
      <c r="A161" s="11"/>
      <c r="D161" s="15"/>
    </row>
    <row r="162">
      <c r="A162" s="11"/>
      <c r="D162" s="15"/>
    </row>
    <row r="163">
      <c r="A163" s="11"/>
      <c r="D163" s="15"/>
    </row>
    <row r="164">
      <c r="A164" s="11"/>
      <c r="D164" s="15"/>
    </row>
    <row r="165">
      <c r="A165" s="11"/>
      <c r="D165" s="15"/>
    </row>
    <row r="166">
      <c r="A166" s="11"/>
      <c r="D166" s="15"/>
    </row>
    <row r="167">
      <c r="A167" s="11"/>
      <c r="D167" s="15"/>
    </row>
    <row r="168">
      <c r="A168" s="11"/>
      <c r="D168" s="15"/>
    </row>
    <row r="169">
      <c r="A169" s="11"/>
      <c r="D169" s="15"/>
    </row>
    <row r="170">
      <c r="A170" s="11"/>
      <c r="D170" s="15"/>
    </row>
    <row r="171">
      <c r="A171" s="11"/>
      <c r="D171" s="15"/>
    </row>
    <row r="172">
      <c r="A172" s="11"/>
      <c r="D172" s="15"/>
    </row>
    <row r="173">
      <c r="A173" s="11"/>
      <c r="D173" s="15"/>
    </row>
    <row r="174">
      <c r="A174" s="11"/>
      <c r="D174" s="15"/>
    </row>
    <row r="175">
      <c r="A175" s="11"/>
      <c r="D175" s="15"/>
    </row>
    <row r="176">
      <c r="A176" s="11"/>
      <c r="D176" s="15"/>
    </row>
    <row r="177">
      <c r="A177" s="11"/>
      <c r="D177" s="15"/>
    </row>
    <row r="178">
      <c r="A178" s="11"/>
      <c r="D178" s="15"/>
    </row>
    <row r="179">
      <c r="A179" s="11"/>
      <c r="D179" s="15"/>
    </row>
    <row r="180">
      <c r="A180" s="11"/>
      <c r="D180" s="15"/>
    </row>
    <row r="181">
      <c r="A181" s="11"/>
      <c r="D181" s="15"/>
    </row>
    <row r="182">
      <c r="A182" s="11"/>
      <c r="D182" s="15"/>
    </row>
    <row r="183">
      <c r="A183" s="11"/>
      <c r="D183" s="15"/>
    </row>
    <row r="184">
      <c r="A184" s="11"/>
      <c r="D184" s="15"/>
    </row>
    <row r="185">
      <c r="A185" s="11"/>
      <c r="D185" s="15"/>
    </row>
    <row r="186">
      <c r="A186" s="11"/>
      <c r="D186" s="15"/>
    </row>
    <row r="187">
      <c r="A187" s="11"/>
      <c r="D187" s="15"/>
    </row>
    <row r="188">
      <c r="A188" s="11"/>
      <c r="D188" s="15"/>
    </row>
    <row r="189">
      <c r="A189" s="11"/>
      <c r="D189" s="15"/>
    </row>
    <row r="190">
      <c r="A190" s="11"/>
      <c r="D190" s="15"/>
    </row>
    <row r="191">
      <c r="A191" s="11"/>
      <c r="D191" s="15"/>
    </row>
    <row r="192">
      <c r="A192" s="11"/>
      <c r="D192" s="15"/>
    </row>
    <row r="193">
      <c r="A193" s="11"/>
      <c r="D193" s="15"/>
    </row>
    <row r="194">
      <c r="A194" s="11"/>
      <c r="D194" s="15"/>
    </row>
    <row r="195">
      <c r="A195" s="11"/>
      <c r="D195" s="15"/>
    </row>
    <row r="196">
      <c r="A196" s="11"/>
      <c r="D196" s="15"/>
    </row>
    <row r="197">
      <c r="A197" s="11"/>
      <c r="D197" s="15"/>
    </row>
    <row r="198">
      <c r="A198" s="11"/>
      <c r="D198" s="15"/>
    </row>
    <row r="199">
      <c r="A199" s="11"/>
      <c r="D199" s="15"/>
    </row>
    <row r="200">
      <c r="A200" s="11"/>
      <c r="D200" s="15"/>
    </row>
    <row r="201">
      <c r="A201" s="11"/>
      <c r="D201" s="15"/>
    </row>
    <row r="202">
      <c r="A202" s="11"/>
      <c r="D202" s="15"/>
    </row>
    <row r="203">
      <c r="A203" s="11"/>
      <c r="D203" s="15"/>
    </row>
    <row r="204">
      <c r="A204" s="11"/>
      <c r="D204" s="15"/>
    </row>
    <row r="205">
      <c r="A205" s="11"/>
      <c r="D205" s="15"/>
    </row>
    <row r="206">
      <c r="A206" s="11"/>
      <c r="D206" s="15"/>
    </row>
    <row r="207">
      <c r="A207" s="11"/>
      <c r="D207" s="15"/>
    </row>
    <row r="208">
      <c r="A208" s="11"/>
      <c r="D208" s="15"/>
    </row>
    <row r="209">
      <c r="A209" s="11"/>
      <c r="D209" s="15"/>
    </row>
    <row r="210">
      <c r="A210" s="11"/>
      <c r="D210" s="15"/>
    </row>
    <row r="211">
      <c r="A211" s="11"/>
      <c r="D211" s="15"/>
    </row>
    <row r="212">
      <c r="A212" s="11"/>
      <c r="D212" s="15"/>
    </row>
    <row r="213">
      <c r="A213" s="11"/>
      <c r="D213" s="15"/>
    </row>
    <row r="214">
      <c r="A214" s="11"/>
      <c r="D214" s="15"/>
    </row>
    <row r="215">
      <c r="A215" s="11"/>
      <c r="D215" s="15"/>
    </row>
    <row r="216">
      <c r="A216" s="11"/>
      <c r="D216" s="15"/>
    </row>
    <row r="217">
      <c r="A217" s="11"/>
      <c r="D217" s="15"/>
    </row>
    <row r="218">
      <c r="A218" s="11"/>
      <c r="D218" s="15"/>
    </row>
    <row r="219">
      <c r="A219" s="11"/>
      <c r="D219" s="15"/>
    </row>
    <row r="220">
      <c r="A220" s="11"/>
      <c r="D220" s="15"/>
    </row>
    <row r="221">
      <c r="A221" s="11"/>
      <c r="D221" s="15"/>
    </row>
    <row r="222">
      <c r="A222" s="11"/>
      <c r="D222" s="15"/>
    </row>
    <row r="223">
      <c r="A223" s="11"/>
      <c r="D223" s="15"/>
    </row>
    <row r="224">
      <c r="A224" s="11"/>
      <c r="D224" s="15"/>
    </row>
    <row r="225">
      <c r="A225" s="11"/>
      <c r="D225" s="15"/>
    </row>
    <row r="226">
      <c r="A226" s="11"/>
      <c r="D226" s="15"/>
    </row>
    <row r="227">
      <c r="A227" s="11"/>
      <c r="D227" s="15"/>
    </row>
    <row r="228">
      <c r="A228" s="11"/>
      <c r="D228" s="15"/>
    </row>
    <row r="229">
      <c r="A229" s="11"/>
      <c r="D229" s="15"/>
    </row>
    <row r="230">
      <c r="A230" s="11"/>
      <c r="D230" s="15"/>
    </row>
    <row r="231">
      <c r="A231" s="11"/>
      <c r="D231" s="15"/>
    </row>
    <row r="232">
      <c r="A232" s="11"/>
      <c r="D232" s="15"/>
    </row>
    <row r="233">
      <c r="A233" s="11"/>
      <c r="D233" s="15"/>
    </row>
    <row r="234">
      <c r="A234" s="11"/>
      <c r="D234" s="15"/>
    </row>
    <row r="235">
      <c r="A235" s="11"/>
      <c r="D235" s="15"/>
    </row>
    <row r="236">
      <c r="A236" s="11"/>
      <c r="D236" s="15"/>
    </row>
    <row r="237">
      <c r="A237" s="11"/>
      <c r="D237" s="15"/>
    </row>
    <row r="238">
      <c r="A238" s="11"/>
      <c r="D238" s="15"/>
    </row>
    <row r="239">
      <c r="A239" s="11"/>
      <c r="D239" s="15"/>
    </row>
    <row r="240">
      <c r="A240" s="11"/>
      <c r="D240" s="15"/>
    </row>
    <row r="241">
      <c r="A241" s="11"/>
      <c r="D241" s="15"/>
    </row>
    <row r="242">
      <c r="A242" s="11"/>
      <c r="D242" s="15"/>
    </row>
    <row r="243">
      <c r="A243" s="11"/>
      <c r="D243" s="15"/>
    </row>
    <row r="244">
      <c r="A244" s="11"/>
      <c r="D244" s="15"/>
    </row>
    <row r="245">
      <c r="A245" s="11"/>
      <c r="D245" s="15"/>
    </row>
    <row r="246">
      <c r="A246" s="11"/>
      <c r="D246" s="15"/>
    </row>
    <row r="247">
      <c r="A247" s="11"/>
      <c r="D247" s="15"/>
    </row>
    <row r="248">
      <c r="A248" s="11"/>
      <c r="D248" s="15"/>
    </row>
    <row r="249">
      <c r="A249" s="11"/>
      <c r="D249" s="15"/>
    </row>
    <row r="250">
      <c r="A250" s="11"/>
      <c r="D250" s="15"/>
    </row>
    <row r="251">
      <c r="A251" s="11"/>
      <c r="D251" s="15"/>
    </row>
    <row r="252">
      <c r="A252" s="11"/>
      <c r="D252" s="15"/>
    </row>
    <row r="253">
      <c r="A253" s="11"/>
      <c r="D253" s="15"/>
    </row>
    <row r="254">
      <c r="A254" s="11"/>
      <c r="D254" s="15"/>
    </row>
    <row r="255">
      <c r="A255" s="11"/>
      <c r="D255" s="15"/>
    </row>
    <row r="256">
      <c r="A256" s="11"/>
      <c r="D256" s="15"/>
    </row>
    <row r="257">
      <c r="A257" s="11"/>
      <c r="D257" s="15"/>
    </row>
    <row r="258">
      <c r="A258" s="11"/>
      <c r="D258" s="15"/>
    </row>
    <row r="259">
      <c r="A259" s="11"/>
      <c r="D259" s="15"/>
    </row>
    <row r="260">
      <c r="A260" s="11"/>
      <c r="D260" s="15"/>
    </row>
    <row r="261">
      <c r="A261" s="11"/>
      <c r="D261" s="15"/>
    </row>
    <row r="262">
      <c r="A262" s="11"/>
      <c r="D262" s="15"/>
    </row>
    <row r="263">
      <c r="A263" s="11"/>
      <c r="D263" s="15"/>
    </row>
    <row r="264">
      <c r="A264" s="11"/>
      <c r="D264" s="15"/>
    </row>
    <row r="265">
      <c r="A265" s="11"/>
      <c r="D265" s="15"/>
    </row>
    <row r="266">
      <c r="A266" s="11"/>
      <c r="D266" s="15"/>
    </row>
    <row r="267">
      <c r="A267" s="11"/>
      <c r="D267" s="15"/>
    </row>
    <row r="268">
      <c r="A268" s="11"/>
      <c r="D268" s="15"/>
    </row>
    <row r="269">
      <c r="A269" s="11"/>
      <c r="D269" s="15"/>
    </row>
    <row r="270">
      <c r="A270" s="11"/>
      <c r="D270" s="15"/>
    </row>
    <row r="271">
      <c r="A271" s="11"/>
      <c r="D271" s="15"/>
    </row>
    <row r="272">
      <c r="A272" s="11"/>
      <c r="D272" s="15"/>
    </row>
    <row r="273">
      <c r="A273" s="11"/>
      <c r="D273" s="15"/>
    </row>
    <row r="274">
      <c r="A274" s="11"/>
      <c r="D274" s="15"/>
    </row>
    <row r="275">
      <c r="A275" s="11"/>
      <c r="D275" s="15"/>
    </row>
    <row r="276">
      <c r="A276" s="11"/>
      <c r="D276" s="15"/>
    </row>
    <row r="277">
      <c r="A277" s="11"/>
      <c r="D277" s="15"/>
    </row>
    <row r="278">
      <c r="A278" s="11"/>
      <c r="D278" s="15"/>
    </row>
    <row r="279">
      <c r="A279" s="11"/>
      <c r="D279" s="15"/>
    </row>
    <row r="280">
      <c r="A280" s="11"/>
      <c r="D280" s="15"/>
    </row>
    <row r="281">
      <c r="A281" s="11"/>
      <c r="D281" s="15"/>
    </row>
    <row r="282">
      <c r="A282" s="11"/>
      <c r="D282" s="15"/>
    </row>
    <row r="283">
      <c r="A283" s="11"/>
      <c r="D283" s="15"/>
    </row>
    <row r="284">
      <c r="A284" s="11"/>
      <c r="D284" s="15"/>
    </row>
    <row r="285">
      <c r="A285" s="11"/>
      <c r="D285" s="15"/>
    </row>
    <row r="286">
      <c r="A286" s="11"/>
      <c r="D286" s="15"/>
    </row>
    <row r="287">
      <c r="A287" s="11"/>
      <c r="D287" s="15"/>
    </row>
    <row r="288">
      <c r="A288" s="11"/>
      <c r="D288" s="15"/>
    </row>
    <row r="289">
      <c r="A289" s="11"/>
      <c r="D289" s="15"/>
    </row>
    <row r="290">
      <c r="A290" s="11"/>
      <c r="D290" s="15"/>
    </row>
    <row r="291">
      <c r="A291" s="11"/>
      <c r="D291" s="15"/>
    </row>
    <row r="292">
      <c r="A292" s="11"/>
      <c r="D292" s="15"/>
    </row>
    <row r="293">
      <c r="A293" s="11"/>
      <c r="D293" s="15"/>
    </row>
    <row r="294">
      <c r="A294" s="11"/>
      <c r="D294" s="15"/>
    </row>
    <row r="295">
      <c r="A295" s="11"/>
      <c r="D295" s="15"/>
    </row>
    <row r="296">
      <c r="A296" s="11"/>
      <c r="D296" s="15"/>
    </row>
    <row r="297">
      <c r="A297" s="11"/>
      <c r="D297" s="15"/>
    </row>
    <row r="298">
      <c r="A298" s="11"/>
      <c r="D298" s="15"/>
    </row>
    <row r="299">
      <c r="A299" s="11"/>
      <c r="D299" s="15"/>
    </row>
    <row r="300">
      <c r="A300" s="11"/>
      <c r="D300" s="15"/>
    </row>
    <row r="301">
      <c r="A301" s="11"/>
      <c r="D301" s="15"/>
    </row>
    <row r="302">
      <c r="A302" s="11"/>
      <c r="D302" s="15"/>
    </row>
    <row r="303">
      <c r="A303" s="11"/>
      <c r="D303" s="15"/>
    </row>
    <row r="304">
      <c r="A304" s="11"/>
      <c r="D304" s="15"/>
    </row>
    <row r="305">
      <c r="A305" s="11"/>
      <c r="D305" s="15"/>
    </row>
    <row r="306">
      <c r="A306" s="11"/>
      <c r="D306" s="15"/>
    </row>
    <row r="307">
      <c r="A307" s="11"/>
      <c r="D307" s="15"/>
    </row>
    <row r="308">
      <c r="A308" s="11"/>
      <c r="D308" s="15"/>
    </row>
    <row r="309">
      <c r="A309" s="11"/>
      <c r="D309" s="15"/>
    </row>
    <row r="310">
      <c r="A310" s="12"/>
      <c r="D310" s="15"/>
    </row>
    <row r="311">
      <c r="A311" s="28"/>
      <c r="D311" s="15"/>
    </row>
    <row r="312">
      <c r="A312" s="28"/>
      <c r="D312" s="15"/>
    </row>
    <row r="313">
      <c r="A313" s="28"/>
      <c r="D313" s="15"/>
    </row>
    <row r="314">
      <c r="A314" s="28"/>
      <c r="D314" s="15"/>
    </row>
    <row r="315">
      <c r="A315" s="28"/>
      <c r="D315" s="15"/>
    </row>
    <row r="316">
      <c r="A316" s="28"/>
      <c r="D316" s="15"/>
    </row>
    <row r="317">
      <c r="A317" s="28"/>
      <c r="D317" s="15"/>
    </row>
    <row r="318">
      <c r="A318" s="28"/>
      <c r="D318" s="15"/>
    </row>
    <row r="319">
      <c r="A319" s="28"/>
      <c r="D319" s="15"/>
    </row>
    <row r="320">
      <c r="A320" s="28"/>
      <c r="D320" s="15"/>
    </row>
    <row r="321">
      <c r="A321" s="28"/>
      <c r="D321" s="15"/>
    </row>
    <row r="322">
      <c r="A322" s="28"/>
      <c r="D322" s="15"/>
    </row>
    <row r="323">
      <c r="A323" s="28"/>
      <c r="D323" s="15"/>
    </row>
    <row r="324">
      <c r="A324" s="28"/>
      <c r="D324" s="15"/>
    </row>
    <row r="325">
      <c r="A325" s="28"/>
      <c r="D325" s="15"/>
    </row>
    <row r="326">
      <c r="A326" s="28"/>
      <c r="D326" s="15"/>
    </row>
    <row r="327">
      <c r="A327" s="28"/>
      <c r="D327" s="15"/>
    </row>
    <row r="328">
      <c r="A328" s="28"/>
      <c r="D328" s="15"/>
    </row>
    <row r="329">
      <c r="A329" s="28"/>
      <c r="D329" s="15"/>
    </row>
    <row r="330">
      <c r="A330" s="28"/>
      <c r="D330" s="15"/>
    </row>
    <row r="331">
      <c r="A331" s="28"/>
      <c r="D331" s="15"/>
    </row>
    <row r="332">
      <c r="A332" s="28"/>
      <c r="D332" s="15"/>
    </row>
    <row r="333">
      <c r="A333" s="28"/>
      <c r="D333" s="15"/>
    </row>
    <row r="334">
      <c r="A334" s="28"/>
      <c r="D334" s="15"/>
    </row>
    <row r="335">
      <c r="A335" s="28"/>
      <c r="D335" s="15"/>
    </row>
    <row r="336">
      <c r="A336" s="28"/>
      <c r="D336" s="15"/>
    </row>
    <row r="337">
      <c r="A337" s="28"/>
      <c r="D337" s="15"/>
    </row>
    <row r="338">
      <c r="A338" s="28"/>
      <c r="D338" s="15"/>
    </row>
    <row r="339">
      <c r="A339" s="28"/>
      <c r="D339" s="15"/>
    </row>
    <row r="340">
      <c r="A340" s="28"/>
      <c r="D340" s="15"/>
    </row>
    <row r="341">
      <c r="A341" s="28"/>
      <c r="D341" s="15"/>
    </row>
    <row r="342">
      <c r="A342" s="28"/>
      <c r="D342" s="15"/>
    </row>
    <row r="343">
      <c r="A343" s="28"/>
      <c r="D343" s="15"/>
    </row>
    <row r="344">
      <c r="A344" s="28"/>
      <c r="D344" s="15"/>
    </row>
    <row r="345">
      <c r="A345" s="28"/>
      <c r="D345" s="15"/>
    </row>
    <row r="346">
      <c r="A346" s="28"/>
      <c r="D346" s="15"/>
    </row>
    <row r="347">
      <c r="A347" s="28"/>
      <c r="D347" s="15"/>
    </row>
    <row r="348">
      <c r="A348" s="28"/>
      <c r="D348" s="15"/>
    </row>
    <row r="349">
      <c r="A349" s="28"/>
      <c r="D349" s="15"/>
    </row>
    <row r="350">
      <c r="A350" s="28"/>
      <c r="D350" s="15"/>
    </row>
    <row r="351">
      <c r="A351" s="28"/>
      <c r="D351" s="15"/>
    </row>
    <row r="352">
      <c r="A352" s="28"/>
      <c r="D352" s="15"/>
    </row>
    <row r="353">
      <c r="A353" s="28"/>
      <c r="D353" s="15"/>
    </row>
    <row r="354">
      <c r="A354" s="28"/>
      <c r="D354" s="15"/>
    </row>
    <row r="355">
      <c r="A355" s="28"/>
      <c r="D355" s="15"/>
    </row>
    <row r="356">
      <c r="A356" s="28"/>
      <c r="D356" s="15"/>
    </row>
    <row r="357">
      <c r="A357" s="28"/>
      <c r="D357" s="15"/>
    </row>
    <row r="358">
      <c r="A358" s="28"/>
      <c r="D358" s="15"/>
    </row>
    <row r="359">
      <c r="A359" s="28"/>
      <c r="D359" s="15"/>
    </row>
    <row r="360">
      <c r="A360" s="28"/>
      <c r="D360" s="15"/>
    </row>
    <row r="361">
      <c r="A361" s="28"/>
      <c r="D361" s="15"/>
    </row>
    <row r="362">
      <c r="A362" s="28"/>
      <c r="D362" s="15"/>
    </row>
    <row r="363">
      <c r="A363" s="28"/>
      <c r="D363" s="15"/>
    </row>
    <row r="364">
      <c r="A364" s="28"/>
      <c r="D364" s="15"/>
    </row>
    <row r="365">
      <c r="A365" s="28"/>
      <c r="D365" s="15"/>
    </row>
    <row r="366">
      <c r="A366" s="28"/>
      <c r="D366" s="15"/>
    </row>
    <row r="367">
      <c r="A367" s="28"/>
      <c r="D367" s="15"/>
    </row>
    <row r="368">
      <c r="A368" s="28"/>
      <c r="D368" s="15"/>
    </row>
    <row r="369">
      <c r="A369" s="28"/>
      <c r="D369" s="15"/>
    </row>
    <row r="370">
      <c r="A370" s="28"/>
      <c r="D370" s="15"/>
    </row>
    <row r="371">
      <c r="A371" s="28"/>
      <c r="D371" s="15"/>
    </row>
    <row r="372">
      <c r="A372" s="28"/>
      <c r="D372" s="15"/>
    </row>
    <row r="373">
      <c r="A373" s="28"/>
      <c r="D373" s="15"/>
    </row>
    <row r="374">
      <c r="A374" s="28"/>
      <c r="D374" s="15"/>
    </row>
    <row r="375">
      <c r="A375" s="28"/>
      <c r="D375" s="15"/>
    </row>
    <row r="376">
      <c r="A376" s="28"/>
      <c r="D376" s="15"/>
    </row>
    <row r="377">
      <c r="A377" s="28"/>
      <c r="D377" s="15"/>
    </row>
    <row r="378">
      <c r="A378" s="28"/>
      <c r="D378" s="15"/>
    </row>
    <row r="379">
      <c r="A379" s="28"/>
      <c r="D379" s="15"/>
    </row>
    <row r="380">
      <c r="A380" s="28"/>
      <c r="D380" s="15"/>
    </row>
    <row r="381">
      <c r="A381" s="28"/>
      <c r="D381" s="15"/>
    </row>
    <row r="382">
      <c r="A382" s="28"/>
      <c r="D382" s="15"/>
    </row>
    <row r="383">
      <c r="A383" s="28"/>
      <c r="D383" s="15"/>
    </row>
    <row r="384">
      <c r="A384" s="28"/>
      <c r="D384" s="15"/>
    </row>
    <row r="385">
      <c r="A385" s="28"/>
      <c r="D385" s="15"/>
    </row>
    <row r="386">
      <c r="A386" s="28"/>
      <c r="D386" s="15"/>
    </row>
    <row r="387">
      <c r="A387" s="28"/>
      <c r="D387" s="15"/>
    </row>
    <row r="388">
      <c r="A388" s="28"/>
      <c r="D388" s="15"/>
    </row>
    <row r="389">
      <c r="A389" s="28"/>
      <c r="D389" s="15"/>
    </row>
    <row r="390">
      <c r="A390" s="28"/>
      <c r="D390" s="15"/>
    </row>
    <row r="391">
      <c r="A391" s="28"/>
      <c r="D391" s="15"/>
    </row>
    <row r="392">
      <c r="A392" s="28"/>
      <c r="D392" s="15"/>
    </row>
    <row r="393">
      <c r="A393" s="28"/>
      <c r="D393" s="15"/>
    </row>
    <row r="394">
      <c r="A394" s="28"/>
      <c r="D394" s="15"/>
    </row>
    <row r="395">
      <c r="A395" s="28"/>
      <c r="D395" s="15"/>
    </row>
    <row r="396">
      <c r="A396" s="28"/>
      <c r="D396" s="15"/>
    </row>
    <row r="397">
      <c r="A397" s="28"/>
      <c r="D397" s="15"/>
    </row>
    <row r="398">
      <c r="A398" s="28"/>
      <c r="D398" s="15"/>
    </row>
    <row r="399">
      <c r="A399" s="28"/>
      <c r="D399" s="15"/>
    </row>
    <row r="400">
      <c r="A400" s="28"/>
      <c r="D400" s="15"/>
    </row>
    <row r="401">
      <c r="A401" s="28"/>
      <c r="D401" s="15"/>
    </row>
    <row r="402">
      <c r="A402" s="28"/>
      <c r="D402" s="15"/>
    </row>
    <row r="403">
      <c r="A403" s="28"/>
      <c r="D403" s="15"/>
    </row>
    <row r="404">
      <c r="A404" s="28"/>
      <c r="D404" s="15"/>
    </row>
    <row r="405">
      <c r="A405" s="28"/>
      <c r="D405" s="15"/>
    </row>
    <row r="406">
      <c r="A406" s="28"/>
      <c r="D406" s="15"/>
    </row>
    <row r="407">
      <c r="A407" s="28"/>
      <c r="D407" s="15"/>
    </row>
    <row r="408">
      <c r="A408" s="28"/>
      <c r="D408" s="15"/>
    </row>
    <row r="409">
      <c r="A409" s="28"/>
      <c r="D409" s="15"/>
    </row>
    <row r="410">
      <c r="A410" s="28"/>
      <c r="D410" s="15"/>
    </row>
    <row r="411">
      <c r="A411" s="28"/>
      <c r="D411" s="15"/>
    </row>
    <row r="412">
      <c r="A412" s="28"/>
      <c r="D412" s="15"/>
    </row>
    <row r="413">
      <c r="A413" s="28"/>
      <c r="D413" s="15"/>
    </row>
    <row r="414">
      <c r="A414" s="28"/>
      <c r="D414" s="15"/>
    </row>
    <row r="415">
      <c r="A415" s="28"/>
      <c r="D415" s="15"/>
    </row>
    <row r="416">
      <c r="A416" s="28"/>
      <c r="D416" s="15"/>
    </row>
    <row r="417">
      <c r="A417" s="28"/>
      <c r="D417" s="15"/>
    </row>
    <row r="418">
      <c r="A418" s="28"/>
      <c r="D418" s="15"/>
    </row>
    <row r="419">
      <c r="A419" s="28"/>
      <c r="D419" s="15"/>
    </row>
    <row r="420">
      <c r="A420" s="28"/>
      <c r="D420" s="15"/>
    </row>
    <row r="421">
      <c r="A421" s="28"/>
      <c r="D421" s="15"/>
    </row>
    <row r="422">
      <c r="A422" s="28"/>
      <c r="D422" s="15"/>
    </row>
    <row r="423">
      <c r="A423" s="28"/>
      <c r="D423" s="15"/>
    </row>
    <row r="424">
      <c r="A424" s="28"/>
      <c r="D424" s="15"/>
    </row>
    <row r="425">
      <c r="A425" s="28"/>
      <c r="D425" s="15"/>
    </row>
    <row r="426">
      <c r="A426" s="28"/>
      <c r="D426" s="15"/>
    </row>
    <row r="427">
      <c r="A427" s="28"/>
      <c r="D427" s="15"/>
    </row>
    <row r="428">
      <c r="A428" s="28"/>
      <c r="D428" s="15"/>
    </row>
    <row r="429">
      <c r="A429" s="28"/>
      <c r="D429" s="15"/>
    </row>
    <row r="430">
      <c r="A430" s="28"/>
      <c r="D430" s="15"/>
    </row>
    <row r="431">
      <c r="A431" s="28"/>
      <c r="D431" s="15"/>
    </row>
    <row r="432">
      <c r="A432" s="28"/>
      <c r="D432" s="15"/>
    </row>
    <row r="433">
      <c r="A433" s="28"/>
      <c r="D433" s="15"/>
    </row>
    <row r="434">
      <c r="A434" s="28"/>
      <c r="D434" s="15"/>
    </row>
    <row r="435">
      <c r="A435" s="28"/>
      <c r="D435" s="15"/>
    </row>
    <row r="436">
      <c r="A436" s="28"/>
      <c r="D436" s="15"/>
    </row>
    <row r="437">
      <c r="A437" s="28"/>
      <c r="D437" s="15"/>
    </row>
    <row r="438">
      <c r="A438" s="28"/>
      <c r="D438" s="15"/>
    </row>
    <row r="439">
      <c r="A439" s="28"/>
      <c r="D439" s="15"/>
    </row>
    <row r="440">
      <c r="A440" s="28"/>
      <c r="D440" s="15"/>
    </row>
    <row r="441">
      <c r="A441" s="28"/>
      <c r="D441" s="15"/>
    </row>
    <row r="442">
      <c r="A442" s="28"/>
      <c r="D442" s="15"/>
    </row>
    <row r="443">
      <c r="A443" s="28"/>
      <c r="D443" s="15"/>
    </row>
    <row r="444">
      <c r="A444" s="28"/>
      <c r="D444" s="15"/>
    </row>
    <row r="445">
      <c r="A445" s="28"/>
      <c r="D445" s="15"/>
    </row>
    <row r="446">
      <c r="A446" s="28"/>
      <c r="D446" s="15"/>
    </row>
    <row r="447">
      <c r="A447" s="28"/>
      <c r="D447" s="15"/>
    </row>
    <row r="448">
      <c r="A448" s="28"/>
      <c r="D448" s="15"/>
    </row>
    <row r="449">
      <c r="A449" s="28"/>
      <c r="D449" s="15"/>
    </row>
    <row r="450">
      <c r="A450" s="28"/>
      <c r="D450" s="15"/>
    </row>
    <row r="451">
      <c r="A451" s="28"/>
      <c r="D451" s="15"/>
    </row>
    <row r="452">
      <c r="A452" s="28"/>
      <c r="D452" s="15"/>
    </row>
    <row r="453">
      <c r="A453" s="28"/>
      <c r="D453" s="15"/>
    </row>
    <row r="454">
      <c r="A454" s="28"/>
      <c r="D454" s="15"/>
    </row>
    <row r="455">
      <c r="A455" s="28"/>
      <c r="D455" s="15"/>
    </row>
    <row r="456">
      <c r="A456" s="28"/>
      <c r="D456" s="15"/>
    </row>
    <row r="457">
      <c r="A457" s="28"/>
      <c r="D457" s="15"/>
    </row>
    <row r="458">
      <c r="A458" s="28"/>
      <c r="D458" s="15"/>
    </row>
    <row r="459">
      <c r="A459" s="28"/>
      <c r="D459" s="15"/>
    </row>
    <row r="460">
      <c r="A460" s="28"/>
      <c r="D460" s="15"/>
    </row>
    <row r="461">
      <c r="A461" s="28"/>
      <c r="D461" s="15"/>
    </row>
    <row r="462">
      <c r="A462" s="28"/>
      <c r="D462" s="15"/>
    </row>
    <row r="463">
      <c r="A463" s="28"/>
      <c r="D463" s="15"/>
    </row>
    <row r="464">
      <c r="A464" s="28"/>
      <c r="D464" s="15"/>
    </row>
    <row r="465">
      <c r="A465" s="28"/>
      <c r="D465" s="15"/>
    </row>
    <row r="466">
      <c r="A466" s="28"/>
      <c r="D466" s="15"/>
    </row>
    <row r="467">
      <c r="A467" s="28"/>
      <c r="D467" s="15"/>
    </row>
    <row r="468">
      <c r="A468" s="28"/>
      <c r="D468" s="15"/>
    </row>
    <row r="469">
      <c r="A469" s="28"/>
      <c r="D469" s="15"/>
    </row>
    <row r="470">
      <c r="A470" s="28"/>
      <c r="D470" s="15"/>
    </row>
    <row r="471">
      <c r="A471" s="28"/>
      <c r="D471" s="15"/>
    </row>
    <row r="472">
      <c r="A472" s="28"/>
      <c r="D472" s="15"/>
    </row>
    <row r="473">
      <c r="A473" s="28"/>
      <c r="D473" s="15"/>
    </row>
    <row r="474">
      <c r="A474" s="28"/>
      <c r="D474" s="15"/>
    </row>
    <row r="475">
      <c r="A475" s="28"/>
      <c r="D475" s="15"/>
    </row>
    <row r="476">
      <c r="A476" s="28"/>
      <c r="D476" s="15"/>
    </row>
    <row r="477">
      <c r="A477" s="28"/>
      <c r="D477" s="15"/>
    </row>
    <row r="478">
      <c r="A478" s="28"/>
      <c r="D478" s="15"/>
    </row>
    <row r="479">
      <c r="A479" s="28"/>
      <c r="D479" s="15"/>
    </row>
    <row r="480">
      <c r="A480" s="28"/>
      <c r="D480" s="15"/>
    </row>
    <row r="481">
      <c r="A481" s="28"/>
      <c r="D481" s="15"/>
    </row>
    <row r="482">
      <c r="A482" s="28"/>
      <c r="D482" s="15"/>
    </row>
    <row r="483">
      <c r="A483" s="28"/>
      <c r="D483" s="15"/>
    </row>
    <row r="484">
      <c r="A484" s="28"/>
      <c r="D484" s="15"/>
    </row>
    <row r="485">
      <c r="A485" s="28"/>
      <c r="D485" s="15"/>
    </row>
    <row r="486">
      <c r="A486" s="28"/>
      <c r="D486" s="15"/>
    </row>
    <row r="487">
      <c r="A487" s="28"/>
      <c r="D487" s="15"/>
    </row>
    <row r="488">
      <c r="A488" s="28"/>
      <c r="D488" s="15"/>
    </row>
    <row r="489">
      <c r="A489" s="28"/>
      <c r="D489" s="15"/>
    </row>
    <row r="490">
      <c r="A490" s="28"/>
      <c r="D490" s="15"/>
    </row>
    <row r="491">
      <c r="A491" s="28"/>
      <c r="D491" s="15"/>
    </row>
    <row r="492">
      <c r="A492" s="28"/>
      <c r="D492" s="15"/>
    </row>
    <row r="493">
      <c r="A493" s="28"/>
      <c r="D493" s="15"/>
    </row>
    <row r="494">
      <c r="A494" s="28"/>
      <c r="D494" s="15"/>
    </row>
    <row r="495">
      <c r="A495" s="28"/>
      <c r="D495" s="15"/>
    </row>
    <row r="496">
      <c r="A496" s="28"/>
      <c r="D496" s="15"/>
    </row>
    <row r="497">
      <c r="A497" s="28"/>
      <c r="D497" s="15"/>
    </row>
    <row r="498">
      <c r="A498" s="28"/>
      <c r="D498" s="15"/>
    </row>
    <row r="499">
      <c r="A499" s="28"/>
      <c r="D499" s="15"/>
    </row>
    <row r="500">
      <c r="A500" s="28"/>
      <c r="D500" s="15"/>
    </row>
    <row r="501">
      <c r="A501" s="28"/>
      <c r="D501" s="15"/>
    </row>
    <row r="502">
      <c r="A502" s="28"/>
      <c r="D502" s="15"/>
    </row>
    <row r="503">
      <c r="A503" s="28"/>
      <c r="D503" s="15"/>
    </row>
    <row r="504">
      <c r="A504" s="28"/>
      <c r="D504" s="15"/>
    </row>
    <row r="505">
      <c r="A505" s="28"/>
      <c r="D505" s="15"/>
    </row>
    <row r="506">
      <c r="A506" s="28"/>
      <c r="D506" s="15"/>
    </row>
    <row r="507">
      <c r="A507" s="28"/>
      <c r="D507" s="15"/>
    </row>
    <row r="508">
      <c r="A508" s="28"/>
      <c r="D508" s="15"/>
    </row>
    <row r="509">
      <c r="A509" s="28"/>
      <c r="D509" s="15"/>
    </row>
    <row r="510">
      <c r="A510" s="28"/>
      <c r="D510" s="15"/>
    </row>
    <row r="511">
      <c r="A511" s="28"/>
      <c r="D511" s="15"/>
    </row>
    <row r="512">
      <c r="A512" s="28"/>
      <c r="D512" s="15"/>
    </row>
    <row r="513">
      <c r="A513" s="28"/>
      <c r="D513" s="15"/>
    </row>
    <row r="514">
      <c r="A514" s="28"/>
      <c r="D514" s="15"/>
    </row>
    <row r="515">
      <c r="A515" s="28"/>
      <c r="D515" s="15"/>
    </row>
    <row r="516">
      <c r="A516" s="28"/>
      <c r="D516" s="15"/>
    </row>
    <row r="517">
      <c r="A517" s="28"/>
      <c r="D517" s="15"/>
    </row>
    <row r="518">
      <c r="A518" s="28"/>
      <c r="D518" s="15"/>
    </row>
    <row r="519">
      <c r="A519" s="28"/>
      <c r="D519" s="15"/>
    </row>
    <row r="520">
      <c r="A520" s="28"/>
      <c r="D520" s="15"/>
    </row>
    <row r="521">
      <c r="A521" s="28"/>
      <c r="D521" s="15"/>
    </row>
    <row r="522">
      <c r="A522" s="28"/>
      <c r="D522" s="15"/>
    </row>
    <row r="523">
      <c r="A523" s="28"/>
      <c r="D523" s="15"/>
    </row>
    <row r="524">
      <c r="A524" s="28"/>
      <c r="D524" s="15"/>
    </row>
    <row r="525">
      <c r="A525" s="28"/>
      <c r="D525" s="15"/>
    </row>
    <row r="526">
      <c r="A526" s="28"/>
      <c r="D526" s="15"/>
    </row>
    <row r="527">
      <c r="A527" s="28"/>
      <c r="D527" s="15"/>
    </row>
    <row r="528">
      <c r="A528" s="28"/>
      <c r="D528" s="15"/>
    </row>
    <row r="529">
      <c r="A529" s="28"/>
      <c r="D529" s="15"/>
    </row>
    <row r="530">
      <c r="A530" s="28"/>
      <c r="D530" s="15"/>
    </row>
    <row r="531">
      <c r="A531" s="28"/>
      <c r="D531" s="15"/>
    </row>
    <row r="532">
      <c r="A532" s="28"/>
      <c r="D532" s="15"/>
    </row>
    <row r="533">
      <c r="A533" s="28"/>
      <c r="D533" s="15"/>
    </row>
    <row r="534">
      <c r="A534" s="28"/>
      <c r="D534" s="15"/>
    </row>
    <row r="535">
      <c r="A535" s="28"/>
      <c r="D535" s="15"/>
    </row>
    <row r="536">
      <c r="A536" s="28"/>
      <c r="D536" s="15"/>
    </row>
    <row r="537">
      <c r="A537" s="28"/>
      <c r="D537" s="15"/>
    </row>
    <row r="538">
      <c r="A538" s="28"/>
      <c r="D538" s="15"/>
    </row>
    <row r="539">
      <c r="A539" s="28"/>
      <c r="D539" s="15"/>
    </row>
    <row r="540">
      <c r="A540" s="28"/>
      <c r="D540" s="15"/>
    </row>
    <row r="541">
      <c r="A541" s="28"/>
      <c r="D541" s="15"/>
    </row>
    <row r="542">
      <c r="A542" s="28"/>
      <c r="D542" s="15"/>
    </row>
    <row r="543">
      <c r="A543" s="28"/>
      <c r="D543" s="15"/>
    </row>
    <row r="544">
      <c r="A544" s="28"/>
      <c r="D544" s="15"/>
    </row>
    <row r="545">
      <c r="A545" s="28"/>
      <c r="D545" s="15"/>
    </row>
    <row r="546">
      <c r="A546" s="28"/>
      <c r="D546" s="15"/>
    </row>
    <row r="547">
      <c r="A547" s="28"/>
      <c r="D547" s="15"/>
    </row>
    <row r="548">
      <c r="A548" s="28"/>
      <c r="D548" s="15"/>
    </row>
    <row r="549">
      <c r="A549" s="28"/>
      <c r="D549" s="15"/>
    </row>
    <row r="550">
      <c r="A550" s="28"/>
      <c r="D550" s="15"/>
    </row>
    <row r="551">
      <c r="A551" s="28"/>
      <c r="D551" s="15"/>
    </row>
    <row r="552">
      <c r="A552" s="28"/>
      <c r="D552" s="15"/>
    </row>
    <row r="553">
      <c r="A553" s="28"/>
      <c r="D553" s="15"/>
    </row>
    <row r="554">
      <c r="A554" s="28"/>
      <c r="D554" s="15"/>
    </row>
    <row r="555">
      <c r="A555" s="28"/>
      <c r="D555" s="15"/>
    </row>
    <row r="556">
      <c r="A556" s="28"/>
      <c r="D556" s="15"/>
    </row>
    <row r="557">
      <c r="A557" s="28"/>
      <c r="D557" s="15"/>
    </row>
    <row r="558">
      <c r="A558" s="28"/>
      <c r="D558" s="15"/>
    </row>
    <row r="559">
      <c r="A559" s="28"/>
      <c r="D559" s="15"/>
    </row>
    <row r="560">
      <c r="A560" s="28"/>
      <c r="D560" s="15"/>
    </row>
    <row r="561">
      <c r="A561" s="28"/>
      <c r="D561" s="15"/>
    </row>
    <row r="562">
      <c r="A562" s="28"/>
      <c r="D562" s="15"/>
    </row>
    <row r="563">
      <c r="A563" s="28"/>
      <c r="D563" s="15"/>
    </row>
    <row r="564">
      <c r="A564" s="28"/>
      <c r="D564" s="15"/>
    </row>
    <row r="565">
      <c r="A565" s="28"/>
      <c r="D565" s="15"/>
    </row>
    <row r="566">
      <c r="A566" s="28"/>
      <c r="D566" s="15"/>
    </row>
    <row r="567">
      <c r="A567" s="28"/>
      <c r="D567" s="15"/>
    </row>
    <row r="568">
      <c r="A568" s="28"/>
      <c r="D568" s="15"/>
    </row>
    <row r="569">
      <c r="A569" s="28"/>
      <c r="D569" s="15"/>
    </row>
    <row r="570">
      <c r="A570" s="28"/>
      <c r="D570" s="15"/>
    </row>
    <row r="571">
      <c r="A571" s="28"/>
      <c r="D571" s="15"/>
    </row>
    <row r="572">
      <c r="A572" s="28"/>
      <c r="D572" s="15"/>
    </row>
    <row r="573">
      <c r="A573" s="28"/>
      <c r="D573" s="15"/>
    </row>
    <row r="574">
      <c r="A574" s="28"/>
      <c r="D574" s="15"/>
    </row>
    <row r="575">
      <c r="A575" s="28"/>
      <c r="D575" s="15"/>
    </row>
    <row r="576">
      <c r="A576" s="28"/>
      <c r="D576" s="15"/>
    </row>
    <row r="577">
      <c r="A577" s="28"/>
      <c r="D577" s="15"/>
    </row>
    <row r="578">
      <c r="A578" s="28"/>
      <c r="D578" s="15"/>
    </row>
    <row r="579">
      <c r="A579" s="28"/>
      <c r="D579" s="15"/>
    </row>
    <row r="580">
      <c r="A580" s="28"/>
      <c r="D580" s="15"/>
    </row>
    <row r="581">
      <c r="A581" s="28"/>
      <c r="D581" s="15"/>
    </row>
    <row r="582">
      <c r="A582" s="28"/>
      <c r="D582" s="15"/>
    </row>
    <row r="583">
      <c r="A583" s="28"/>
      <c r="D583" s="15"/>
    </row>
    <row r="584">
      <c r="A584" s="28"/>
      <c r="D584" s="15"/>
    </row>
    <row r="585">
      <c r="A585" s="28"/>
      <c r="D585" s="15"/>
    </row>
    <row r="586">
      <c r="A586" s="28"/>
      <c r="D586" s="15"/>
    </row>
    <row r="587">
      <c r="A587" s="28"/>
      <c r="D587" s="15"/>
    </row>
    <row r="588">
      <c r="A588" s="28"/>
      <c r="D588" s="15"/>
    </row>
    <row r="589">
      <c r="A589" s="28"/>
      <c r="D589" s="15"/>
    </row>
    <row r="590">
      <c r="A590" s="28"/>
      <c r="D590" s="15"/>
    </row>
    <row r="591">
      <c r="A591" s="28"/>
      <c r="D591" s="15"/>
    </row>
    <row r="592">
      <c r="A592" s="28"/>
      <c r="D592" s="15"/>
    </row>
    <row r="593">
      <c r="A593" s="28"/>
      <c r="D593" s="15"/>
    </row>
    <row r="594">
      <c r="A594" s="28"/>
      <c r="D594" s="15"/>
    </row>
    <row r="595">
      <c r="A595" s="28"/>
      <c r="D595" s="15"/>
    </row>
    <row r="596">
      <c r="A596" s="28"/>
      <c r="D596" s="15"/>
    </row>
    <row r="597">
      <c r="A597" s="28"/>
      <c r="D597" s="15"/>
    </row>
    <row r="598">
      <c r="A598" s="28"/>
      <c r="D598" s="15"/>
    </row>
    <row r="599">
      <c r="A599" s="28"/>
      <c r="D599" s="15"/>
    </row>
    <row r="600">
      <c r="A600" s="28"/>
      <c r="D600" s="15"/>
    </row>
    <row r="601">
      <c r="A601" s="28"/>
      <c r="D601" s="15"/>
    </row>
    <row r="602">
      <c r="A602" s="28"/>
      <c r="D602" s="15"/>
    </row>
    <row r="603">
      <c r="A603" s="28"/>
      <c r="D603" s="15"/>
    </row>
    <row r="604">
      <c r="A604" s="28"/>
      <c r="D604" s="15"/>
    </row>
    <row r="605">
      <c r="A605" s="28"/>
      <c r="D605" s="15"/>
    </row>
    <row r="606">
      <c r="A606" s="28"/>
      <c r="D606" s="15"/>
    </row>
    <row r="607">
      <c r="A607" s="28"/>
      <c r="D607" s="15"/>
    </row>
    <row r="608">
      <c r="A608" s="28"/>
      <c r="D608" s="15"/>
    </row>
    <row r="609">
      <c r="A609" s="28"/>
      <c r="D609" s="15"/>
    </row>
    <row r="610">
      <c r="A610" s="28"/>
      <c r="D610" s="15"/>
    </row>
    <row r="611">
      <c r="A611" s="28"/>
      <c r="D611" s="15"/>
    </row>
    <row r="612">
      <c r="A612" s="28"/>
      <c r="D612" s="15"/>
    </row>
    <row r="613">
      <c r="A613" s="28"/>
      <c r="D613" s="15"/>
    </row>
    <row r="614">
      <c r="A614" s="28"/>
      <c r="D614" s="15"/>
    </row>
    <row r="615">
      <c r="A615" s="28"/>
      <c r="D615" s="15"/>
    </row>
    <row r="616">
      <c r="A616" s="28"/>
      <c r="D616" s="15"/>
    </row>
    <row r="617">
      <c r="A617" s="28"/>
      <c r="D617" s="15"/>
    </row>
    <row r="618">
      <c r="A618" s="28"/>
      <c r="D618" s="15"/>
    </row>
    <row r="619">
      <c r="A619" s="28"/>
      <c r="D619" s="15"/>
    </row>
    <row r="620">
      <c r="A620" s="28"/>
      <c r="D620" s="15"/>
    </row>
    <row r="621">
      <c r="A621" s="28"/>
      <c r="D621" s="15"/>
    </row>
    <row r="622">
      <c r="A622" s="28"/>
      <c r="D622" s="15"/>
    </row>
    <row r="623">
      <c r="A623" s="28"/>
      <c r="D623" s="15"/>
    </row>
    <row r="624">
      <c r="A624" s="28"/>
      <c r="D624" s="15"/>
    </row>
    <row r="625">
      <c r="A625" s="28"/>
      <c r="D625" s="15"/>
    </row>
    <row r="626">
      <c r="A626" s="28"/>
      <c r="D626" s="15"/>
    </row>
    <row r="627">
      <c r="A627" s="28"/>
      <c r="D627" s="15"/>
    </row>
    <row r="628">
      <c r="A628" s="28"/>
      <c r="D628" s="15"/>
    </row>
    <row r="629">
      <c r="A629" s="28"/>
      <c r="D629" s="15"/>
    </row>
    <row r="630">
      <c r="A630" s="28"/>
      <c r="D630" s="15"/>
    </row>
    <row r="631">
      <c r="A631" s="28"/>
      <c r="D631" s="15"/>
    </row>
    <row r="632">
      <c r="A632" s="28"/>
      <c r="D632" s="15"/>
    </row>
    <row r="633">
      <c r="A633" s="28"/>
      <c r="D633" s="15"/>
    </row>
    <row r="634">
      <c r="A634" s="28"/>
      <c r="D634" s="15"/>
    </row>
    <row r="635">
      <c r="A635" s="28"/>
      <c r="D635" s="15"/>
    </row>
    <row r="636">
      <c r="A636" s="28"/>
      <c r="D636" s="15"/>
    </row>
    <row r="637">
      <c r="A637" s="28"/>
      <c r="D637" s="15"/>
    </row>
    <row r="638">
      <c r="A638" s="28"/>
      <c r="D638" s="15"/>
    </row>
    <row r="639">
      <c r="A639" s="28"/>
      <c r="D639" s="15"/>
    </row>
    <row r="640">
      <c r="A640" s="28"/>
      <c r="D640" s="15"/>
    </row>
    <row r="641">
      <c r="A641" s="28"/>
      <c r="D641" s="15"/>
    </row>
    <row r="642">
      <c r="A642" s="28"/>
      <c r="D642" s="15"/>
    </row>
    <row r="643">
      <c r="A643" s="28"/>
      <c r="D643" s="15"/>
    </row>
    <row r="644">
      <c r="A644" s="28"/>
      <c r="D644" s="15"/>
    </row>
    <row r="645">
      <c r="A645" s="28"/>
      <c r="D645" s="15"/>
    </row>
    <row r="646">
      <c r="A646" s="28"/>
      <c r="D646" s="15"/>
    </row>
    <row r="647">
      <c r="A647" s="28"/>
      <c r="D647" s="15"/>
    </row>
    <row r="648">
      <c r="A648" s="28"/>
      <c r="D648" s="15"/>
    </row>
    <row r="649">
      <c r="A649" s="28"/>
      <c r="D649" s="15"/>
    </row>
    <row r="650">
      <c r="A650" s="28"/>
      <c r="D650" s="15"/>
    </row>
    <row r="651">
      <c r="A651" s="28"/>
      <c r="D651" s="15"/>
    </row>
    <row r="652">
      <c r="A652" s="28"/>
      <c r="D652" s="15"/>
    </row>
    <row r="653">
      <c r="A653" s="28"/>
      <c r="D653" s="15"/>
    </row>
    <row r="654">
      <c r="A654" s="28"/>
      <c r="D654" s="15"/>
    </row>
    <row r="655">
      <c r="A655" s="28"/>
      <c r="D655" s="15"/>
    </row>
    <row r="656">
      <c r="A656" s="28"/>
      <c r="D656" s="15"/>
    </row>
    <row r="657">
      <c r="A657" s="28"/>
      <c r="D657" s="15"/>
    </row>
    <row r="658">
      <c r="A658" s="28"/>
      <c r="D658" s="15"/>
    </row>
    <row r="659">
      <c r="A659" s="28"/>
      <c r="D659" s="15"/>
    </row>
    <row r="660">
      <c r="A660" s="28"/>
      <c r="D660" s="15"/>
    </row>
    <row r="661">
      <c r="A661" s="28"/>
      <c r="D661" s="15"/>
    </row>
    <row r="662">
      <c r="A662" s="28"/>
      <c r="D662" s="15"/>
    </row>
    <row r="663">
      <c r="A663" s="28"/>
      <c r="D663" s="15"/>
    </row>
    <row r="664">
      <c r="A664" s="28"/>
      <c r="D664" s="15"/>
    </row>
    <row r="665">
      <c r="A665" s="28"/>
      <c r="D665" s="15"/>
    </row>
    <row r="666">
      <c r="A666" s="28"/>
      <c r="D666" s="15"/>
    </row>
    <row r="667">
      <c r="A667" s="28"/>
      <c r="D667" s="15"/>
    </row>
    <row r="668">
      <c r="A668" s="28"/>
      <c r="D668" s="15"/>
    </row>
    <row r="669">
      <c r="A669" s="28"/>
      <c r="D669" s="15"/>
    </row>
    <row r="670">
      <c r="A670" s="28"/>
      <c r="D670" s="15"/>
    </row>
    <row r="671">
      <c r="A671" s="28"/>
      <c r="D671" s="15"/>
    </row>
    <row r="672">
      <c r="A672" s="28"/>
      <c r="D672" s="15"/>
    </row>
    <row r="673">
      <c r="A673" s="28"/>
      <c r="D673" s="15"/>
    </row>
    <row r="674">
      <c r="A674" s="28"/>
      <c r="D674" s="15"/>
    </row>
    <row r="675">
      <c r="A675" s="28"/>
      <c r="D675" s="15"/>
    </row>
    <row r="676">
      <c r="A676" s="28"/>
      <c r="D676" s="15"/>
    </row>
    <row r="677">
      <c r="A677" s="28"/>
      <c r="D677" s="15"/>
    </row>
    <row r="678">
      <c r="A678" s="28"/>
      <c r="D678" s="15"/>
    </row>
    <row r="679">
      <c r="A679" s="28"/>
      <c r="D679" s="15"/>
    </row>
    <row r="680">
      <c r="A680" s="28"/>
      <c r="D680" s="15"/>
    </row>
    <row r="681">
      <c r="A681" s="28"/>
      <c r="D681" s="15"/>
    </row>
    <row r="682">
      <c r="A682" s="28"/>
      <c r="D682" s="15"/>
    </row>
    <row r="683">
      <c r="A683" s="28"/>
      <c r="D683" s="15"/>
    </row>
    <row r="684">
      <c r="A684" s="28"/>
      <c r="D684" s="15"/>
    </row>
    <row r="685">
      <c r="A685" s="28"/>
      <c r="D685" s="15"/>
    </row>
    <row r="686">
      <c r="A686" s="28"/>
      <c r="D686" s="15"/>
    </row>
    <row r="687">
      <c r="A687" s="28"/>
      <c r="D687" s="15"/>
    </row>
    <row r="688">
      <c r="A688" s="28"/>
      <c r="D688" s="15"/>
    </row>
    <row r="689">
      <c r="A689" s="28"/>
      <c r="D689" s="15"/>
    </row>
    <row r="690">
      <c r="A690" s="28"/>
      <c r="D690" s="15"/>
    </row>
    <row r="691">
      <c r="A691" s="28"/>
      <c r="D691" s="15"/>
    </row>
    <row r="692">
      <c r="A692" s="28"/>
      <c r="D692" s="15"/>
    </row>
    <row r="693">
      <c r="A693" s="28"/>
      <c r="D693" s="15"/>
    </row>
    <row r="694">
      <c r="A694" s="28"/>
      <c r="D694" s="15"/>
    </row>
    <row r="695">
      <c r="A695" s="28"/>
      <c r="D695" s="15"/>
    </row>
    <row r="696">
      <c r="A696" s="28"/>
      <c r="D696" s="15"/>
    </row>
    <row r="697">
      <c r="A697" s="28"/>
      <c r="D697" s="15"/>
    </row>
    <row r="698">
      <c r="A698" s="28"/>
      <c r="D698" s="15"/>
    </row>
    <row r="699">
      <c r="A699" s="28"/>
      <c r="D699" s="15"/>
    </row>
    <row r="700">
      <c r="A700" s="28"/>
      <c r="D700" s="15"/>
    </row>
    <row r="701">
      <c r="A701" s="28"/>
      <c r="D701" s="15"/>
    </row>
    <row r="702">
      <c r="A702" s="28"/>
      <c r="D702" s="15"/>
    </row>
    <row r="703">
      <c r="A703" s="28"/>
      <c r="D703" s="15"/>
    </row>
    <row r="704">
      <c r="A704" s="28"/>
      <c r="D704" s="15"/>
    </row>
    <row r="705">
      <c r="A705" s="28"/>
      <c r="D705" s="15"/>
    </row>
    <row r="706">
      <c r="A706" s="28"/>
      <c r="D706" s="15"/>
    </row>
    <row r="707">
      <c r="A707" s="28"/>
      <c r="D707" s="15"/>
    </row>
    <row r="708">
      <c r="A708" s="28"/>
      <c r="D708" s="15"/>
    </row>
    <row r="709">
      <c r="A709" s="28"/>
      <c r="D709" s="15"/>
    </row>
    <row r="710">
      <c r="A710" s="28"/>
      <c r="D710" s="15"/>
    </row>
    <row r="711">
      <c r="A711" s="28"/>
      <c r="D711" s="15"/>
    </row>
    <row r="712">
      <c r="A712" s="28"/>
      <c r="D712" s="15"/>
    </row>
    <row r="713">
      <c r="A713" s="28"/>
      <c r="D713" s="15"/>
    </row>
    <row r="714">
      <c r="A714" s="28"/>
      <c r="D714" s="15"/>
    </row>
    <row r="715">
      <c r="A715" s="28"/>
      <c r="D715" s="15"/>
    </row>
    <row r="716">
      <c r="A716" s="28"/>
      <c r="D716" s="15"/>
    </row>
    <row r="717">
      <c r="A717" s="28"/>
      <c r="D717" s="15"/>
    </row>
    <row r="718">
      <c r="A718" s="28"/>
      <c r="D718" s="15"/>
    </row>
    <row r="719">
      <c r="A719" s="28"/>
      <c r="D719" s="15"/>
    </row>
    <row r="720">
      <c r="A720" s="28"/>
      <c r="D720" s="15"/>
    </row>
    <row r="721">
      <c r="A721" s="28"/>
      <c r="D721" s="15"/>
    </row>
    <row r="722">
      <c r="A722" s="28"/>
      <c r="D722" s="15"/>
    </row>
    <row r="723">
      <c r="A723" s="28"/>
      <c r="D723" s="15"/>
    </row>
    <row r="724">
      <c r="A724" s="28"/>
      <c r="D724" s="15"/>
    </row>
    <row r="725">
      <c r="A725" s="28"/>
      <c r="D725" s="15"/>
    </row>
    <row r="726">
      <c r="A726" s="28"/>
      <c r="D726" s="15"/>
    </row>
    <row r="727">
      <c r="A727" s="28"/>
      <c r="D727" s="15"/>
    </row>
    <row r="728">
      <c r="A728" s="28"/>
      <c r="D728" s="15"/>
    </row>
    <row r="729">
      <c r="A729" s="28"/>
      <c r="D729" s="15"/>
    </row>
    <row r="730">
      <c r="A730" s="28"/>
      <c r="D730" s="15"/>
    </row>
    <row r="731">
      <c r="A731" s="28"/>
      <c r="D731" s="15"/>
    </row>
    <row r="732">
      <c r="A732" s="28"/>
      <c r="D732" s="15"/>
    </row>
    <row r="733">
      <c r="A733" s="28"/>
      <c r="D733" s="15"/>
    </row>
    <row r="734">
      <c r="A734" s="28"/>
      <c r="D734" s="15"/>
    </row>
    <row r="735">
      <c r="A735" s="28"/>
      <c r="D735" s="15"/>
    </row>
    <row r="736">
      <c r="A736" s="28"/>
      <c r="D736" s="15"/>
    </row>
    <row r="737">
      <c r="A737" s="28"/>
      <c r="D737" s="15"/>
    </row>
    <row r="738">
      <c r="A738" s="28"/>
      <c r="D738" s="15"/>
    </row>
    <row r="739">
      <c r="A739" s="28"/>
      <c r="D739" s="15"/>
    </row>
    <row r="740">
      <c r="A740" s="28"/>
      <c r="D740" s="15"/>
    </row>
    <row r="741">
      <c r="A741" s="28"/>
      <c r="D741" s="15"/>
    </row>
    <row r="742">
      <c r="A742" s="28"/>
      <c r="D742" s="15"/>
    </row>
    <row r="743">
      <c r="A743" s="28"/>
      <c r="D743" s="15"/>
    </row>
    <row r="744">
      <c r="A744" s="28"/>
      <c r="D744" s="15"/>
    </row>
    <row r="745">
      <c r="A745" s="28"/>
      <c r="D745" s="15"/>
    </row>
    <row r="746">
      <c r="A746" s="28"/>
      <c r="D746" s="15"/>
    </row>
    <row r="747">
      <c r="A747" s="28"/>
      <c r="D747" s="15"/>
    </row>
    <row r="748">
      <c r="A748" s="28"/>
      <c r="D748" s="15"/>
    </row>
    <row r="749">
      <c r="A749" s="28"/>
      <c r="D749" s="15"/>
    </row>
    <row r="750">
      <c r="A750" s="28"/>
      <c r="D750" s="15"/>
    </row>
    <row r="751">
      <c r="A751" s="28"/>
      <c r="D751" s="15"/>
    </row>
    <row r="752">
      <c r="A752" s="28"/>
      <c r="D752" s="15"/>
    </row>
    <row r="753">
      <c r="A753" s="28"/>
      <c r="D753" s="15"/>
    </row>
    <row r="754">
      <c r="A754" s="28"/>
      <c r="D754" s="15"/>
    </row>
    <row r="755">
      <c r="A755" s="28"/>
      <c r="D755" s="15"/>
    </row>
    <row r="756">
      <c r="A756" s="28"/>
      <c r="D756" s="15"/>
    </row>
    <row r="757">
      <c r="A757" s="28"/>
      <c r="D757" s="15"/>
    </row>
    <row r="758">
      <c r="A758" s="28"/>
      <c r="D758" s="15"/>
    </row>
    <row r="759">
      <c r="A759" s="28"/>
      <c r="D759" s="15"/>
    </row>
    <row r="760">
      <c r="A760" s="28"/>
      <c r="D760" s="15"/>
    </row>
    <row r="761">
      <c r="A761" s="28"/>
      <c r="D761" s="15"/>
    </row>
    <row r="762">
      <c r="A762" s="28"/>
      <c r="D762" s="15"/>
    </row>
    <row r="763">
      <c r="A763" s="28"/>
      <c r="D763" s="15"/>
    </row>
    <row r="764">
      <c r="A764" s="28"/>
      <c r="D764" s="15"/>
    </row>
    <row r="765">
      <c r="A765" s="28"/>
      <c r="D765" s="15"/>
    </row>
    <row r="766">
      <c r="A766" s="28"/>
      <c r="D766" s="15"/>
    </row>
    <row r="767">
      <c r="A767" s="28"/>
      <c r="D767" s="15"/>
    </row>
    <row r="768">
      <c r="A768" s="28"/>
      <c r="D768" s="15"/>
    </row>
    <row r="769">
      <c r="A769" s="28"/>
      <c r="D769" s="15"/>
    </row>
    <row r="770">
      <c r="A770" s="28"/>
      <c r="D770" s="15"/>
    </row>
    <row r="771">
      <c r="A771" s="28"/>
      <c r="D771" s="15"/>
    </row>
    <row r="772">
      <c r="A772" s="28"/>
      <c r="D772" s="15"/>
    </row>
    <row r="773">
      <c r="A773" s="28"/>
      <c r="D773" s="15"/>
    </row>
    <row r="774">
      <c r="A774" s="28"/>
      <c r="D774" s="15"/>
    </row>
    <row r="775">
      <c r="A775" s="28"/>
      <c r="D775" s="15"/>
    </row>
    <row r="776">
      <c r="A776" s="28"/>
      <c r="D776" s="15"/>
    </row>
    <row r="777">
      <c r="A777" s="28"/>
      <c r="D777" s="15"/>
    </row>
    <row r="778">
      <c r="A778" s="28"/>
      <c r="D778" s="15"/>
    </row>
    <row r="779">
      <c r="A779" s="28"/>
      <c r="D779" s="15"/>
    </row>
    <row r="780">
      <c r="A780" s="28"/>
      <c r="D780" s="15"/>
    </row>
    <row r="781">
      <c r="A781" s="28"/>
      <c r="D781" s="15"/>
    </row>
    <row r="782">
      <c r="A782" s="28"/>
      <c r="D782" s="15"/>
    </row>
    <row r="783">
      <c r="A783" s="28"/>
      <c r="D783" s="15"/>
    </row>
    <row r="784">
      <c r="A784" s="28"/>
      <c r="D784" s="15"/>
    </row>
    <row r="785">
      <c r="A785" s="28"/>
      <c r="D785" s="15"/>
    </row>
    <row r="786">
      <c r="A786" s="28"/>
      <c r="D786" s="15"/>
    </row>
    <row r="787">
      <c r="A787" s="28"/>
      <c r="D787" s="15"/>
    </row>
    <row r="788">
      <c r="A788" s="28"/>
      <c r="D788" s="15"/>
    </row>
    <row r="789">
      <c r="A789" s="28"/>
      <c r="D789" s="15"/>
    </row>
    <row r="790">
      <c r="A790" s="28"/>
      <c r="D790" s="15"/>
    </row>
    <row r="791">
      <c r="A791" s="28"/>
      <c r="D791" s="15"/>
    </row>
    <row r="792">
      <c r="A792" s="28"/>
      <c r="D792" s="15"/>
    </row>
    <row r="793">
      <c r="A793" s="28"/>
      <c r="D793" s="15"/>
    </row>
    <row r="794">
      <c r="A794" s="28"/>
      <c r="D794" s="15"/>
    </row>
    <row r="795">
      <c r="A795" s="28"/>
      <c r="D795" s="15"/>
    </row>
    <row r="796">
      <c r="A796" s="28"/>
      <c r="D796" s="15"/>
    </row>
    <row r="797">
      <c r="A797" s="28"/>
      <c r="D797" s="15"/>
    </row>
    <row r="798">
      <c r="A798" s="28"/>
      <c r="D798" s="15"/>
    </row>
    <row r="799">
      <c r="A799" s="28"/>
      <c r="D799" s="15"/>
    </row>
    <row r="800">
      <c r="A800" s="28"/>
      <c r="D800" s="15"/>
    </row>
    <row r="801">
      <c r="A801" s="28"/>
      <c r="D801" s="15"/>
    </row>
    <row r="802">
      <c r="A802" s="28"/>
      <c r="D802" s="15"/>
    </row>
    <row r="803">
      <c r="A803" s="28"/>
      <c r="D803" s="15"/>
    </row>
    <row r="804">
      <c r="A804" s="28"/>
      <c r="D804" s="15"/>
    </row>
    <row r="805">
      <c r="A805" s="28"/>
      <c r="D805" s="15"/>
    </row>
    <row r="806">
      <c r="A806" s="28"/>
      <c r="D806" s="15"/>
    </row>
    <row r="807">
      <c r="A807" s="28"/>
      <c r="D807" s="15"/>
    </row>
    <row r="808">
      <c r="A808" s="28"/>
      <c r="D808" s="15"/>
    </row>
    <row r="809">
      <c r="A809" s="28"/>
      <c r="D809" s="15"/>
    </row>
    <row r="810">
      <c r="A810" s="28"/>
      <c r="D810" s="15"/>
    </row>
    <row r="811">
      <c r="A811" s="28"/>
      <c r="D811" s="15"/>
    </row>
    <row r="812">
      <c r="A812" s="28"/>
      <c r="D812" s="15"/>
    </row>
    <row r="813">
      <c r="A813" s="28"/>
      <c r="D813" s="15"/>
    </row>
    <row r="814">
      <c r="A814" s="28"/>
      <c r="D814" s="15"/>
    </row>
    <row r="815">
      <c r="A815" s="28"/>
      <c r="D815" s="15"/>
    </row>
    <row r="816">
      <c r="A816" s="28"/>
      <c r="D816" s="15"/>
    </row>
    <row r="817">
      <c r="A817" s="28"/>
      <c r="D817" s="15"/>
    </row>
    <row r="818">
      <c r="A818" s="28"/>
      <c r="D818" s="15"/>
    </row>
    <row r="819">
      <c r="A819" s="28"/>
      <c r="D819" s="15"/>
    </row>
    <row r="820">
      <c r="A820" s="28"/>
      <c r="D820" s="15"/>
    </row>
    <row r="821">
      <c r="A821" s="28"/>
      <c r="D821" s="15"/>
    </row>
    <row r="822">
      <c r="A822" s="28"/>
      <c r="D822" s="15"/>
    </row>
    <row r="823">
      <c r="A823" s="28"/>
      <c r="D823" s="15"/>
    </row>
    <row r="824">
      <c r="A824" s="28"/>
      <c r="D824" s="15"/>
    </row>
    <row r="825">
      <c r="A825" s="28"/>
      <c r="D825" s="15"/>
    </row>
    <row r="826">
      <c r="A826" s="28"/>
      <c r="D826" s="15"/>
    </row>
    <row r="827">
      <c r="A827" s="28"/>
      <c r="D827" s="15"/>
    </row>
    <row r="828">
      <c r="A828" s="28"/>
      <c r="D828" s="15"/>
    </row>
    <row r="829">
      <c r="A829" s="28"/>
      <c r="D829" s="15"/>
    </row>
    <row r="830">
      <c r="A830" s="28"/>
      <c r="D830" s="15"/>
    </row>
    <row r="831">
      <c r="A831" s="28"/>
      <c r="D831" s="15"/>
    </row>
    <row r="832">
      <c r="A832" s="28"/>
      <c r="D832" s="15"/>
    </row>
    <row r="833">
      <c r="A833" s="28"/>
      <c r="D833" s="15"/>
    </row>
    <row r="834">
      <c r="A834" s="28"/>
      <c r="D834" s="15"/>
    </row>
    <row r="835">
      <c r="A835" s="28"/>
      <c r="D835" s="15"/>
    </row>
    <row r="836">
      <c r="A836" s="28"/>
      <c r="D836" s="15"/>
    </row>
    <row r="837">
      <c r="A837" s="28"/>
      <c r="D837" s="15"/>
    </row>
    <row r="838">
      <c r="A838" s="28"/>
      <c r="D838" s="15"/>
    </row>
    <row r="839">
      <c r="A839" s="28"/>
      <c r="D839" s="15"/>
    </row>
    <row r="840">
      <c r="A840" s="28"/>
      <c r="D840" s="15"/>
    </row>
    <row r="841">
      <c r="A841" s="28"/>
      <c r="D841" s="15"/>
    </row>
    <row r="842">
      <c r="A842" s="28"/>
      <c r="D842" s="15"/>
    </row>
    <row r="843">
      <c r="A843" s="28"/>
      <c r="D843" s="15"/>
    </row>
    <row r="844">
      <c r="A844" s="28"/>
      <c r="D844" s="15"/>
    </row>
    <row r="845">
      <c r="A845" s="28"/>
      <c r="D845" s="15"/>
    </row>
    <row r="846">
      <c r="A846" s="28"/>
      <c r="D846" s="15"/>
    </row>
    <row r="847">
      <c r="A847" s="28"/>
      <c r="D847" s="15"/>
    </row>
    <row r="848">
      <c r="A848" s="28"/>
      <c r="D848" s="15"/>
    </row>
    <row r="849">
      <c r="A849" s="28"/>
      <c r="D849" s="15"/>
    </row>
    <row r="850">
      <c r="A850" s="28"/>
      <c r="D850" s="15"/>
    </row>
    <row r="851">
      <c r="A851" s="28"/>
      <c r="D851" s="15"/>
    </row>
    <row r="852">
      <c r="A852" s="28"/>
      <c r="D852" s="15"/>
    </row>
    <row r="853">
      <c r="A853" s="28"/>
      <c r="D853" s="15"/>
    </row>
    <row r="854">
      <c r="A854" s="28"/>
      <c r="D854" s="15"/>
    </row>
    <row r="855">
      <c r="A855" s="28"/>
      <c r="D855" s="15"/>
    </row>
    <row r="856">
      <c r="A856" s="28"/>
      <c r="D856" s="15"/>
    </row>
    <row r="857">
      <c r="A857" s="28"/>
      <c r="D857" s="15"/>
    </row>
    <row r="858">
      <c r="A858" s="28"/>
      <c r="D858" s="15"/>
    </row>
    <row r="859">
      <c r="A859" s="28"/>
      <c r="D859" s="15"/>
    </row>
    <row r="860">
      <c r="A860" s="28"/>
      <c r="D860" s="15"/>
    </row>
    <row r="861">
      <c r="A861" s="28"/>
      <c r="D861" s="15"/>
    </row>
    <row r="862">
      <c r="A862" s="28"/>
      <c r="D862" s="15"/>
    </row>
    <row r="863">
      <c r="A863" s="28"/>
      <c r="D863" s="15"/>
    </row>
    <row r="864">
      <c r="A864" s="28"/>
      <c r="D864" s="15"/>
    </row>
    <row r="865">
      <c r="A865" s="28"/>
      <c r="D865" s="15"/>
    </row>
    <row r="866">
      <c r="A866" s="28"/>
      <c r="D866" s="15"/>
    </row>
    <row r="867">
      <c r="A867" s="28"/>
      <c r="D867" s="15"/>
    </row>
    <row r="868">
      <c r="A868" s="28"/>
      <c r="D868" s="15"/>
    </row>
    <row r="869">
      <c r="A869" s="28"/>
      <c r="D869" s="15"/>
    </row>
    <row r="870">
      <c r="A870" s="28"/>
      <c r="D870" s="15"/>
    </row>
    <row r="871">
      <c r="A871" s="28"/>
      <c r="D871" s="15"/>
    </row>
    <row r="872">
      <c r="A872" s="28"/>
      <c r="D872" s="15"/>
    </row>
    <row r="873">
      <c r="A873" s="28"/>
      <c r="D873" s="15"/>
    </row>
    <row r="874">
      <c r="A874" s="28"/>
      <c r="D874" s="15"/>
    </row>
    <row r="875">
      <c r="A875" s="28"/>
      <c r="D875" s="15"/>
    </row>
    <row r="876">
      <c r="A876" s="28"/>
      <c r="D876" s="15"/>
    </row>
    <row r="877">
      <c r="A877" s="28"/>
      <c r="D877" s="15"/>
    </row>
    <row r="878">
      <c r="A878" s="28"/>
      <c r="D878" s="15"/>
    </row>
    <row r="879">
      <c r="A879" s="28"/>
      <c r="D879" s="15"/>
    </row>
    <row r="880">
      <c r="A880" s="28"/>
      <c r="D880" s="15"/>
    </row>
    <row r="881">
      <c r="A881" s="28"/>
      <c r="D881" s="15"/>
    </row>
    <row r="882">
      <c r="A882" s="28"/>
      <c r="D882" s="15"/>
    </row>
    <row r="883">
      <c r="A883" s="28"/>
      <c r="D883" s="15"/>
    </row>
    <row r="884">
      <c r="A884" s="28"/>
      <c r="D884" s="15"/>
    </row>
    <row r="885">
      <c r="A885" s="28"/>
      <c r="D885" s="15"/>
    </row>
    <row r="886">
      <c r="A886" s="28"/>
      <c r="D886" s="15"/>
    </row>
    <row r="887">
      <c r="A887" s="28"/>
      <c r="D887" s="15"/>
    </row>
    <row r="888">
      <c r="A888" s="28"/>
      <c r="D888" s="15"/>
    </row>
    <row r="889">
      <c r="A889" s="28"/>
      <c r="D889" s="15"/>
    </row>
    <row r="890">
      <c r="A890" s="28"/>
      <c r="D890" s="15"/>
    </row>
    <row r="891">
      <c r="A891" s="28"/>
      <c r="D891" s="15"/>
    </row>
    <row r="892">
      <c r="A892" s="28"/>
      <c r="D892" s="15"/>
    </row>
    <row r="893">
      <c r="A893" s="28"/>
      <c r="D893" s="15"/>
    </row>
    <row r="894">
      <c r="A894" s="28"/>
      <c r="D894" s="15"/>
    </row>
    <row r="895">
      <c r="A895" s="28"/>
      <c r="D895" s="15"/>
    </row>
    <row r="896">
      <c r="A896" s="28"/>
      <c r="D896" s="15"/>
    </row>
    <row r="897">
      <c r="A897" s="28"/>
      <c r="D897" s="15"/>
    </row>
    <row r="898">
      <c r="A898" s="28"/>
      <c r="D898" s="15"/>
    </row>
    <row r="899">
      <c r="A899" s="28"/>
      <c r="D899" s="15"/>
    </row>
    <row r="900">
      <c r="A900" s="28"/>
      <c r="D900" s="15"/>
    </row>
    <row r="901">
      <c r="A901" s="28"/>
      <c r="D901" s="15"/>
    </row>
    <row r="902">
      <c r="A902" s="28"/>
      <c r="D902" s="15"/>
    </row>
    <row r="903">
      <c r="A903" s="28"/>
      <c r="D903" s="15"/>
    </row>
    <row r="904">
      <c r="A904" s="28"/>
      <c r="D904" s="15"/>
    </row>
    <row r="905">
      <c r="A905" s="28"/>
      <c r="D905" s="15"/>
    </row>
    <row r="906">
      <c r="A906" s="28"/>
      <c r="D906" s="15"/>
    </row>
    <row r="907">
      <c r="A907" s="28"/>
      <c r="D907" s="15"/>
    </row>
    <row r="908">
      <c r="A908" s="28"/>
      <c r="D908" s="15"/>
    </row>
    <row r="909">
      <c r="A909" s="28"/>
      <c r="D909" s="15"/>
    </row>
    <row r="910">
      <c r="A910" s="28"/>
      <c r="D910" s="15"/>
    </row>
    <row r="911">
      <c r="A911" s="28"/>
      <c r="D911" s="15"/>
    </row>
    <row r="912">
      <c r="A912" s="28"/>
      <c r="D912" s="15"/>
    </row>
    <row r="913">
      <c r="A913" s="28"/>
      <c r="D913" s="15"/>
    </row>
    <row r="914">
      <c r="A914" s="28"/>
      <c r="D914" s="15"/>
    </row>
    <row r="915">
      <c r="A915" s="28"/>
      <c r="D915" s="15"/>
    </row>
    <row r="916">
      <c r="A916" s="28"/>
      <c r="D916" s="15"/>
    </row>
    <row r="917">
      <c r="A917" s="28"/>
      <c r="D917" s="15"/>
    </row>
    <row r="918">
      <c r="A918" s="28"/>
      <c r="D918" s="15"/>
    </row>
    <row r="919">
      <c r="A919" s="28"/>
      <c r="D919" s="15"/>
    </row>
    <row r="920">
      <c r="A920" s="28"/>
      <c r="D920" s="15"/>
    </row>
    <row r="921">
      <c r="A921" s="28"/>
      <c r="D921" s="15"/>
    </row>
    <row r="922">
      <c r="A922" s="28"/>
      <c r="D922" s="15"/>
    </row>
    <row r="923">
      <c r="A923" s="28"/>
      <c r="D923" s="15"/>
    </row>
    <row r="924">
      <c r="A924" s="28"/>
      <c r="D924" s="15"/>
    </row>
    <row r="925">
      <c r="A925" s="28"/>
      <c r="D925" s="15"/>
    </row>
    <row r="926">
      <c r="A926" s="28"/>
      <c r="D926" s="15"/>
    </row>
    <row r="927">
      <c r="A927" s="28"/>
      <c r="D927" s="15"/>
    </row>
    <row r="928">
      <c r="A928" s="28"/>
      <c r="D928" s="15"/>
    </row>
    <row r="929">
      <c r="A929" s="28"/>
      <c r="D929" s="15"/>
    </row>
    <row r="930">
      <c r="A930" s="28"/>
      <c r="D930" s="15"/>
    </row>
    <row r="931">
      <c r="A931" s="28"/>
      <c r="D931" s="15"/>
    </row>
    <row r="932">
      <c r="A932" s="28"/>
      <c r="D932" s="15"/>
    </row>
    <row r="933">
      <c r="A933" s="28"/>
      <c r="D933" s="15"/>
    </row>
    <row r="934">
      <c r="A934" s="28"/>
      <c r="D934" s="15"/>
    </row>
    <row r="935">
      <c r="A935" s="28"/>
      <c r="D935" s="15"/>
    </row>
    <row r="936">
      <c r="A936" s="28"/>
      <c r="D936" s="15"/>
    </row>
    <row r="937">
      <c r="A937" s="28"/>
      <c r="D937" s="15"/>
    </row>
    <row r="938">
      <c r="A938" s="28"/>
      <c r="D938" s="15"/>
    </row>
    <row r="939">
      <c r="A939" s="28"/>
      <c r="D939" s="15"/>
    </row>
    <row r="940">
      <c r="A940" s="28"/>
      <c r="D940" s="15"/>
    </row>
    <row r="941">
      <c r="A941" s="28"/>
      <c r="D941" s="15"/>
    </row>
    <row r="942">
      <c r="A942" s="28"/>
      <c r="D942" s="15"/>
    </row>
    <row r="943">
      <c r="A943" s="28"/>
      <c r="D943" s="15"/>
    </row>
    <row r="944">
      <c r="A944" s="28"/>
      <c r="D944" s="15"/>
    </row>
    <row r="945">
      <c r="A945" s="28"/>
      <c r="D945" s="15"/>
    </row>
    <row r="946">
      <c r="A946" s="28"/>
      <c r="D946" s="15"/>
    </row>
    <row r="947">
      <c r="A947" s="28"/>
      <c r="D947" s="15"/>
    </row>
    <row r="948">
      <c r="A948" s="28"/>
      <c r="D948" s="15"/>
    </row>
    <row r="949">
      <c r="A949" s="28"/>
      <c r="D949" s="15"/>
    </row>
    <row r="950">
      <c r="A950" s="28"/>
      <c r="D950" s="15"/>
    </row>
    <row r="951">
      <c r="A951" s="28"/>
      <c r="D951" s="15"/>
    </row>
    <row r="952">
      <c r="A952" s="28"/>
      <c r="D952" s="15"/>
    </row>
    <row r="953">
      <c r="A953" s="28"/>
      <c r="D953" s="15"/>
    </row>
    <row r="954">
      <c r="A954" s="28"/>
      <c r="D954" s="15"/>
    </row>
    <row r="955">
      <c r="A955" s="28"/>
      <c r="D955" s="15"/>
    </row>
    <row r="956">
      <c r="A956" s="28"/>
      <c r="D956" s="15"/>
    </row>
    <row r="957">
      <c r="A957" s="28"/>
      <c r="D957" s="15"/>
    </row>
    <row r="958">
      <c r="A958" s="28"/>
      <c r="D958" s="15"/>
    </row>
    <row r="959">
      <c r="A959" s="28"/>
      <c r="D959" s="15"/>
    </row>
    <row r="960">
      <c r="A960" s="28"/>
      <c r="D960" s="15"/>
    </row>
    <row r="961">
      <c r="A961" s="28"/>
      <c r="D961" s="15"/>
    </row>
    <row r="962">
      <c r="A962" s="28"/>
      <c r="D962" s="15"/>
    </row>
    <row r="963">
      <c r="A963" s="28"/>
      <c r="D963" s="15"/>
    </row>
    <row r="964">
      <c r="A964" s="28"/>
      <c r="D964" s="15"/>
    </row>
    <row r="965">
      <c r="A965" s="28"/>
      <c r="D965" s="15"/>
    </row>
    <row r="966">
      <c r="A966" s="28"/>
      <c r="D966" s="15"/>
    </row>
    <row r="967">
      <c r="A967" s="28"/>
      <c r="D967" s="15"/>
    </row>
    <row r="968">
      <c r="A968" s="28"/>
      <c r="D968" s="15"/>
    </row>
    <row r="969">
      <c r="A969" s="28"/>
      <c r="D969" s="15"/>
    </row>
    <row r="970">
      <c r="A970" s="28"/>
      <c r="D970" s="15"/>
    </row>
    <row r="971">
      <c r="A971" s="28"/>
      <c r="D971" s="15"/>
    </row>
    <row r="972">
      <c r="A972" s="28"/>
      <c r="D972" s="15"/>
    </row>
    <row r="973">
      <c r="A973" s="28"/>
      <c r="D973" s="15"/>
    </row>
    <row r="974">
      <c r="A974" s="28"/>
      <c r="D974" s="15"/>
    </row>
    <row r="975">
      <c r="A975" s="28"/>
      <c r="D975" s="15"/>
    </row>
    <row r="976">
      <c r="A976" s="28"/>
      <c r="D976" s="15"/>
    </row>
    <row r="977">
      <c r="A977" s="28"/>
      <c r="D977" s="15"/>
    </row>
    <row r="978">
      <c r="A978" s="28"/>
      <c r="D978" s="15"/>
    </row>
    <row r="979">
      <c r="A979" s="28"/>
      <c r="D979" s="15"/>
    </row>
    <row r="980">
      <c r="A980" s="28"/>
      <c r="D980" s="15"/>
    </row>
    <row r="981">
      <c r="A981" s="28"/>
      <c r="D981" s="15"/>
    </row>
    <row r="982">
      <c r="A982" s="28"/>
      <c r="D982" s="15"/>
    </row>
    <row r="983">
      <c r="A983" s="28"/>
      <c r="D983" s="15"/>
    </row>
    <row r="984">
      <c r="A984" s="28"/>
      <c r="D984" s="15"/>
    </row>
    <row r="985">
      <c r="A985" s="28"/>
      <c r="D985" s="15"/>
    </row>
    <row r="986">
      <c r="A986" s="28"/>
      <c r="D986" s="15"/>
    </row>
    <row r="987">
      <c r="A987" s="28"/>
      <c r="D987" s="15"/>
    </row>
    <row r="988">
      <c r="A988" s="28"/>
      <c r="D988" s="15"/>
    </row>
    <row r="989">
      <c r="A989" s="28"/>
      <c r="D989" s="15"/>
    </row>
    <row r="990">
      <c r="A990" s="28"/>
      <c r="D990" s="15"/>
    </row>
    <row r="991">
      <c r="A991" s="28"/>
      <c r="D991" s="15"/>
    </row>
    <row r="992">
      <c r="A992" s="28"/>
      <c r="D992" s="15"/>
    </row>
    <row r="993">
      <c r="A993" s="28"/>
      <c r="D993" s="15"/>
    </row>
    <row r="994">
      <c r="A994" s="28"/>
      <c r="D994" s="15"/>
    </row>
    <row r="995">
      <c r="A995" s="28"/>
      <c r="D995" s="15"/>
    </row>
    <row r="996">
      <c r="A996" s="28"/>
      <c r="D996" s="15"/>
    </row>
    <row r="997">
      <c r="A997" s="28"/>
      <c r="D997" s="15"/>
    </row>
    <row r="998">
      <c r="A998" s="28"/>
      <c r="D998" s="15"/>
    </row>
    <row r="999">
      <c r="A999" s="28"/>
      <c r="D999" s="15"/>
    </row>
    <row r="1000">
      <c r="A1000" s="28"/>
      <c r="D1000" s="15"/>
    </row>
    <row r="1001">
      <c r="A1001" s="28"/>
    </row>
  </sheetData>
  <drawing r:id="rId4"/>
  <legacyDrawing r:id="rId5"/>
</worksheet>
</file>

<file path=xl/worksheets/sheet3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15.75"/>
    <col customWidth="1" min="4" max="4" width="14.5"/>
    <col customWidth="1" min="5" max="5" width="21.13"/>
    <col customWidth="1" min="6" max="6" width="9.0"/>
    <col customWidth="1" min="7" max="7" width="22.5"/>
    <col customWidth="1" min="8" max="9" width="20.75"/>
    <col customWidth="1" min="12" max="12" width="27.25"/>
  </cols>
  <sheetData>
    <row r="1">
      <c r="A1" s="148" t="s">
        <v>8343</v>
      </c>
      <c r="B1" s="1" t="s">
        <v>8369</v>
      </c>
      <c r="C1" s="1" t="s">
        <v>8370</v>
      </c>
      <c r="D1" s="1" t="s">
        <v>8371</v>
      </c>
      <c r="E1" s="1" t="s">
        <v>8372</v>
      </c>
      <c r="F1" s="1" t="s">
        <v>10379</v>
      </c>
      <c r="G1" s="1" t="s">
        <v>5663</v>
      </c>
      <c r="H1" s="150" t="s">
        <v>8375</v>
      </c>
      <c r="I1" s="216" t="s">
        <v>10380</v>
      </c>
      <c r="J1" s="150" t="s">
        <v>10381</v>
      </c>
      <c r="K1" s="66" t="s">
        <v>8377</v>
      </c>
      <c r="L1" s="66" t="s">
        <v>10382</v>
      </c>
      <c r="M1" s="151"/>
      <c r="N1" s="151"/>
      <c r="O1" s="151"/>
      <c r="P1" s="151"/>
      <c r="Q1" s="151"/>
      <c r="R1" s="151"/>
      <c r="S1" s="151"/>
      <c r="T1" s="151"/>
      <c r="U1" s="151"/>
      <c r="V1" s="151"/>
      <c r="W1" s="151"/>
      <c r="X1" s="151"/>
      <c r="Y1" s="151"/>
    </row>
    <row r="2">
      <c r="A2" s="217" t="s">
        <v>10383</v>
      </c>
      <c r="B2" s="218">
        <v>1.0</v>
      </c>
      <c r="C2" s="218">
        <v>1.0</v>
      </c>
      <c r="D2" s="218">
        <v>0.0</v>
      </c>
      <c r="E2" s="218">
        <v>0.0</v>
      </c>
      <c r="F2" s="217" t="s">
        <v>8382</v>
      </c>
      <c r="G2" s="219" t="s">
        <v>8383</v>
      </c>
      <c r="H2" s="220"/>
      <c r="I2" s="221"/>
      <c r="J2" s="221">
        <v>0.0</v>
      </c>
      <c r="K2" s="222" t="s">
        <v>8498</v>
      </c>
      <c r="L2" s="223"/>
      <c r="M2" s="223"/>
      <c r="N2" s="223"/>
      <c r="O2" s="223"/>
      <c r="P2" s="223"/>
      <c r="Q2" s="223"/>
      <c r="R2" s="223"/>
      <c r="S2" s="223"/>
      <c r="T2" s="223"/>
      <c r="U2" s="223"/>
      <c r="V2" s="223"/>
      <c r="W2" s="223"/>
      <c r="X2" s="223"/>
      <c r="Y2" s="223"/>
    </row>
    <row r="3">
      <c r="A3" s="224" t="s">
        <v>10383</v>
      </c>
      <c r="B3" s="225">
        <v>1.0</v>
      </c>
      <c r="C3" s="225">
        <v>2.0</v>
      </c>
      <c r="D3" s="225">
        <v>0.0</v>
      </c>
      <c r="E3" s="225">
        <v>0.0</v>
      </c>
      <c r="F3" s="224" t="s">
        <v>8382</v>
      </c>
      <c r="G3" s="224" t="s">
        <v>8385</v>
      </c>
      <c r="H3" s="226"/>
      <c r="I3" s="227"/>
      <c r="J3" s="228"/>
      <c r="K3" s="229"/>
      <c r="L3" s="229"/>
      <c r="M3" s="229"/>
      <c r="N3" s="229"/>
      <c r="O3" s="229"/>
      <c r="P3" s="229"/>
      <c r="Q3" s="229"/>
      <c r="R3" s="229"/>
      <c r="S3" s="229"/>
      <c r="T3" s="229"/>
      <c r="U3" s="229"/>
      <c r="V3" s="229"/>
      <c r="W3" s="229"/>
      <c r="X3" s="229"/>
      <c r="Y3" s="229"/>
    </row>
    <row r="4">
      <c r="A4" s="15" t="s">
        <v>10383</v>
      </c>
      <c r="B4" s="230">
        <v>1.0</v>
      </c>
      <c r="C4" s="230">
        <v>3.0</v>
      </c>
      <c r="D4" s="230">
        <v>0.0</v>
      </c>
      <c r="E4" s="230">
        <v>0.0</v>
      </c>
      <c r="F4" s="15" t="s">
        <v>8382</v>
      </c>
      <c r="G4" s="15" t="s">
        <v>8386</v>
      </c>
      <c r="H4" s="128"/>
      <c r="I4" s="12"/>
      <c r="J4" s="28"/>
    </row>
    <row r="5">
      <c r="A5" s="15" t="s">
        <v>10383</v>
      </c>
      <c r="B5" s="230">
        <v>1.0</v>
      </c>
      <c r="C5" s="230">
        <v>4.0</v>
      </c>
      <c r="D5" s="230">
        <v>0.0</v>
      </c>
      <c r="E5" s="230">
        <v>0.0</v>
      </c>
      <c r="F5" s="15" t="s">
        <v>8382</v>
      </c>
      <c r="G5" s="15" t="s">
        <v>8387</v>
      </c>
      <c r="H5" s="128"/>
      <c r="I5" s="12"/>
      <c r="J5" s="28"/>
    </row>
    <row r="6">
      <c r="A6" s="15" t="s">
        <v>10383</v>
      </c>
      <c r="B6" s="230">
        <v>1.0</v>
      </c>
      <c r="C6" s="230">
        <v>5.0</v>
      </c>
      <c r="D6" s="230">
        <v>0.0</v>
      </c>
      <c r="E6" s="230">
        <v>0.0</v>
      </c>
      <c r="F6" s="15" t="s">
        <v>8382</v>
      </c>
      <c r="G6" s="15" t="s">
        <v>8388</v>
      </c>
      <c r="H6" s="128"/>
      <c r="I6" s="12"/>
      <c r="J6" s="28"/>
    </row>
    <row r="7">
      <c r="A7" s="15" t="s">
        <v>10383</v>
      </c>
      <c r="B7" s="230">
        <v>1.0</v>
      </c>
      <c r="C7" s="230">
        <v>6.0</v>
      </c>
      <c r="D7" s="230">
        <v>0.0</v>
      </c>
      <c r="E7" s="230">
        <v>0.0</v>
      </c>
      <c r="F7" s="15" t="s">
        <v>8382</v>
      </c>
      <c r="G7" s="15" t="s">
        <v>8389</v>
      </c>
      <c r="H7" s="128"/>
      <c r="I7" s="12"/>
      <c r="J7" s="28"/>
    </row>
    <row r="8">
      <c r="A8" s="15" t="s">
        <v>10383</v>
      </c>
      <c r="B8" s="230">
        <v>1.0</v>
      </c>
      <c r="C8" s="230">
        <v>7.0</v>
      </c>
      <c r="D8" s="230">
        <v>0.0</v>
      </c>
      <c r="E8" s="230">
        <v>0.0</v>
      </c>
      <c r="F8" s="15" t="s">
        <v>8382</v>
      </c>
      <c r="G8" s="15" t="s">
        <v>5767</v>
      </c>
      <c r="H8" s="128"/>
      <c r="I8" s="12"/>
      <c r="J8" s="28"/>
    </row>
    <row r="9">
      <c r="A9" s="15" t="s">
        <v>10383</v>
      </c>
      <c r="B9" s="230">
        <v>1.0</v>
      </c>
      <c r="C9" s="230">
        <v>8.0</v>
      </c>
      <c r="D9" s="230">
        <v>0.0</v>
      </c>
      <c r="E9" s="230">
        <v>0.0</v>
      </c>
      <c r="F9" s="15" t="s">
        <v>8382</v>
      </c>
      <c r="G9" s="15" t="s">
        <v>8390</v>
      </c>
      <c r="H9" s="128"/>
      <c r="I9" s="12"/>
      <c r="J9" s="28"/>
    </row>
    <row r="10">
      <c r="A10" s="15" t="s">
        <v>10383</v>
      </c>
      <c r="B10" s="230">
        <v>1.0</v>
      </c>
      <c r="C10" s="230">
        <v>9.0</v>
      </c>
      <c r="D10" s="230">
        <v>0.0</v>
      </c>
      <c r="E10" s="230">
        <v>0.0</v>
      </c>
      <c r="F10" s="15" t="s">
        <v>8382</v>
      </c>
      <c r="G10" s="15" t="s">
        <v>8391</v>
      </c>
      <c r="H10" s="128"/>
      <c r="I10" s="12"/>
      <c r="J10" s="28"/>
    </row>
    <row r="11">
      <c r="A11" s="15" t="s">
        <v>10383</v>
      </c>
      <c r="B11" s="230">
        <v>1.0</v>
      </c>
      <c r="C11" s="230">
        <v>10.0</v>
      </c>
      <c r="D11" s="230">
        <v>0.0</v>
      </c>
      <c r="E11" s="230">
        <v>0.0</v>
      </c>
      <c r="F11" s="15" t="s">
        <v>8382</v>
      </c>
      <c r="G11" s="15" t="s">
        <v>8392</v>
      </c>
      <c r="H11" s="128"/>
      <c r="I11" s="12"/>
      <c r="J11" s="28"/>
    </row>
    <row r="12">
      <c r="A12" s="15" t="s">
        <v>10383</v>
      </c>
      <c r="B12" s="230">
        <v>2.0</v>
      </c>
      <c r="C12" s="230">
        <v>1.0</v>
      </c>
      <c r="D12" s="218">
        <v>1.0</v>
      </c>
      <c r="E12" s="218">
        <v>1.0</v>
      </c>
      <c r="F12" s="231" t="s">
        <v>8479</v>
      </c>
      <c r="G12" s="232" t="s">
        <v>8480</v>
      </c>
      <c r="H12" s="220" t="s">
        <v>10384</v>
      </c>
      <c r="I12" s="221">
        <v>4000.0</v>
      </c>
      <c r="J12" s="28"/>
    </row>
    <row r="13">
      <c r="A13" s="15" t="s">
        <v>10383</v>
      </c>
      <c r="B13" s="230">
        <v>2.0</v>
      </c>
      <c r="C13" s="230">
        <v>2.0</v>
      </c>
      <c r="D13" s="218">
        <v>1.0</v>
      </c>
      <c r="E13" s="218">
        <v>1.0</v>
      </c>
      <c r="F13" s="231" t="s">
        <v>8479</v>
      </c>
      <c r="G13" s="231" t="s">
        <v>8483</v>
      </c>
      <c r="H13" s="220" t="s">
        <v>10384</v>
      </c>
      <c r="I13" s="221">
        <v>4500.0</v>
      </c>
      <c r="J13" s="28"/>
      <c r="K13" s="13" t="s">
        <v>8498</v>
      </c>
    </row>
    <row r="14">
      <c r="A14" s="15" t="s">
        <v>10383</v>
      </c>
      <c r="B14" s="230">
        <v>2.0</v>
      </c>
      <c r="C14" s="230">
        <v>3.0</v>
      </c>
      <c r="D14" s="218">
        <v>1.0</v>
      </c>
      <c r="E14" s="218">
        <v>1.0</v>
      </c>
      <c r="F14" s="231" t="s">
        <v>8479</v>
      </c>
      <c r="G14" s="231" t="s">
        <v>8486</v>
      </c>
      <c r="H14" s="220" t="s">
        <v>10384</v>
      </c>
      <c r="I14" s="221">
        <v>4600.0</v>
      </c>
      <c r="J14" s="28"/>
      <c r="L14" s="12"/>
    </row>
    <row r="15">
      <c r="A15" s="15" t="s">
        <v>10383</v>
      </c>
      <c r="B15" s="230">
        <v>2.0</v>
      </c>
      <c r="C15" s="230">
        <v>4.0</v>
      </c>
      <c r="D15" s="218">
        <v>1.0</v>
      </c>
      <c r="E15" s="218">
        <v>1.0</v>
      </c>
      <c r="F15" s="231" t="s">
        <v>8479</v>
      </c>
      <c r="G15" s="231" t="s">
        <v>8487</v>
      </c>
      <c r="H15" s="220" t="s">
        <v>10384</v>
      </c>
      <c r="I15" s="221">
        <v>4700.0</v>
      </c>
      <c r="J15" s="28"/>
    </row>
    <row r="16">
      <c r="A16" s="15" t="s">
        <v>10383</v>
      </c>
      <c r="B16" s="230">
        <v>2.0</v>
      </c>
      <c r="C16" s="230">
        <v>5.0</v>
      </c>
      <c r="D16" s="225">
        <v>1.0</v>
      </c>
      <c r="E16" s="233">
        <v>2.0</v>
      </c>
      <c r="F16" s="234" t="s">
        <v>8479</v>
      </c>
      <c r="G16" s="235" t="s">
        <v>8480</v>
      </c>
      <c r="H16" s="226" t="s">
        <v>10384</v>
      </c>
      <c r="I16" s="227">
        <v>4000.0</v>
      </c>
      <c r="J16" s="28"/>
    </row>
    <row r="17">
      <c r="A17" s="15" t="s">
        <v>10383</v>
      </c>
      <c r="B17" s="230">
        <v>2.0</v>
      </c>
      <c r="C17" s="230">
        <v>6.0</v>
      </c>
      <c r="D17" s="225">
        <v>1.0</v>
      </c>
      <c r="E17" s="233">
        <v>2.0</v>
      </c>
      <c r="F17" s="234" t="s">
        <v>8479</v>
      </c>
      <c r="G17" s="234" t="s">
        <v>8483</v>
      </c>
      <c r="H17" s="226" t="s">
        <v>10384</v>
      </c>
      <c r="I17" s="227">
        <v>4500.0</v>
      </c>
      <c r="J17" s="28"/>
    </row>
    <row r="18">
      <c r="A18" s="15" t="s">
        <v>10383</v>
      </c>
      <c r="B18" s="230">
        <v>2.0</v>
      </c>
      <c r="C18" s="230">
        <v>7.0</v>
      </c>
      <c r="D18" s="225">
        <v>1.0</v>
      </c>
      <c r="E18" s="233">
        <v>2.0</v>
      </c>
      <c r="F18" s="234" t="s">
        <v>8479</v>
      </c>
      <c r="G18" s="234" t="s">
        <v>8486</v>
      </c>
      <c r="H18" s="226" t="s">
        <v>10384</v>
      </c>
      <c r="I18" s="227">
        <v>4600.0</v>
      </c>
      <c r="J18" s="28"/>
    </row>
    <row r="19">
      <c r="A19" s="15" t="s">
        <v>10383</v>
      </c>
      <c r="B19" s="230">
        <v>2.0</v>
      </c>
      <c r="C19" s="230">
        <v>8.0</v>
      </c>
      <c r="D19" s="225">
        <v>1.0</v>
      </c>
      <c r="E19" s="233">
        <v>2.0</v>
      </c>
      <c r="F19" s="234" t="s">
        <v>8479</v>
      </c>
      <c r="G19" s="234" t="s">
        <v>8487</v>
      </c>
      <c r="H19" s="226" t="s">
        <v>10384</v>
      </c>
      <c r="I19" s="227">
        <v>4700.0</v>
      </c>
      <c r="J19" s="28"/>
    </row>
    <row r="20">
      <c r="A20" s="15" t="s">
        <v>10383</v>
      </c>
      <c r="B20" s="230">
        <v>2.0</v>
      </c>
      <c r="C20" s="230">
        <v>9.0</v>
      </c>
      <c r="D20" s="230">
        <v>1.0</v>
      </c>
      <c r="E20" s="230">
        <v>1.0</v>
      </c>
      <c r="F20" s="15" t="s">
        <v>8393</v>
      </c>
      <c r="G20" s="15" t="s">
        <v>8937</v>
      </c>
      <c r="H20" s="28"/>
      <c r="I20" s="28"/>
      <c r="J20" s="28"/>
    </row>
    <row r="21">
      <c r="A21" s="15" t="s">
        <v>10383</v>
      </c>
      <c r="B21" s="230">
        <v>2.0</v>
      </c>
      <c r="C21" s="230">
        <v>10.0</v>
      </c>
      <c r="D21" s="230">
        <v>1.0</v>
      </c>
      <c r="E21" s="230">
        <v>1.0</v>
      </c>
      <c r="F21" s="15" t="s">
        <v>8393</v>
      </c>
      <c r="G21" s="15" t="s">
        <v>8938</v>
      </c>
      <c r="H21" s="28"/>
      <c r="I21" s="28"/>
      <c r="J21" s="28"/>
    </row>
    <row r="22">
      <c r="A22" s="15" t="s">
        <v>10383</v>
      </c>
      <c r="B22" s="230">
        <v>2.0</v>
      </c>
      <c r="C22" s="230">
        <v>11.0</v>
      </c>
      <c r="D22" s="230">
        <v>1.0</v>
      </c>
      <c r="E22" s="230">
        <v>1.0</v>
      </c>
      <c r="F22" s="15" t="s">
        <v>8393</v>
      </c>
      <c r="G22" s="15" t="s">
        <v>9151</v>
      </c>
      <c r="H22" s="28"/>
      <c r="I22" s="28"/>
      <c r="J22" s="28"/>
    </row>
    <row r="23">
      <c r="A23" s="15" t="s">
        <v>10383</v>
      </c>
      <c r="B23" s="230">
        <v>2.0</v>
      </c>
      <c r="C23" s="230">
        <v>12.0</v>
      </c>
      <c r="D23" s="230">
        <v>1.0</v>
      </c>
      <c r="E23" s="230">
        <v>1.0</v>
      </c>
      <c r="F23" s="15" t="s">
        <v>8393</v>
      </c>
      <c r="G23" s="15" t="s">
        <v>8940</v>
      </c>
      <c r="H23" s="28"/>
      <c r="I23" s="28"/>
      <c r="J23" s="28"/>
    </row>
    <row r="24">
      <c r="A24" s="15" t="s">
        <v>10383</v>
      </c>
      <c r="B24" s="230">
        <v>2.0</v>
      </c>
      <c r="C24" s="230">
        <v>13.0</v>
      </c>
      <c r="D24" s="230">
        <v>1.0</v>
      </c>
      <c r="E24" s="230">
        <v>1.0</v>
      </c>
      <c r="F24" s="15" t="s">
        <v>8393</v>
      </c>
      <c r="G24" s="15" t="s">
        <v>8941</v>
      </c>
      <c r="H24" s="28"/>
      <c r="I24" s="28"/>
      <c r="J24" s="28"/>
    </row>
    <row r="25">
      <c r="A25" s="15" t="s">
        <v>10383</v>
      </c>
      <c r="B25" s="230">
        <v>2.0</v>
      </c>
      <c r="C25" s="230">
        <v>14.0</v>
      </c>
      <c r="D25" s="230">
        <v>1.0</v>
      </c>
      <c r="E25" s="230">
        <v>1.0</v>
      </c>
      <c r="F25" s="15" t="s">
        <v>8393</v>
      </c>
      <c r="G25" s="15" t="s">
        <v>8942</v>
      </c>
      <c r="H25" s="28"/>
      <c r="I25" s="28"/>
      <c r="J25" s="28"/>
    </row>
    <row r="26">
      <c r="A26" s="15" t="s">
        <v>10383</v>
      </c>
      <c r="B26" s="230">
        <v>2.0</v>
      </c>
      <c r="C26" s="230">
        <v>15.0</v>
      </c>
      <c r="D26" s="230">
        <v>1.0</v>
      </c>
      <c r="E26" s="230">
        <v>1.0</v>
      </c>
      <c r="F26" s="15" t="s">
        <v>8393</v>
      </c>
      <c r="G26" s="15" t="s">
        <v>8943</v>
      </c>
      <c r="H26" s="28"/>
      <c r="I26" s="28"/>
      <c r="J26" s="28"/>
    </row>
    <row r="27">
      <c r="A27" s="15" t="s">
        <v>10383</v>
      </c>
      <c r="B27" s="230">
        <v>2.0</v>
      </c>
      <c r="C27" s="230">
        <v>16.0</v>
      </c>
      <c r="D27" s="230">
        <v>1.0</v>
      </c>
      <c r="E27" s="230">
        <v>1.0</v>
      </c>
      <c r="F27" s="15" t="s">
        <v>8393</v>
      </c>
      <c r="G27" s="15" t="s">
        <v>8944</v>
      </c>
      <c r="H27" s="28"/>
      <c r="I27" s="28"/>
      <c r="J27" s="28"/>
    </row>
    <row r="28">
      <c r="A28" s="15" t="s">
        <v>10383</v>
      </c>
      <c r="B28" s="230">
        <v>2.0</v>
      </c>
      <c r="C28" s="230">
        <v>17.0</v>
      </c>
      <c r="D28" s="230">
        <v>1.0</v>
      </c>
      <c r="E28" s="230">
        <v>1.0</v>
      </c>
      <c r="F28" s="15" t="s">
        <v>8393</v>
      </c>
      <c r="G28" s="15" t="s">
        <v>8945</v>
      </c>
      <c r="H28" s="28"/>
      <c r="I28" s="28"/>
      <c r="J28" s="28"/>
    </row>
    <row r="29">
      <c r="A29" s="15" t="s">
        <v>10383</v>
      </c>
      <c r="B29" s="230">
        <v>2.0</v>
      </c>
      <c r="C29" s="230">
        <v>18.0</v>
      </c>
      <c r="D29" s="230">
        <v>1.0</v>
      </c>
      <c r="E29" s="230">
        <v>1.0</v>
      </c>
      <c r="F29" s="15" t="s">
        <v>8393</v>
      </c>
      <c r="G29" s="15" t="s">
        <v>8946</v>
      </c>
      <c r="H29" s="28"/>
      <c r="I29" s="28"/>
      <c r="J29" s="28"/>
    </row>
    <row r="30">
      <c r="A30" s="15" t="s">
        <v>10383</v>
      </c>
      <c r="B30" s="230">
        <v>2.0</v>
      </c>
      <c r="C30" s="230">
        <v>19.0</v>
      </c>
      <c r="D30" s="230">
        <v>1.0</v>
      </c>
      <c r="E30" s="230">
        <v>1.0</v>
      </c>
      <c r="F30" s="15" t="s">
        <v>8393</v>
      </c>
      <c r="G30" s="15" t="s">
        <v>8947</v>
      </c>
      <c r="H30" s="28"/>
      <c r="I30" s="28"/>
      <c r="J30" s="28"/>
    </row>
    <row r="31">
      <c r="A31" s="15" t="s">
        <v>10383</v>
      </c>
      <c r="B31" s="230">
        <v>2.0</v>
      </c>
      <c r="C31" s="230">
        <v>20.0</v>
      </c>
      <c r="D31" s="230">
        <v>1.0</v>
      </c>
      <c r="E31" s="230">
        <v>1.0</v>
      </c>
      <c r="F31" s="15" t="s">
        <v>8393</v>
      </c>
      <c r="G31" s="15" t="s">
        <v>8948</v>
      </c>
      <c r="H31" s="28"/>
      <c r="I31" s="28"/>
      <c r="J31" s="28"/>
    </row>
    <row r="32">
      <c r="A32" s="15" t="s">
        <v>10383</v>
      </c>
      <c r="B32" s="230">
        <v>2.0</v>
      </c>
      <c r="C32" s="230">
        <v>21.0</v>
      </c>
      <c r="D32" s="230">
        <v>1.0</v>
      </c>
      <c r="E32" s="230">
        <v>1.0</v>
      </c>
      <c r="F32" s="15" t="s">
        <v>8393</v>
      </c>
      <c r="G32" s="15" t="s">
        <v>8949</v>
      </c>
      <c r="H32" s="28"/>
      <c r="I32" s="28"/>
      <c r="J32" s="28"/>
    </row>
    <row r="33">
      <c r="A33" s="15" t="s">
        <v>10383</v>
      </c>
      <c r="B33" s="230">
        <v>2.0</v>
      </c>
      <c r="C33" s="230">
        <v>22.0</v>
      </c>
      <c r="D33" s="230">
        <v>1.0</v>
      </c>
      <c r="E33" s="230">
        <v>1.0</v>
      </c>
      <c r="F33" s="15" t="s">
        <v>8393</v>
      </c>
      <c r="G33" s="15" t="s">
        <v>8950</v>
      </c>
      <c r="H33" s="28"/>
      <c r="I33" s="28"/>
      <c r="J33" s="28"/>
    </row>
    <row r="34">
      <c r="A34" s="15" t="s">
        <v>10383</v>
      </c>
      <c r="B34" s="230">
        <v>2.0</v>
      </c>
      <c r="C34" s="230">
        <v>23.0</v>
      </c>
      <c r="D34" s="230">
        <v>1.0</v>
      </c>
      <c r="E34" s="230">
        <v>1.0</v>
      </c>
      <c r="F34" s="15" t="s">
        <v>8393</v>
      </c>
      <c r="G34" s="15" t="s">
        <v>8951</v>
      </c>
      <c r="H34" s="28"/>
      <c r="I34" s="28"/>
      <c r="J34" s="28"/>
    </row>
    <row r="35">
      <c r="A35" s="15" t="s">
        <v>10383</v>
      </c>
      <c r="B35" s="230">
        <v>2.0</v>
      </c>
      <c r="C35" s="230">
        <v>24.0</v>
      </c>
      <c r="D35" s="230">
        <v>1.0</v>
      </c>
      <c r="E35" s="230">
        <v>1.0</v>
      </c>
      <c r="F35" s="15" t="s">
        <v>8393</v>
      </c>
      <c r="G35" s="15" t="s">
        <v>8952</v>
      </c>
      <c r="H35" s="28"/>
      <c r="I35" s="28"/>
      <c r="J35" s="28"/>
    </row>
    <row r="36">
      <c r="A36" s="15" t="s">
        <v>10383</v>
      </c>
      <c r="B36" s="230">
        <v>2.0</v>
      </c>
      <c r="C36" s="230">
        <v>25.0</v>
      </c>
      <c r="D36" s="230">
        <v>1.0</v>
      </c>
      <c r="E36" s="230">
        <v>1.0</v>
      </c>
      <c r="F36" s="15" t="s">
        <v>8393</v>
      </c>
      <c r="G36" s="15" t="s">
        <v>8953</v>
      </c>
      <c r="H36" s="28"/>
      <c r="I36" s="28"/>
      <c r="J36" s="28"/>
    </row>
    <row r="37">
      <c r="A37" s="15" t="s">
        <v>10383</v>
      </c>
      <c r="B37" s="230">
        <v>2.0</v>
      </c>
      <c r="C37" s="230">
        <v>26.0</v>
      </c>
      <c r="D37" s="230">
        <v>1.0</v>
      </c>
      <c r="E37" s="230">
        <v>1.0</v>
      </c>
      <c r="F37" s="15" t="s">
        <v>8393</v>
      </c>
      <c r="G37" s="15" t="s">
        <v>8954</v>
      </c>
      <c r="H37" s="28"/>
      <c r="I37" s="28"/>
      <c r="J37" s="28"/>
    </row>
    <row r="38">
      <c r="A38" s="15" t="s">
        <v>10383</v>
      </c>
      <c r="B38" s="230">
        <v>2.0</v>
      </c>
      <c r="C38" s="230">
        <v>27.0</v>
      </c>
      <c r="D38" s="230">
        <v>1.0</v>
      </c>
      <c r="E38" s="230">
        <v>1.0</v>
      </c>
      <c r="F38" s="15" t="s">
        <v>8393</v>
      </c>
      <c r="G38" s="15" t="s">
        <v>8956</v>
      </c>
      <c r="H38" s="28"/>
      <c r="I38" s="28"/>
      <c r="J38" s="28"/>
    </row>
    <row r="39">
      <c r="A39" s="15" t="s">
        <v>10383</v>
      </c>
      <c r="B39" s="230">
        <v>2.0</v>
      </c>
      <c r="C39" s="230">
        <v>28.0</v>
      </c>
      <c r="D39" s="230">
        <v>1.0</v>
      </c>
      <c r="E39" s="230">
        <v>1.0</v>
      </c>
      <c r="F39" s="15" t="s">
        <v>8393</v>
      </c>
      <c r="G39" s="15" t="s">
        <v>8958</v>
      </c>
      <c r="H39" s="28"/>
      <c r="I39" s="28"/>
      <c r="J39" s="28"/>
    </row>
    <row r="40">
      <c r="A40" s="15" t="s">
        <v>10383</v>
      </c>
      <c r="B40" s="230">
        <v>2.0</v>
      </c>
      <c r="C40" s="230">
        <v>29.0</v>
      </c>
      <c r="D40" s="230">
        <v>1.0</v>
      </c>
      <c r="E40" s="230">
        <v>1.0</v>
      </c>
      <c r="F40" s="15" t="s">
        <v>8393</v>
      </c>
      <c r="G40" s="15" t="s">
        <v>8960</v>
      </c>
      <c r="H40" s="28"/>
      <c r="I40" s="28"/>
      <c r="J40" s="28"/>
    </row>
    <row r="41">
      <c r="A41" s="15" t="s">
        <v>10383</v>
      </c>
      <c r="B41" s="230">
        <v>2.0</v>
      </c>
      <c r="C41" s="230">
        <v>30.0</v>
      </c>
      <c r="D41" s="230">
        <v>1.0</v>
      </c>
      <c r="E41" s="230">
        <v>1.0</v>
      </c>
      <c r="F41" s="15" t="s">
        <v>8393</v>
      </c>
      <c r="G41" s="15" t="s">
        <v>8962</v>
      </c>
      <c r="H41" s="28"/>
      <c r="I41" s="28"/>
      <c r="J41" s="28"/>
    </row>
    <row r="42">
      <c r="A42" s="15" t="s">
        <v>10383</v>
      </c>
      <c r="B42" s="230">
        <v>2.0</v>
      </c>
      <c r="C42" s="230">
        <v>31.0</v>
      </c>
      <c r="D42" s="230">
        <v>1.0</v>
      </c>
      <c r="E42" s="230">
        <v>1.0</v>
      </c>
      <c r="F42" s="15" t="s">
        <v>8393</v>
      </c>
      <c r="G42" s="10" t="s">
        <v>8964</v>
      </c>
      <c r="H42" s="28"/>
      <c r="I42" s="28"/>
      <c r="J42" s="28"/>
    </row>
    <row r="43">
      <c r="A43" s="15" t="s">
        <v>10383</v>
      </c>
      <c r="B43" s="230">
        <v>2.0</v>
      </c>
      <c r="C43" s="230">
        <v>32.0</v>
      </c>
      <c r="D43" s="230">
        <v>1.0</v>
      </c>
      <c r="E43" s="230">
        <v>1.0</v>
      </c>
      <c r="F43" s="15" t="s">
        <v>8393</v>
      </c>
      <c r="G43" s="15" t="s">
        <v>8966</v>
      </c>
      <c r="H43" s="28"/>
      <c r="I43" s="28"/>
      <c r="J43" s="28"/>
    </row>
    <row r="44">
      <c r="A44" s="15" t="s">
        <v>10383</v>
      </c>
      <c r="B44" s="230">
        <v>2.0</v>
      </c>
      <c r="C44" s="230">
        <v>33.0</v>
      </c>
      <c r="D44" s="230">
        <v>1.0</v>
      </c>
      <c r="E44" s="230">
        <v>1.0</v>
      </c>
      <c r="F44" s="15" t="s">
        <v>8393</v>
      </c>
      <c r="G44" s="15" t="s">
        <v>8968</v>
      </c>
      <c r="H44" s="28"/>
      <c r="I44" s="28"/>
      <c r="J44" s="28"/>
    </row>
    <row r="45">
      <c r="A45" s="15" t="s">
        <v>10383</v>
      </c>
      <c r="B45" s="230">
        <v>2.0</v>
      </c>
      <c r="C45" s="230">
        <v>34.0</v>
      </c>
      <c r="D45" s="230">
        <v>1.0</v>
      </c>
      <c r="E45" s="230">
        <v>1.0</v>
      </c>
      <c r="F45" s="15" t="s">
        <v>8393</v>
      </c>
      <c r="G45" s="15" t="s">
        <v>8970</v>
      </c>
      <c r="H45" s="28"/>
      <c r="I45" s="28"/>
      <c r="J45" s="28"/>
    </row>
    <row r="46">
      <c r="A46" s="15" t="s">
        <v>10383</v>
      </c>
      <c r="B46" s="230">
        <v>2.0</v>
      </c>
      <c r="C46" s="230">
        <v>35.0</v>
      </c>
      <c r="D46" s="230">
        <v>1.0</v>
      </c>
      <c r="E46" s="230">
        <v>1.0</v>
      </c>
      <c r="F46" s="15" t="s">
        <v>8393</v>
      </c>
      <c r="G46" s="15" t="s">
        <v>8972</v>
      </c>
      <c r="H46" s="28"/>
      <c r="I46" s="28"/>
      <c r="J46" s="28"/>
    </row>
    <row r="47">
      <c r="A47" s="15" t="s">
        <v>10383</v>
      </c>
      <c r="B47" s="230">
        <v>2.0</v>
      </c>
      <c r="C47" s="230">
        <v>36.0</v>
      </c>
      <c r="D47" s="230">
        <v>1.0</v>
      </c>
      <c r="E47" s="230">
        <v>1.0</v>
      </c>
      <c r="F47" s="15" t="s">
        <v>8393</v>
      </c>
      <c r="G47" s="15" t="s">
        <v>8974</v>
      </c>
      <c r="H47" s="28"/>
      <c r="I47" s="28"/>
      <c r="J47" s="28"/>
    </row>
    <row r="48">
      <c r="A48" s="15" t="s">
        <v>10383</v>
      </c>
      <c r="B48" s="230">
        <v>2.0</v>
      </c>
      <c r="C48" s="230">
        <v>37.0</v>
      </c>
      <c r="D48" s="230">
        <v>1.0</v>
      </c>
      <c r="E48" s="230">
        <v>1.0</v>
      </c>
      <c r="F48" s="15" t="s">
        <v>8393</v>
      </c>
      <c r="G48" s="15" t="s">
        <v>8976</v>
      </c>
      <c r="H48" s="28"/>
      <c r="I48" s="28"/>
      <c r="J48" s="28"/>
    </row>
    <row r="49">
      <c r="A49" s="15" t="s">
        <v>10383</v>
      </c>
      <c r="B49" s="230">
        <v>2.0</v>
      </c>
      <c r="C49" s="230">
        <v>38.0</v>
      </c>
      <c r="D49" s="230">
        <v>1.0</v>
      </c>
      <c r="E49" s="230">
        <v>1.0</v>
      </c>
      <c r="F49" s="15" t="s">
        <v>8393</v>
      </c>
      <c r="G49" s="15" t="s">
        <v>8978</v>
      </c>
      <c r="H49" s="28"/>
      <c r="I49" s="28"/>
      <c r="J49" s="28"/>
    </row>
    <row r="50">
      <c r="A50" s="15" t="s">
        <v>10383</v>
      </c>
      <c r="B50" s="230">
        <v>2.0</v>
      </c>
      <c r="C50" s="230">
        <v>39.0</v>
      </c>
      <c r="D50" s="230">
        <v>1.0</v>
      </c>
      <c r="E50" s="230">
        <v>1.0</v>
      </c>
      <c r="F50" s="15" t="s">
        <v>8393</v>
      </c>
      <c r="G50" s="15" t="s">
        <v>8980</v>
      </c>
      <c r="H50" s="28"/>
      <c r="I50" s="28"/>
      <c r="J50" s="28"/>
    </row>
    <row r="51">
      <c r="A51" s="15" t="s">
        <v>10383</v>
      </c>
      <c r="B51" s="230">
        <v>2.0</v>
      </c>
      <c r="C51" s="230">
        <v>40.0</v>
      </c>
      <c r="D51" s="230">
        <v>1.0</v>
      </c>
      <c r="E51" s="230">
        <v>1.0</v>
      </c>
      <c r="F51" s="15" t="s">
        <v>8393</v>
      </c>
      <c r="G51" s="15" t="s">
        <v>8982</v>
      </c>
      <c r="H51" s="28"/>
      <c r="I51" s="28"/>
      <c r="J51" s="28"/>
    </row>
    <row r="52">
      <c r="A52" s="15" t="s">
        <v>10383</v>
      </c>
      <c r="B52" s="230">
        <v>2.0</v>
      </c>
      <c r="C52" s="230">
        <v>41.0</v>
      </c>
      <c r="D52" s="230">
        <v>1.0</v>
      </c>
      <c r="E52" s="230">
        <v>1.0</v>
      </c>
      <c r="F52" s="15" t="s">
        <v>8393</v>
      </c>
      <c r="G52" s="15" t="s">
        <v>8984</v>
      </c>
      <c r="H52" s="28"/>
      <c r="I52" s="28"/>
      <c r="J52" s="28"/>
    </row>
    <row r="53">
      <c r="A53" s="15" t="s">
        <v>10383</v>
      </c>
      <c r="B53" s="230">
        <v>2.0</v>
      </c>
      <c r="C53" s="230">
        <v>1.0</v>
      </c>
      <c r="D53" s="230">
        <v>1.0</v>
      </c>
      <c r="E53" s="230">
        <v>2.0</v>
      </c>
      <c r="F53" s="15" t="s">
        <v>8393</v>
      </c>
      <c r="G53" s="15" t="s">
        <v>8929</v>
      </c>
      <c r="H53" s="28"/>
      <c r="I53" s="28"/>
      <c r="J53" s="28"/>
    </row>
    <row r="54">
      <c r="A54" s="15" t="s">
        <v>10383</v>
      </c>
      <c r="B54" s="230">
        <v>2.0</v>
      </c>
      <c r="C54" s="230">
        <v>2.0</v>
      </c>
      <c r="D54" s="230">
        <v>1.0</v>
      </c>
      <c r="E54" s="230">
        <v>2.0</v>
      </c>
      <c r="F54" s="15" t="s">
        <v>8393</v>
      </c>
      <c r="G54" s="15" t="s">
        <v>8930</v>
      </c>
      <c r="H54" s="28"/>
      <c r="I54" s="28"/>
      <c r="J54" s="28"/>
    </row>
    <row r="55">
      <c r="A55" s="15" t="s">
        <v>10383</v>
      </c>
      <c r="B55" s="230">
        <v>2.0</v>
      </c>
      <c r="C55" s="230">
        <v>3.0</v>
      </c>
      <c r="D55" s="230">
        <v>1.0</v>
      </c>
      <c r="E55" s="230">
        <v>2.0</v>
      </c>
      <c r="F55" s="15" t="s">
        <v>8393</v>
      </c>
      <c r="G55" s="15" t="s">
        <v>8931</v>
      </c>
      <c r="H55" s="28"/>
      <c r="I55" s="28"/>
      <c r="J55" s="28"/>
    </row>
    <row r="56">
      <c r="A56" s="15" t="s">
        <v>10383</v>
      </c>
      <c r="B56" s="230">
        <v>2.0</v>
      </c>
      <c r="C56" s="230">
        <v>4.0</v>
      </c>
      <c r="D56" s="230">
        <v>1.0</v>
      </c>
      <c r="E56" s="230">
        <v>2.0</v>
      </c>
      <c r="F56" s="15" t="s">
        <v>8393</v>
      </c>
      <c r="G56" s="15" t="s">
        <v>8932</v>
      </c>
      <c r="H56" s="28"/>
      <c r="I56" s="28"/>
      <c r="J56" s="28"/>
    </row>
    <row r="57">
      <c r="A57" s="15" t="s">
        <v>10383</v>
      </c>
      <c r="B57" s="230">
        <v>2.0</v>
      </c>
      <c r="C57" s="230">
        <v>5.0</v>
      </c>
      <c r="D57" s="230">
        <v>1.0</v>
      </c>
      <c r="E57" s="230">
        <v>2.0</v>
      </c>
      <c r="F57" s="15" t="s">
        <v>8393</v>
      </c>
      <c r="G57" s="15" t="s">
        <v>8933</v>
      </c>
      <c r="H57" s="28"/>
      <c r="I57" s="28"/>
      <c r="J57" s="28"/>
    </row>
    <row r="58">
      <c r="A58" s="15" t="s">
        <v>10383</v>
      </c>
      <c r="B58" s="230">
        <v>2.0</v>
      </c>
      <c r="C58" s="230">
        <v>6.0</v>
      </c>
      <c r="D58" s="230">
        <v>1.0</v>
      </c>
      <c r="E58" s="230">
        <v>2.0</v>
      </c>
      <c r="F58" s="15" t="s">
        <v>8393</v>
      </c>
      <c r="G58" s="15" t="s">
        <v>8934</v>
      </c>
      <c r="H58" s="28"/>
      <c r="I58" s="28"/>
      <c r="J58" s="28"/>
    </row>
    <row r="59">
      <c r="A59" s="15" t="s">
        <v>10383</v>
      </c>
      <c r="B59" s="230">
        <v>2.0</v>
      </c>
      <c r="C59" s="230">
        <v>7.0</v>
      </c>
      <c r="D59" s="230">
        <v>1.0</v>
      </c>
      <c r="E59" s="230">
        <v>2.0</v>
      </c>
      <c r="F59" s="15" t="s">
        <v>8393</v>
      </c>
      <c r="G59" s="15" t="s">
        <v>8935</v>
      </c>
      <c r="H59" s="28"/>
      <c r="I59" s="28"/>
      <c r="J59" s="28"/>
    </row>
    <row r="60">
      <c r="A60" s="15" t="s">
        <v>10383</v>
      </c>
      <c r="B60" s="230">
        <v>2.0</v>
      </c>
      <c r="C60" s="230">
        <v>8.0</v>
      </c>
      <c r="D60" s="230">
        <v>1.0</v>
      </c>
      <c r="E60" s="230">
        <v>2.0</v>
      </c>
      <c r="F60" s="15" t="s">
        <v>8393</v>
      </c>
      <c r="G60" s="15" t="s">
        <v>8936</v>
      </c>
      <c r="H60" s="28"/>
      <c r="I60" s="28"/>
      <c r="J60" s="28"/>
    </row>
    <row r="61">
      <c r="A61" s="15" t="s">
        <v>10383</v>
      </c>
      <c r="B61" s="230">
        <v>2.0</v>
      </c>
      <c r="C61" s="230">
        <v>9.0</v>
      </c>
      <c r="D61" s="230">
        <v>1.0</v>
      </c>
      <c r="E61" s="230">
        <v>2.0</v>
      </c>
      <c r="F61" s="15" t="s">
        <v>8393</v>
      </c>
      <c r="G61" s="15" t="s">
        <v>8937</v>
      </c>
      <c r="H61" s="28"/>
      <c r="I61" s="28"/>
      <c r="J61" s="28"/>
    </row>
    <row r="62">
      <c r="A62" s="15" t="s">
        <v>10383</v>
      </c>
      <c r="B62" s="230">
        <v>2.0</v>
      </c>
      <c r="C62" s="230">
        <v>10.0</v>
      </c>
      <c r="D62" s="230">
        <v>1.0</v>
      </c>
      <c r="E62" s="230">
        <v>2.0</v>
      </c>
      <c r="F62" s="15" t="s">
        <v>8393</v>
      </c>
      <c r="G62" s="15" t="s">
        <v>8938</v>
      </c>
      <c r="H62" s="28"/>
      <c r="I62" s="28"/>
      <c r="J62" s="28"/>
    </row>
    <row r="63">
      <c r="A63" s="15" t="s">
        <v>10383</v>
      </c>
      <c r="B63" s="230">
        <v>2.0</v>
      </c>
      <c r="C63" s="230">
        <v>11.0</v>
      </c>
      <c r="D63" s="230">
        <v>1.0</v>
      </c>
      <c r="E63" s="230">
        <v>2.0</v>
      </c>
      <c r="F63" s="15" t="s">
        <v>8393</v>
      </c>
      <c r="G63" s="15" t="s">
        <v>9151</v>
      </c>
      <c r="H63" s="28"/>
      <c r="I63" s="28"/>
      <c r="J63" s="28"/>
    </row>
    <row r="64">
      <c r="A64" s="15" t="s">
        <v>10383</v>
      </c>
      <c r="B64" s="230">
        <v>2.0</v>
      </c>
      <c r="C64" s="230">
        <v>12.0</v>
      </c>
      <c r="D64" s="230">
        <v>1.0</v>
      </c>
      <c r="E64" s="230">
        <v>2.0</v>
      </c>
      <c r="F64" s="15" t="s">
        <v>8393</v>
      </c>
      <c r="G64" s="15" t="s">
        <v>8940</v>
      </c>
      <c r="H64" s="28"/>
      <c r="I64" s="28"/>
      <c r="J64" s="28"/>
    </row>
    <row r="65">
      <c r="A65" s="15" t="s">
        <v>10383</v>
      </c>
      <c r="B65" s="230">
        <v>2.0</v>
      </c>
      <c r="C65" s="230">
        <v>13.0</v>
      </c>
      <c r="D65" s="230">
        <v>1.0</v>
      </c>
      <c r="E65" s="230">
        <v>2.0</v>
      </c>
      <c r="F65" s="15" t="s">
        <v>8393</v>
      </c>
      <c r="G65" s="15" t="s">
        <v>8941</v>
      </c>
      <c r="H65" s="28"/>
      <c r="I65" s="28"/>
      <c r="J65" s="28"/>
    </row>
    <row r="66">
      <c r="A66" s="15" t="s">
        <v>10383</v>
      </c>
      <c r="B66" s="230">
        <v>2.0</v>
      </c>
      <c r="C66" s="230">
        <v>14.0</v>
      </c>
      <c r="D66" s="230">
        <v>1.0</v>
      </c>
      <c r="E66" s="230">
        <v>2.0</v>
      </c>
      <c r="F66" s="15" t="s">
        <v>8393</v>
      </c>
      <c r="G66" s="15" t="s">
        <v>8942</v>
      </c>
      <c r="H66" s="28"/>
      <c r="I66" s="28"/>
      <c r="J66" s="28"/>
    </row>
    <row r="67">
      <c r="A67" s="15" t="s">
        <v>10383</v>
      </c>
      <c r="B67" s="230">
        <v>2.0</v>
      </c>
      <c r="C67" s="230">
        <v>15.0</v>
      </c>
      <c r="D67" s="230">
        <v>1.0</v>
      </c>
      <c r="E67" s="230">
        <v>2.0</v>
      </c>
      <c r="F67" s="15" t="s">
        <v>8393</v>
      </c>
      <c r="G67" s="15" t="s">
        <v>8943</v>
      </c>
      <c r="H67" s="28"/>
      <c r="I67" s="28"/>
      <c r="J67" s="28"/>
    </row>
    <row r="68">
      <c r="A68" s="15" t="s">
        <v>10383</v>
      </c>
      <c r="B68" s="230">
        <v>2.0</v>
      </c>
      <c r="C68" s="230">
        <v>16.0</v>
      </c>
      <c r="D68" s="230">
        <v>1.0</v>
      </c>
      <c r="E68" s="230">
        <v>2.0</v>
      </c>
      <c r="F68" s="15" t="s">
        <v>8393</v>
      </c>
      <c r="G68" s="15" t="s">
        <v>8944</v>
      </c>
      <c r="H68" s="28"/>
      <c r="I68" s="28"/>
      <c r="J68" s="28"/>
    </row>
    <row r="69">
      <c r="A69" s="15" t="s">
        <v>10383</v>
      </c>
      <c r="B69" s="230">
        <v>2.0</v>
      </c>
      <c r="C69" s="230">
        <v>17.0</v>
      </c>
      <c r="D69" s="230">
        <v>1.0</v>
      </c>
      <c r="E69" s="230">
        <v>2.0</v>
      </c>
      <c r="F69" s="15" t="s">
        <v>8393</v>
      </c>
      <c r="G69" s="15" t="s">
        <v>8945</v>
      </c>
      <c r="H69" s="28"/>
      <c r="I69" s="28"/>
      <c r="J69" s="28"/>
    </row>
    <row r="70">
      <c r="A70" s="15" t="s">
        <v>10383</v>
      </c>
      <c r="B70" s="230">
        <v>2.0</v>
      </c>
      <c r="C70" s="230">
        <v>18.0</v>
      </c>
      <c r="D70" s="230">
        <v>1.0</v>
      </c>
      <c r="E70" s="230">
        <v>2.0</v>
      </c>
      <c r="F70" s="15" t="s">
        <v>8393</v>
      </c>
      <c r="G70" s="15" t="s">
        <v>8946</v>
      </c>
      <c r="H70" s="28"/>
      <c r="I70" s="28"/>
      <c r="J70" s="28"/>
    </row>
    <row r="71">
      <c r="A71" s="15" t="s">
        <v>10383</v>
      </c>
      <c r="B71" s="230">
        <v>2.0</v>
      </c>
      <c r="C71" s="230">
        <v>19.0</v>
      </c>
      <c r="D71" s="230">
        <v>1.0</v>
      </c>
      <c r="E71" s="230">
        <v>2.0</v>
      </c>
      <c r="F71" s="15" t="s">
        <v>8393</v>
      </c>
      <c r="G71" s="15" t="s">
        <v>8947</v>
      </c>
      <c r="H71" s="28"/>
      <c r="I71" s="28"/>
      <c r="J71" s="28"/>
    </row>
    <row r="72">
      <c r="A72" s="15" t="s">
        <v>10383</v>
      </c>
      <c r="B72" s="230">
        <v>2.0</v>
      </c>
      <c r="C72" s="230">
        <v>20.0</v>
      </c>
      <c r="D72" s="230">
        <v>1.0</v>
      </c>
      <c r="E72" s="230">
        <v>2.0</v>
      </c>
      <c r="F72" s="15" t="s">
        <v>8393</v>
      </c>
      <c r="G72" s="15" t="s">
        <v>8948</v>
      </c>
      <c r="H72" s="28"/>
      <c r="I72" s="28"/>
      <c r="J72" s="28"/>
    </row>
    <row r="73">
      <c r="A73" s="15" t="s">
        <v>10383</v>
      </c>
      <c r="B73" s="230">
        <v>2.0</v>
      </c>
      <c r="C73" s="230">
        <v>21.0</v>
      </c>
      <c r="D73" s="230">
        <v>1.0</v>
      </c>
      <c r="E73" s="230">
        <v>2.0</v>
      </c>
      <c r="F73" s="15" t="s">
        <v>8393</v>
      </c>
      <c r="G73" s="15" t="s">
        <v>8949</v>
      </c>
      <c r="H73" s="28"/>
      <c r="I73" s="28"/>
      <c r="J73" s="28"/>
    </row>
    <row r="74">
      <c r="A74" s="15" t="s">
        <v>10383</v>
      </c>
      <c r="B74" s="230">
        <v>2.0</v>
      </c>
      <c r="C74" s="230">
        <v>22.0</v>
      </c>
      <c r="D74" s="230">
        <v>1.0</v>
      </c>
      <c r="E74" s="230">
        <v>2.0</v>
      </c>
      <c r="F74" s="15" t="s">
        <v>8393</v>
      </c>
      <c r="G74" s="15" t="s">
        <v>8950</v>
      </c>
      <c r="H74" s="28"/>
      <c r="I74" s="28"/>
      <c r="J74" s="28"/>
    </row>
    <row r="75">
      <c r="A75" s="15" t="s">
        <v>10383</v>
      </c>
      <c r="B75" s="230">
        <v>2.0</v>
      </c>
      <c r="C75" s="230">
        <v>23.0</v>
      </c>
      <c r="D75" s="230">
        <v>1.0</v>
      </c>
      <c r="E75" s="230">
        <v>2.0</v>
      </c>
      <c r="F75" s="15" t="s">
        <v>8393</v>
      </c>
      <c r="G75" s="15" t="s">
        <v>8951</v>
      </c>
      <c r="H75" s="28"/>
      <c r="I75" s="28"/>
      <c r="J75" s="28"/>
    </row>
    <row r="76">
      <c r="A76" s="15" t="s">
        <v>10383</v>
      </c>
      <c r="B76" s="230">
        <v>2.0</v>
      </c>
      <c r="C76" s="230">
        <v>24.0</v>
      </c>
      <c r="D76" s="230">
        <v>1.0</v>
      </c>
      <c r="E76" s="230">
        <v>2.0</v>
      </c>
      <c r="F76" s="15" t="s">
        <v>8393</v>
      </c>
      <c r="G76" s="15" t="s">
        <v>8952</v>
      </c>
      <c r="H76" s="28"/>
      <c r="I76" s="28"/>
      <c r="J76" s="28"/>
    </row>
    <row r="77">
      <c r="A77" s="15" t="s">
        <v>10383</v>
      </c>
      <c r="B77" s="230">
        <v>2.0</v>
      </c>
      <c r="C77" s="230">
        <v>25.0</v>
      </c>
      <c r="D77" s="230">
        <v>1.0</v>
      </c>
      <c r="E77" s="230">
        <v>2.0</v>
      </c>
      <c r="F77" s="15" t="s">
        <v>8393</v>
      </c>
      <c r="G77" s="15" t="s">
        <v>8953</v>
      </c>
      <c r="H77" s="28"/>
      <c r="I77" s="28"/>
      <c r="J77" s="28"/>
    </row>
    <row r="78">
      <c r="A78" s="15" t="s">
        <v>10383</v>
      </c>
      <c r="B78" s="230">
        <v>2.0</v>
      </c>
      <c r="C78" s="230">
        <v>26.0</v>
      </c>
      <c r="D78" s="230">
        <v>1.0</v>
      </c>
      <c r="E78" s="230">
        <v>2.0</v>
      </c>
      <c r="F78" s="15" t="s">
        <v>8393</v>
      </c>
      <c r="G78" s="15" t="s">
        <v>9038</v>
      </c>
      <c r="H78" s="28"/>
      <c r="I78" s="28"/>
      <c r="J78" s="28"/>
    </row>
    <row r="79">
      <c r="A79" s="15" t="s">
        <v>10383</v>
      </c>
      <c r="B79" s="230">
        <v>2.0</v>
      </c>
      <c r="C79" s="230">
        <v>27.0</v>
      </c>
      <c r="D79" s="230">
        <v>1.0</v>
      </c>
      <c r="E79" s="230">
        <v>2.0</v>
      </c>
      <c r="F79" s="15" t="s">
        <v>8393</v>
      </c>
      <c r="G79" s="15" t="s">
        <v>9107</v>
      </c>
      <c r="H79" s="28"/>
      <c r="I79" s="28"/>
      <c r="J79" s="28"/>
    </row>
    <row r="80">
      <c r="A80" s="15" t="s">
        <v>10383</v>
      </c>
      <c r="B80" s="230">
        <v>2.0</v>
      </c>
      <c r="C80" s="230">
        <v>28.0</v>
      </c>
      <c r="D80" s="230">
        <v>1.0</v>
      </c>
      <c r="E80" s="230">
        <v>2.0</v>
      </c>
      <c r="F80" s="15" t="s">
        <v>8393</v>
      </c>
      <c r="G80" s="15" t="s">
        <v>9109</v>
      </c>
      <c r="H80" s="28"/>
      <c r="I80" s="28"/>
      <c r="J80" s="28"/>
    </row>
    <row r="81">
      <c r="A81" s="15" t="s">
        <v>10383</v>
      </c>
      <c r="B81" s="230">
        <v>2.0</v>
      </c>
      <c r="C81" s="230">
        <v>29.0</v>
      </c>
      <c r="D81" s="230">
        <v>1.0</v>
      </c>
      <c r="E81" s="230">
        <v>2.0</v>
      </c>
      <c r="F81" s="15" t="s">
        <v>8393</v>
      </c>
      <c r="G81" s="15" t="s">
        <v>9044</v>
      </c>
      <c r="H81" s="28"/>
      <c r="I81" s="28"/>
      <c r="J81" s="28"/>
    </row>
    <row r="82">
      <c r="A82" s="15" t="s">
        <v>10383</v>
      </c>
      <c r="B82" s="230">
        <v>2.0</v>
      </c>
      <c r="C82" s="230">
        <v>30.0</v>
      </c>
      <c r="D82" s="230">
        <v>1.0</v>
      </c>
      <c r="E82" s="230">
        <v>2.0</v>
      </c>
      <c r="F82" s="15" t="s">
        <v>8393</v>
      </c>
      <c r="G82" s="15" t="s">
        <v>9112</v>
      </c>
      <c r="H82" s="28"/>
      <c r="I82" s="28"/>
      <c r="J82" s="28"/>
    </row>
    <row r="83">
      <c r="A83" s="15" t="s">
        <v>10383</v>
      </c>
      <c r="B83" s="230">
        <v>2.0</v>
      </c>
      <c r="C83" s="230">
        <v>31.0</v>
      </c>
      <c r="D83" s="230">
        <v>1.0</v>
      </c>
      <c r="E83" s="230">
        <v>2.0</v>
      </c>
      <c r="F83" s="15" t="s">
        <v>8393</v>
      </c>
      <c r="G83" s="15" t="s">
        <v>9114</v>
      </c>
      <c r="H83" s="28"/>
      <c r="I83" s="28"/>
      <c r="J83" s="28"/>
    </row>
    <row r="84">
      <c r="A84" s="15" t="s">
        <v>10383</v>
      </c>
      <c r="B84" s="230">
        <v>2.0</v>
      </c>
      <c r="C84" s="230">
        <v>32.0</v>
      </c>
      <c r="D84" s="230">
        <v>1.0</v>
      </c>
      <c r="E84" s="230">
        <v>2.0</v>
      </c>
      <c r="F84" s="15" t="s">
        <v>8393</v>
      </c>
      <c r="G84" s="15" t="s">
        <v>9116</v>
      </c>
      <c r="H84" s="28"/>
      <c r="I84" s="28"/>
      <c r="J84" s="28"/>
    </row>
    <row r="85">
      <c r="A85" s="15" t="s">
        <v>10383</v>
      </c>
      <c r="B85" s="230">
        <v>2.0</v>
      </c>
      <c r="C85" s="230">
        <v>33.0</v>
      </c>
      <c r="D85" s="230">
        <v>1.0</v>
      </c>
      <c r="E85" s="230">
        <v>2.0</v>
      </c>
      <c r="F85" s="15" t="s">
        <v>8393</v>
      </c>
      <c r="G85" s="15" t="s">
        <v>9118</v>
      </c>
      <c r="H85" s="28"/>
      <c r="I85" s="28"/>
      <c r="J85" s="28"/>
    </row>
    <row r="86">
      <c r="A86" s="15" t="s">
        <v>10383</v>
      </c>
      <c r="B86" s="230">
        <v>2.0</v>
      </c>
      <c r="C86" s="230">
        <v>34.0</v>
      </c>
      <c r="D86" s="230">
        <v>1.0</v>
      </c>
      <c r="E86" s="230">
        <v>2.0</v>
      </c>
      <c r="F86" s="15" t="s">
        <v>8393</v>
      </c>
      <c r="G86" s="15" t="s">
        <v>8968</v>
      </c>
      <c r="H86" s="28"/>
      <c r="I86" s="28"/>
      <c r="J86" s="28"/>
    </row>
    <row r="87">
      <c r="A87" s="15" t="s">
        <v>10383</v>
      </c>
      <c r="B87" s="230">
        <v>2.0</v>
      </c>
      <c r="C87" s="230">
        <v>35.0</v>
      </c>
      <c r="D87" s="230">
        <v>1.0</v>
      </c>
      <c r="E87" s="230">
        <v>2.0</v>
      </c>
      <c r="F87" s="15" t="s">
        <v>8393</v>
      </c>
      <c r="G87" s="15" t="s">
        <v>8972</v>
      </c>
      <c r="H87" s="28"/>
      <c r="I87" s="28"/>
      <c r="J87" s="28"/>
    </row>
    <row r="88">
      <c r="A88" s="15" t="s">
        <v>10383</v>
      </c>
      <c r="B88" s="230">
        <v>2.0</v>
      </c>
      <c r="C88" s="230">
        <v>36.0</v>
      </c>
      <c r="D88" s="230">
        <v>1.0</v>
      </c>
      <c r="E88" s="230">
        <v>2.0</v>
      </c>
      <c r="F88" s="15" t="s">
        <v>8393</v>
      </c>
      <c r="G88" s="15" t="s">
        <v>8980</v>
      </c>
      <c r="H88" s="28"/>
      <c r="I88" s="28"/>
      <c r="J88" s="28"/>
    </row>
    <row r="89">
      <c r="A89" s="15" t="s">
        <v>10383</v>
      </c>
      <c r="B89" s="230">
        <v>2.0</v>
      </c>
      <c r="C89" s="230">
        <v>37.0</v>
      </c>
      <c r="D89" s="230">
        <v>1.0</v>
      </c>
      <c r="E89" s="230">
        <v>2.0</v>
      </c>
      <c r="F89" s="15" t="s">
        <v>8393</v>
      </c>
      <c r="G89" s="15" t="s">
        <v>9123</v>
      </c>
      <c r="H89" s="28"/>
      <c r="I89" s="28"/>
      <c r="J89" s="28"/>
    </row>
    <row r="90">
      <c r="A90" s="15" t="s">
        <v>10383</v>
      </c>
      <c r="B90" s="230">
        <v>2.0</v>
      </c>
      <c r="C90" s="230">
        <v>38.0</v>
      </c>
      <c r="D90" s="230">
        <v>1.0</v>
      </c>
      <c r="E90" s="230">
        <v>2.0</v>
      </c>
      <c r="F90" s="15" t="s">
        <v>8393</v>
      </c>
      <c r="G90" s="15" t="s">
        <v>9125</v>
      </c>
      <c r="H90" s="28"/>
      <c r="I90" s="28"/>
      <c r="J90" s="28"/>
    </row>
    <row r="91">
      <c r="A91" s="15" t="s">
        <v>10383</v>
      </c>
      <c r="B91" s="230">
        <v>2.0</v>
      </c>
      <c r="C91" s="230">
        <v>39.0</v>
      </c>
      <c r="D91" s="230">
        <v>1.0</v>
      </c>
      <c r="E91" s="230">
        <v>2.0</v>
      </c>
      <c r="F91" s="15" t="s">
        <v>8393</v>
      </c>
      <c r="G91" s="10" t="s">
        <v>9127</v>
      </c>
      <c r="H91" s="28"/>
      <c r="I91" s="28"/>
      <c r="J91" s="28"/>
    </row>
    <row r="92">
      <c r="A92" s="15" t="s">
        <v>10383</v>
      </c>
      <c r="B92" s="230">
        <v>2.0</v>
      </c>
      <c r="C92" s="230">
        <v>40.0</v>
      </c>
      <c r="D92" s="230">
        <v>1.0</v>
      </c>
      <c r="E92" s="230">
        <v>2.0</v>
      </c>
      <c r="F92" s="15" t="s">
        <v>8393</v>
      </c>
      <c r="G92" s="15" t="s">
        <v>9129</v>
      </c>
      <c r="H92" s="28"/>
      <c r="I92" s="28"/>
      <c r="J92" s="28"/>
    </row>
    <row r="93">
      <c r="A93" s="15" t="s">
        <v>10383</v>
      </c>
      <c r="B93" s="230">
        <v>2.0</v>
      </c>
      <c r="C93" s="230">
        <v>41.0</v>
      </c>
      <c r="D93" s="230">
        <v>1.0</v>
      </c>
      <c r="E93" s="230">
        <v>2.0</v>
      </c>
      <c r="F93" s="15" t="s">
        <v>8393</v>
      </c>
      <c r="G93" s="15" t="s">
        <v>9131</v>
      </c>
      <c r="H93" s="28"/>
      <c r="I93" s="28"/>
      <c r="J93" s="28"/>
    </row>
    <row r="94">
      <c r="A94" s="15" t="s">
        <v>10383</v>
      </c>
      <c r="B94" s="230">
        <v>2.0</v>
      </c>
      <c r="C94" s="230">
        <v>42.0</v>
      </c>
      <c r="D94" s="230">
        <v>1.0</v>
      </c>
      <c r="E94" s="230">
        <v>2.0</v>
      </c>
      <c r="F94" s="15" t="s">
        <v>8393</v>
      </c>
      <c r="G94" s="15" t="s">
        <v>9133</v>
      </c>
      <c r="H94" s="28"/>
      <c r="I94" s="28"/>
      <c r="J94" s="28"/>
    </row>
    <row r="95">
      <c r="A95" s="15" t="s">
        <v>10383</v>
      </c>
      <c r="B95" s="230">
        <v>2.0</v>
      </c>
      <c r="C95" s="230">
        <v>1.0</v>
      </c>
      <c r="D95" s="230">
        <v>1.0</v>
      </c>
      <c r="E95" s="230">
        <v>3.0</v>
      </c>
      <c r="F95" s="15" t="s">
        <v>8393</v>
      </c>
      <c r="G95" s="15" t="s">
        <v>8929</v>
      </c>
      <c r="H95" s="28"/>
      <c r="I95" s="28"/>
      <c r="J95" s="28"/>
    </row>
    <row r="96">
      <c r="A96" s="15" t="s">
        <v>10383</v>
      </c>
      <c r="B96" s="230">
        <v>2.0</v>
      </c>
      <c r="C96" s="230">
        <v>2.0</v>
      </c>
      <c r="D96" s="230">
        <v>1.0</v>
      </c>
      <c r="E96" s="230">
        <v>3.0</v>
      </c>
      <c r="F96" s="15" t="s">
        <v>8393</v>
      </c>
      <c r="G96" s="15" t="s">
        <v>8930</v>
      </c>
      <c r="H96" s="28"/>
      <c r="I96" s="28"/>
      <c r="J96" s="28"/>
    </row>
    <row r="97">
      <c r="A97" s="15" t="s">
        <v>10383</v>
      </c>
      <c r="B97" s="230">
        <v>2.0</v>
      </c>
      <c r="C97" s="230">
        <v>3.0</v>
      </c>
      <c r="D97" s="230">
        <v>1.0</v>
      </c>
      <c r="E97" s="230">
        <v>3.0</v>
      </c>
      <c r="F97" s="15" t="s">
        <v>8393</v>
      </c>
      <c r="G97" s="15" t="s">
        <v>8931</v>
      </c>
      <c r="H97" s="28"/>
      <c r="I97" s="28"/>
      <c r="J97" s="28"/>
    </row>
    <row r="98">
      <c r="A98" s="15" t="s">
        <v>10383</v>
      </c>
      <c r="B98" s="230">
        <v>2.0</v>
      </c>
      <c r="C98" s="230">
        <v>4.0</v>
      </c>
      <c r="D98" s="230">
        <v>1.0</v>
      </c>
      <c r="E98" s="230">
        <v>3.0</v>
      </c>
      <c r="F98" s="15" t="s">
        <v>8393</v>
      </c>
      <c r="G98" s="15" t="s">
        <v>8932</v>
      </c>
      <c r="H98" s="28"/>
      <c r="I98" s="28"/>
      <c r="J98" s="28"/>
    </row>
    <row r="99">
      <c r="A99" s="15" t="s">
        <v>10383</v>
      </c>
      <c r="B99" s="230">
        <v>2.0</v>
      </c>
      <c r="C99" s="230">
        <v>5.0</v>
      </c>
      <c r="D99" s="230">
        <v>1.0</v>
      </c>
      <c r="E99" s="230">
        <v>3.0</v>
      </c>
      <c r="F99" s="15" t="s">
        <v>8393</v>
      </c>
      <c r="G99" s="15" t="s">
        <v>8933</v>
      </c>
      <c r="H99" s="28"/>
      <c r="I99" s="28"/>
      <c r="J99" s="28"/>
    </row>
    <row r="100">
      <c r="A100" s="15" t="s">
        <v>10383</v>
      </c>
      <c r="B100" s="230">
        <v>2.0</v>
      </c>
      <c r="C100" s="230">
        <v>6.0</v>
      </c>
      <c r="D100" s="230">
        <v>1.0</v>
      </c>
      <c r="E100" s="230">
        <v>3.0</v>
      </c>
      <c r="F100" s="15" t="s">
        <v>8393</v>
      </c>
      <c r="G100" s="15" t="s">
        <v>8934</v>
      </c>
      <c r="H100" s="28"/>
      <c r="I100" s="28"/>
      <c r="J100" s="28"/>
    </row>
    <row r="101">
      <c r="A101" s="15" t="s">
        <v>10383</v>
      </c>
      <c r="B101" s="230">
        <v>2.0</v>
      </c>
      <c r="C101" s="230">
        <v>7.0</v>
      </c>
      <c r="D101" s="230">
        <v>1.0</v>
      </c>
      <c r="E101" s="230">
        <v>3.0</v>
      </c>
      <c r="F101" s="15" t="s">
        <v>8393</v>
      </c>
      <c r="G101" s="15" t="s">
        <v>8935</v>
      </c>
      <c r="H101" s="28"/>
      <c r="I101" s="28"/>
      <c r="J101" s="28"/>
    </row>
    <row r="102">
      <c r="A102" s="15" t="s">
        <v>10383</v>
      </c>
      <c r="B102" s="230">
        <v>2.0</v>
      </c>
      <c r="C102" s="230">
        <v>8.0</v>
      </c>
      <c r="D102" s="230">
        <v>1.0</v>
      </c>
      <c r="E102" s="230">
        <v>3.0</v>
      </c>
      <c r="F102" s="15" t="s">
        <v>8393</v>
      </c>
      <c r="G102" s="15" t="s">
        <v>8936</v>
      </c>
      <c r="H102" s="28"/>
      <c r="I102" s="28"/>
      <c r="J102" s="28"/>
    </row>
    <row r="103">
      <c r="A103" s="15" t="s">
        <v>10383</v>
      </c>
      <c r="B103" s="230">
        <v>2.0</v>
      </c>
      <c r="C103" s="230">
        <v>9.0</v>
      </c>
      <c r="D103" s="230">
        <v>1.0</v>
      </c>
      <c r="E103" s="230">
        <v>3.0</v>
      </c>
      <c r="F103" s="15" t="s">
        <v>8393</v>
      </c>
      <c r="G103" s="15" t="s">
        <v>8937</v>
      </c>
      <c r="H103" s="28"/>
      <c r="I103" s="28"/>
      <c r="J103" s="28"/>
    </row>
    <row r="104">
      <c r="A104" s="15" t="s">
        <v>10383</v>
      </c>
      <c r="B104" s="230">
        <v>2.0</v>
      </c>
      <c r="C104" s="230">
        <v>10.0</v>
      </c>
      <c r="D104" s="230">
        <v>1.0</v>
      </c>
      <c r="E104" s="230">
        <v>3.0</v>
      </c>
      <c r="F104" s="15" t="s">
        <v>8393</v>
      </c>
      <c r="G104" s="15" t="s">
        <v>8938</v>
      </c>
      <c r="H104" s="28"/>
      <c r="I104" s="28"/>
      <c r="J104" s="28"/>
    </row>
    <row r="105">
      <c r="A105" s="15" t="s">
        <v>10383</v>
      </c>
      <c r="B105" s="230">
        <v>2.0</v>
      </c>
      <c r="C105" s="230">
        <v>11.0</v>
      </c>
      <c r="D105" s="230">
        <v>1.0</v>
      </c>
      <c r="E105" s="230">
        <v>3.0</v>
      </c>
      <c r="F105" s="15" t="s">
        <v>8393</v>
      </c>
      <c r="G105" s="15" t="s">
        <v>9151</v>
      </c>
      <c r="H105" s="28"/>
      <c r="I105" s="28"/>
      <c r="J105" s="28"/>
    </row>
    <row r="106">
      <c r="A106" s="15" t="s">
        <v>10383</v>
      </c>
      <c r="B106" s="230">
        <v>2.0</v>
      </c>
      <c r="C106" s="230">
        <v>12.0</v>
      </c>
      <c r="D106" s="230">
        <v>1.0</v>
      </c>
      <c r="E106" s="230">
        <v>3.0</v>
      </c>
      <c r="F106" s="15" t="s">
        <v>8393</v>
      </c>
      <c r="G106" s="15" t="s">
        <v>8940</v>
      </c>
      <c r="H106" s="28"/>
      <c r="I106" s="28"/>
      <c r="J106" s="28"/>
    </row>
    <row r="107">
      <c r="A107" s="15" t="s">
        <v>10383</v>
      </c>
      <c r="B107" s="230">
        <v>2.0</v>
      </c>
      <c r="C107" s="230">
        <v>13.0</v>
      </c>
      <c r="D107" s="230">
        <v>1.0</v>
      </c>
      <c r="E107" s="230">
        <v>3.0</v>
      </c>
      <c r="F107" s="15" t="s">
        <v>8393</v>
      </c>
      <c r="G107" s="15" t="s">
        <v>8941</v>
      </c>
      <c r="H107" s="28"/>
      <c r="I107" s="28"/>
      <c r="J107" s="28"/>
    </row>
    <row r="108">
      <c r="A108" s="15" t="s">
        <v>10383</v>
      </c>
      <c r="B108" s="230">
        <v>2.0</v>
      </c>
      <c r="C108" s="230">
        <v>14.0</v>
      </c>
      <c r="D108" s="230">
        <v>1.0</v>
      </c>
      <c r="E108" s="230">
        <v>3.0</v>
      </c>
      <c r="F108" s="15" t="s">
        <v>8393</v>
      </c>
      <c r="G108" s="15" t="s">
        <v>8942</v>
      </c>
      <c r="H108" s="28"/>
      <c r="I108" s="28"/>
      <c r="J108" s="28"/>
    </row>
    <row r="109">
      <c r="A109" s="15" t="s">
        <v>10383</v>
      </c>
      <c r="B109" s="230">
        <v>2.0</v>
      </c>
      <c r="C109" s="230">
        <v>15.0</v>
      </c>
      <c r="D109" s="230">
        <v>1.0</v>
      </c>
      <c r="E109" s="230">
        <v>3.0</v>
      </c>
      <c r="F109" s="15" t="s">
        <v>8393</v>
      </c>
      <c r="G109" s="15" t="s">
        <v>8943</v>
      </c>
      <c r="H109" s="28"/>
      <c r="I109" s="28"/>
      <c r="J109" s="28"/>
    </row>
    <row r="110">
      <c r="A110" s="15" t="s">
        <v>10383</v>
      </c>
      <c r="B110" s="230">
        <v>2.0</v>
      </c>
      <c r="C110" s="230">
        <v>16.0</v>
      </c>
      <c r="D110" s="230">
        <v>1.0</v>
      </c>
      <c r="E110" s="230">
        <v>3.0</v>
      </c>
      <c r="F110" s="15" t="s">
        <v>8393</v>
      </c>
      <c r="G110" s="15" t="s">
        <v>8944</v>
      </c>
      <c r="H110" s="28"/>
      <c r="I110" s="28"/>
      <c r="J110" s="28"/>
    </row>
    <row r="111">
      <c r="A111" s="15" t="s">
        <v>10383</v>
      </c>
      <c r="B111" s="230">
        <v>2.0</v>
      </c>
      <c r="C111" s="230">
        <v>17.0</v>
      </c>
      <c r="D111" s="230">
        <v>1.0</v>
      </c>
      <c r="E111" s="230">
        <v>3.0</v>
      </c>
      <c r="F111" s="15" t="s">
        <v>8393</v>
      </c>
      <c r="G111" s="15" t="s">
        <v>8945</v>
      </c>
      <c r="H111" s="28"/>
      <c r="I111" s="28"/>
      <c r="J111" s="28"/>
    </row>
    <row r="112">
      <c r="A112" s="15" t="s">
        <v>10383</v>
      </c>
      <c r="B112" s="230">
        <v>2.0</v>
      </c>
      <c r="C112" s="230">
        <v>18.0</v>
      </c>
      <c r="D112" s="230">
        <v>1.0</v>
      </c>
      <c r="E112" s="230">
        <v>3.0</v>
      </c>
      <c r="F112" s="15" t="s">
        <v>8393</v>
      </c>
      <c r="G112" s="15" t="s">
        <v>8946</v>
      </c>
      <c r="H112" s="28"/>
      <c r="I112" s="28"/>
      <c r="J112" s="28"/>
    </row>
    <row r="113">
      <c r="A113" s="15" t="s">
        <v>10383</v>
      </c>
      <c r="B113" s="230">
        <v>2.0</v>
      </c>
      <c r="C113" s="230">
        <v>19.0</v>
      </c>
      <c r="D113" s="230">
        <v>1.0</v>
      </c>
      <c r="E113" s="230">
        <v>3.0</v>
      </c>
      <c r="F113" s="15" t="s">
        <v>8393</v>
      </c>
      <c r="G113" s="15" t="s">
        <v>8947</v>
      </c>
      <c r="H113" s="28"/>
      <c r="I113" s="28"/>
      <c r="J113" s="28"/>
    </row>
    <row r="114">
      <c r="A114" s="15" t="s">
        <v>10383</v>
      </c>
      <c r="B114" s="230">
        <v>2.0</v>
      </c>
      <c r="C114" s="230">
        <v>20.0</v>
      </c>
      <c r="D114" s="230">
        <v>1.0</v>
      </c>
      <c r="E114" s="230">
        <v>3.0</v>
      </c>
      <c r="F114" s="15" t="s">
        <v>8393</v>
      </c>
      <c r="G114" s="15" t="s">
        <v>8948</v>
      </c>
      <c r="H114" s="28"/>
      <c r="I114" s="28"/>
      <c r="J114" s="28"/>
    </row>
    <row r="115">
      <c r="A115" s="15" t="s">
        <v>10383</v>
      </c>
      <c r="B115" s="230">
        <v>2.0</v>
      </c>
      <c r="C115" s="230">
        <v>21.0</v>
      </c>
      <c r="D115" s="230">
        <v>1.0</v>
      </c>
      <c r="E115" s="230">
        <v>3.0</v>
      </c>
      <c r="F115" s="15" t="s">
        <v>8393</v>
      </c>
      <c r="G115" s="15" t="s">
        <v>8949</v>
      </c>
      <c r="H115" s="28"/>
      <c r="I115" s="28"/>
      <c r="J115" s="28"/>
    </row>
    <row r="116">
      <c r="A116" s="15" t="s">
        <v>10383</v>
      </c>
      <c r="B116" s="230">
        <v>2.0</v>
      </c>
      <c r="C116" s="230">
        <v>22.0</v>
      </c>
      <c r="D116" s="230">
        <v>1.0</v>
      </c>
      <c r="E116" s="230">
        <v>3.0</v>
      </c>
      <c r="F116" s="15" t="s">
        <v>8393</v>
      </c>
      <c r="G116" s="15" t="s">
        <v>8950</v>
      </c>
      <c r="H116" s="28"/>
      <c r="I116" s="28"/>
      <c r="J116" s="28"/>
    </row>
    <row r="117">
      <c r="A117" s="15" t="s">
        <v>10383</v>
      </c>
      <c r="B117" s="230">
        <v>2.0</v>
      </c>
      <c r="C117" s="230">
        <v>23.0</v>
      </c>
      <c r="D117" s="230">
        <v>1.0</v>
      </c>
      <c r="E117" s="230">
        <v>3.0</v>
      </c>
      <c r="F117" s="15" t="s">
        <v>8393</v>
      </c>
      <c r="G117" s="15" t="s">
        <v>8951</v>
      </c>
      <c r="H117" s="28"/>
      <c r="I117" s="28"/>
      <c r="J117" s="28"/>
    </row>
    <row r="118">
      <c r="A118" s="15" t="s">
        <v>10383</v>
      </c>
      <c r="B118" s="230">
        <v>2.0</v>
      </c>
      <c r="C118" s="230">
        <v>24.0</v>
      </c>
      <c r="D118" s="230">
        <v>1.0</v>
      </c>
      <c r="E118" s="230">
        <v>3.0</v>
      </c>
      <c r="F118" s="15" t="s">
        <v>8393</v>
      </c>
      <c r="G118" s="15" t="s">
        <v>8952</v>
      </c>
      <c r="H118" s="28"/>
      <c r="I118" s="28"/>
      <c r="J118" s="28"/>
    </row>
    <row r="119">
      <c r="A119" s="15" t="s">
        <v>10383</v>
      </c>
      <c r="B119" s="230">
        <v>2.0</v>
      </c>
      <c r="C119" s="230">
        <v>25.0</v>
      </c>
      <c r="D119" s="230">
        <v>1.0</v>
      </c>
      <c r="E119" s="230">
        <v>3.0</v>
      </c>
      <c r="F119" s="15" t="s">
        <v>8393</v>
      </c>
      <c r="G119" s="15" t="s">
        <v>8953</v>
      </c>
      <c r="H119" s="28"/>
      <c r="I119" s="28"/>
      <c r="J119" s="28"/>
    </row>
    <row r="120">
      <c r="A120" s="15" t="s">
        <v>10383</v>
      </c>
      <c r="B120" s="230">
        <v>2.0</v>
      </c>
      <c r="C120" s="230">
        <v>26.0</v>
      </c>
      <c r="D120" s="230">
        <v>1.0</v>
      </c>
      <c r="E120" s="230">
        <v>3.0</v>
      </c>
      <c r="F120" s="15" t="s">
        <v>8393</v>
      </c>
      <c r="G120" s="15" t="s">
        <v>8956</v>
      </c>
      <c r="H120" s="28"/>
      <c r="I120" s="28"/>
      <c r="J120" s="28"/>
    </row>
    <row r="121">
      <c r="A121" s="15" t="s">
        <v>10383</v>
      </c>
      <c r="B121" s="230">
        <v>2.0</v>
      </c>
      <c r="C121" s="230">
        <v>27.0</v>
      </c>
      <c r="D121" s="230">
        <v>1.0</v>
      </c>
      <c r="E121" s="230">
        <v>3.0</v>
      </c>
      <c r="F121" s="15" t="s">
        <v>8393</v>
      </c>
      <c r="G121" s="15" t="s">
        <v>9084</v>
      </c>
      <c r="H121" s="28"/>
      <c r="I121" s="28"/>
      <c r="J121" s="28"/>
    </row>
    <row r="122">
      <c r="A122" s="15" t="s">
        <v>10383</v>
      </c>
      <c r="B122" s="230">
        <v>2.0</v>
      </c>
      <c r="C122" s="230">
        <v>28.0</v>
      </c>
      <c r="D122" s="230">
        <v>1.0</v>
      </c>
      <c r="E122" s="230">
        <v>3.0</v>
      </c>
      <c r="F122" s="15" t="s">
        <v>8393</v>
      </c>
      <c r="G122" s="15" t="s">
        <v>9086</v>
      </c>
      <c r="H122" s="28"/>
      <c r="I122" s="28"/>
      <c r="J122" s="28"/>
    </row>
    <row r="123">
      <c r="A123" s="15" t="s">
        <v>10383</v>
      </c>
      <c r="B123" s="230">
        <v>2.0</v>
      </c>
      <c r="C123" s="230">
        <v>29.0</v>
      </c>
      <c r="D123" s="230">
        <v>1.0</v>
      </c>
      <c r="E123" s="230">
        <v>3.0</v>
      </c>
      <c r="F123" s="15" t="s">
        <v>8393</v>
      </c>
      <c r="G123" s="15" t="s">
        <v>9088</v>
      </c>
      <c r="H123" s="28"/>
      <c r="I123" s="28"/>
      <c r="J123" s="28"/>
    </row>
    <row r="124">
      <c r="A124" s="15" t="s">
        <v>10383</v>
      </c>
      <c r="B124" s="230">
        <v>2.0</v>
      </c>
      <c r="C124" s="230">
        <v>30.0</v>
      </c>
      <c r="D124" s="230">
        <v>1.0</v>
      </c>
      <c r="E124" s="230">
        <v>3.0</v>
      </c>
      <c r="F124" s="15" t="s">
        <v>8393</v>
      </c>
      <c r="G124" s="15" t="s">
        <v>9041</v>
      </c>
      <c r="H124" s="28"/>
      <c r="I124" s="28"/>
      <c r="J124" s="28"/>
    </row>
    <row r="125">
      <c r="A125" s="15" t="s">
        <v>10383</v>
      </c>
      <c r="B125" s="230">
        <v>2.0</v>
      </c>
      <c r="C125" s="230">
        <v>31.0</v>
      </c>
      <c r="D125" s="230">
        <v>1.0</v>
      </c>
      <c r="E125" s="230">
        <v>3.0</v>
      </c>
      <c r="F125" s="15" t="s">
        <v>8393</v>
      </c>
      <c r="G125" s="15" t="s">
        <v>8960</v>
      </c>
      <c r="H125" s="28"/>
      <c r="I125" s="28"/>
      <c r="J125" s="28"/>
    </row>
    <row r="126">
      <c r="A126" s="15" t="s">
        <v>10383</v>
      </c>
      <c r="B126" s="230">
        <v>2.0</v>
      </c>
      <c r="C126" s="230">
        <v>32.0</v>
      </c>
      <c r="D126" s="230">
        <v>1.0</v>
      </c>
      <c r="E126" s="230">
        <v>3.0</v>
      </c>
      <c r="F126" s="15" t="s">
        <v>8393</v>
      </c>
      <c r="G126" s="15" t="s">
        <v>9092</v>
      </c>
      <c r="H126" s="28"/>
      <c r="I126" s="28"/>
      <c r="J126" s="28"/>
    </row>
    <row r="127">
      <c r="A127" s="15" t="s">
        <v>10383</v>
      </c>
      <c r="B127" s="230">
        <v>2.0</v>
      </c>
      <c r="C127" s="230">
        <v>33.0</v>
      </c>
      <c r="D127" s="230">
        <v>1.0</v>
      </c>
      <c r="E127" s="230">
        <v>3.0</v>
      </c>
      <c r="F127" s="15" t="s">
        <v>8393</v>
      </c>
      <c r="G127" s="15" t="s">
        <v>8962</v>
      </c>
      <c r="H127" s="28"/>
      <c r="I127" s="28"/>
      <c r="J127" s="28"/>
    </row>
    <row r="128">
      <c r="A128" s="15" t="s">
        <v>10383</v>
      </c>
      <c r="B128" s="230">
        <v>2.0</v>
      </c>
      <c r="C128" s="230">
        <v>34.0</v>
      </c>
      <c r="D128" s="230">
        <v>1.0</v>
      </c>
      <c r="E128" s="230">
        <v>3.0</v>
      </c>
      <c r="F128" s="15" t="s">
        <v>8393</v>
      </c>
      <c r="G128" s="15" t="s">
        <v>8966</v>
      </c>
      <c r="H128" s="28"/>
      <c r="I128" s="28"/>
      <c r="J128" s="28"/>
    </row>
    <row r="129">
      <c r="A129" s="15" t="s">
        <v>10383</v>
      </c>
      <c r="B129" s="230">
        <v>2.0</v>
      </c>
      <c r="C129" s="230">
        <v>35.0</v>
      </c>
      <c r="D129" s="230">
        <v>1.0</v>
      </c>
      <c r="E129" s="230">
        <v>3.0</v>
      </c>
      <c r="F129" s="15" t="s">
        <v>8393</v>
      </c>
      <c r="G129" s="15" t="s">
        <v>8968</v>
      </c>
      <c r="H129" s="28"/>
      <c r="I129" s="28"/>
      <c r="J129" s="28"/>
    </row>
    <row r="130">
      <c r="A130" s="15" t="s">
        <v>10383</v>
      </c>
      <c r="B130" s="230">
        <v>2.0</v>
      </c>
      <c r="C130" s="230">
        <v>36.0</v>
      </c>
      <c r="D130" s="230">
        <v>1.0</v>
      </c>
      <c r="E130" s="230">
        <v>3.0</v>
      </c>
      <c r="F130" s="15" t="s">
        <v>8393</v>
      </c>
      <c r="G130" s="15" t="s">
        <v>8970</v>
      </c>
      <c r="H130" s="28"/>
      <c r="I130" s="28"/>
      <c r="J130" s="28"/>
    </row>
    <row r="131">
      <c r="A131" s="15" t="s">
        <v>10383</v>
      </c>
      <c r="B131" s="230">
        <v>2.0</v>
      </c>
      <c r="C131" s="230">
        <v>37.0</v>
      </c>
      <c r="D131" s="230">
        <v>1.0</v>
      </c>
      <c r="E131" s="230">
        <v>3.0</v>
      </c>
      <c r="F131" s="15" t="s">
        <v>8393</v>
      </c>
      <c r="G131" s="15" t="s">
        <v>8976</v>
      </c>
      <c r="H131" s="28"/>
      <c r="I131" s="28"/>
      <c r="J131" s="28"/>
    </row>
    <row r="132">
      <c r="A132" s="15" t="s">
        <v>10383</v>
      </c>
      <c r="B132" s="230">
        <v>2.0</v>
      </c>
      <c r="C132" s="230">
        <v>38.0</v>
      </c>
      <c r="D132" s="230">
        <v>1.0</v>
      </c>
      <c r="E132" s="230">
        <v>3.0</v>
      </c>
      <c r="F132" s="15" t="s">
        <v>8393</v>
      </c>
      <c r="G132" s="15" t="s">
        <v>8978</v>
      </c>
      <c r="H132" s="28"/>
      <c r="I132" s="28"/>
      <c r="J132" s="28"/>
    </row>
    <row r="133">
      <c r="A133" s="15" t="s">
        <v>10383</v>
      </c>
      <c r="B133" s="230">
        <v>2.0</v>
      </c>
      <c r="C133" s="230">
        <v>39.0</v>
      </c>
      <c r="D133" s="230">
        <v>1.0</v>
      </c>
      <c r="E133" s="230">
        <v>3.0</v>
      </c>
      <c r="F133" s="15" t="s">
        <v>8393</v>
      </c>
      <c r="G133" s="15" t="s">
        <v>8980</v>
      </c>
      <c r="H133" s="28"/>
      <c r="I133" s="28"/>
      <c r="J133" s="28"/>
    </row>
    <row r="134">
      <c r="A134" s="15" t="s">
        <v>10383</v>
      </c>
      <c r="B134" s="230">
        <v>2.0</v>
      </c>
      <c r="C134" s="230">
        <v>40.0</v>
      </c>
      <c r="D134" s="230">
        <v>1.0</v>
      </c>
      <c r="E134" s="230">
        <v>3.0</v>
      </c>
      <c r="F134" s="15" t="s">
        <v>8393</v>
      </c>
      <c r="G134" s="15" t="s">
        <v>8982</v>
      </c>
      <c r="H134" s="28"/>
      <c r="I134" s="28"/>
      <c r="J134" s="28"/>
    </row>
    <row r="135">
      <c r="A135" s="15" t="s">
        <v>10383</v>
      </c>
      <c r="B135" s="230">
        <v>2.0</v>
      </c>
      <c r="C135" s="230">
        <v>41.0</v>
      </c>
      <c r="D135" s="230">
        <v>1.0</v>
      </c>
      <c r="E135" s="230">
        <v>3.0</v>
      </c>
      <c r="F135" s="15" t="s">
        <v>8393</v>
      </c>
      <c r="G135" s="15" t="s">
        <v>9102</v>
      </c>
      <c r="H135" s="28"/>
      <c r="I135" s="28"/>
      <c r="J135" s="28"/>
    </row>
    <row r="136">
      <c r="A136" s="15" t="s">
        <v>10383</v>
      </c>
      <c r="B136" s="230">
        <v>2.0</v>
      </c>
      <c r="C136" s="230">
        <v>1.0</v>
      </c>
      <c r="D136" s="230">
        <v>1.0</v>
      </c>
      <c r="E136" s="230">
        <v>4.0</v>
      </c>
      <c r="F136" s="15" t="s">
        <v>8393</v>
      </c>
      <c r="G136" s="15" t="s">
        <v>8929</v>
      </c>
      <c r="H136" s="28"/>
      <c r="I136" s="28"/>
      <c r="J136" s="28"/>
    </row>
    <row r="137">
      <c r="A137" s="15" t="s">
        <v>10383</v>
      </c>
      <c r="B137" s="230">
        <v>2.0</v>
      </c>
      <c r="C137" s="230">
        <v>2.0</v>
      </c>
      <c r="D137" s="230">
        <v>1.0</v>
      </c>
      <c r="E137" s="230">
        <v>4.0</v>
      </c>
      <c r="F137" s="15" t="s">
        <v>8393</v>
      </c>
      <c r="G137" s="15" t="s">
        <v>8930</v>
      </c>
      <c r="H137" s="28"/>
      <c r="I137" s="28"/>
      <c r="J137" s="28"/>
    </row>
    <row r="138">
      <c r="A138" s="15" t="s">
        <v>10383</v>
      </c>
      <c r="B138" s="230">
        <v>2.0</v>
      </c>
      <c r="C138" s="230">
        <v>3.0</v>
      </c>
      <c r="D138" s="230">
        <v>1.0</v>
      </c>
      <c r="E138" s="230">
        <v>4.0</v>
      </c>
      <c r="F138" s="15" t="s">
        <v>8393</v>
      </c>
      <c r="G138" s="15" t="s">
        <v>8931</v>
      </c>
      <c r="H138" s="28"/>
      <c r="I138" s="28"/>
      <c r="J138" s="28"/>
    </row>
    <row r="139">
      <c r="A139" s="15" t="s">
        <v>10383</v>
      </c>
      <c r="B139" s="230">
        <v>2.0</v>
      </c>
      <c r="C139" s="230">
        <v>4.0</v>
      </c>
      <c r="D139" s="230">
        <v>1.0</v>
      </c>
      <c r="E139" s="230">
        <v>4.0</v>
      </c>
      <c r="F139" s="15" t="s">
        <v>8393</v>
      </c>
      <c r="G139" s="15" t="s">
        <v>8932</v>
      </c>
      <c r="H139" s="28"/>
      <c r="I139" s="28"/>
      <c r="J139" s="28"/>
    </row>
    <row r="140">
      <c r="A140" s="15" t="s">
        <v>10383</v>
      </c>
      <c r="B140" s="230">
        <v>2.0</v>
      </c>
      <c r="C140" s="230">
        <v>5.0</v>
      </c>
      <c r="D140" s="230">
        <v>1.0</v>
      </c>
      <c r="E140" s="230">
        <v>4.0</v>
      </c>
      <c r="F140" s="15" t="s">
        <v>8393</v>
      </c>
      <c r="G140" s="15" t="s">
        <v>8933</v>
      </c>
      <c r="H140" s="28"/>
      <c r="I140" s="28"/>
      <c r="J140" s="28"/>
    </row>
    <row r="141">
      <c r="A141" s="15" t="s">
        <v>10383</v>
      </c>
      <c r="B141" s="230">
        <v>2.0</v>
      </c>
      <c r="C141" s="230">
        <v>6.0</v>
      </c>
      <c r="D141" s="230">
        <v>1.0</v>
      </c>
      <c r="E141" s="230">
        <v>4.0</v>
      </c>
      <c r="F141" s="15" t="s">
        <v>8393</v>
      </c>
      <c r="G141" s="15" t="s">
        <v>8934</v>
      </c>
      <c r="H141" s="28"/>
      <c r="I141" s="28"/>
      <c r="J141" s="28"/>
    </row>
    <row r="142">
      <c r="A142" s="15" t="s">
        <v>10383</v>
      </c>
      <c r="B142" s="230">
        <v>2.0</v>
      </c>
      <c r="C142" s="230">
        <v>7.0</v>
      </c>
      <c r="D142" s="230">
        <v>1.0</v>
      </c>
      <c r="E142" s="230">
        <v>4.0</v>
      </c>
      <c r="F142" s="15" t="s">
        <v>8393</v>
      </c>
      <c r="G142" s="15" t="s">
        <v>8935</v>
      </c>
      <c r="H142" s="28"/>
      <c r="I142" s="28"/>
      <c r="J142" s="28"/>
    </row>
    <row r="143">
      <c r="A143" s="15" t="s">
        <v>10383</v>
      </c>
      <c r="B143" s="230">
        <v>2.0</v>
      </c>
      <c r="C143" s="230">
        <v>8.0</v>
      </c>
      <c r="D143" s="230">
        <v>1.0</v>
      </c>
      <c r="E143" s="230">
        <v>4.0</v>
      </c>
      <c r="F143" s="15" t="s">
        <v>8393</v>
      </c>
      <c r="G143" s="15" t="s">
        <v>8936</v>
      </c>
      <c r="H143" s="28"/>
      <c r="I143" s="28"/>
      <c r="J143" s="28"/>
    </row>
    <row r="144">
      <c r="A144" s="15" t="s">
        <v>10383</v>
      </c>
      <c r="B144" s="230">
        <v>2.0</v>
      </c>
      <c r="C144" s="230">
        <v>9.0</v>
      </c>
      <c r="D144" s="230">
        <v>1.0</v>
      </c>
      <c r="E144" s="230">
        <v>4.0</v>
      </c>
      <c r="F144" s="15" t="s">
        <v>8393</v>
      </c>
      <c r="G144" s="15" t="s">
        <v>8937</v>
      </c>
      <c r="H144" s="28"/>
      <c r="I144" s="28"/>
      <c r="J144" s="28"/>
    </row>
    <row r="145">
      <c r="A145" s="15" t="s">
        <v>10383</v>
      </c>
      <c r="B145" s="230">
        <v>2.0</v>
      </c>
      <c r="C145" s="230">
        <v>10.0</v>
      </c>
      <c r="D145" s="230">
        <v>1.0</v>
      </c>
      <c r="E145" s="230">
        <v>4.0</v>
      </c>
      <c r="F145" s="15" t="s">
        <v>8393</v>
      </c>
      <c r="G145" s="15" t="s">
        <v>8938</v>
      </c>
      <c r="H145" s="28"/>
      <c r="I145" s="28"/>
      <c r="J145" s="28"/>
    </row>
    <row r="146">
      <c r="A146" s="15" t="s">
        <v>10383</v>
      </c>
      <c r="B146" s="230">
        <v>2.0</v>
      </c>
      <c r="C146" s="230">
        <v>11.0</v>
      </c>
      <c r="D146" s="230">
        <v>1.0</v>
      </c>
      <c r="E146" s="230">
        <v>4.0</v>
      </c>
      <c r="F146" s="15" t="s">
        <v>8393</v>
      </c>
      <c r="G146" s="15" t="s">
        <v>9151</v>
      </c>
      <c r="H146" s="28"/>
      <c r="I146" s="28"/>
      <c r="J146" s="28"/>
    </row>
    <row r="147">
      <c r="A147" s="15" t="s">
        <v>10383</v>
      </c>
      <c r="B147" s="230">
        <v>2.0</v>
      </c>
      <c r="C147" s="230">
        <v>12.0</v>
      </c>
      <c r="D147" s="230">
        <v>1.0</v>
      </c>
      <c r="E147" s="230">
        <v>4.0</v>
      </c>
      <c r="F147" s="15" t="s">
        <v>8393</v>
      </c>
      <c r="G147" s="15" t="s">
        <v>8940</v>
      </c>
      <c r="H147" s="28"/>
      <c r="I147" s="28"/>
      <c r="J147" s="28"/>
    </row>
    <row r="148">
      <c r="A148" s="15" t="s">
        <v>10383</v>
      </c>
      <c r="B148" s="230">
        <v>2.0</v>
      </c>
      <c r="C148" s="230">
        <v>13.0</v>
      </c>
      <c r="D148" s="230">
        <v>1.0</v>
      </c>
      <c r="E148" s="230">
        <v>4.0</v>
      </c>
      <c r="F148" s="15" t="s">
        <v>8393</v>
      </c>
      <c r="G148" s="15" t="s">
        <v>8941</v>
      </c>
      <c r="H148" s="28"/>
      <c r="I148" s="28"/>
      <c r="J148" s="28"/>
    </row>
    <row r="149">
      <c r="A149" s="15" t="s">
        <v>10383</v>
      </c>
      <c r="B149" s="230">
        <v>2.0</v>
      </c>
      <c r="C149" s="230">
        <v>14.0</v>
      </c>
      <c r="D149" s="230">
        <v>1.0</v>
      </c>
      <c r="E149" s="230">
        <v>4.0</v>
      </c>
      <c r="F149" s="15" t="s">
        <v>8393</v>
      </c>
      <c r="G149" s="15" t="s">
        <v>8942</v>
      </c>
      <c r="H149" s="28"/>
      <c r="I149" s="28"/>
      <c r="J149" s="28"/>
    </row>
    <row r="150">
      <c r="A150" s="15" t="s">
        <v>10383</v>
      </c>
      <c r="B150" s="230">
        <v>2.0</v>
      </c>
      <c r="C150" s="230">
        <v>15.0</v>
      </c>
      <c r="D150" s="230">
        <v>1.0</v>
      </c>
      <c r="E150" s="230">
        <v>4.0</v>
      </c>
      <c r="F150" s="15" t="s">
        <v>8393</v>
      </c>
      <c r="G150" s="15" t="s">
        <v>8943</v>
      </c>
      <c r="H150" s="28"/>
      <c r="I150" s="28"/>
      <c r="J150" s="28"/>
    </row>
    <row r="151">
      <c r="A151" s="15" t="s">
        <v>10383</v>
      </c>
      <c r="B151" s="230">
        <v>2.0</v>
      </c>
      <c r="C151" s="230">
        <v>16.0</v>
      </c>
      <c r="D151" s="230">
        <v>1.0</v>
      </c>
      <c r="E151" s="230">
        <v>4.0</v>
      </c>
      <c r="F151" s="15" t="s">
        <v>8393</v>
      </c>
      <c r="G151" s="15" t="s">
        <v>8944</v>
      </c>
      <c r="H151" s="28"/>
      <c r="I151" s="28"/>
      <c r="J151" s="28"/>
    </row>
    <row r="152">
      <c r="A152" s="15" t="s">
        <v>10383</v>
      </c>
      <c r="B152" s="230">
        <v>2.0</v>
      </c>
      <c r="C152" s="230">
        <v>17.0</v>
      </c>
      <c r="D152" s="230">
        <v>1.0</v>
      </c>
      <c r="E152" s="230">
        <v>4.0</v>
      </c>
      <c r="F152" s="15" t="s">
        <v>8393</v>
      </c>
      <c r="G152" s="15" t="s">
        <v>8945</v>
      </c>
      <c r="H152" s="28"/>
      <c r="I152" s="28"/>
      <c r="J152" s="28"/>
    </row>
    <row r="153">
      <c r="A153" s="15" t="s">
        <v>10383</v>
      </c>
      <c r="B153" s="230">
        <v>2.0</v>
      </c>
      <c r="C153" s="230">
        <v>18.0</v>
      </c>
      <c r="D153" s="230">
        <v>1.0</v>
      </c>
      <c r="E153" s="230">
        <v>4.0</v>
      </c>
      <c r="F153" s="15" t="s">
        <v>8393</v>
      </c>
      <c r="G153" s="15" t="s">
        <v>8946</v>
      </c>
      <c r="H153" s="28"/>
      <c r="I153" s="28"/>
      <c r="J153" s="28"/>
    </row>
    <row r="154">
      <c r="A154" s="15" t="s">
        <v>10383</v>
      </c>
      <c r="B154" s="230">
        <v>2.0</v>
      </c>
      <c r="C154" s="230">
        <v>19.0</v>
      </c>
      <c r="D154" s="230">
        <v>1.0</v>
      </c>
      <c r="E154" s="230">
        <v>4.0</v>
      </c>
      <c r="F154" s="15" t="s">
        <v>8393</v>
      </c>
      <c r="G154" s="15" t="s">
        <v>8947</v>
      </c>
      <c r="H154" s="28"/>
      <c r="I154" s="28"/>
      <c r="J154" s="28"/>
    </row>
    <row r="155">
      <c r="A155" s="15" t="s">
        <v>10383</v>
      </c>
      <c r="B155" s="230">
        <v>2.0</v>
      </c>
      <c r="C155" s="230">
        <v>20.0</v>
      </c>
      <c r="D155" s="230">
        <v>1.0</v>
      </c>
      <c r="E155" s="230">
        <v>4.0</v>
      </c>
      <c r="F155" s="15" t="s">
        <v>8393</v>
      </c>
      <c r="G155" s="15" t="s">
        <v>8948</v>
      </c>
      <c r="H155" s="28"/>
      <c r="I155" s="28"/>
      <c r="J155" s="28"/>
    </row>
    <row r="156">
      <c r="A156" s="15" t="s">
        <v>10383</v>
      </c>
      <c r="B156" s="230">
        <v>2.0</v>
      </c>
      <c r="C156" s="230">
        <v>21.0</v>
      </c>
      <c r="D156" s="230">
        <v>1.0</v>
      </c>
      <c r="E156" s="230">
        <v>4.0</v>
      </c>
      <c r="F156" s="15" t="s">
        <v>8393</v>
      </c>
      <c r="G156" s="15" t="s">
        <v>8949</v>
      </c>
      <c r="H156" s="28"/>
      <c r="I156" s="28"/>
      <c r="J156" s="28"/>
    </row>
    <row r="157">
      <c r="A157" s="15" t="s">
        <v>10383</v>
      </c>
      <c r="B157" s="230">
        <v>2.0</v>
      </c>
      <c r="C157" s="230">
        <v>22.0</v>
      </c>
      <c r="D157" s="230">
        <v>1.0</v>
      </c>
      <c r="E157" s="230">
        <v>4.0</v>
      </c>
      <c r="F157" s="15" t="s">
        <v>8393</v>
      </c>
      <c r="G157" s="15" t="s">
        <v>8950</v>
      </c>
      <c r="H157" s="28"/>
      <c r="I157" s="28"/>
      <c r="J157" s="28"/>
    </row>
    <row r="158">
      <c r="A158" s="15" t="s">
        <v>10383</v>
      </c>
      <c r="B158" s="230">
        <v>2.0</v>
      </c>
      <c r="C158" s="230">
        <v>23.0</v>
      </c>
      <c r="D158" s="230">
        <v>1.0</v>
      </c>
      <c r="E158" s="230">
        <v>4.0</v>
      </c>
      <c r="F158" s="15" t="s">
        <v>8393</v>
      </c>
      <c r="G158" s="15" t="s">
        <v>8951</v>
      </c>
      <c r="H158" s="28"/>
      <c r="I158" s="28"/>
      <c r="J158" s="28"/>
    </row>
    <row r="159">
      <c r="A159" s="15" t="s">
        <v>10383</v>
      </c>
      <c r="B159" s="230">
        <v>2.0</v>
      </c>
      <c r="C159" s="230">
        <v>24.0</v>
      </c>
      <c r="D159" s="230">
        <v>1.0</v>
      </c>
      <c r="E159" s="230">
        <v>4.0</v>
      </c>
      <c r="F159" s="15" t="s">
        <v>8393</v>
      </c>
      <c r="G159" s="15" t="s">
        <v>8952</v>
      </c>
      <c r="H159" s="28"/>
      <c r="I159" s="28"/>
      <c r="J159" s="28"/>
    </row>
    <row r="160">
      <c r="A160" s="15" t="s">
        <v>10383</v>
      </c>
      <c r="B160" s="230">
        <v>2.0</v>
      </c>
      <c r="C160" s="230">
        <v>25.0</v>
      </c>
      <c r="D160" s="230">
        <v>1.0</v>
      </c>
      <c r="E160" s="230">
        <v>4.0</v>
      </c>
      <c r="F160" s="15" t="s">
        <v>8393</v>
      </c>
      <c r="G160" s="15" t="s">
        <v>8953</v>
      </c>
      <c r="H160" s="28"/>
      <c r="I160" s="28"/>
      <c r="J160" s="28"/>
    </row>
    <row r="161">
      <c r="A161" s="15" t="s">
        <v>10383</v>
      </c>
      <c r="B161" s="230">
        <v>2.0</v>
      </c>
      <c r="C161" s="230">
        <v>26.0</v>
      </c>
      <c r="D161" s="230">
        <v>1.0</v>
      </c>
      <c r="E161" s="230">
        <v>4.0</v>
      </c>
      <c r="F161" s="15" t="s">
        <v>8393</v>
      </c>
      <c r="G161" s="15" t="s">
        <v>8956</v>
      </c>
      <c r="H161" s="28"/>
      <c r="I161" s="28"/>
      <c r="J161" s="28"/>
    </row>
    <row r="162">
      <c r="A162" s="15" t="s">
        <v>10383</v>
      </c>
      <c r="B162" s="230">
        <v>2.0</v>
      </c>
      <c r="C162" s="230">
        <v>27.0</v>
      </c>
      <c r="D162" s="230">
        <v>1.0</v>
      </c>
      <c r="E162" s="230">
        <v>4.0</v>
      </c>
      <c r="F162" s="15" t="s">
        <v>8393</v>
      </c>
      <c r="G162" s="15" t="s">
        <v>9038</v>
      </c>
      <c r="H162" s="28"/>
      <c r="I162" s="28"/>
      <c r="J162" s="28"/>
    </row>
    <row r="163">
      <c r="A163" s="15" t="s">
        <v>10383</v>
      </c>
      <c r="B163" s="230">
        <v>2.0</v>
      </c>
      <c r="C163" s="230">
        <v>28.0</v>
      </c>
      <c r="D163" s="230">
        <v>1.0</v>
      </c>
      <c r="E163" s="230">
        <v>4.0</v>
      </c>
      <c r="F163" s="15" t="s">
        <v>8393</v>
      </c>
      <c r="G163" s="15" t="s">
        <v>8958</v>
      </c>
      <c r="H163" s="28"/>
      <c r="I163" s="28"/>
      <c r="J163" s="28"/>
    </row>
    <row r="164">
      <c r="A164" s="15" t="s">
        <v>10383</v>
      </c>
      <c r="B164" s="230">
        <v>2.0</v>
      </c>
      <c r="C164" s="230">
        <v>29.0</v>
      </c>
      <c r="D164" s="230">
        <v>1.0</v>
      </c>
      <c r="E164" s="230">
        <v>4.0</v>
      </c>
      <c r="F164" s="15" t="s">
        <v>8393</v>
      </c>
      <c r="G164" s="15" t="s">
        <v>9041</v>
      </c>
      <c r="H164" s="28"/>
      <c r="I164" s="28"/>
      <c r="J164" s="28"/>
    </row>
    <row r="165">
      <c r="A165" s="15" t="s">
        <v>10383</v>
      </c>
      <c r="B165" s="230">
        <v>2.0</v>
      </c>
      <c r="C165" s="230">
        <v>30.0</v>
      </c>
      <c r="D165" s="230">
        <v>1.0</v>
      </c>
      <c r="E165" s="230">
        <v>4.0</v>
      </c>
      <c r="F165" s="15" t="s">
        <v>8393</v>
      </c>
      <c r="G165" s="15" t="s">
        <v>8960</v>
      </c>
      <c r="H165" s="28"/>
      <c r="I165" s="28"/>
      <c r="J165" s="28"/>
    </row>
    <row r="166">
      <c r="A166" s="15" t="s">
        <v>10383</v>
      </c>
      <c r="B166" s="230">
        <v>2.0</v>
      </c>
      <c r="C166" s="230">
        <v>31.0</v>
      </c>
      <c r="D166" s="230">
        <v>1.0</v>
      </c>
      <c r="E166" s="230">
        <v>4.0</v>
      </c>
      <c r="F166" s="15" t="s">
        <v>8393</v>
      </c>
      <c r="G166" s="15" t="s">
        <v>9044</v>
      </c>
      <c r="H166" s="28"/>
      <c r="I166" s="28"/>
      <c r="J166" s="28"/>
    </row>
    <row r="167">
      <c r="A167" s="15" t="s">
        <v>10383</v>
      </c>
      <c r="B167" s="230">
        <v>2.0</v>
      </c>
      <c r="C167" s="230">
        <v>32.0</v>
      </c>
      <c r="D167" s="230">
        <v>1.0</v>
      </c>
      <c r="E167" s="230">
        <v>4.0</v>
      </c>
      <c r="F167" s="15" t="s">
        <v>8393</v>
      </c>
      <c r="G167" s="10" t="s">
        <v>8964</v>
      </c>
      <c r="H167" s="28"/>
      <c r="I167" s="28"/>
      <c r="J167" s="28"/>
    </row>
    <row r="168">
      <c r="A168" s="15" t="s">
        <v>10383</v>
      </c>
      <c r="B168" s="230">
        <v>2.0</v>
      </c>
      <c r="C168" s="230">
        <v>33.0</v>
      </c>
      <c r="D168" s="230">
        <v>1.0</v>
      </c>
      <c r="E168" s="230">
        <v>4.0</v>
      </c>
      <c r="F168" s="15" t="s">
        <v>8393</v>
      </c>
      <c r="G168" s="15" t="s">
        <v>8966</v>
      </c>
      <c r="H168" s="28"/>
      <c r="I168" s="28"/>
      <c r="J168" s="28"/>
    </row>
    <row r="169">
      <c r="A169" s="15" t="s">
        <v>10383</v>
      </c>
      <c r="B169" s="230">
        <v>2.0</v>
      </c>
      <c r="C169" s="230">
        <v>34.0</v>
      </c>
      <c r="D169" s="230">
        <v>1.0</v>
      </c>
      <c r="E169" s="230">
        <v>4.0</v>
      </c>
      <c r="F169" s="15" t="s">
        <v>8393</v>
      </c>
      <c r="G169" s="15" t="s">
        <v>8968</v>
      </c>
      <c r="H169" s="28"/>
      <c r="I169" s="28"/>
      <c r="J169" s="28"/>
    </row>
    <row r="170">
      <c r="A170" s="15" t="s">
        <v>10383</v>
      </c>
      <c r="B170" s="230">
        <v>2.0</v>
      </c>
      <c r="C170" s="230">
        <v>35.0</v>
      </c>
      <c r="D170" s="230">
        <v>1.0</v>
      </c>
      <c r="E170" s="230">
        <v>4.0</v>
      </c>
      <c r="F170" s="15" t="s">
        <v>8393</v>
      </c>
      <c r="G170" s="15" t="s">
        <v>8970</v>
      </c>
      <c r="H170" s="28"/>
      <c r="I170" s="28"/>
      <c r="J170" s="28"/>
    </row>
    <row r="171">
      <c r="A171" s="15" t="s">
        <v>10383</v>
      </c>
      <c r="B171" s="230">
        <v>2.0</v>
      </c>
      <c r="C171" s="230">
        <v>36.0</v>
      </c>
      <c r="D171" s="230">
        <v>1.0</v>
      </c>
      <c r="E171" s="230">
        <v>4.0</v>
      </c>
      <c r="F171" s="15" t="s">
        <v>8393</v>
      </c>
      <c r="G171" s="15" t="s">
        <v>9050</v>
      </c>
      <c r="H171" s="28"/>
      <c r="I171" s="28"/>
      <c r="J171" s="28"/>
    </row>
    <row r="172">
      <c r="A172" s="15" t="s">
        <v>10383</v>
      </c>
      <c r="B172" s="230">
        <v>2.0</v>
      </c>
      <c r="C172" s="230">
        <v>37.0</v>
      </c>
      <c r="D172" s="230">
        <v>1.0</v>
      </c>
      <c r="E172" s="230">
        <v>4.0</v>
      </c>
      <c r="F172" s="15" t="s">
        <v>8393</v>
      </c>
      <c r="G172" s="15" t="s">
        <v>8972</v>
      </c>
      <c r="H172" s="28"/>
      <c r="I172" s="28"/>
      <c r="J172" s="28"/>
    </row>
    <row r="173">
      <c r="A173" s="15" t="s">
        <v>10383</v>
      </c>
      <c r="B173" s="230">
        <v>2.0</v>
      </c>
      <c r="C173" s="230">
        <v>38.0</v>
      </c>
      <c r="D173" s="230">
        <v>1.0</v>
      </c>
      <c r="E173" s="230">
        <v>4.0</v>
      </c>
      <c r="F173" s="15" t="s">
        <v>8393</v>
      </c>
      <c r="G173" s="15" t="s">
        <v>8976</v>
      </c>
      <c r="H173" s="28"/>
      <c r="I173" s="28"/>
      <c r="J173" s="28"/>
    </row>
    <row r="174">
      <c r="A174" s="15" t="s">
        <v>10383</v>
      </c>
      <c r="B174" s="230">
        <v>2.0</v>
      </c>
      <c r="C174" s="230">
        <v>39.0</v>
      </c>
      <c r="D174" s="230">
        <v>1.0</v>
      </c>
      <c r="E174" s="230">
        <v>4.0</v>
      </c>
      <c r="F174" s="15" t="s">
        <v>8393</v>
      </c>
      <c r="G174" s="15" t="s">
        <v>8980</v>
      </c>
      <c r="H174" s="28"/>
      <c r="I174" s="28"/>
      <c r="J174" s="28"/>
    </row>
    <row r="175">
      <c r="A175" s="15" t="s">
        <v>10383</v>
      </c>
      <c r="B175" s="230">
        <v>2.0</v>
      </c>
      <c r="C175" s="230">
        <v>40.0</v>
      </c>
      <c r="D175" s="230">
        <v>1.0</v>
      </c>
      <c r="E175" s="230">
        <v>4.0</v>
      </c>
      <c r="F175" s="15" t="s">
        <v>8393</v>
      </c>
      <c r="G175" s="15" t="s">
        <v>9055</v>
      </c>
      <c r="H175" s="28"/>
      <c r="I175" s="28"/>
      <c r="J175" s="28"/>
    </row>
    <row r="176">
      <c r="A176" s="15" t="s">
        <v>10383</v>
      </c>
      <c r="B176" s="230">
        <v>2.0</v>
      </c>
      <c r="C176" s="230">
        <v>41.0</v>
      </c>
      <c r="D176" s="230">
        <v>1.0</v>
      </c>
      <c r="E176" s="230">
        <v>4.0</v>
      </c>
      <c r="F176" s="15" t="s">
        <v>8393</v>
      </c>
      <c r="G176" s="15" t="s">
        <v>8984</v>
      </c>
      <c r="H176" s="28"/>
      <c r="I176" s="28"/>
      <c r="J176" s="28"/>
    </row>
    <row r="177">
      <c r="A177" s="15" t="s">
        <v>10383</v>
      </c>
      <c r="B177" s="230">
        <v>2.0</v>
      </c>
      <c r="C177" s="230">
        <v>1.0</v>
      </c>
      <c r="D177" s="230">
        <v>1.0</v>
      </c>
      <c r="E177" s="230">
        <v>5.0</v>
      </c>
      <c r="F177" s="15" t="s">
        <v>8393</v>
      </c>
      <c r="G177" s="15" t="s">
        <v>9138</v>
      </c>
      <c r="H177" s="28"/>
      <c r="I177" s="28"/>
      <c r="J177" s="28"/>
    </row>
    <row r="178">
      <c r="A178" s="15" t="s">
        <v>10383</v>
      </c>
      <c r="B178" s="230">
        <v>2.0</v>
      </c>
      <c r="C178" s="230">
        <v>1.0</v>
      </c>
      <c r="D178" s="230">
        <v>1.0</v>
      </c>
      <c r="E178" s="230">
        <v>6.0</v>
      </c>
      <c r="F178" s="15" t="s">
        <v>8393</v>
      </c>
      <c r="G178" s="15" t="s">
        <v>8929</v>
      </c>
      <c r="H178" s="28"/>
      <c r="I178" s="28"/>
      <c r="J178" s="28"/>
    </row>
    <row r="179">
      <c r="A179" s="15" t="s">
        <v>10383</v>
      </c>
      <c r="B179" s="230">
        <v>2.0</v>
      </c>
      <c r="C179" s="230">
        <v>2.0</v>
      </c>
      <c r="D179" s="230">
        <v>1.0</v>
      </c>
      <c r="E179" s="230">
        <v>6.0</v>
      </c>
      <c r="F179" s="15" t="s">
        <v>8393</v>
      </c>
      <c r="G179" s="15" t="s">
        <v>8930</v>
      </c>
      <c r="H179" s="28"/>
      <c r="I179" s="28"/>
      <c r="J179" s="28"/>
    </row>
    <row r="180">
      <c r="A180" s="15" t="s">
        <v>10383</v>
      </c>
      <c r="B180" s="230">
        <v>2.0</v>
      </c>
      <c r="C180" s="230">
        <v>3.0</v>
      </c>
      <c r="D180" s="230">
        <v>1.0</v>
      </c>
      <c r="E180" s="230">
        <v>6.0</v>
      </c>
      <c r="F180" s="15" t="s">
        <v>8393</v>
      </c>
      <c r="G180" s="15" t="s">
        <v>8931</v>
      </c>
      <c r="H180" s="28"/>
      <c r="I180" s="28"/>
      <c r="J180" s="28"/>
    </row>
    <row r="181">
      <c r="A181" s="15" t="s">
        <v>10383</v>
      </c>
      <c r="B181" s="230">
        <v>2.0</v>
      </c>
      <c r="C181" s="230">
        <v>4.0</v>
      </c>
      <c r="D181" s="230">
        <v>1.0</v>
      </c>
      <c r="E181" s="230">
        <v>6.0</v>
      </c>
      <c r="F181" s="15" t="s">
        <v>8393</v>
      </c>
      <c r="G181" s="15" t="s">
        <v>8932</v>
      </c>
      <c r="H181" s="28"/>
      <c r="I181" s="28"/>
      <c r="J181" s="28"/>
    </row>
    <row r="182">
      <c r="A182" s="15" t="s">
        <v>10383</v>
      </c>
      <c r="B182" s="230">
        <v>2.0</v>
      </c>
      <c r="C182" s="230">
        <v>5.0</v>
      </c>
      <c r="D182" s="230">
        <v>1.0</v>
      </c>
      <c r="E182" s="230">
        <v>6.0</v>
      </c>
      <c r="F182" s="15" t="s">
        <v>8393</v>
      </c>
      <c r="G182" s="15" t="s">
        <v>8933</v>
      </c>
      <c r="H182" s="28"/>
      <c r="I182" s="28"/>
      <c r="J182" s="28"/>
    </row>
    <row r="183">
      <c r="A183" s="15" t="s">
        <v>10383</v>
      </c>
      <c r="B183" s="230">
        <v>2.0</v>
      </c>
      <c r="C183" s="230">
        <v>6.0</v>
      </c>
      <c r="D183" s="230">
        <v>1.0</v>
      </c>
      <c r="E183" s="230">
        <v>6.0</v>
      </c>
      <c r="F183" s="15" t="s">
        <v>8393</v>
      </c>
      <c r="G183" s="15" t="s">
        <v>8934</v>
      </c>
      <c r="H183" s="28"/>
      <c r="I183" s="28"/>
      <c r="J183" s="28"/>
    </row>
    <row r="184">
      <c r="A184" s="15" t="s">
        <v>10383</v>
      </c>
      <c r="B184" s="230">
        <v>2.0</v>
      </c>
      <c r="C184" s="230">
        <v>7.0</v>
      </c>
      <c r="D184" s="230">
        <v>1.0</v>
      </c>
      <c r="E184" s="230">
        <v>6.0</v>
      </c>
      <c r="F184" s="15" t="s">
        <v>8393</v>
      </c>
      <c r="G184" s="15" t="s">
        <v>8935</v>
      </c>
      <c r="H184" s="28"/>
      <c r="I184" s="28"/>
      <c r="J184" s="28"/>
    </row>
    <row r="185">
      <c r="A185" s="15" t="s">
        <v>10383</v>
      </c>
      <c r="B185" s="230">
        <v>2.0</v>
      </c>
      <c r="C185" s="230">
        <v>8.0</v>
      </c>
      <c r="D185" s="230">
        <v>1.0</v>
      </c>
      <c r="E185" s="230">
        <v>6.0</v>
      </c>
      <c r="F185" s="15" t="s">
        <v>8393</v>
      </c>
      <c r="G185" s="15" t="s">
        <v>8936</v>
      </c>
      <c r="H185" s="28"/>
      <c r="I185" s="28"/>
      <c r="J185" s="28"/>
    </row>
    <row r="186">
      <c r="A186" s="15" t="s">
        <v>10383</v>
      </c>
      <c r="B186" s="230">
        <v>2.0</v>
      </c>
      <c r="C186" s="230">
        <v>9.0</v>
      </c>
      <c r="D186" s="230">
        <v>1.0</v>
      </c>
      <c r="E186" s="230">
        <v>6.0</v>
      </c>
      <c r="F186" s="15" t="s">
        <v>8393</v>
      </c>
      <c r="G186" s="15" t="s">
        <v>8937</v>
      </c>
      <c r="H186" s="28"/>
      <c r="I186" s="28"/>
      <c r="J186" s="28"/>
    </row>
    <row r="187">
      <c r="A187" s="15" t="s">
        <v>10383</v>
      </c>
      <c r="B187" s="230">
        <v>2.0</v>
      </c>
      <c r="C187" s="230">
        <v>10.0</v>
      </c>
      <c r="D187" s="230">
        <v>1.0</v>
      </c>
      <c r="E187" s="230">
        <v>6.0</v>
      </c>
      <c r="F187" s="15" t="s">
        <v>8393</v>
      </c>
      <c r="G187" s="15" t="s">
        <v>8938</v>
      </c>
      <c r="H187" s="28"/>
      <c r="I187" s="28"/>
      <c r="J187" s="28"/>
    </row>
    <row r="188">
      <c r="A188" s="15" t="s">
        <v>10383</v>
      </c>
      <c r="B188" s="230">
        <v>2.0</v>
      </c>
      <c r="C188" s="230">
        <v>11.0</v>
      </c>
      <c r="D188" s="230">
        <v>1.0</v>
      </c>
      <c r="E188" s="230">
        <v>6.0</v>
      </c>
      <c r="F188" s="15" t="s">
        <v>8393</v>
      </c>
      <c r="G188" s="15" t="s">
        <v>9151</v>
      </c>
      <c r="H188" s="28"/>
      <c r="I188" s="28"/>
      <c r="J188" s="28"/>
    </row>
    <row r="189">
      <c r="A189" s="15" t="s">
        <v>10383</v>
      </c>
      <c r="B189" s="230">
        <v>2.0</v>
      </c>
      <c r="C189" s="230">
        <v>12.0</v>
      </c>
      <c r="D189" s="230">
        <v>1.0</v>
      </c>
      <c r="E189" s="230">
        <v>6.0</v>
      </c>
      <c r="F189" s="15" t="s">
        <v>8393</v>
      </c>
      <c r="G189" s="15" t="s">
        <v>8940</v>
      </c>
      <c r="H189" s="28"/>
      <c r="I189" s="28"/>
      <c r="J189" s="28"/>
    </row>
    <row r="190">
      <c r="A190" s="15" t="s">
        <v>10383</v>
      </c>
      <c r="B190" s="230">
        <v>2.0</v>
      </c>
      <c r="C190" s="230">
        <v>13.0</v>
      </c>
      <c r="D190" s="230">
        <v>1.0</v>
      </c>
      <c r="E190" s="230">
        <v>6.0</v>
      </c>
      <c r="F190" s="15" t="s">
        <v>8393</v>
      </c>
      <c r="G190" s="15" t="s">
        <v>8941</v>
      </c>
      <c r="H190" s="28"/>
      <c r="I190" s="28"/>
      <c r="J190" s="28"/>
    </row>
    <row r="191">
      <c r="A191" s="15" t="s">
        <v>10383</v>
      </c>
      <c r="B191" s="230">
        <v>2.0</v>
      </c>
      <c r="C191" s="230">
        <v>14.0</v>
      </c>
      <c r="D191" s="230">
        <v>1.0</v>
      </c>
      <c r="E191" s="230">
        <v>6.0</v>
      </c>
      <c r="F191" s="15" t="s">
        <v>8393</v>
      </c>
      <c r="G191" s="15" t="s">
        <v>8942</v>
      </c>
      <c r="H191" s="28"/>
      <c r="I191" s="28"/>
      <c r="J191" s="28"/>
    </row>
    <row r="192">
      <c r="A192" s="15" t="s">
        <v>10383</v>
      </c>
      <c r="B192" s="230">
        <v>2.0</v>
      </c>
      <c r="C192" s="230">
        <v>15.0</v>
      </c>
      <c r="D192" s="230">
        <v>1.0</v>
      </c>
      <c r="E192" s="230">
        <v>6.0</v>
      </c>
      <c r="F192" s="15" t="s">
        <v>8393</v>
      </c>
      <c r="G192" s="15" t="s">
        <v>8943</v>
      </c>
      <c r="H192" s="28"/>
      <c r="I192" s="28"/>
      <c r="J192" s="28"/>
    </row>
    <row r="193">
      <c r="A193" s="15" t="s">
        <v>10383</v>
      </c>
      <c r="B193" s="230">
        <v>2.0</v>
      </c>
      <c r="C193" s="230">
        <v>16.0</v>
      </c>
      <c r="D193" s="230">
        <v>1.0</v>
      </c>
      <c r="E193" s="230">
        <v>6.0</v>
      </c>
      <c r="F193" s="15" t="s">
        <v>8393</v>
      </c>
      <c r="G193" s="15" t="s">
        <v>8944</v>
      </c>
      <c r="H193" s="28"/>
      <c r="I193" s="28"/>
      <c r="J193" s="28"/>
    </row>
    <row r="194">
      <c r="A194" s="15" t="s">
        <v>10383</v>
      </c>
      <c r="B194" s="230">
        <v>2.0</v>
      </c>
      <c r="C194" s="230">
        <v>17.0</v>
      </c>
      <c r="D194" s="230">
        <v>1.0</v>
      </c>
      <c r="E194" s="230">
        <v>6.0</v>
      </c>
      <c r="F194" s="15" t="s">
        <v>8393</v>
      </c>
      <c r="G194" s="15" t="s">
        <v>8945</v>
      </c>
      <c r="H194" s="28"/>
      <c r="I194" s="28"/>
      <c r="J194" s="28"/>
    </row>
    <row r="195">
      <c r="A195" s="15" t="s">
        <v>10383</v>
      </c>
      <c r="B195" s="230">
        <v>2.0</v>
      </c>
      <c r="C195" s="230">
        <v>18.0</v>
      </c>
      <c r="D195" s="230">
        <v>1.0</v>
      </c>
      <c r="E195" s="230">
        <v>6.0</v>
      </c>
      <c r="F195" s="15" t="s">
        <v>8393</v>
      </c>
      <c r="G195" s="15" t="s">
        <v>8946</v>
      </c>
      <c r="H195" s="28"/>
      <c r="I195" s="28"/>
      <c r="J195" s="28"/>
    </row>
    <row r="196">
      <c r="A196" s="15" t="s">
        <v>10383</v>
      </c>
      <c r="B196" s="230">
        <v>2.0</v>
      </c>
      <c r="C196" s="230">
        <v>19.0</v>
      </c>
      <c r="D196" s="230">
        <v>1.0</v>
      </c>
      <c r="E196" s="230">
        <v>6.0</v>
      </c>
      <c r="F196" s="15" t="s">
        <v>8393</v>
      </c>
      <c r="G196" s="15" t="s">
        <v>8947</v>
      </c>
      <c r="H196" s="28"/>
      <c r="I196" s="28"/>
      <c r="J196" s="28"/>
    </row>
    <row r="197">
      <c r="A197" s="15" t="s">
        <v>10383</v>
      </c>
      <c r="B197" s="230">
        <v>2.0</v>
      </c>
      <c r="C197" s="230">
        <v>20.0</v>
      </c>
      <c r="D197" s="230">
        <v>1.0</v>
      </c>
      <c r="E197" s="230">
        <v>6.0</v>
      </c>
      <c r="F197" s="15" t="s">
        <v>8393</v>
      </c>
      <c r="G197" s="15" t="s">
        <v>8948</v>
      </c>
      <c r="H197" s="28"/>
      <c r="I197" s="28"/>
      <c r="J197" s="28"/>
    </row>
    <row r="198">
      <c r="A198" s="15" t="s">
        <v>10383</v>
      </c>
      <c r="B198" s="230">
        <v>2.0</v>
      </c>
      <c r="C198" s="230">
        <v>21.0</v>
      </c>
      <c r="D198" s="230">
        <v>1.0</v>
      </c>
      <c r="E198" s="230">
        <v>6.0</v>
      </c>
      <c r="F198" s="15" t="s">
        <v>8393</v>
      </c>
      <c r="G198" s="15" t="s">
        <v>8949</v>
      </c>
      <c r="H198" s="28"/>
      <c r="I198" s="28"/>
      <c r="J198" s="28"/>
    </row>
    <row r="199">
      <c r="A199" s="15" t="s">
        <v>10383</v>
      </c>
      <c r="B199" s="230">
        <v>2.0</v>
      </c>
      <c r="C199" s="230">
        <v>22.0</v>
      </c>
      <c r="D199" s="230">
        <v>1.0</v>
      </c>
      <c r="E199" s="230">
        <v>6.0</v>
      </c>
      <c r="F199" s="15" t="s">
        <v>8393</v>
      </c>
      <c r="G199" s="15" t="s">
        <v>8950</v>
      </c>
      <c r="H199" s="28"/>
      <c r="I199" s="28"/>
      <c r="J199" s="28"/>
    </row>
    <row r="200">
      <c r="A200" s="15" t="s">
        <v>10383</v>
      </c>
      <c r="B200" s="230">
        <v>2.0</v>
      </c>
      <c r="C200" s="230">
        <v>23.0</v>
      </c>
      <c r="D200" s="230">
        <v>1.0</v>
      </c>
      <c r="E200" s="230">
        <v>6.0</v>
      </c>
      <c r="F200" s="15" t="s">
        <v>8393</v>
      </c>
      <c r="G200" s="15" t="s">
        <v>8951</v>
      </c>
      <c r="H200" s="28"/>
      <c r="I200" s="28"/>
      <c r="J200" s="28"/>
    </row>
    <row r="201">
      <c r="A201" s="15" t="s">
        <v>10383</v>
      </c>
      <c r="B201" s="230">
        <v>2.0</v>
      </c>
      <c r="C201" s="230">
        <v>24.0</v>
      </c>
      <c r="D201" s="230">
        <v>1.0</v>
      </c>
      <c r="E201" s="230">
        <v>6.0</v>
      </c>
      <c r="F201" s="15" t="s">
        <v>8393</v>
      </c>
      <c r="G201" s="15" t="s">
        <v>8952</v>
      </c>
      <c r="H201" s="28"/>
      <c r="I201" s="28"/>
      <c r="J201" s="28"/>
    </row>
    <row r="202">
      <c r="A202" s="15" t="s">
        <v>10383</v>
      </c>
      <c r="B202" s="230">
        <v>2.0</v>
      </c>
      <c r="C202" s="230">
        <v>25.0</v>
      </c>
      <c r="D202" s="230">
        <v>1.0</v>
      </c>
      <c r="E202" s="230">
        <v>6.0</v>
      </c>
      <c r="F202" s="15" t="s">
        <v>8393</v>
      </c>
      <c r="G202" s="15" t="s">
        <v>8953</v>
      </c>
      <c r="H202" s="28"/>
      <c r="I202" s="28"/>
      <c r="J202" s="28"/>
    </row>
    <row r="203">
      <c r="A203" s="15" t="s">
        <v>10383</v>
      </c>
      <c r="B203" s="230">
        <v>2.0</v>
      </c>
      <c r="C203" s="230">
        <v>26.0</v>
      </c>
      <c r="D203" s="230">
        <v>1.0</v>
      </c>
      <c r="E203" s="230">
        <v>6.0</v>
      </c>
      <c r="F203" s="15" t="s">
        <v>8393</v>
      </c>
      <c r="G203" s="15" t="s">
        <v>9038</v>
      </c>
      <c r="H203" s="28"/>
      <c r="I203" s="28"/>
      <c r="J203" s="28"/>
    </row>
    <row r="204">
      <c r="A204" s="15" t="s">
        <v>10383</v>
      </c>
      <c r="B204" s="230">
        <v>2.0</v>
      </c>
      <c r="C204" s="230">
        <v>27.0</v>
      </c>
      <c r="D204" s="230">
        <v>1.0</v>
      </c>
      <c r="E204" s="230">
        <v>6.0</v>
      </c>
      <c r="F204" s="15" t="s">
        <v>8393</v>
      </c>
      <c r="G204" s="15" t="s">
        <v>9107</v>
      </c>
      <c r="H204" s="28"/>
      <c r="I204" s="28"/>
      <c r="J204" s="28"/>
    </row>
    <row r="205">
      <c r="A205" s="15" t="s">
        <v>10383</v>
      </c>
      <c r="B205" s="230">
        <v>2.0</v>
      </c>
      <c r="C205" s="230">
        <v>28.0</v>
      </c>
      <c r="D205" s="230">
        <v>1.0</v>
      </c>
      <c r="E205" s="230">
        <v>6.0</v>
      </c>
      <c r="F205" s="15" t="s">
        <v>8393</v>
      </c>
      <c r="G205" s="15" t="s">
        <v>9109</v>
      </c>
      <c r="H205" s="28"/>
      <c r="I205" s="28"/>
      <c r="J205" s="28"/>
    </row>
    <row r="206">
      <c r="A206" s="15" t="s">
        <v>10383</v>
      </c>
      <c r="B206" s="230">
        <v>2.0</v>
      </c>
      <c r="C206" s="230">
        <v>29.0</v>
      </c>
      <c r="D206" s="230">
        <v>1.0</v>
      </c>
      <c r="E206" s="230">
        <v>6.0</v>
      </c>
      <c r="F206" s="15" t="s">
        <v>8393</v>
      </c>
      <c r="G206" s="15" t="s">
        <v>9044</v>
      </c>
      <c r="H206" s="28"/>
      <c r="I206" s="28"/>
      <c r="J206" s="28"/>
    </row>
    <row r="207">
      <c r="A207" s="15" t="s">
        <v>10383</v>
      </c>
      <c r="B207" s="230">
        <v>2.0</v>
      </c>
      <c r="C207" s="230">
        <v>30.0</v>
      </c>
      <c r="D207" s="230">
        <v>1.0</v>
      </c>
      <c r="E207" s="230">
        <v>6.0</v>
      </c>
      <c r="F207" s="15" t="s">
        <v>8393</v>
      </c>
      <c r="G207" s="15" t="s">
        <v>9112</v>
      </c>
      <c r="H207" s="28"/>
      <c r="I207" s="28"/>
      <c r="J207" s="28"/>
    </row>
    <row r="208">
      <c r="A208" s="15" t="s">
        <v>10383</v>
      </c>
      <c r="B208" s="230">
        <v>2.0</v>
      </c>
      <c r="C208" s="230">
        <v>31.0</v>
      </c>
      <c r="D208" s="230">
        <v>1.0</v>
      </c>
      <c r="E208" s="230">
        <v>6.0</v>
      </c>
      <c r="F208" s="15" t="s">
        <v>8393</v>
      </c>
      <c r="G208" s="15" t="s">
        <v>9114</v>
      </c>
      <c r="H208" s="28"/>
      <c r="I208" s="28"/>
      <c r="J208" s="28"/>
    </row>
    <row r="209">
      <c r="A209" s="15" t="s">
        <v>10383</v>
      </c>
      <c r="B209" s="230">
        <v>2.0</v>
      </c>
      <c r="C209" s="230">
        <v>32.0</v>
      </c>
      <c r="D209" s="230">
        <v>1.0</v>
      </c>
      <c r="E209" s="230">
        <v>6.0</v>
      </c>
      <c r="F209" s="15" t="s">
        <v>8393</v>
      </c>
      <c r="G209" s="15" t="s">
        <v>9116</v>
      </c>
      <c r="H209" s="28"/>
      <c r="I209" s="28"/>
      <c r="J209" s="28"/>
    </row>
    <row r="210">
      <c r="A210" s="15" t="s">
        <v>10383</v>
      </c>
      <c r="B210" s="230">
        <v>2.0</v>
      </c>
      <c r="C210" s="230">
        <v>33.0</v>
      </c>
      <c r="D210" s="230">
        <v>1.0</v>
      </c>
      <c r="E210" s="230">
        <v>6.0</v>
      </c>
      <c r="F210" s="15" t="s">
        <v>8393</v>
      </c>
      <c r="G210" s="15" t="s">
        <v>9118</v>
      </c>
      <c r="H210" s="28"/>
      <c r="I210" s="28"/>
      <c r="J210" s="28"/>
    </row>
    <row r="211">
      <c r="A211" s="15" t="s">
        <v>10383</v>
      </c>
      <c r="B211" s="230">
        <v>2.0</v>
      </c>
      <c r="C211" s="230">
        <v>34.0</v>
      </c>
      <c r="D211" s="230">
        <v>1.0</v>
      </c>
      <c r="E211" s="230">
        <v>6.0</v>
      </c>
      <c r="F211" s="15" t="s">
        <v>8393</v>
      </c>
      <c r="G211" s="15" t="s">
        <v>8968</v>
      </c>
      <c r="H211" s="28"/>
      <c r="I211" s="28"/>
      <c r="J211" s="28"/>
    </row>
    <row r="212">
      <c r="A212" s="15" t="s">
        <v>10383</v>
      </c>
      <c r="B212" s="230">
        <v>2.0</v>
      </c>
      <c r="C212" s="230">
        <v>35.0</v>
      </c>
      <c r="D212" s="230">
        <v>1.0</v>
      </c>
      <c r="E212" s="230">
        <v>6.0</v>
      </c>
      <c r="F212" s="15" t="s">
        <v>8393</v>
      </c>
      <c r="G212" s="15" t="s">
        <v>8972</v>
      </c>
      <c r="H212" s="28"/>
      <c r="I212" s="28"/>
      <c r="J212" s="28"/>
    </row>
    <row r="213">
      <c r="A213" s="15" t="s">
        <v>10383</v>
      </c>
      <c r="B213" s="230">
        <v>2.0</v>
      </c>
      <c r="C213" s="230">
        <v>36.0</v>
      </c>
      <c r="D213" s="230">
        <v>1.0</v>
      </c>
      <c r="E213" s="230">
        <v>6.0</v>
      </c>
      <c r="F213" s="15" t="s">
        <v>8393</v>
      </c>
      <c r="G213" s="15" t="s">
        <v>8980</v>
      </c>
      <c r="H213" s="28"/>
      <c r="I213" s="28"/>
      <c r="J213" s="28"/>
    </row>
    <row r="214">
      <c r="A214" s="15" t="s">
        <v>10383</v>
      </c>
      <c r="B214" s="230">
        <v>2.0</v>
      </c>
      <c r="C214" s="230">
        <v>37.0</v>
      </c>
      <c r="D214" s="230">
        <v>1.0</v>
      </c>
      <c r="E214" s="230">
        <v>6.0</v>
      </c>
      <c r="F214" s="15" t="s">
        <v>8393</v>
      </c>
      <c r="G214" s="15" t="s">
        <v>9123</v>
      </c>
      <c r="H214" s="28"/>
      <c r="I214" s="28"/>
      <c r="J214" s="28"/>
    </row>
    <row r="215">
      <c r="A215" s="15" t="s">
        <v>10383</v>
      </c>
      <c r="B215" s="230">
        <v>2.0</v>
      </c>
      <c r="C215" s="230">
        <v>38.0</v>
      </c>
      <c r="D215" s="230">
        <v>1.0</v>
      </c>
      <c r="E215" s="230">
        <v>6.0</v>
      </c>
      <c r="F215" s="15" t="s">
        <v>8393</v>
      </c>
      <c r="G215" s="15" t="s">
        <v>9125</v>
      </c>
      <c r="H215" s="28"/>
      <c r="I215" s="28"/>
      <c r="J215" s="28"/>
    </row>
    <row r="216">
      <c r="A216" s="15" t="s">
        <v>10383</v>
      </c>
      <c r="B216" s="230">
        <v>2.0</v>
      </c>
      <c r="C216" s="230">
        <v>39.0</v>
      </c>
      <c r="D216" s="230">
        <v>1.0</v>
      </c>
      <c r="E216" s="230">
        <v>6.0</v>
      </c>
      <c r="F216" s="15" t="s">
        <v>8393</v>
      </c>
      <c r="G216" s="10" t="s">
        <v>9127</v>
      </c>
      <c r="H216" s="28"/>
      <c r="I216" s="28"/>
      <c r="J216" s="28"/>
    </row>
    <row r="217">
      <c r="A217" s="15" t="s">
        <v>10383</v>
      </c>
      <c r="B217" s="230">
        <v>2.0</v>
      </c>
      <c r="C217" s="230">
        <v>40.0</v>
      </c>
      <c r="D217" s="230">
        <v>1.0</v>
      </c>
      <c r="E217" s="230">
        <v>6.0</v>
      </c>
      <c r="F217" s="15" t="s">
        <v>8393</v>
      </c>
      <c r="G217" s="15" t="s">
        <v>9129</v>
      </c>
      <c r="H217" s="28"/>
      <c r="I217" s="28"/>
      <c r="J217" s="28"/>
    </row>
    <row r="218">
      <c r="A218" s="15" t="s">
        <v>10383</v>
      </c>
      <c r="B218" s="230">
        <v>2.0</v>
      </c>
      <c r="C218" s="230">
        <v>41.0</v>
      </c>
      <c r="D218" s="230">
        <v>1.0</v>
      </c>
      <c r="E218" s="230">
        <v>6.0</v>
      </c>
      <c r="F218" s="15" t="s">
        <v>8393</v>
      </c>
      <c r="G218" s="15" t="s">
        <v>9131</v>
      </c>
      <c r="H218" s="28"/>
      <c r="I218" s="28"/>
      <c r="J218" s="28"/>
    </row>
    <row r="219">
      <c r="A219" s="15" t="s">
        <v>10383</v>
      </c>
      <c r="B219" s="230">
        <v>2.0</v>
      </c>
      <c r="C219" s="230">
        <v>42.0</v>
      </c>
      <c r="D219" s="230">
        <v>1.0</v>
      </c>
      <c r="E219" s="230">
        <v>6.0</v>
      </c>
      <c r="F219" s="15" t="s">
        <v>8393</v>
      </c>
      <c r="G219" s="15" t="s">
        <v>9133</v>
      </c>
      <c r="H219" s="28"/>
      <c r="I219" s="28"/>
      <c r="J219" s="28"/>
    </row>
    <row r="220">
      <c r="A220" s="15" t="s">
        <v>10383</v>
      </c>
      <c r="B220" s="230">
        <v>2.0</v>
      </c>
      <c r="C220" s="230">
        <v>1.0</v>
      </c>
      <c r="D220" s="230">
        <v>1.0</v>
      </c>
      <c r="E220" s="230">
        <v>7.0</v>
      </c>
      <c r="F220" s="15" t="s">
        <v>8393</v>
      </c>
      <c r="G220" s="15" t="s">
        <v>8929</v>
      </c>
      <c r="H220" s="28"/>
      <c r="I220" s="28"/>
      <c r="J220" s="28"/>
    </row>
    <row r="221">
      <c r="A221" s="15" t="s">
        <v>10383</v>
      </c>
      <c r="B221" s="230">
        <v>2.0</v>
      </c>
      <c r="C221" s="230">
        <v>2.0</v>
      </c>
      <c r="D221" s="230">
        <v>1.0</v>
      </c>
      <c r="E221" s="230">
        <v>7.0</v>
      </c>
      <c r="F221" s="15" t="s">
        <v>8393</v>
      </c>
      <c r="G221" s="15" t="s">
        <v>8930</v>
      </c>
      <c r="H221" s="28"/>
      <c r="I221" s="28"/>
      <c r="J221" s="28"/>
    </row>
    <row r="222">
      <c r="A222" s="15" t="s">
        <v>10383</v>
      </c>
      <c r="B222" s="230">
        <v>2.0</v>
      </c>
      <c r="C222" s="230">
        <v>3.0</v>
      </c>
      <c r="D222" s="230">
        <v>1.0</v>
      </c>
      <c r="E222" s="230">
        <v>7.0</v>
      </c>
      <c r="F222" s="15" t="s">
        <v>8393</v>
      </c>
      <c r="G222" s="15" t="s">
        <v>8931</v>
      </c>
      <c r="H222" s="28"/>
      <c r="I222" s="28"/>
      <c r="J222" s="28"/>
    </row>
    <row r="223">
      <c r="A223" s="15" t="s">
        <v>10383</v>
      </c>
      <c r="B223" s="230">
        <v>2.0</v>
      </c>
      <c r="C223" s="230">
        <v>4.0</v>
      </c>
      <c r="D223" s="230">
        <v>1.0</v>
      </c>
      <c r="E223" s="230">
        <v>7.0</v>
      </c>
      <c r="F223" s="15" t="s">
        <v>8393</v>
      </c>
      <c r="G223" s="15" t="s">
        <v>8932</v>
      </c>
      <c r="H223" s="28"/>
      <c r="I223" s="28"/>
      <c r="J223" s="28"/>
    </row>
    <row r="224">
      <c r="A224" s="15" t="s">
        <v>10383</v>
      </c>
      <c r="B224" s="230">
        <v>2.0</v>
      </c>
      <c r="C224" s="230">
        <v>5.0</v>
      </c>
      <c r="D224" s="230">
        <v>1.0</v>
      </c>
      <c r="E224" s="230">
        <v>7.0</v>
      </c>
      <c r="F224" s="15" t="s">
        <v>8393</v>
      </c>
      <c r="G224" s="15" t="s">
        <v>8933</v>
      </c>
      <c r="H224" s="28"/>
      <c r="I224" s="28"/>
      <c r="J224" s="28"/>
    </row>
    <row r="225">
      <c r="A225" s="15" t="s">
        <v>10383</v>
      </c>
      <c r="B225" s="230">
        <v>2.0</v>
      </c>
      <c r="C225" s="230">
        <v>6.0</v>
      </c>
      <c r="D225" s="230">
        <v>1.0</v>
      </c>
      <c r="E225" s="230">
        <v>7.0</v>
      </c>
      <c r="F225" s="15" t="s">
        <v>8393</v>
      </c>
      <c r="G225" s="15" t="s">
        <v>8934</v>
      </c>
      <c r="H225" s="28"/>
      <c r="I225" s="28"/>
      <c r="J225" s="28"/>
    </row>
    <row r="226">
      <c r="A226" s="15" t="s">
        <v>10383</v>
      </c>
      <c r="B226" s="230">
        <v>2.0</v>
      </c>
      <c r="C226" s="230">
        <v>7.0</v>
      </c>
      <c r="D226" s="230">
        <v>1.0</v>
      </c>
      <c r="E226" s="230">
        <v>7.0</v>
      </c>
      <c r="F226" s="15" t="s">
        <v>8393</v>
      </c>
      <c r="G226" s="15" t="s">
        <v>8935</v>
      </c>
      <c r="H226" s="28"/>
      <c r="I226" s="28"/>
      <c r="J226" s="28"/>
    </row>
    <row r="227">
      <c r="A227" s="15" t="s">
        <v>10383</v>
      </c>
      <c r="B227" s="230">
        <v>2.0</v>
      </c>
      <c r="C227" s="230">
        <v>8.0</v>
      </c>
      <c r="D227" s="230">
        <v>1.0</v>
      </c>
      <c r="E227" s="230">
        <v>7.0</v>
      </c>
      <c r="F227" s="15" t="s">
        <v>8393</v>
      </c>
      <c r="G227" s="15" t="s">
        <v>8936</v>
      </c>
      <c r="H227" s="28"/>
      <c r="I227" s="28"/>
      <c r="J227" s="28"/>
    </row>
    <row r="228">
      <c r="A228" s="15" t="s">
        <v>10383</v>
      </c>
      <c r="B228" s="230">
        <v>2.0</v>
      </c>
      <c r="C228" s="230">
        <v>9.0</v>
      </c>
      <c r="D228" s="230">
        <v>1.0</v>
      </c>
      <c r="E228" s="230">
        <v>7.0</v>
      </c>
      <c r="F228" s="15" t="s">
        <v>8393</v>
      </c>
      <c r="G228" s="15" t="s">
        <v>8937</v>
      </c>
      <c r="H228" s="28"/>
      <c r="I228" s="28"/>
      <c r="J228" s="28"/>
    </row>
    <row r="229">
      <c r="A229" s="15" t="s">
        <v>10383</v>
      </c>
      <c r="B229" s="230">
        <v>2.0</v>
      </c>
      <c r="C229" s="230">
        <v>10.0</v>
      </c>
      <c r="D229" s="230">
        <v>1.0</v>
      </c>
      <c r="E229" s="230">
        <v>7.0</v>
      </c>
      <c r="F229" s="15" t="s">
        <v>8393</v>
      </c>
      <c r="G229" s="15" t="s">
        <v>8938</v>
      </c>
      <c r="H229" s="28"/>
      <c r="I229" s="28"/>
      <c r="J229" s="28"/>
    </row>
    <row r="230">
      <c r="A230" s="15" t="s">
        <v>10383</v>
      </c>
      <c r="B230" s="230">
        <v>2.0</v>
      </c>
      <c r="C230" s="230">
        <v>11.0</v>
      </c>
      <c r="D230" s="230">
        <v>1.0</v>
      </c>
      <c r="E230" s="230">
        <v>7.0</v>
      </c>
      <c r="F230" s="15" t="s">
        <v>8393</v>
      </c>
      <c r="G230" s="15" t="s">
        <v>9151</v>
      </c>
      <c r="H230" s="28"/>
      <c r="I230" s="28"/>
      <c r="J230" s="28"/>
    </row>
    <row r="231">
      <c r="A231" s="15" t="s">
        <v>10383</v>
      </c>
      <c r="B231" s="230">
        <v>2.0</v>
      </c>
      <c r="C231" s="230">
        <v>12.0</v>
      </c>
      <c r="D231" s="230">
        <v>1.0</v>
      </c>
      <c r="E231" s="230">
        <v>7.0</v>
      </c>
      <c r="F231" s="15" t="s">
        <v>8393</v>
      </c>
      <c r="G231" s="15" t="s">
        <v>8940</v>
      </c>
      <c r="H231" s="28"/>
      <c r="I231" s="28"/>
      <c r="J231" s="28"/>
    </row>
    <row r="232">
      <c r="A232" s="15" t="s">
        <v>10383</v>
      </c>
      <c r="B232" s="230">
        <v>2.0</v>
      </c>
      <c r="C232" s="230">
        <v>13.0</v>
      </c>
      <c r="D232" s="230">
        <v>1.0</v>
      </c>
      <c r="E232" s="230">
        <v>7.0</v>
      </c>
      <c r="F232" s="15" t="s">
        <v>8393</v>
      </c>
      <c r="G232" s="15" t="s">
        <v>8941</v>
      </c>
      <c r="H232" s="28"/>
      <c r="I232" s="28"/>
      <c r="J232" s="28"/>
    </row>
    <row r="233">
      <c r="A233" s="15" t="s">
        <v>10383</v>
      </c>
      <c r="B233" s="230">
        <v>2.0</v>
      </c>
      <c r="C233" s="230">
        <v>14.0</v>
      </c>
      <c r="D233" s="230">
        <v>1.0</v>
      </c>
      <c r="E233" s="230">
        <v>7.0</v>
      </c>
      <c r="F233" s="15" t="s">
        <v>8393</v>
      </c>
      <c r="G233" s="15" t="s">
        <v>8942</v>
      </c>
      <c r="H233" s="28"/>
      <c r="I233" s="28"/>
      <c r="J233" s="28"/>
    </row>
    <row r="234">
      <c r="A234" s="15" t="s">
        <v>10383</v>
      </c>
      <c r="B234" s="230">
        <v>2.0</v>
      </c>
      <c r="C234" s="230">
        <v>15.0</v>
      </c>
      <c r="D234" s="230">
        <v>1.0</v>
      </c>
      <c r="E234" s="230">
        <v>7.0</v>
      </c>
      <c r="F234" s="15" t="s">
        <v>8393</v>
      </c>
      <c r="G234" s="15" t="s">
        <v>8943</v>
      </c>
      <c r="H234" s="28"/>
      <c r="I234" s="28"/>
      <c r="J234" s="28"/>
    </row>
    <row r="235">
      <c r="A235" s="15" t="s">
        <v>10383</v>
      </c>
      <c r="B235" s="230">
        <v>2.0</v>
      </c>
      <c r="C235" s="230">
        <v>16.0</v>
      </c>
      <c r="D235" s="230">
        <v>1.0</v>
      </c>
      <c r="E235" s="230">
        <v>7.0</v>
      </c>
      <c r="F235" s="15" t="s">
        <v>8393</v>
      </c>
      <c r="G235" s="15" t="s">
        <v>8944</v>
      </c>
      <c r="H235" s="28"/>
      <c r="I235" s="28"/>
      <c r="J235" s="28"/>
    </row>
    <row r="236">
      <c r="A236" s="15" t="s">
        <v>10383</v>
      </c>
      <c r="B236" s="230">
        <v>2.0</v>
      </c>
      <c r="C236" s="230">
        <v>17.0</v>
      </c>
      <c r="D236" s="230">
        <v>1.0</v>
      </c>
      <c r="E236" s="230">
        <v>7.0</v>
      </c>
      <c r="F236" s="15" t="s">
        <v>8393</v>
      </c>
      <c r="G236" s="15" t="s">
        <v>8945</v>
      </c>
      <c r="H236" s="28"/>
      <c r="I236" s="28"/>
      <c r="J236" s="28"/>
    </row>
    <row r="237">
      <c r="A237" s="15" t="s">
        <v>10383</v>
      </c>
      <c r="B237" s="230">
        <v>2.0</v>
      </c>
      <c r="C237" s="230">
        <v>18.0</v>
      </c>
      <c r="D237" s="230">
        <v>1.0</v>
      </c>
      <c r="E237" s="230">
        <v>7.0</v>
      </c>
      <c r="F237" s="15" t="s">
        <v>8393</v>
      </c>
      <c r="G237" s="15" t="s">
        <v>8946</v>
      </c>
      <c r="H237" s="28"/>
      <c r="I237" s="28"/>
      <c r="J237" s="28"/>
    </row>
    <row r="238">
      <c r="A238" s="15" t="s">
        <v>10383</v>
      </c>
      <c r="B238" s="230">
        <v>2.0</v>
      </c>
      <c r="C238" s="230">
        <v>19.0</v>
      </c>
      <c r="D238" s="230">
        <v>1.0</v>
      </c>
      <c r="E238" s="230">
        <v>7.0</v>
      </c>
      <c r="F238" s="15" t="s">
        <v>8393</v>
      </c>
      <c r="G238" s="15" t="s">
        <v>8947</v>
      </c>
      <c r="H238" s="28"/>
      <c r="I238" s="28"/>
      <c r="J238" s="28"/>
    </row>
    <row r="239">
      <c r="A239" s="15" t="s">
        <v>10383</v>
      </c>
      <c r="B239" s="230">
        <v>2.0</v>
      </c>
      <c r="C239" s="230">
        <v>20.0</v>
      </c>
      <c r="D239" s="230">
        <v>1.0</v>
      </c>
      <c r="E239" s="230">
        <v>7.0</v>
      </c>
      <c r="F239" s="15" t="s">
        <v>8393</v>
      </c>
      <c r="G239" s="15" t="s">
        <v>8948</v>
      </c>
      <c r="H239" s="28"/>
      <c r="I239" s="28"/>
      <c r="J239" s="28"/>
    </row>
    <row r="240">
      <c r="A240" s="15" t="s">
        <v>10383</v>
      </c>
      <c r="B240" s="230">
        <v>2.0</v>
      </c>
      <c r="C240" s="230">
        <v>21.0</v>
      </c>
      <c r="D240" s="230">
        <v>1.0</v>
      </c>
      <c r="E240" s="230">
        <v>7.0</v>
      </c>
      <c r="F240" s="15" t="s">
        <v>8393</v>
      </c>
      <c r="G240" s="15" t="s">
        <v>8949</v>
      </c>
      <c r="H240" s="28"/>
      <c r="I240" s="28"/>
      <c r="J240" s="28"/>
    </row>
    <row r="241">
      <c r="A241" s="15" t="s">
        <v>10383</v>
      </c>
      <c r="B241" s="230">
        <v>2.0</v>
      </c>
      <c r="C241" s="230">
        <v>22.0</v>
      </c>
      <c r="D241" s="230">
        <v>1.0</v>
      </c>
      <c r="E241" s="230">
        <v>7.0</v>
      </c>
      <c r="F241" s="15" t="s">
        <v>8393</v>
      </c>
      <c r="G241" s="15" t="s">
        <v>8950</v>
      </c>
      <c r="H241" s="28"/>
      <c r="I241" s="28"/>
      <c r="J241" s="28"/>
    </row>
    <row r="242">
      <c r="A242" s="15" t="s">
        <v>10383</v>
      </c>
      <c r="B242" s="230">
        <v>2.0</v>
      </c>
      <c r="C242" s="230">
        <v>23.0</v>
      </c>
      <c r="D242" s="230">
        <v>1.0</v>
      </c>
      <c r="E242" s="230">
        <v>7.0</v>
      </c>
      <c r="F242" s="15" t="s">
        <v>8393</v>
      </c>
      <c r="G242" s="15" t="s">
        <v>8951</v>
      </c>
      <c r="H242" s="28"/>
      <c r="I242" s="28"/>
      <c r="J242" s="28"/>
    </row>
    <row r="243">
      <c r="A243" s="15" t="s">
        <v>10383</v>
      </c>
      <c r="B243" s="230">
        <v>2.0</v>
      </c>
      <c r="C243" s="230">
        <v>24.0</v>
      </c>
      <c r="D243" s="230">
        <v>1.0</v>
      </c>
      <c r="E243" s="230">
        <v>7.0</v>
      </c>
      <c r="F243" s="15" t="s">
        <v>8393</v>
      </c>
      <c r="G243" s="15" t="s">
        <v>8952</v>
      </c>
      <c r="H243" s="28"/>
      <c r="I243" s="28"/>
      <c r="J243" s="28"/>
    </row>
    <row r="244">
      <c r="A244" s="15" t="s">
        <v>10383</v>
      </c>
      <c r="B244" s="230">
        <v>2.0</v>
      </c>
      <c r="C244" s="230">
        <v>25.0</v>
      </c>
      <c r="D244" s="230">
        <v>1.0</v>
      </c>
      <c r="E244" s="230">
        <v>7.0</v>
      </c>
      <c r="F244" s="15" t="s">
        <v>8393</v>
      </c>
      <c r="G244" s="15" t="s">
        <v>8953</v>
      </c>
      <c r="H244" s="28"/>
      <c r="I244" s="28"/>
      <c r="J244" s="28"/>
    </row>
    <row r="245">
      <c r="A245" s="15" t="s">
        <v>10383</v>
      </c>
      <c r="B245" s="230">
        <v>2.0</v>
      </c>
      <c r="C245" s="230">
        <v>26.0</v>
      </c>
      <c r="D245" s="230">
        <v>1.0</v>
      </c>
      <c r="E245" s="230">
        <v>7.0</v>
      </c>
      <c r="F245" s="15" t="s">
        <v>8393</v>
      </c>
      <c r="G245" s="15" t="s">
        <v>8956</v>
      </c>
      <c r="H245" s="28"/>
      <c r="I245" s="28"/>
      <c r="J245" s="28"/>
    </row>
    <row r="246">
      <c r="A246" s="15" t="s">
        <v>10383</v>
      </c>
      <c r="B246" s="230">
        <v>2.0</v>
      </c>
      <c r="C246" s="230">
        <v>27.0</v>
      </c>
      <c r="D246" s="230">
        <v>1.0</v>
      </c>
      <c r="E246" s="230">
        <v>7.0</v>
      </c>
      <c r="F246" s="15" t="s">
        <v>8393</v>
      </c>
      <c r="G246" s="15" t="s">
        <v>9084</v>
      </c>
      <c r="H246" s="28"/>
      <c r="I246" s="28"/>
      <c r="J246" s="28"/>
    </row>
    <row r="247">
      <c r="A247" s="15" t="s">
        <v>10383</v>
      </c>
      <c r="B247" s="230">
        <v>2.0</v>
      </c>
      <c r="C247" s="230">
        <v>28.0</v>
      </c>
      <c r="D247" s="230">
        <v>1.0</v>
      </c>
      <c r="E247" s="230">
        <v>7.0</v>
      </c>
      <c r="F247" s="15" t="s">
        <v>8393</v>
      </c>
      <c r="G247" s="15" t="s">
        <v>9086</v>
      </c>
      <c r="H247" s="28"/>
      <c r="I247" s="28"/>
      <c r="J247" s="28"/>
    </row>
    <row r="248">
      <c r="A248" s="15" t="s">
        <v>10383</v>
      </c>
      <c r="B248" s="230">
        <v>2.0</v>
      </c>
      <c r="C248" s="230">
        <v>29.0</v>
      </c>
      <c r="D248" s="230">
        <v>1.0</v>
      </c>
      <c r="E248" s="230">
        <v>7.0</v>
      </c>
      <c r="F248" s="15" t="s">
        <v>8393</v>
      </c>
      <c r="G248" s="15" t="s">
        <v>9088</v>
      </c>
      <c r="H248" s="28"/>
      <c r="I248" s="28"/>
      <c r="J248" s="28"/>
    </row>
    <row r="249">
      <c r="A249" s="15" t="s">
        <v>10383</v>
      </c>
      <c r="B249" s="230">
        <v>2.0</v>
      </c>
      <c r="C249" s="230">
        <v>30.0</v>
      </c>
      <c r="D249" s="230">
        <v>1.0</v>
      </c>
      <c r="E249" s="230">
        <v>7.0</v>
      </c>
      <c r="F249" s="15" t="s">
        <v>8393</v>
      </c>
      <c r="G249" s="15" t="s">
        <v>9041</v>
      </c>
      <c r="H249" s="28"/>
      <c r="I249" s="28"/>
      <c r="J249" s="28"/>
    </row>
    <row r="250">
      <c r="A250" s="15" t="s">
        <v>10383</v>
      </c>
      <c r="B250" s="230">
        <v>2.0</v>
      </c>
      <c r="C250" s="230">
        <v>31.0</v>
      </c>
      <c r="D250" s="230">
        <v>1.0</v>
      </c>
      <c r="E250" s="230">
        <v>7.0</v>
      </c>
      <c r="F250" s="15" t="s">
        <v>8393</v>
      </c>
      <c r="G250" s="15" t="s">
        <v>8960</v>
      </c>
      <c r="H250" s="28"/>
      <c r="I250" s="28"/>
      <c r="J250" s="28"/>
    </row>
    <row r="251">
      <c r="A251" s="15" t="s">
        <v>10383</v>
      </c>
      <c r="B251" s="230">
        <v>2.0</v>
      </c>
      <c r="C251" s="230">
        <v>32.0</v>
      </c>
      <c r="D251" s="230">
        <v>1.0</v>
      </c>
      <c r="E251" s="230">
        <v>7.0</v>
      </c>
      <c r="F251" s="15" t="s">
        <v>8393</v>
      </c>
      <c r="G251" s="15" t="s">
        <v>9092</v>
      </c>
      <c r="H251" s="28"/>
      <c r="I251" s="28"/>
      <c r="J251" s="28"/>
    </row>
    <row r="252">
      <c r="A252" s="15" t="s">
        <v>10383</v>
      </c>
      <c r="B252" s="230">
        <v>2.0</v>
      </c>
      <c r="C252" s="230">
        <v>33.0</v>
      </c>
      <c r="D252" s="230">
        <v>1.0</v>
      </c>
      <c r="E252" s="230">
        <v>7.0</v>
      </c>
      <c r="F252" s="15" t="s">
        <v>8393</v>
      </c>
      <c r="G252" s="15" t="s">
        <v>8962</v>
      </c>
      <c r="H252" s="28"/>
      <c r="I252" s="28"/>
      <c r="J252" s="28"/>
    </row>
    <row r="253">
      <c r="A253" s="15" t="s">
        <v>10383</v>
      </c>
      <c r="B253" s="230">
        <v>2.0</v>
      </c>
      <c r="C253" s="230">
        <v>34.0</v>
      </c>
      <c r="D253" s="230">
        <v>1.0</v>
      </c>
      <c r="E253" s="230">
        <v>7.0</v>
      </c>
      <c r="F253" s="15" t="s">
        <v>8393</v>
      </c>
      <c r="G253" s="15" t="s">
        <v>8966</v>
      </c>
      <c r="H253" s="28"/>
      <c r="I253" s="28"/>
      <c r="J253" s="28"/>
    </row>
    <row r="254">
      <c r="A254" s="15" t="s">
        <v>10383</v>
      </c>
      <c r="B254" s="230">
        <v>2.0</v>
      </c>
      <c r="C254" s="230">
        <v>35.0</v>
      </c>
      <c r="D254" s="230">
        <v>1.0</v>
      </c>
      <c r="E254" s="230">
        <v>7.0</v>
      </c>
      <c r="F254" s="15" t="s">
        <v>8393</v>
      </c>
      <c r="G254" s="15" t="s">
        <v>8968</v>
      </c>
      <c r="H254" s="28"/>
      <c r="I254" s="28"/>
      <c r="J254" s="28"/>
    </row>
    <row r="255">
      <c r="A255" s="15" t="s">
        <v>10383</v>
      </c>
      <c r="B255" s="230">
        <v>2.0</v>
      </c>
      <c r="C255" s="230">
        <v>36.0</v>
      </c>
      <c r="D255" s="230">
        <v>1.0</v>
      </c>
      <c r="E255" s="230">
        <v>7.0</v>
      </c>
      <c r="F255" s="15" t="s">
        <v>8393</v>
      </c>
      <c r="G255" s="15" t="s">
        <v>8970</v>
      </c>
      <c r="H255" s="28"/>
      <c r="I255" s="28"/>
      <c r="J255" s="28"/>
    </row>
    <row r="256">
      <c r="A256" s="15" t="s">
        <v>10383</v>
      </c>
      <c r="B256" s="230">
        <v>2.0</v>
      </c>
      <c r="C256" s="230">
        <v>37.0</v>
      </c>
      <c r="D256" s="230">
        <v>1.0</v>
      </c>
      <c r="E256" s="230">
        <v>7.0</v>
      </c>
      <c r="F256" s="15" t="s">
        <v>8393</v>
      </c>
      <c r="G256" s="15" t="s">
        <v>8976</v>
      </c>
      <c r="H256" s="28"/>
      <c r="I256" s="28"/>
      <c r="J256" s="28"/>
    </row>
    <row r="257">
      <c r="A257" s="15" t="s">
        <v>10383</v>
      </c>
      <c r="B257" s="230">
        <v>2.0</v>
      </c>
      <c r="C257" s="230">
        <v>38.0</v>
      </c>
      <c r="D257" s="230">
        <v>1.0</v>
      </c>
      <c r="E257" s="230">
        <v>7.0</v>
      </c>
      <c r="F257" s="15" t="s">
        <v>8393</v>
      </c>
      <c r="G257" s="15" t="s">
        <v>8978</v>
      </c>
      <c r="H257" s="28"/>
      <c r="I257" s="28"/>
      <c r="J257" s="28"/>
    </row>
    <row r="258">
      <c r="A258" s="15" t="s">
        <v>10383</v>
      </c>
      <c r="B258" s="230">
        <v>2.0</v>
      </c>
      <c r="C258" s="230">
        <v>39.0</v>
      </c>
      <c r="D258" s="230">
        <v>1.0</v>
      </c>
      <c r="E258" s="230">
        <v>7.0</v>
      </c>
      <c r="F258" s="15" t="s">
        <v>8393</v>
      </c>
      <c r="G258" s="15" t="s">
        <v>8980</v>
      </c>
      <c r="H258" s="28"/>
      <c r="I258" s="28"/>
      <c r="J258" s="28"/>
    </row>
    <row r="259">
      <c r="A259" s="15" t="s">
        <v>10383</v>
      </c>
      <c r="B259" s="230">
        <v>2.0</v>
      </c>
      <c r="C259" s="230">
        <v>40.0</v>
      </c>
      <c r="D259" s="230">
        <v>1.0</v>
      </c>
      <c r="E259" s="230">
        <v>7.0</v>
      </c>
      <c r="F259" s="15" t="s">
        <v>8393</v>
      </c>
      <c r="G259" s="15" t="s">
        <v>8982</v>
      </c>
      <c r="H259" s="28"/>
      <c r="I259" s="28"/>
      <c r="J259" s="28"/>
    </row>
    <row r="260">
      <c r="A260" s="15" t="s">
        <v>10383</v>
      </c>
      <c r="B260" s="230">
        <v>2.0</v>
      </c>
      <c r="C260" s="230">
        <v>41.0</v>
      </c>
      <c r="D260" s="230">
        <v>1.0</v>
      </c>
      <c r="E260" s="230">
        <v>7.0</v>
      </c>
      <c r="F260" s="15" t="s">
        <v>8393</v>
      </c>
      <c r="G260" s="15" t="s">
        <v>9102</v>
      </c>
      <c r="H260" s="28"/>
      <c r="I260" s="28"/>
      <c r="J260" s="28"/>
    </row>
    <row r="261">
      <c r="A261" s="15" t="s">
        <v>10383</v>
      </c>
      <c r="B261" s="230">
        <v>2.0</v>
      </c>
      <c r="C261" s="230">
        <v>1.0</v>
      </c>
      <c r="D261" s="230">
        <v>1.0</v>
      </c>
      <c r="E261" s="230">
        <v>8.0</v>
      </c>
      <c r="F261" s="15" t="s">
        <v>8393</v>
      </c>
      <c r="G261" s="15" t="s">
        <v>9138</v>
      </c>
      <c r="H261" s="28"/>
      <c r="I261" s="28"/>
      <c r="J261" s="28"/>
    </row>
    <row r="262">
      <c r="A262" s="15" t="s">
        <v>10383</v>
      </c>
      <c r="B262" s="230">
        <v>2.0</v>
      </c>
      <c r="C262" s="230">
        <v>1.0</v>
      </c>
      <c r="D262" s="230">
        <v>1.0</v>
      </c>
      <c r="E262" s="230">
        <v>9.0</v>
      </c>
      <c r="F262" s="15" t="s">
        <v>8393</v>
      </c>
      <c r="G262" s="15" t="s">
        <v>8929</v>
      </c>
      <c r="H262" s="28"/>
      <c r="I262" s="28"/>
      <c r="J262" s="28"/>
    </row>
    <row r="263">
      <c r="A263" s="15" t="s">
        <v>10383</v>
      </c>
      <c r="B263" s="230">
        <v>2.0</v>
      </c>
      <c r="C263" s="230">
        <v>2.0</v>
      </c>
      <c r="D263" s="230">
        <v>1.0</v>
      </c>
      <c r="E263" s="230">
        <v>9.0</v>
      </c>
      <c r="F263" s="15" t="s">
        <v>8393</v>
      </c>
      <c r="G263" s="15" t="s">
        <v>8930</v>
      </c>
      <c r="H263" s="28"/>
      <c r="I263" s="28"/>
      <c r="J263" s="28"/>
    </row>
    <row r="264">
      <c r="A264" s="15" t="s">
        <v>10383</v>
      </c>
      <c r="B264" s="230">
        <v>2.0</v>
      </c>
      <c r="C264" s="230">
        <v>3.0</v>
      </c>
      <c r="D264" s="230">
        <v>1.0</v>
      </c>
      <c r="E264" s="230">
        <v>9.0</v>
      </c>
      <c r="F264" s="15" t="s">
        <v>8393</v>
      </c>
      <c r="G264" s="15" t="s">
        <v>8931</v>
      </c>
      <c r="H264" s="28"/>
      <c r="I264" s="28"/>
      <c r="J264" s="28"/>
    </row>
    <row r="265">
      <c r="A265" s="15" t="s">
        <v>10383</v>
      </c>
      <c r="B265" s="230">
        <v>2.0</v>
      </c>
      <c r="C265" s="230">
        <v>4.0</v>
      </c>
      <c r="D265" s="230">
        <v>1.0</v>
      </c>
      <c r="E265" s="230">
        <v>9.0</v>
      </c>
      <c r="F265" s="15" t="s">
        <v>8393</v>
      </c>
      <c r="G265" s="15" t="s">
        <v>8932</v>
      </c>
      <c r="H265" s="28"/>
      <c r="I265" s="28"/>
      <c r="J265" s="28"/>
    </row>
    <row r="266">
      <c r="A266" s="15" t="s">
        <v>10383</v>
      </c>
      <c r="B266" s="230">
        <v>2.0</v>
      </c>
      <c r="C266" s="230">
        <v>5.0</v>
      </c>
      <c r="D266" s="230">
        <v>1.0</v>
      </c>
      <c r="E266" s="230">
        <v>9.0</v>
      </c>
      <c r="F266" s="15" t="s">
        <v>8393</v>
      </c>
      <c r="G266" s="15" t="s">
        <v>8933</v>
      </c>
      <c r="H266" s="28"/>
      <c r="I266" s="28"/>
      <c r="J266" s="28"/>
    </row>
    <row r="267">
      <c r="A267" s="15" t="s">
        <v>10383</v>
      </c>
      <c r="B267" s="230">
        <v>2.0</v>
      </c>
      <c r="C267" s="230">
        <v>6.0</v>
      </c>
      <c r="D267" s="230">
        <v>1.0</v>
      </c>
      <c r="E267" s="230">
        <v>9.0</v>
      </c>
      <c r="F267" s="15" t="s">
        <v>8393</v>
      </c>
      <c r="G267" s="15" t="s">
        <v>8934</v>
      </c>
      <c r="H267" s="28"/>
      <c r="I267" s="28"/>
      <c r="J267" s="28"/>
    </row>
    <row r="268">
      <c r="A268" s="15" t="s">
        <v>10383</v>
      </c>
      <c r="B268" s="230">
        <v>2.0</v>
      </c>
      <c r="C268" s="230">
        <v>7.0</v>
      </c>
      <c r="D268" s="230">
        <v>1.0</v>
      </c>
      <c r="E268" s="230">
        <v>9.0</v>
      </c>
      <c r="F268" s="15" t="s">
        <v>8393</v>
      </c>
      <c r="G268" s="15" t="s">
        <v>8935</v>
      </c>
      <c r="H268" s="28"/>
      <c r="I268" s="28"/>
      <c r="J268" s="28"/>
    </row>
    <row r="269">
      <c r="A269" s="15" t="s">
        <v>10383</v>
      </c>
      <c r="B269" s="230">
        <v>2.0</v>
      </c>
      <c r="C269" s="230">
        <v>8.0</v>
      </c>
      <c r="D269" s="230">
        <v>1.0</v>
      </c>
      <c r="E269" s="230">
        <v>9.0</v>
      </c>
      <c r="F269" s="15" t="s">
        <v>8393</v>
      </c>
      <c r="G269" s="15" t="s">
        <v>8936</v>
      </c>
      <c r="H269" s="28"/>
      <c r="I269" s="28"/>
      <c r="J269" s="28"/>
    </row>
    <row r="270">
      <c r="A270" s="15" t="s">
        <v>10383</v>
      </c>
      <c r="B270" s="230">
        <v>2.0</v>
      </c>
      <c r="C270" s="230">
        <v>9.0</v>
      </c>
      <c r="D270" s="230">
        <v>1.0</v>
      </c>
      <c r="E270" s="230">
        <v>9.0</v>
      </c>
      <c r="F270" s="15" t="s">
        <v>8393</v>
      </c>
      <c r="G270" s="15" t="s">
        <v>8937</v>
      </c>
      <c r="H270" s="28"/>
      <c r="I270" s="28"/>
      <c r="J270" s="28"/>
    </row>
    <row r="271">
      <c r="A271" s="15" t="s">
        <v>10383</v>
      </c>
      <c r="B271" s="230">
        <v>2.0</v>
      </c>
      <c r="C271" s="230">
        <v>10.0</v>
      </c>
      <c r="D271" s="230">
        <v>1.0</v>
      </c>
      <c r="E271" s="230">
        <v>9.0</v>
      </c>
      <c r="F271" s="15" t="s">
        <v>8393</v>
      </c>
      <c r="G271" s="15" t="s">
        <v>8938</v>
      </c>
      <c r="H271" s="28"/>
      <c r="I271" s="28"/>
      <c r="J271" s="28"/>
    </row>
    <row r="272">
      <c r="A272" s="15" t="s">
        <v>10383</v>
      </c>
      <c r="B272" s="230">
        <v>2.0</v>
      </c>
      <c r="C272" s="230">
        <v>11.0</v>
      </c>
      <c r="D272" s="230">
        <v>1.0</v>
      </c>
      <c r="E272" s="230">
        <v>9.0</v>
      </c>
      <c r="F272" s="15" t="s">
        <v>8393</v>
      </c>
      <c r="G272" s="15" t="s">
        <v>9151</v>
      </c>
      <c r="H272" s="28"/>
      <c r="I272" s="28"/>
      <c r="J272" s="28"/>
    </row>
    <row r="273">
      <c r="A273" s="15" t="s">
        <v>10383</v>
      </c>
      <c r="B273" s="230">
        <v>2.0</v>
      </c>
      <c r="C273" s="230">
        <v>12.0</v>
      </c>
      <c r="D273" s="230">
        <v>1.0</v>
      </c>
      <c r="E273" s="230">
        <v>9.0</v>
      </c>
      <c r="F273" s="15" t="s">
        <v>8393</v>
      </c>
      <c r="G273" s="15" t="s">
        <v>8940</v>
      </c>
      <c r="H273" s="28"/>
      <c r="I273" s="28"/>
      <c r="J273" s="28"/>
    </row>
    <row r="274">
      <c r="A274" s="15" t="s">
        <v>10383</v>
      </c>
      <c r="B274" s="230">
        <v>2.0</v>
      </c>
      <c r="C274" s="230">
        <v>13.0</v>
      </c>
      <c r="D274" s="230">
        <v>1.0</v>
      </c>
      <c r="E274" s="230">
        <v>9.0</v>
      </c>
      <c r="F274" s="15" t="s">
        <v>8393</v>
      </c>
      <c r="G274" s="15" t="s">
        <v>8941</v>
      </c>
      <c r="H274" s="28"/>
      <c r="I274" s="28"/>
      <c r="J274" s="28"/>
    </row>
    <row r="275">
      <c r="A275" s="15" t="s">
        <v>10383</v>
      </c>
      <c r="B275" s="230">
        <v>2.0</v>
      </c>
      <c r="C275" s="230">
        <v>14.0</v>
      </c>
      <c r="D275" s="230">
        <v>1.0</v>
      </c>
      <c r="E275" s="230">
        <v>9.0</v>
      </c>
      <c r="F275" s="15" t="s">
        <v>8393</v>
      </c>
      <c r="G275" s="15" t="s">
        <v>8942</v>
      </c>
      <c r="H275" s="28"/>
      <c r="I275" s="28"/>
      <c r="J275" s="28"/>
    </row>
    <row r="276">
      <c r="A276" s="15" t="s">
        <v>10383</v>
      </c>
      <c r="B276" s="230">
        <v>2.0</v>
      </c>
      <c r="C276" s="230">
        <v>15.0</v>
      </c>
      <c r="D276" s="230">
        <v>1.0</v>
      </c>
      <c r="E276" s="230">
        <v>9.0</v>
      </c>
      <c r="F276" s="15" t="s">
        <v>8393</v>
      </c>
      <c r="G276" s="15" t="s">
        <v>8943</v>
      </c>
      <c r="H276" s="28"/>
      <c r="I276" s="28"/>
      <c r="J276" s="28"/>
    </row>
    <row r="277">
      <c r="A277" s="15" t="s">
        <v>10383</v>
      </c>
      <c r="B277" s="230">
        <v>2.0</v>
      </c>
      <c r="C277" s="230">
        <v>16.0</v>
      </c>
      <c r="D277" s="230">
        <v>1.0</v>
      </c>
      <c r="E277" s="230">
        <v>9.0</v>
      </c>
      <c r="F277" s="15" t="s">
        <v>8393</v>
      </c>
      <c r="G277" s="15" t="s">
        <v>8944</v>
      </c>
      <c r="H277" s="28"/>
      <c r="I277" s="28"/>
      <c r="J277" s="28"/>
    </row>
    <row r="278">
      <c r="A278" s="15" t="s">
        <v>10383</v>
      </c>
      <c r="B278" s="230">
        <v>2.0</v>
      </c>
      <c r="C278" s="230">
        <v>17.0</v>
      </c>
      <c r="D278" s="230">
        <v>1.0</v>
      </c>
      <c r="E278" s="230">
        <v>9.0</v>
      </c>
      <c r="F278" s="15" t="s">
        <v>8393</v>
      </c>
      <c r="G278" s="15" t="s">
        <v>8945</v>
      </c>
      <c r="H278" s="28"/>
      <c r="I278" s="28"/>
      <c r="J278" s="28"/>
    </row>
    <row r="279">
      <c r="A279" s="15" t="s">
        <v>10383</v>
      </c>
      <c r="B279" s="230">
        <v>2.0</v>
      </c>
      <c r="C279" s="230">
        <v>18.0</v>
      </c>
      <c r="D279" s="230">
        <v>1.0</v>
      </c>
      <c r="E279" s="230">
        <v>9.0</v>
      </c>
      <c r="F279" s="15" t="s">
        <v>8393</v>
      </c>
      <c r="G279" s="15" t="s">
        <v>8946</v>
      </c>
      <c r="H279" s="28"/>
      <c r="I279" s="28"/>
      <c r="J279" s="28"/>
    </row>
    <row r="280">
      <c r="A280" s="15" t="s">
        <v>10383</v>
      </c>
      <c r="B280" s="230">
        <v>2.0</v>
      </c>
      <c r="C280" s="230">
        <v>19.0</v>
      </c>
      <c r="D280" s="230">
        <v>1.0</v>
      </c>
      <c r="E280" s="230">
        <v>9.0</v>
      </c>
      <c r="F280" s="15" t="s">
        <v>8393</v>
      </c>
      <c r="G280" s="15" t="s">
        <v>8947</v>
      </c>
      <c r="H280" s="28"/>
      <c r="I280" s="28"/>
      <c r="J280" s="28"/>
    </row>
    <row r="281">
      <c r="A281" s="15" t="s">
        <v>10383</v>
      </c>
      <c r="B281" s="230">
        <v>2.0</v>
      </c>
      <c r="C281" s="230">
        <v>20.0</v>
      </c>
      <c r="D281" s="230">
        <v>1.0</v>
      </c>
      <c r="E281" s="230">
        <v>9.0</v>
      </c>
      <c r="F281" s="15" t="s">
        <v>8393</v>
      </c>
      <c r="G281" s="15" t="s">
        <v>8948</v>
      </c>
      <c r="H281" s="28"/>
      <c r="I281" s="28"/>
      <c r="J281" s="28"/>
    </row>
    <row r="282">
      <c r="A282" s="15" t="s">
        <v>10383</v>
      </c>
      <c r="B282" s="230">
        <v>2.0</v>
      </c>
      <c r="C282" s="230">
        <v>21.0</v>
      </c>
      <c r="D282" s="230">
        <v>1.0</v>
      </c>
      <c r="E282" s="230">
        <v>9.0</v>
      </c>
      <c r="F282" s="15" t="s">
        <v>8393</v>
      </c>
      <c r="G282" s="15" t="s">
        <v>8949</v>
      </c>
      <c r="H282" s="28"/>
      <c r="I282" s="28"/>
      <c r="J282" s="28"/>
    </row>
    <row r="283">
      <c r="A283" s="15" t="s">
        <v>10383</v>
      </c>
      <c r="B283" s="230">
        <v>2.0</v>
      </c>
      <c r="C283" s="230">
        <v>22.0</v>
      </c>
      <c r="D283" s="230">
        <v>1.0</v>
      </c>
      <c r="E283" s="230">
        <v>9.0</v>
      </c>
      <c r="F283" s="15" t="s">
        <v>8393</v>
      </c>
      <c r="G283" s="15" t="s">
        <v>8950</v>
      </c>
      <c r="H283" s="28"/>
      <c r="I283" s="28"/>
      <c r="J283" s="28"/>
    </row>
    <row r="284">
      <c r="A284" s="15" t="s">
        <v>10383</v>
      </c>
      <c r="B284" s="230">
        <v>2.0</v>
      </c>
      <c r="C284" s="230">
        <v>23.0</v>
      </c>
      <c r="D284" s="230">
        <v>1.0</v>
      </c>
      <c r="E284" s="230">
        <v>9.0</v>
      </c>
      <c r="F284" s="15" t="s">
        <v>8393</v>
      </c>
      <c r="G284" s="15" t="s">
        <v>8951</v>
      </c>
      <c r="H284" s="28"/>
      <c r="I284" s="28"/>
      <c r="J284" s="28"/>
    </row>
    <row r="285">
      <c r="A285" s="15" t="s">
        <v>10383</v>
      </c>
      <c r="B285" s="230">
        <v>2.0</v>
      </c>
      <c r="C285" s="230">
        <v>24.0</v>
      </c>
      <c r="D285" s="230">
        <v>1.0</v>
      </c>
      <c r="E285" s="230">
        <v>9.0</v>
      </c>
      <c r="F285" s="15" t="s">
        <v>8393</v>
      </c>
      <c r="G285" s="15" t="s">
        <v>8952</v>
      </c>
      <c r="H285" s="28"/>
      <c r="I285" s="28"/>
      <c r="J285" s="28"/>
    </row>
    <row r="286">
      <c r="A286" s="15" t="s">
        <v>10383</v>
      </c>
      <c r="B286" s="230">
        <v>2.0</v>
      </c>
      <c r="C286" s="230">
        <v>25.0</v>
      </c>
      <c r="D286" s="230">
        <v>1.0</v>
      </c>
      <c r="E286" s="230">
        <v>9.0</v>
      </c>
      <c r="F286" s="15" t="s">
        <v>8393</v>
      </c>
      <c r="G286" s="15" t="s">
        <v>8953</v>
      </c>
      <c r="H286" s="28"/>
      <c r="I286" s="28"/>
      <c r="J286" s="28"/>
    </row>
    <row r="287">
      <c r="A287" s="15" t="s">
        <v>10383</v>
      </c>
      <c r="B287" s="230">
        <v>2.0</v>
      </c>
      <c r="C287" s="230">
        <v>26.0</v>
      </c>
      <c r="D287" s="230">
        <v>1.0</v>
      </c>
      <c r="E287" s="230">
        <v>9.0</v>
      </c>
      <c r="F287" s="15" t="s">
        <v>8393</v>
      </c>
      <c r="G287" s="15" t="s">
        <v>8954</v>
      </c>
      <c r="H287" s="28"/>
      <c r="I287" s="28"/>
      <c r="J287" s="28"/>
    </row>
    <row r="288">
      <c r="A288" s="15" t="s">
        <v>10383</v>
      </c>
      <c r="B288" s="230">
        <v>2.0</v>
      </c>
      <c r="C288" s="230">
        <v>27.0</v>
      </c>
      <c r="D288" s="230">
        <v>1.0</v>
      </c>
      <c r="E288" s="230">
        <v>10.0</v>
      </c>
      <c r="F288" s="15" t="s">
        <v>8393</v>
      </c>
      <c r="G288" s="15" t="s">
        <v>9138</v>
      </c>
      <c r="H288" s="28"/>
      <c r="I288" s="28"/>
      <c r="J288" s="28"/>
    </row>
    <row r="289">
      <c r="A289" s="15" t="s">
        <v>10385</v>
      </c>
      <c r="B289" s="230">
        <v>1.0</v>
      </c>
      <c r="C289" s="230">
        <v>1.0</v>
      </c>
      <c r="D289" s="230">
        <v>0.0</v>
      </c>
      <c r="E289" s="230">
        <v>0.0</v>
      </c>
      <c r="F289" s="15" t="s">
        <v>8382</v>
      </c>
      <c r="G289" s="15" t="s">
        <v>8480</v>
      </c>
      <c r="H289" s="28"/>
      <c r="I289" s="28"/>
      <c r="J289" s="28"/>
    </row>
    <row r="290">
      <c r="A290" s="15" t="s">
        <v>10385</v>
      </c>
      <c r="B290" s="230">
        <v>1.0</v>
      </c>
      <c r="C290" s="230">
        <v>2.0</v>
      </c>
      <c r="D290" s="230">
        <v>0.0</v>
      </c>
      <c r="E290" s="230">
        <v>0.0</v>
      </c>
      <c r="F290" s="15" t="s">
        <v>8382</v>
      </c>
      <c r="G290" s="15" t="s">
        <v>8482</v>
      </c>
      <c r="H290" s="28"/>
      <c r="I290" s="28"/>
      <c r="J290" s="28"/>
    </row>
    <row r="291">
      <c r="A291" s="15" t="s">
        <v>10385</v>
      </c>
      <c r="B291" s="230">
        <v>1.0</v>
      </c>
      <c r="C291" s="230">
        <v>3.0</v>
      </c>
      <c r="D291" s="230">
        <v>0.0</v>
      </c>
      <c r="E291" s="230">
        <v>0.0</v>
      </c>
      <c r="F291" s="15" t="s">
        <v>8382</v>
      </c>
      <c r="G291" s="15" t="s">
        <v>8483</v>
      </c>
      <c r="H291" s="28"/>
      <c r="I291" s="28"/>
      <c r="J291" s="28"/>
    </row>
    <row r="292">
      <c r="A292" s="15" t="s">
        <v>10385</v>
      </c>
      <c r="B292" s="230">
        <v>1.0</v>
      </c>
      <c r="C292" s="230">
        <v>4.0</v>
      </c>
      <c r="D292" s="230">
        <v>0.0</v>
      </c>
      <c r="E292" s="230">
        <v>0.0</v>
      </c>
      <c r="F292" s="15" t="s">
        <v>8382</v>
      </c>
      <c r="G292" s="15" t="s">
        <v>8486</v>
      </c>
      <c r="H292" s="28"/>
      <c r="I292" s="28"/>
      <c r="J292" s="28"/>
    </row>
    <row r="293">
      <c r="A293" s="15" t="s">
        <v>10385</v>
      </c>
      <c r="B293" s="230">
        <v>1.0</v>
      </c>
      <c r="C293" s="230">
        <v>5.0</v>
      </c>
      <c r="D293" s="230">
        <v>0.0</v>
      </c>
      <c r="E293" s="230">
        <v>0.0</v>
      </c>
      <c r="F293" s="15" t="s">
        <v>8382</v>
      </c>
      <c r="G293" s="15" t="s">
        <v>8487</v>
      </c>
      <c r="H293" s="28"/>
      <c r="I293" s="28"/>
      <c r="J293" s="28"/>
    </row>
    <row r="294">
      <c r="A294" s="15" t="s">
        <v>10385</v>
      </c>
      <c r="B294" s="230">
        <v>2.0</v>
      </c>
      <c r="C294" s="230">
        <v>1.0</v>
      </c>
      <c r="D294" s="230">
        <v>1.0</v>
      </c>
      <c r="E294" s="230">
        <v>1.0</v>
      </c>
      <c r="F294" s="15" t="s">
        <v>8382</v>
      </c>
      <c r="G294" s="15" t="s">
        <v>8383</v>
      </c>
      <c r="H294" s="28"/>
      <c r="I294" s="28"/>
      <c r="J294" s="28"/>
    </row>
    <row r="295">
      <c r="A295" s="15" t="s">
        <v>10385</v>
      </c>
      <c r="B295" s="230">
        <v>2.0</v>
      </c>
      <c r="C295" s="230">
        <v>2.0</v>
      </c>
      <c r="D295" s="230">
        <v>1.0</v>
      </c>
      <c r="E295" s="230">
        <v>1.0</v>
      </c>
      <c r="F295" s="15" t="s">
        <v>8382</v>
      </c>
      <c r="G295" s="15" t="s">
        <v>8385</v>
      </c>
      <c r="H295" s="28"/>
      <c r="I295" s="28"/>
      <c r="J295" s="28"/>
    </row>
    <row r="296">
      <c r="A296" s="15" t="s">
        <v>10385</v>
      </c>
      <c r="B296" s="230">
        <v>2.0</v>
      </c>
      <c r="C296" s="230">
        <v>3.0</v>
      </c>
      <c r="D296" s="230">
        <v>1.0</v>
      </c>
      <c r="E296" s="230">
        <v>1.0</v>
      </c>
      <c r="F296" s="15" t="s">
        <v>8382</v>
      </c>
      <c r="G296" s="15" t="s">
        <v>8386</v>
      </c>
      <c r="H296" s="28"/>
      <c r="I296" s="28"/>
      <c r="J296" s="28"/>
    </row>
    <row r="297">
      <c r="A297" s="15" t="s">
        <v>10385</v>
      </c>
      <c r="B297" s="230">
        <v>2.0</v>
      </c>
      <c r="C297" s="230">
        <v>4.0</v>
      </c>
      <c r="D297" s="230">
        <v>1.0</v>
      </c>
      <c r="E297" s="230">
        <v>1.0</v>
      </c>
      <c r="F297" s="15" t="s">
        <v>8382</v>
      </c>
      <c r="G297" s="15" t="s">
        <v>8387</v>
      </c>
      <c r="H297" s="28"/>
      <c r="I297" s="28"/>
      <c r="J297" s="28"/>
    </row>
    <row r="298">
      <c r="A298" s="15" t="s">
        <v>10385</v>
      </c>
      <c r="B298" s="230">
        <v>2.0</v>
      </c>
      <c r="C298" s="230">
        <v>5.0</v>
      </c>
      <c r="D298" s="230">
        <v>1.0</v>
      </c>
      <c r="E298" s="230">
        <v>1.0</v>
      </c>
      <c r="F298" s="15" t="s">
        <v>8382</v>
      </c>
      <c r="G298" s="15" t="s">
        <v>8388</v>
      </c>
      <c r="H298" s="28"/>
      <c r="I298" s="28"/>
      <c r="J298" s="28"/>
    </row>
    <row r="299">
      <c r="A299" s="15" t="s">
        <v>10385</v>
      </c>
      <c r="B299" s="230">
        <v>2.0</v>
      </c>
      <c r="C299" s="230">
        <v>6.0</v>
      </c>
      <c r="D299" s="230">
        <v>1.0</v>
      </c>
      <c r="E299" s="230">
        <v>1.0</v>
      </c>
      <c r="F299" s="15" t="s">
        <v>8382</v>
      </c>
      <c r="G299" s="15" t="s">
        <v>8389</v>
      </c>
      <c r="H299" s="28"/>
      <c r="I299" s="28"/>
      <c r="J299" s="28"/>
    </row>
    <row r="300">
      <c r="A300" s="15" t="s">
        <v>10385</v>
      </c>
      <c r="B300" s="230">
        <v>2.0</v>
      </c>
      <c r="C300" s="230">
        <v>7.0</v>
      </c>
      <c r="D300" s="230">
        <v>1.0</v>
      </c>
      <c r="E300" s="230">
        <v>1.0</v>
      </c>
      <c r="F300" s="15" t="s">
        <v>8382</v>
      </c>
      <c r="G300" s="15" t="s">
        <v>5767</v>
      </c>
      <c r="H300" s="28"/>
      <c r="I300" s="28"/>
      <c r="J300" s="28"/>
    </row>
    <row r="301">
      <c r="A301" s="15" t="s">
        <v>10385</v>
      </c>
      <c r="B301" s="230">
        <v>2.0</v>
      </c>
      <c r="C301" s="230">
        <v>8.0</v>
      </c>
      <c r="D301" s="230">
        <v>1.0</v>
      </c>
      <c r="E301" s="230">
        <v>1.0</v>
      </c>
      <c r="F301" s="15" t="s">
        <v>8382</v>
      </c>
      <c r="G301" s="15" t="s">
        <v>8390</v>
      </c>
      <c r="H301" s="28"/>
      <c r="I301" s="28"/>
      <c r="J301" s="28"/>
    </row>
    <row r="302">
      <c r="A302" s="15" t="s">
        <v>10385</v>
      </c>
      <c r="B302" s="230">
        <v>2.0</v>
      </c>
      <c r="C302" s="230">
        <v>9.0</v>
      </c>
      <c r="D302" s="230">
        <v>1.0</v>
      </c>
      <c r="E302" s="230">
        <v>1.0</v>
      </c>
      <c r="F302" s="15" t="s">
        <v>8382</v>
      </c>
      <c r="G302" s="15" t="s">
        <v>8391</v>
      </c>
      <c r="H302" s="28"/>
      <c r="I302" s="28"/>
      <c r="J302" s="28"/>
    </row>
    <row r="303">
      <c r="A303" s="15" t="s">
        <v>10385</v>
      </c>
      <c r="B303" s="230">
        <v>2.0</v>
      </c>
      <c r="C303" s="230">
        <v>10.0</v>
      </c>
      <c r="D303" s="230">
        <v>1.0</v>
      </c>
      <c r="E303" s="230">
        <v>1.0</v>
      </c>
      <c r="F303" s="15" t="s">
        <v>8382</v>
      </c>
      <c r="G303" s="15" t="s">
        <v>8392</v>
      </c>
      <c r="H303" s="28"/>
      <c r="I303" s="28"/>
      <c r="J303" s="28"/>
    </row>
    <row r="304">
      <c r="A304" s="15" t="s">
        <v>10385</v>
      </c>
      <c r="B304" s="230">
        <v>2.0</v>
      </c>
      <c r="C304" s="230">
        <v>1.0</v>
      </c>
      <c r="D304" s="230">
        <v>1.0</v>
      </c>
      <c r="E304" s="230">
        <v>2.0</v>
      </c>
      <c r="F304" s="15" t="s">
        <v>8382</v>
      </c>
      <c r="G304" s="15" t="s">
        <v>8383</v>
      </c>
      <c r="H304" s="28"/>
      <c r="I304" s="28"/>
      <c r="J304" s="28"/>
    </row>
    <row r="305">
      <c r="A305" s="15" t="s">
        <v>10385</v>
      </c>
      <c r="B305" s="230">
        <v>2.0</v>
      </c>
      <c r="C305" s="230">
        <v>2.0</v>
      </c>
      <c r="D305" s="230">
        <v>1.0</v>
      </c>
      <c r="E305" s="230">
        <v>2.0</v>
      </c>
      <c r="F305" s="15" t="s">
        <v>8382</v>
      </c>
      <c r="G305" s="15" t="s">
        <v>8385</v>
      </c>
      <c r="H305" s="28"/>
      <c r="I305" s="28"/>
      <c r="J305" s="28"/>
    </row>
    <row r="306">
      <c r="A306" s="15" t="s">
        <v>10385</v>
      </c>
      <c r="B306" s="230">
        <v>2.0</v>
      </c>
      <c r="C306" s="230">
        <v>3.0</v>
      </c>
      <c r="D306" s="230">
        <v>1.0</v>
      </c>
      <c r="E306" s="230">
        <v>2.0</v>
      </c>
      <c r="F306" s="15" t="s">
        <v>8382</v>
      </c>
      <c r="G306" s="15" t="s">
        <v>8386</v>
      </c>
      <c r="H306" s="28"/>
      <c r="I306" s="28"/>
      <c r="J306" s="28"/>
    </row>
    <row r="307">
      <c r="A307" s="15" t="s">
        <v>10385</v>
      </c>
      <c r="B307" s="230">
        <v>2.0</v>
      </c>
      <c r="C307" s="230">
        <v>4.0</v>
      </c>
      <c r="D307" s="230">
        <v>1.0</v>
      </c>
      <c r="E307" s="230">
        <v>2.0</v>
      </c>
      <c r="F307" s="15" t="s">
        <v>8382</v>
      </c>
      <c r="G307" s="15" t="s">
        <v>8387</v>
      </c>
      <c r="H307" s="28"/>
      <c r="I307" s="28"/>
      <c r="J307" s="28"/>
    </row>
    <row r="308">
      <c r="A308" s="15" t="s">
        <v>10385</v>
      </c>
      <c r="B308" s="230">
        <v>2.0</v>
      </c>
      <c r="C308" s="230">
        <v>5.0</v>
      </c>
      <c r="D308" s="230">
        <v>1.0</v>
      </c>
      <c r="E308" s="230">
        <v>2.0</v>
      </c>
      <c r="F308" s="15" t="s">
        <v>8382</v>
      </c>
      <c r="G308" s="15" t="s">
        <v>8388</v>
      </c>
      <c r="H308" s="28"/>
      <c r="I308" s="28"/>
      <c r="J308" s="28"/>
    </row>
    <row r="309">
      <c r="A309" s="15" t="s">
        <v>10385</v>
      </c>
      <c r="B309" s="230">
        <v>2.0</v>
      </c>
      <c r="C309" s="230">
        <v>6.0</v>
      </c>
      <c r="D309" s="230">
        <v>1.0</v>
      </c>
      <c r="E309" s="230">
        <v>2.0</v>
      </c>
      <c r="F309" s="15" t="s">
        <v>8382</v>
      </c>
      <c r="G309" s="15" t="s">
        <v>8389</v>
      </c>
      <c r="H309" s="28"/>
      <c r="I309" s="28"/>
      <c r="J309" s="28"/>
    </row>
    <row r="310">
      <c r="A310" s="15" t="s">
        <v>10385</v>
      </c>
      <c r="B310" s="230">
        <v>2.0</v>
      </c>
      <c r="C310" s="230">
        <v>7.0</v>
      </c>
      <c r="D310" s="230">
        <v>1.0</v>
      </c>
      <c r="E310" s="230">
        <v>2.0</v>
      </c>
      <c r="F310" s="15" t="s">
        <v>8382</v>
      </c>
      <c r="G310" s="15" t="s">
        <v>5767</v>
      </c>
      <c r="H310" s="28"/>
      <c r="I310" s="28"/>
      <c r="J310" s="28"/>
    </row>
    <row r="311">
      <c r="A311" s="15" t="s">
        <v>10385</v>
      </c>
      <c r="B311" s="230">
        <v>2.0</v>
      </c>
      <c r="C311" s="230">
        <v>8.0</v>
      </c>
      <c r="D311" s="230">
        <v>1.0</v>
      </c>
      <c r="E311" s="230">
        <v>2.0</v>
      </c>
      <c r="F311" s="15" t="s">
        <v>8382</v>
      </c>
      <c r="G311" s="15" t="s">
        <v>8390</v>
      </c>
      <c r="H311" s="28"/>
      <c r="I311" s="28"/>
      <c r="J311" s="28"/>
    </row>
    <row r="312">
      <c r="A312" s="15" t="s">
        <v>10385</v>
      </c>
      <c r="B312" s="230">
        <v>2.0</v>
      </c>
      <c r="C312" s="230">
        <v>9.0</v>
      </c>
      <c r="D312" s="230">
        <v>1.0</v>
      </c>
      <c r="E312" s="230">
        <v>2.0</v>
      </c>
      <c r="F312" s="15" t="s">
        <v>8382</v>
      </c>
      <c r="G312" s="15" t="s">
        <v>8391</v>
      </c>
      <c r="H312" s="28"/>
      <c r="I312" s="28"/>
      <c r="J312" s="28"/>
    </row>
    <row r="313">
      <c r="A313" s="15" t="s">
        <v>10385</v>
      </c>
      <c r="B313" s="230">
        <v>2.0</v>
      </c>
      <c r="C313" s="230">
        <v>10.0</v>
      </c>
      <c r="D313" s="230">
        <v>1.0</v>
      </c>
      <c r="E313" s="230">
        <v>2.0</v>
      </c>
      <c r="F313" s="15" t="s">
        <v>8382</v>
      </c>
      <c r="G313" s="15" t="s">
        <v>8392</v>
      </c>
      <c r="H313" s="28"/>
      <c r="I313" s="28"/>
      <c r="J313" s="28"/>
    </row>
    <row r="314">
      <c r="A314" s="15" t="s">
        <v>10385</v>
      </c>
      <c r="B314" s="230">
        <v>2.0</v>
      </c>
      <c r="C314" s="230">
        <v>1.0</v>
      </c>
      <c r="D314" s="230">
        <v>1.0</v>
      </c>
      <c r="E314" s="230">
        <v>3.0</v>
      </c>
      <c r="F314" s="15" t="s">
        <v>8382</v>
      </c>
      <c r="G314" s="15" t="s">
        <v>8383</v>
      </c>
      <c r="H314" s="28"/>
      <c r="I314" s="28"/>
      <c r="J314" s="28"/>
    </row>
    <row r="315">
      <c r="A315" s="15" t="s">
        <v>10385</v>
      </c>
      <c r="B315" s="230">
        <v>2.0</v>
      </c>
      <c r="C315" s="230">
        <v>2.0</v>
      </c>
      <c r="D315" s="230">
        <v>1.0</v>
      </c>
      <c r="E315" s="230">
        <v>3.0</v>
      </c>
      <c r="F315" s="15" t="s">
        <v>8382</v>
      </c>
      <c r="G315" s="15" t="s">
        <v>8385</v>
      </c>
      <c r="H315" s="28"/>
      <c r="I315" s="28"/>
      <c r="J315" s="28"/>
    </row>
    <row r="316">
      <c r="A316" s="15" t="s">
        <v>10385</v>
      </c>
      <c r="B316" s="230">
        <v>2.0</v>
      </c>
      <c r="C316" s="230">
        <v>3.0</v>
      </c>
      <c r="D316" s="230">
        <v>1.0</v>
      </c>
      <c r="E316" s="230">
        <v>3.0</v>
      </c>
      <c r="F316" s="15" t="s">
        <v>8382</v>
      </c>
      <c r="G316" s="15" t="s">
        <v>8386</v>
      </c>
      <c r="H316" s="28"/>
      <c r="I316" s="28"/>
      <c r="J316" s="28"/>
    </row>
    <row r="317">
      <c r="A317" s="15" t="s">
        <v>10385</v>
      </c>
      <c r="B317" s="230">
        <v>2.0</v>
      </c>
      <c r="C317" s="230">
        <v>4.0</v>
      </c>
      <c r="D317" s="230">
        <v>1.0</v>
      </c>
      <c r="E317" s="230">
        <v>3.0</v>
      </c>
      <c r="F317" s="15" t="s">
        <v>8382</v>
      </c>
      <c r="G317" s="15" t="s">
        <v>8387</v>
      </c>
      <c r="H317" s="28"/>
      <c r="I317" s="28"/>
      <c r="J317" s="28"/>
    </row>
    <row r="318">
      <c r="A318" s="15" t="s">
        <v>10385</v>
      </c>
      <c r="B318" s="230">
        <v>2.0</v>
      </c>
      <c r="C318" s="230">
        <v>5.0</v>
      </c>
      <c r="D318" s="230">
        <v>1.0</v>
      </c>
      <c r="E318" s="230">
        <v>3.0</v>
      </c>
      <c r="F318" s="15" t="s">
        <v>8382</v>
      </c>
      <c r="G318" s="15" t="s">
        <v>8388</v>
      </c>
      <c r="H318" s="28"/>
      <c r="I318" s="28"/>
      <c r="J318" s="28"/>
    </row>
    <row r="319">
      <c r="A319" s="15" t="s">
        <v>10385</v>
      </c>
      <c r="B319" s="230">
        <v>2.0</v>
      </c>
      <c r="C319" s="230">
        <v>6.0</v>
      </c>
      <c r="D319" s="230">
        <v>1.0</v>
      </c>
      <c r="E319" s="230">
        <v>3.0</v>
      </c>
      <c r="F319" s="15" t="s">
        <v>8382</v>
      </c>
      <c r="G319" s="15" t="s">
        <v>8389</v>
      </c>
      <c r="H319" s="28"/>
      <c r="I319" s="28"/>
      <c r="J319" s="28"/>
    </row>
    <row r="320">
      <c r="A320" s="15" t="s">
        <v>10385</v>
      </c>
      <c r="B320" s="230">
        <v>2.0</v>
      </c>
      <c r="C320" s="230">
        <v>7.0</v>
      </c>
      <c r="D320" s="230">
        <v>1.0</v>
      </c>
      <c r="E320" s="230">
        <v>3.0</v>
      </c>
      <c r="F320" s="15" t="s">
        <v>8382</v>
      </c>
      <c r="G320" s="15" t="s">
        <v>5767</v>
      </c>
      <c r="H320" s="28"/>
      <c r="I320" s="28"/>
      <c r="J320" s="28"/>
    </row>
    <row r="321">
      <c r="A321" s="15" t="s">
        <v>10385</v>
      </c>
      <c r="B321" s="230">
        <v>2.0</v>
      </c>
      <c r="C321" s="230">
        <v>8.0</v>
      </c>
      <c r="D321" s="230">
        <v>1.0</v>
      </c>
      <c r="E321" s="230">
        <v>3.0</v>
      </c>
      <c r="F321" s="15" t="s">
        <v>8382</v>
      </c>
      <c r="G321" s="15" t="s">
        <v>8390</v>
      </c>
      <c r="H321" s="28"/>
      <c r="I321" s="28"/>
      <c r="J321" s="28"/>
    </row>
    <row r="322">
      <c r="A322" s="15" t="s">
        <v>10385</v>
      </c>
      <c r="B322" s="230">
        <v>2.0</v>
      </c>
      <c r="C322" s="230">
        <v>9.0</v>
      </c>
      <c r="D322" s="230">
        <v>1.0</v>
      </c>
      <c r="E322" s="230">
        <v>3.0</v>
      </c>
      <c r="F322" s="15" t="s">
        <v>8382</v>
      </c>
      <c r="G322" s="15" t="s">
        <v>8391</v>
      </c>
      <c r="H322" s="28"/>
      <c r="I322" s="28"/>
      <c r="J322" s="28"/>
    </row>
    <row r="323">
      <c r="A323" s="15" t="s">
        <v>10385</v>
      </c>
      <c r="B323" s="230">
        <v>2.0</v>
      </c>
      <c r="C323" s="230">
        <v>10.0</v>
      </c>
      <c r="D323" s="230">
        <v>1.0</v>
      </c>
      <c r="E323" s="230">
        <v>3.0</v>
      </c>
      <c r="F323" s="15" t="s">
        <v>8382</v>
      </c>
      <c r="G323" s="15" t="s">
        <v>8392</v>
      </c>
      <c r="H323" s="28"/>
      <c r="I323" s="28"/>
      <c r="J323" s="28"/>
    </row>
    <row r="324">
      <c r="A324" s="15" t="s">
        <v>10385</v>
      </c>
      <c r="B324" s="230">
        <v>2.0</v>
      </c>
      <c r="C324" s="230">
        <v>1.0</v>
      </c>
      <c r="D324" s="230">
        <v>1.0</v>
      </c>
      <c r="E324" s="230">
        <v>4.0</v>
      </c>
      <c r="F324" s="15" t="s">
        <v>8382</v>
      </c>
      <c r="G324" s="15" t="s">
        <v>8383</v>
      </c>
      <c r="H324" s="28"/>
      <c r="I324" s="28"/>
      <c r="J324" s="28"/>
    </row>
    <row r="325">
      <c r="A325" s="15" t="s">
        <v>10385</v>
      </c>
      <c r="B325" s="230">
        <v>2.0</v>
      </c>
      <c r="C325" s="230">
        <v>2.0</v>
      </c>
      <c r="D325" s="230">
        <v>1.0</v>
      </c>
      <c r="E325" s="230">
        <v>4.0</v>
      </c>
      <c r="F325" s="15" t="s">
        <v>8382</v>
      </c>
      <c r="G325" s="15" t="s">
        <v>8385</v>
      </c>
      <c r="H325" s="28"/>
      <c r="I325" s="28"/>
      <c r="J325" s="28"/>
    </row>
    <row r="326">
      <c r="A326" s="15" t="s">
        <v>10385</v>
      </c>
      <c r="B326" s="230">
        <v>2.0</v>
      </c>
      <c r="C326" s="230">
        <v>3.0</v>
      </c>
      <c r="D326" s="230">
        <v>1.0</v>
      </c>
      <c r="E326" s="230">
        <v>4.0</v>
      </c>
      <c r="F326" s="15" t="s">
        <v>8382</v>
      </c>
      <c r="G326" s="15" t="s">
        <v>8386</v>
      </c>
      <c r="H326" s="28"/>
      <c r="I326" s="28"/>
      <c r="J326" s="28"/>
    </row>
    <row r="327">
      <c r="A327" s="15" t="s">
        <v>10385</v>
      </c>
      <c r="B327" s="230">
        <v>2.0</v>
      </c>
      <c r="C327" s="230">
        <v>4.0</v>
      </c>
      <c r="D327" s="230">
        <v>1.0</v>
      </c>
      <c r="E327" s="230">
        <v>4.0</v>
      </c>
      <c r="F327" s="15" t="s">
        <v>8382</v>
      </c>
      <c r="G327" s="15" t="s">
        <v>8387</v>
      </c>
      <c r="H327" s="28"/>
      <c r="I327" s="28"/>
      <c r="J327" s="28"/>
    </row>
    <row r="328">
      <c r="A328" s="15" t="s">
        <v>10385</v>
      </c>
      <c r="B328" s="230">
        <v>2.0</v>
      </c>
      <c r="C328" s="230">
        <v>5.0</v>
      </c>
      <c r="D328" s="230">
        <v>1.0</v>
      </c>
      <c r="E328" s="230">
        <v>4.0</v>
      </c>
      <c r="F328" s="15" t="s">
        <v>8382</v>
      </c>
      <c r="G328" s="15" t="s">
        <v>8388</v>
      </c>
      <c r="H328" s="28"/>
      <c r="I328" s="28"/>
      <c r="J328" s="28"/>
    </row>
    <row r="329">
      <c r="A329" s="15" t="s">
        <v>10385</v>
      </c>
      <c r="B329" s="230">
        <v>2.0</v>
      </c>
      <c r="C329" s="230">
        <v>6.0</v>
      </c>
      <c r="D329" s="230">
        <v>1.0</v>
      </c>
      <c r="E329" s="230">
        <v>4.0</v>
      </c>
      <c r="F329" s="15" t="s">
        <v>8382</v>
      </c>
      <c r="G329" s="15" t="s">
        <v>8389</v>
      </c>
      <c r="H329" s="28"/>
      <c r="I329" s="28"/>
      <c r="J329" s="28"/>
    </row>
    <row r="330">
      <c r="A330" s="15" t="s">
        <v>10385</v>
      </c>
      <c r="B330" s="230">
        <v>2.0</v>
      </c>
      <c r="C330" s="230">
        <v>7.0</v>
      </c>
      <c r="D330" s="230">
        <v>1.0</v>
      </c>
      <c r="E330" s="230">
        <v>4.0</v>
      </c>
      <c r="F330" s="15" t="s">
        <v>8382</v>
      </c>
      <c r="G330" s="15" t="s">
        <v>5767</v>
      </c>
      <c r="H330" s="28"/>
      <c r="I330" s="28"/>
      <c r="J330" s="28"/>
    </row>
    <row r="331">
      <c r="A331" s="15" t="s">
        <v>10385</v>
      </c>
      <c r="B331" s="230">
        <v>2.0</v>
      </c>
      <c r="C331" s="230">
        <v>8.0</v>
      </c>
      <c r="D331" s="230">
        <v>1.0</v>
      </c>
      <c r="E331" s="230">
        <v>4.0</v>
      </c>
      <c r="F331" s="15" t="s">
        <v>8382</v>
      </c>
      <c r="G331" s="15" t="s">
        <v>8390</v>
      </c>
      <c r="H331" s="28"/>
      <c r="I331" s="28"/>
      <c r="J331" s="28"/>
    </row>
    <row r="332">
      <c r="A332" s="15" t="s">
        <v>10385</v>
      </c>
      <c r="B332" s="230">
        <v>2.0</v>
      </c>
      <c r="C332" s="230">
        <v>9.0</v>
      </c>
      <c r="D332" s="230">
        <v>1.0</v>
      </c>
      <c r="E332" s="230">
        <v>4.0</v>
      </c>
      <c r="F332" s="15" t="s">
        <v>8382</v>
      </c>
      <c r="G332" s="15" t="s">
        <v>8391</v>
      </c>
      <c r="H332" s="28"/>
      <c r="I332" s="28"/>
      <c r="J332" s="28"/>
    </row>
    <row r="333">
      <c r="A333" s="15" t="s">
        <v>10385</v>
      </c>
      <c r="B333" s="230">
        <v>2.0</v>
      </c>
      <c r="C333" s="230">
        <v>10.0</v>
      </c>
      <c r="D333" s="230">
        <v>1.0</v>
      </c>
      <c r="E333" s="230">
        <v>4.0</v>
      </c>
      <c r="F333" s="15" t="s">
        <v>8382</v>
      </c>
      <c r="G333" s="15" t="s">
        <v>8392</v>
      </c>
      <c r="H333" s="28"/>
      <c r="I333" s="28"/>
      <c r="J333" s="28"/>
    </row>
    <row r="334">
      <c r="A334" s="15" t="s">
        <v>10385</v>
      </c>
      <c r="B334" s="230">
        <v>2.0</v>
      </c>
      <c r="C334" s="230">
        <v>1.0</v>
      </c>
      <c r="D334" s="230">
        <v>1.0</v>
      </c>
      <c r="E334" s="230">
        <v>5.0</v>
      </c>
      <c r="F334" s="15" t="s">
        <v>8382</v>
      </c>
      <c r="G334" s="15" t="s">
        <v>8383</v>
      </c>
      <c r="H334" s="28"/>
      <c r="I334" s="28"/>
      <c r="J334" s="28"/>
    </row>
    <row r="335">
      <c r="A335" s="15" t="s">
        <v>10385</v>
      </c>
      <c r="B335" s="230">
        <v>2.0</v>
      </c>
      <c r="C335" s="230">
        <v>2.0</v>
      </c>
      <c r="D335" s="230">
        <v>1.0</v>
      </c>
      <c r="E335" s="230">
        <v>5.0</v>
      </c>
      <c r="F335" s="15" t="s">
        <v>8382</v>
      </c>
      <c r="G335" s="15" t="s">
        <v>8385</v>
      </c>
      <c r="H335" s="28"/>
      <c r="I335" s="28"/>
      <c r="J335" s="28"/>
    </row>
    <row r="336">
      <c r="A336" s="15" t="s">
        <v>10385</v>
      </c>
      <c r="B336" s="230">
        <v>2.0</v>
      </c>
      <c r="C336" s="230">
        <v>3.0</v>
      </c>
      <c r="D336" s="230">
        <v>1.0</v>
      </c>
      <c r="E336" s="230">
        <v>5.0</v>
      </c>
      <c r="F336" s="15" t="s">
        <v>8382</v>
      </c>
      <c r="G336" s="15" t="s">
        <v>8386</v>
      </c>
      <c r="H336" s="28"/>
      <c r="I336" s="28"/>
      <c r="J336" s="28"/>
    </row>
    <row r="337">
      <c r="A337" s="15" t="s">
        <v>10385</v>
      </c>
      <c r="B337" s="230">
        <v>2.0</v>
      </c>
      <c r="C337" s="230">
        <v>4.0</v>
      </c>
      <c r="D337" s="230">
        <v>1.0</v>
      </c>
      <c r="E337" s="230">
        <v>5.0</v>
      </c>
      <c r="F337" s="15" t="s">
        <v>8382</v>
      </c>
      <c r="G337" s="15" t="s">
        <v>8387</v>
      </c>
      <c r="H337" s="28"/>
      <c r="I337" s="28"/>
      <c r="J337" s="28"/>
    </row>
    <row r="338">
      <c r="A338" s="15" t="s">
        <v>10385</v>
      </c>
      <c r="B338" s="230">
        <v>2.0</v>
      </c>
      <c r="C338" s="230">
        <v>5.0</v>
      </c>
      <c r="D338" s="230">
        <v>1.0</v>
      </c>
      <c r="E338" s="230">
        <v>5.0</v>
      </c>
      <c r="F338" s="15" t="s">
        <v>8382</v>
      </c>
      <c r="G338" s="15" t="s">
        <v>8388</v>
      </c>
      <c r="H338" s="28"/>
      <c r="I338" s="28"/>
      <c r="J338" s="28"/>
    </row>
    <row r="339">
      <c r="A339" s="15" t="s">
        <v>10385</v>
      </c>
      <c r="B339" s="230">
        <v>2.0</v>
      </c>
      <c r="C339" s="230">
        <v>6.0</v>
      </c>
      <c r="D339" s="230">
        <v>1.0</v>
      </c>
      <c r="E339" s="230">
        <v>5.0</v>
      </c>
      <c r="F339" s="15" t="s">
        <v>8382</v>
      </c>
      <c r="G339" s="15" t="s">
        <v>8389</v>
      </c>
      <c r="H339" s="28"/>
      <c r="I339" s="28"/>
      <c r="J339" s="28"/>
    </row>
    <row r="340">
      <c r="A340" s="15" t="s">
        <v>10385</v>
      </c>
      <c r="B340" s="230">
        <v>2.0</v>
      </c>
      <c r="C340" s="230">
        <v>7.0</v>
      </c>
      <c r="D340" s="230">
        <v>1.0</v>
      </c>
      <c r="E340" s="230">
        <v>5.0</v>
      </c>
      <c r="F340" s="15" t="s">
        <v>8382</v>
      </c>
      <c r="G340" s="15" t="s">
        <v>5767</v>
      </c>
      <c r="H340" s="28"/>
      <c r="I340" s="28"/>
      <c r="J340" s="28"/>
    </row>
    <row r="341">
      <c r="A341" s="15" t="s">
        <v>10385</v>
      </c>
      <c r="B341" s="230">
        <v>2.0</v>
      </c>
      <c r="C341" s="230">
        <v>8.0</v>
      </c>
      <c r="D341" s="230">
        <v>1.0</v>
      </c>
      <c r="E341" s="230">
        <v>5.0</v>
      </c>
      <c r="F341" s="15" t="s">
        <v>8382</v>
      </c>
      <c r="G341" s="15" t="s">
        <v>8390</v>
      </c>
      <c r="H341" s="28"/>
      <c r="I341" s="28"/>
      <c r="J341" s="28"/>
    </row>
    <row r="342">
      <c r="A342" s="15" t="s">
        <v>10385</v>
      </c>
      <c r="B342" s="230">
        <v>2.0</v>
      </c>
      <c r="C342" s="230">
        <v>9.0</v>
      </c>
      <c r="D342" s="230">
        <v>1.0</v>
      </c>
      <c r="E342" s="230">
        <v>5.0</v>
      </c>
      <c r="F342" s="15" t="s">
        <v>8382</v>
      </c>
      <c r="G342" s="15" t="s">
        <v>8391</v>
      </c>
      <c r="H342" s="28"/>
      <c r="I342" s="28"/>
      <c r="J342" s="28"/>
    </row>
    <row r="343">
      <c r="A343" s="15" t="s">
        <v>10385</v>
      </c>
      <c r="B343" s="230">
        <v>2.0</v>
      </c>
      <c r="C343" s="230">
        <v>10.0</v>
      </c>
      <c r="D343" s="230">
        <v>1.0</v>
      </c>
      <c r="E343" s="230">
        <v>5.0</v>
      </c>
      <c r="F343" s="15" t="s">
        <v>8382</v>
      </c>
      <c r="G343" s="15" t="s">
        <v>8392</v>
      </c>
      <c r="H343" s="28"/>
      <c r="I343" s="28"/>
      <c r="J343" s="28"/>
    </row>
    <row r="344">
      <c r="A344" s="15" t="s">
        <v>10385</v>
      </c>
      <c r="B344" s="230">
        <v>3.0</v>
      </c>
      <c r="C344" s="230">
        <v>1.0</v>
      </c>
      <c r="D344" s="230">
        <v>2.0</v>
      </c>
      <c r="E344" s="230">
        <v>1.0</v>
      </c>
      <c r="F344" s="15" t="s">
        <v>8393</v>
      </c>
      <c r="G344" s="15" t="s">
        <v>8929</v>
      </c>
      <c r="H344" s="28"/>
      <c r="I344" s="28"/>
      <c r="J344" s="28"/>
    </row>
    <row r="345">
      <c r="A345" s="15" t="s">
        <v>10385</v>
      </c>
      <c r="B345" s="230">
        <v>3.0</v>
      </c>
      <c r="C345" s="230">
        <v>2.0</v>
      </c>
      <c r="D345" s="230">
        <v>2.0</v>
      </c>
      <c r="E345" s="230">
        <v>1.0</v>
      </c>
      <c r="F345" s="15" t="s">
        <v>8393</v>
      </c>
      <c r="G345" s="15" t="s">
        <v>8930</v>
      </c>
      <c r="H345" s="28"/>
      <c r="I345" s="28"/>
      <c r="J345" s="28"/>
    </row>
    <row r="346">
      <c r="A346" s="15" t="s">
        <v>10385</v>
      </c>
      <c r="B346" s="230">
        <v>3.0</v>
      </c>
      <c r="C346" s="230">
        <v>3.0</v>
      </c>
      <c r="D346" s="230">
        <v>2.0</v>
      </c>
      <c r="E346" s="230">
        <v>1.0</v>
      </c>
      <c r="F346" s="15" t="s">
        <v>8393</v>
      </c>
      <c r="G346" s="15" t="s">
        <v>8931</v>
      </c>
      <c r="H346" s="28"/>
      <c r="I346" s="28"/>
      <c r="J346" s="28"/>
    </row>
    <row r="347">
      <c r="A347" s="15" t="s">
        <v>10385</v>
      </c>
      <c r="B347" s="230">
        <v>3.0</v>
      </c>
      <c r="C347" s="230">
        <v>4.0</v>
      </c>
      <c r="D347" s="230">
        <v>2.0</v>
      </c>
      <c r="E347" s="230">
        <v>1.0</v>
      </c>
      <c r="F347" s="15" t="s">
        <v>8393</v>
      </c>
      <c r="G347" s="15" t="s">
        <v>8932</v>
      </c>
      <c r="H347" s="28"/>
      <c r="I347" s="28"/>
      <c r="J347" s="28"/>
    </row>
    <row r="348">
      <c r="A348" s="15" t="s">
        <v>10385</v>
      </c>
      <c r="B348" s="230">
        <v>3.0</v>
      </c>
      <c r="C348" s="230">
        <v>5.0</v>
      </c>
      <c r="D348" s="230">
        <v>2.0</v>
      </c>
      <c r="E348" s="230">
        <v>1.0</v>
      </c>
      <c r="F348" s="15" t="s">
        <v>8393</v>
      </c>
      <c r="G348" s="15" t="s">
        <v>8933</v>
      </c>
      <c r="H348" s="28"/>
      <c r="I348" s="28"/>
      <c r="J348" s="28"/>
    </row>
    <row r="349">
      <c r="A349" s="15" t="s">
        <v>10385</v>
      </c>
      <c r="B349" s="230">
        <v>3.0</v>
      </c>
      <c r="C349" s="230">
        <v>6.0</v>
      </c>
      <c r="D349" s="230">
        <v>2.0</v>
      </c>
      <c r="E349" s="230">
        <v>1.0</v>
      </c>
      <c r="F349" s="15" t="s">
        <v>8393</v>
      </c>
      <c r="G349" s="15" t="s">
        <v>8934</v>
      </c>
      <c r="H349" s="28"/>
      <c r="I349" s="28"/>
      <c r="J349" s="28"/>
    </row>
    <row r="350">
      <c r="A350" s="15" t="s">
        <v>10385</v>
      </c>
      <c r="B350" s="230">
        <v>3.0</v>
      </c>
      <c r="C350" s="230">
        <v>7.0</v>
      </c>
      <c r="D350" s="230">
        <v>2.0</v>
      </c>
      <c r="E350" s="230">
        <v>1.0</v>
      </c>
      <c r="F350" s="15" t="s">
        <v>8393</v>
      </c>
      <c r="G350" s="15" t="s">
        <v>8935</v>
      </c>
      <c r="H350" s="28"/>
      <c r="I350" s="28"/>
      <c r="J350" s="28"/>
    </row>
    <row r="351">
      <c r="A351" s="15" t="s">
        <v>10385</v>
      </c>
      <c r="B351" s="230">
        <v>3.0</v>
      </c>
      <c r="C351" s="230">
        <v>8.0</v>
      </c>
      <c r="D351" s="230">
        <v>2.0</v>
      </c>
      <c r="E351" s="230">
        <v>1.0</v>
      </c>
      <c r="F351" s="15" t="s">
        <v>8393</v>
      </c>
      <c r="G351" s="15" t="s">
        <v>8936</v>
      </c>
      <c r="H351" s="28"/>
      <c r="I351" s="28"/>
      <c r="J351" s="28"/>
    </row>
    <row r="352">
      <c r="A352" s="15" t="s">
        <v>10385</v>
      </c>
      <c r="B352" s="230">
        <v>3.0</v>
      </c>
      <c r="C352" s="230">
        <v>9.0</v>
      </c>
      <c r="D352" s="230">
        <v>2.0</v>
      </c>
      <c r="E352" s="230">
        <v>1.0</v>
      </c>
      <c r="F352" s="15" t="s">
        <v>8393</v>
      </c>
      <c r="G352" s="15" t="s">
        <v>8937</v>
      </c>
      <c r="H352" s="28"/>
      <c r="I352" s="28"/>
      <c r="J352" s="28"/>
    </row>
    <row r="353">
      <c r="A353" s="15" t="s">
        <v>10385</v>
      </c>
      <c r="B353" s="230">
        <v>3.0</v>
      </c>
      <c r="C353" s="230">
        <v>10.0</v>
      </c>
      <c r="D353" s="230">
        <v>2.0</v>
      </c>
      <c r="E353" s="230">
        <v>1.0</v>
      </c>
      <c r="F353" s="15" t="s">
        <v>8393</v>
      </c>
      <c r="G353" s="15" t="s">
        <v>8938</v>
      </c>
      <c r="H353" s="28"/>
      <c r="I353" s="28"/>
      <c r="J353" s="28"/>
    </row>
    <row r="354">
      <c r="A354" s="15" t="s">
        <v>10385</v>
      </c>
      <c r="B354" s="230">
        <v>3.0</v>
      </c>
      <c r="C354" s="230">
        <v>11.0</v>
      </c>
      <c r="D354" s="230">
        <v>2.0</v>
      </c>
      <c r="E354" s="230">
        <v>1.0</v>
      </c>
      <c r="F354" s="15" t="s">
        <v>8393</v>
      </c>
      <c r="G354" s="15" t="s">
        <v>9151</v>
      </c>
      <c r="H354" s="28"/>
      <c r="I354" s="28"/>
      <c r="J354" s="28"/>
    </row>
    <row r="355">
      <c r="A355" s="15" t="s">
        <v>10385</v>
      </c>
      <c r="B355" s="230">
        <v>3.0</v>
      </c>
      <c r="C355" s="230">
        <v>12.0</v>
      </c>
      <c r="D355" s="230">
        <v>2.0</v>
      </c>
      <c r="E355" s="230">
        <v>1.0</v>
      </c>
      <c r="F355" s="15" t="s">
        <v>8393</v>
      </c>
      <c r="G355" s="15" t="s">
        <v>8940</v>
      </c>
      <c r="H355" s="28"/>
      <c r="I355" s="28"/>
      <c r="J355" s="28"/>
    </row>
    <row r="356">
      <c r="A356" s="15" t="s">
        <v>10385</v>
      </c>
      <c r="B356" s="230">
        <v>3.0</v>
      </c>
      <c r="C356" s="230">
        <v>13.0</v>
      </c>
      <c r="D356" s="230">
        <v>2.0</v>
      </c>
      <c r="E356" s="230">
        <v>1.0</v>
      </c>
      <c r="F356" s="15" t="s">
        <v>8393</v>
      </c>
      <c r="G356" s="15" t="s">
        <v>8941</v>
      </c>
      <c r="H356" s="28"/>
      <c r="I356" s="28"/>
      <c r="J356" s="28"/>
    </row>
    <row r="357">
      <c r="A357" s="15" t="s">
        <v>10385</v>
      </c>
      <c r="B357" s="230">
        <v>3.0</v>
      </c>
      <c r="C357" s="230">
        <v>14.0</v>
      </c>
      <c r="D357" s="230">
        <v>2.0</v>
      </c>
      <c r="E357" s="230">
        <v>1.0</v>
      </c>
      <c r="F357" s="15" t="s">
        <v>8393</v>
      </c>
      <c r="G357" s="15" t="s">
        <v>8942</v>
      </c>
      <c r="H357" s="28"/>
      <c r="I357" s="28"/>
      <c r="J357" s="28"/>
    </row>
    <row r="358">
      <c r="A358" s="15" t="s">
        <v>10385</v>
      </c>
      <c r="B358" s="230">
        <v>3.0</v>
      </c>
      <c r="C358" s="230">
        <v>15.0</v>
      </c>
      <c r="D358" s="230">
        <v>2.0</v>
      </c>
      <c r="E358" s="230">
        <v>1.0</v>
      </c>
      <c r="F358" s="15" t="s">
        <v>8393</v>
      </c>
      <c r="G358" s="15" t="s">
        <v>8943</v>
      </c>
      <c r="H358" s="28"/>
      <c r="I358" s="28"/>
      <c r="J358" s="28"/>
    </row>
    <row r="359">
      <c r="A359" s="15" t="s">
        <v>10385</v>
      </c>
      <c r="B359" s="230">
        <v>3.0</v>
      </c>
      <c r="C359" s="230">
        <v>16.0</v>
      </c>
      <c r="D359" s="230">
        <v>2.0</v>
      </c>
      <c r="E359" s="230">
        <v>1.0</v>
      </c>
      <c r="F359" s="15" t="s">
        <v>8393</v>
      </c>
      <c r="G359" s="15" t="s">
        <v>8944</v>
      </c>
      <c r="H359" s="28"/>
      <c r="I359" s="28"/>
      <c r="J359" s="28"/>
    </row>
    <row r="360">
      <c r="A360" s="15" t="s">
        <v>10385</v>
      </c>
      <c r="B360" s="230">
        <v>3.0</v>
      </c>
      <c r="C360" s="230">
        <v>17.0</v>
      </c>
      <c r="D360" s="230">
        <v>2.0</v>
      </c>
      <c r="E360" s="230">
        <v>1.0</v>
      </c>
      <c r="F360" s="15" t="s">
        <v>8393</v>
      </c>
      <c r="G360" s="15" t="s">
        <v>8945</v>
      </c>
      <c r="H360" s="28"/>
      <c r="I360" s="28"/>
      <c r="J360" s="28"/>
    </row>
    <row r="361">
      <c r="A361" s="15" t="s">
        <v>10385</v>
      </c>
      <c r="B361" s="230">
        <v>3.0</v>
      </c>
      <c r="C361" s="230">
        <v>18.0</v>
      </c>
      <c r="D361" s="230">
        <v>2.0</v>
      </c>
      <c r="E361" s="230">
        <v>1.0</v>
      </c>
      <c r="F361" s="15" t="s">
        <v>8393</v>
      </c>
      <c r="G361" s="15" t="s">
        <v>8946</v>
      </c>
      <c r="H361" s="28"/>
      <c r="I361" s="28"/>
      <c r="J361" s="28"/>
    </row>
    <row r="362">
      <c r="A362" s="15" t="s">
        <v>10385</v>
      </c>
      <c r="B362" s="230">
        <v>3.0</v>
      </c>
      <c r="C362" s="230">
        <v>19.0</v>
      </c>
      <c r="D362" s="230">
        <v>2.0</v>
      </c>
      <c r="E362" s="230">
        <v>1.0</v>
      </c>
      <c r="F362" s="15" t="s">
        <v>8393</v>
      </c>
      <c r="G362" s="15" t="s">
        <v>8947</v>
      </c>
      <c r="H362" s="28"/>
      <c r="I362" s="28"/>
      <c r="J362" s="28"/>
    </row>
    <row r="363">
      <c r="A363" s="15" t="s">
        <v>10385</v>
      </c>
      <c r="B363" s="230">
        <v>3.0</v>
      </c>
      <c r="C363" s="230">
        <v>20.0</v>
      </c>
      <c r="D363" s="230">
        <v>2.0</v>
      </c>
      <c r="E363" s="230">
        <v>1.0</v>
      </c>
      <c r="F363" s="15" t="s">
        <v>8393</v>
      </c>
      <c r="G363" s="15" t="s">
        <v>8948</v>
      </c>
      <c r="H363" s="28"/>
      <c r="I363" s="28"/>
      <c r="J363" s="28"/>
    </row>
    <row r="364">
      <c r="A364" s="15" t="s">
        <v>10385</v>
      </c>
      <c r="B364" s="230">
        <v>3.0</v>
      </c>
      <c r="C364" s="230">
        <v>21.0</v>
      </c>
      <c r="D364" s="230">
        <v>2.0</v>
      </c>
      <c r="E364" s="230">
        <v>1.0</v>
      </c>
      <c r="F364" s="15" t="s">
        <v>8393</v>
      </c>
      <c r="G364" s="15" t="s">
        <v>8949</v>
      </c>
      <c r="H364" s="28"/>
      <c r="I364" s="28"/>
      <c r="J364" s="28"/>
    </row>
    <row r="365">
      <c r="A365" s="15" t="s">
        <v>10385</v>
      </c>
      <c r="B365" s="230">
        <v>3.0</v>
      </c>
      <c r="C365" s="230">
        <v>22.0</v>
      </c>
      <c r="D365" s="230">
        <v>2.0</v>
      </c>
      <c r="E365" s="230">
        <v>1.0</v>
      </c>
      <c r="F365" s="15" t="s">
        <v>8393</v>
      </c>
      <c r="G365" s="15" t="s">
        <v>8950</v>
      </c>
      <c r="H365" s="28"/>
      <c r="I365" s="28"/>
      <c r="J365" s="28"/>
    </row>
    <row r="366">
      <c r="A366" s="15" t="s">
        <v>10385</v>
      </c>
      <c r="B366" s="230">
        <v>3.0</v>
      </c>
      <c r="C366" s="230">
        <v>23.0</v>
      </c>
      <c r="D366" s="230">
        <v>2.0</v>
      </c>
      <c r="E366" s="230">
        <v>1.0</v>
      </c>
      <c r="F366" s="15" t="s">
        <v>8393</v>
      </c>
      <c r="G366" s="15" t="s">
        <v>8951</v>
      </c>
      <c r="H366" s="28"/>
      <c r="I366" s="28"/>
      <c r="J366" s="28"/>
    </row>
    <row r="367">
      <c r="A367" s="15" t="s">
        <v>10385</v>
      </c>
      <c r="B367" s="230">
        <v>3.0</v>
      </c>
      <c r="C367" s="230">
        <v>24.0</v>
      </c>
      <c r="D367" s="230">
        <v>2.0</v>
      </c>
      <c r="E367" s="230">
        <v>1.0</v>
      </c>
      <c r="F367" s="15" t="s">
        <v>8393</v>
      </c>
      <c r="G367" s="15" t="s">
        <v>8952</v>
      </c>
      <c r="H367" s="28"/>
      <c r="I367" s="28"/>
      <c r="J367" s="28"/>
    </row>
    <row r="368">
      <c r="A368" s="15" t="s">
        <v>10385</v>
      </c>
      <c r="B368" s="230">
        <v>3.0</v>
      </c>
      <c r="C368" s="230">
        <v>25.0</v>
      </c>
      <c r="D368" s="230">
        <v>2.0</v>
      </c>
      <c r="E368" s="230">
        <v>1.0</v>
      </c>
      <c r="F368" s="15" t="s">
        <v>8393</v>
      </c>
      <c r="G368" s="15" t="s">
        <v>8953</v>
      </c>
      <c r="H368" s="28"/>
      <c r="I368" s="28"/>
      <c r="J368" s="28"/>
    </row>
    <row r="369">
      <c r="A369" s="15" t="s">
        <v>10385</v>
      </c>
      <c r="B369" s="230">
        <v>3.0</v>
      </c>
      <c r="C369" s="230">
        <v>26.0</v>
      </c>
      <c r="D369" s="230">
        <v>2.0</v>
      </c>
      <c r="E369" s="230">
        <v>1.0</v>
      </c>
      <c r="F369" s="15" t="s">
        <v>8393</v>
      </c>
      <c r="G369" s="15" t="s">
        <v>8954</v>
      </c>
      <c r="H369" s="28"/>
      <c r="I369" s="28"/>
      <c r="J369" s="28"/>
    </row>
    <row r="370">
      <c r="A370" s="15" t="s">
        <v>10385</v>
      </c>
      <c r="B370" s="230">
        <v>3.0</v>
      </c>
      <c r="C370" s="230">
        <v>27.0</v>
      </c>
      <c r="D370" s="230">
        <v>2.0</v>
      </c>
      <c r="E370" s="230">
        <v>1.0</v>
      </c>
      <c r="F370" s="15" t="s">
        <v>8393</v>
      </c>
      <c r="G370" s="15" t="s">
        <v>8956</v>
      </c>
      <c r="H370" s="28"/>
      <c r="I370" s="28"/>
      <c r="J370" s="28"/>
    </row>
    <row r="371">
      <c r="A371" s="15" t="s">
        <v>10385</v>
      </c>
      <c r="B371" s="230">
        <v>3.0</v>
      </c>
      <c r="C371" s="230">
        <v>28.0</v>
      </c>
      <c r="D371" s="230">
        <v>2.0</v>
      </c>
      <c r="E371" s="230">
        <v>1.0</v>
      </c>
      <c r="F371" s="15" t="s">
        <v>8393</v>
      </c>
      <c r="G371" s="15" t="s">
        <v>8958</v>
      </c>
      <c r="H371" s="28"/>
      <c r="I371" s="28"/>
      <c r="J371" s="28"/>
    </row>
    <row r="372">
      <c r="A372" s="15" t="s">
        <v>10385</v>
      </c>
      <c r="B372" s="230">
        <v>3.0</v>
      </c>
      <c r="C372" s="230">
        <v>29.0</v>
      </c>
      <c r="D372" s="230">
        <v>2.0</v>
      </c>
      <c r="E372" s="230">
        <v>1.0</v>
      </c>
      <c r="F372" s="15" t="s">
        <v>8393</v>
      </c>
      <c r="G372" s="15" t="s">
        <v>8960</v>
      </c>
      <c r="H372" s="28"/>
      <c r="I372" s="28"/>
      <c r="J372" s="28"/>
    </row>
    <row r="373">
      <c r="A373" s="15" t="s">
        <v>10385</v>
      </c>
      <c r="B373" s="230">
        <v>3.0</v>
      </c>
      <c r="C373" s="230">
        <v>30.0</v>
      </c>
      <c r="D373" s="230">
        <v>2.0</v>
      </c>
      <c r="E373" s="230">
        <v>1.0</v>
      </c>
      <c r="F373" s="15" t="s">
        <v>8393</v>
      </c>
      <c r="G373" s="15" t="s">
        <v>8962</v>
      </c>
      <c r="H373" s="28"/>
      <c r="I373" s="28"/>
      <c r="J373" s="28"/>
    </row>
    <row r="374">
      <c r="A374" s="15" t="s">
        <v>10385</v>
      </c>
      <c r="B374" s="230">
        <v>3.0</v>
      </c>
      <c r="C374" s="230">
        <v>31.0</v>
      </c>
      <c r="D374" s="230">
        <v>2.0</v>
      </c>
      <c r="E374" s="230">
        <v>1.0</v>
      </c>
      <c r="F374" s="15" t="s">
        <v>8393</v>
      </c>
      <c r="G374" s="10" t="s">
        <v>8964</v>
      </c>
      <c r="H374" s="28"/>
      <c r="I374" s="28"/>
      <c r="J374" s="28"/>
    </row>
    <row r="375">
      <c r="A375" s="15" t="s">
        <v>10385</v>
      </c>
      <c r="B375" s="230">
        <v>3.0</v>
      </c>
      <c r="C375" s="230">
        <v>32.0</v>
      </c>
      <c r="D375" s="230">
        <v>2.0</v>
      </c>
      <c r="E375" s="230">
        <v>1.0</v>
      </c>
      <c r="F375" s="15" t="s">
        <v>8393</v>
      </c>
      <c r="G375" s="15" t="s">
        <v>8966</v>
      </c>
      <c r="H375" s="28"/>
      <c r="I375" s="28"/>
      <c r="J375" s="28"/>
    </row>
    <row r="376">
      <c r="A376" s="15" t="s">
        <v>10385</v>
      </c>
      <c r="B376" s="230">
        <v>3.0</v>
      </c>
      <c r="C376" s="230">
        <v>33.0</v>
      </c>
      <c r="D376" s="230">
        <v>2.0</v>
      </c>
      <c r="E376" s="230">
        <v>1.0</v>
      </c>
      <c r="F376" s="15" t="s">
        <v>8393</v>
      </c>
      <c r="G376" s="15" t="s">
        <v>8968</v>
      </c>
      <c r="H376" s="28"/>
      <c r="I376" s="28"/>
      <c r="J376" s="28"/>
    </row>
    <row r="377">
      <c r="A377" s="15" t="s">
        <v>10385</v>
      </c>
      <c r="B377" s="230">
        <v>3.0</v>
      </c>
      <c r="C377" s="230">
        <v>34.0</v>
      </c>
      <c r="D377" s="230">
        <v>2.0</v>
      </c>
      <c r="E377" s="230">
        <v>1.0</v>
      </c>
      <c r="F377" s="15" t="s">
        <v>8393</v>
      </c>
      <c r="G377" s="15" t="s">
        <v>8970</v>
      </c>
      <c r="H377" s="28"/>
      <c r="I377" s="28"/>
      <c r="J377" s="28"/>
    </row>
    <row r="378">
      <c r="A378" s="15" t="s">
        <v>10385</v>
      </c>
      <c r="B378" s="230">
        <v>3.0</v>
      </c>
      <c r="C378" s="230">
        <v>35.0</v>
      </c>
      <c r="D378" s="230">
        <v>2.0</v>
      </c>
      <c r="E378" s="230">
        <v>1.0</v>
      </c>
      <c r="F378" s="15" t="s">
        <v>8393</v>
      </c>
      <c r="G378" s="15" t="s">
        <v>8972</v>
      </c>
      <c r="H378" s="28"/>
      <c r="I378" s="28"/>
      <c r="J378" s="28"/>
    </row>
    <row r="379">
      <c r="A379" s="15" t="s">
        <v>10385</v>
      </c>
      <c r="B379" s="230">
        <v>3.0</v>
      </c>
      <c r="C379" s="230">
        <v>36.0</v>
      </c>
      <c r="D379" s="230">
        <v>2.0</v>
      </c>
      <c r="E379" s="230">
        <v>1.0</v>
      </c>
      <c r="F379" s="15" t="s">
        <v>8393</v>
      </c>
      <c r="G379" s="15" t="s">
        <v>8974</v>
      </c>
      <c r="H379" s="28"/>
      <c r="I379" s="28"/>
      <c r="J379" s="28"/>
    </row>
    <row r="380">
      <c r="A380" s="15" t="s">
        <v>10385</v>
      </c>
      <c r="B380" s="230">
        <v>3.0</v>
      </c>
      <c r="C380" s="230">
        <v>37.0</v>
      </c>
      <c r="D380" s="230">
        <v>2.0</v>
      </c>
      <c r="E380" s="230">
        <v>1.0</v>
      </c>
      <c r="F380" s="15" t="s">
        <v>8393</v>
      </c>
      <c r="G380" s="15" t="s">
        <v>8976</v>
      </c>
      <c r="H380" s="28"/>
      <c r="I380" s="28"/>
      <c r="J380" s="28"/>
    </row>
    <row r="381">
      <c r="A381" s="15" t="s">
        <v>10385</v>
      </c>
      <c r="B381" s="230">
        <v>3.0</v>
      </c>
      <c r="C381" s="230">
        <v>38.0</v>
      </c>
      <c r="D381" s="230">
        <v>2.0</v>
      </c>
      <c r="E381" s="230">
        <v>1.0</v>
      </c>
      <c r="F381" s="15" t="s">
        <v>8393</v>
      </c>
      <c r="G381" s="15" t="s">
        <v>8978</v>
      </c>
      <c r="H381" s="28"/>
      <c r="I381" s="28"/>
      <c r="J381" s="28"/>
    </row>
    <row r="382">
      <c r="A382" s="15" t="s">
        <v>10385</v>
      </c>
      <c r="B382" s="230">
        <v>3.0</v>
      </c>
      <c r="C382" s="230">
        <v>39.0</v>
      </c>
      <c r="D382" s="230">
        <v>2.0</v>
      </c>
      <c r="E382" s="230">
        <v>1.0</v>
      </c>
      <c r="F382" s="15" t="s">
        <v>8393</v>
      </c>
      <c r="G382" s="15" t="s">
        <v>8980</v>
      </c>
      <c r="H382" s="28"/>
      <c r="I382" s="28"/>
      <c r="J382" s="28"/>
    </row>
    <row r="383">
      <c r="A383" s="15" t="s">
        <v>10385</v>
      </c>
      <c r="B383" s="230">
        <v>3.0</v>
      </c>
      <c r="C383" s="230">
        <v>40.0</v>
      </c>
      <c r="D383" s="230">
        <v>2.0</v>
      </c>
      <c r="E383" s="230">
        <v>1.0</v>
      </c>
      <c r="F383" s="15" t="s">
        <v>8393</v>
      </c>
      <c r="G383" s="15" t="s">
        <v>8982</v>
      </c>
      <c r="H383" s="28"/>
      <c r="I383" s="28"/>
      <c r="J383" s="28"/>
    </row>
    <row r="384">
      <c r="A384" s="15" t="s">
        <v>10385</v>
      </c>
      <c r="B384" s="230">
        <v>3.0</v>
      </c>
      <c r="C384" s="230">
        <v>41.0</v>
      </c>
      <c r="D384" s="230">
        <v>2.0</v>
      </c>
      <c r="E384" s="230">
        <v>1.0</v>
      </c>
      <c r="F384" s="15" t="s">
        <v>8393</v>
      </c>
      <c r="G384" s="15" t="s">
        <v>8984</v>
      </c>
      <c r="H384" s="28"/>
      <c r="I384" s="28"/>
      <c r="J384" s="28"/>
    </row>
    <row r="385">
      <c r="A385" s="15" t="s">
        <v>10385</v>
      </c>
      <c r="B385" s="230">
        <v>3.0</v>
      </c>
      <c r="C385" s="230">
        <v>1.0</v>
      </c>
      <c r="D385" s="230">
        <v>2.0</v>
      </c>
      <c r="E385" s="230">
        <v>2.0</v>
      </c>
      <c r="F385" s="15" t="s">
        <v>8393</v>
      </c>
      <c r="G385" s="15" t="s">
        <v>8929</v>
      </c>
      <c r="H385" s="28"/>
      <c r="I385" s="28"/>
      <c r="J385" s="28"/>
    </row>
    <row r="386">
      <c r="A386" s="15" t="s">
        <v>10385</v>
      </c>
      <c r="B386" s="230">
        <v>3.0</v>
      </c>
      <c r="C386" s="230">
        <v>2.0</v>
      </c>
      <c r="D386" s="230">
        <v>2.0</v>
      </c>
      <c r="E386" s="230">
        <v>2.0</v>
      </c>
      <c r="F386" s="15" t="s">
        <v>8393</v>
      </c>
      <c r="G386" s="15" t="s">
        <v>8930</v>
      </c>
      <c r="H386" s="28"/>
      <c r="I386" s="28"/>
      <c r="J386" s="28"/>
    </row>
    <row r="387">
      <c r="A387" s="15" t="s">
        <v>10385</v>
      </c>
      <c r="B387" s="230">
        <v>3.0</v>
      </c>
      <c r="C387" s="230">
        <v>3.0</v>
      </c>
      <c r="D387" s="230">
        <v>2.0</v>
      </c>
      <c r="E387" s="230">
        <v>2.0</v>
      </c>
      <c r="F387" s="15" t="s">
        <v>8393</v>
      </c>
      <c r="G387" s="15" t="s">
        <v>8931</v>
      </c>
      <c r="H387" s="28"/>
      <c r="I387" s="28"/>
      <c r="J387" s="28"/>
    </row>
    <row r="388">
      <c r="A388" s="15" t="s">
        <v>10385</v>
      </c>
      <c r="B388" s="230">
        <v>3.0</v>
      </c>
      <c r="C388" s="230">
        <v>4.0</v>
      </c>
      <c r="D388" s="230">
        <v>2.0</v>
      </c>
      <c r="E388" s="230">
        <v>2.0</v>
      </c>
      <c r="F388" s="15" t="s">
        <v>8393</v>
      </c>
      <c r="G388" s="15" t="s">
        <v>8932</v>
      </c>
      <c r="H388" s="28"/>
      <c r="I388" s="28"/>
      <c r="J388" s="28"/>
    </row>
    <row r="389">
      <c r="A389" s="15" t="s">
        <v>10385</v>
      </c>
      <c r="B389" s="230">
        <v>3.0</v>
      </c>
      <c r="C389" s="230">
        <v>5.0</v>
      </c>
      <c r="D389" s="230">
        <v>2.0</v>
      </c>
      <c r="E389" s="230">
        <v>2.0</v>
      </c>
      <c r="F389" s="15" t="s">
        <v>8393</v>
      </c>
      <c r="G389" s="15" t="s">
        <v>8933</v>
      </c>
      <c r="H389" s="28"/>
      <c r="I389" s="28"/>
      <c r="J389" s="28"/>
    </row>
    <row r="390">
      <c r="A390" s="15" t="s">
        <v>10385</v>
      </c>
      <c r="B390" s="230">
        <v>3.0</v>
      </c>
      <c r="C390" s="230">
        <v>6.0</v>
      </c>
      <c r="D390" s="230">
        <v>2.0</v>
      </c>
      <c r="E390" s="230">
        <v>2.0</v>
      </c>
      <c r="F390" s="15" t="s">
        <v>8393</v>
      </c>
      <c r="G390" s="15" t="s">
        <v>8934</v>
      </c>
      <c r="H390" s="28"/>
      <c r="I390" s="28"/>
      <c r="J390" s="28"/>
    </row>
    <row r="391">
      <c r="A391" s="15" t="s">
        <v>10385</v>
      </c>
      <c r="B391" s="230">
        <v>3.0</v>
      </c>
      <c r="C391" s="230">
        <v>7.0</v>
      </c>
      <c r="D391" s="230">
        <v>2.0</v>
      </c>
      <c r="E391" s="230">
        <v>2.0</v>
      </c>
      <c r="F391" s="15" t="s">
        <v>8393</v>
      </c>
      <c r="G391" s="15" t="s">
        <v>8935</v>
      </c>
      <c r="H391" s="28"/>
      <c r="I391" s="28"/>
      <c r="J391" s="28"/>
    </row>
    <row r="392">
      <c r="A392" s="15" t="s">
        <v>10385</v>
      </c>
      <c r="B392" s="230">
        <v>3.0</v>
      </c>
      <c r="C392" s="230">
        <v>8.0</v>
      </c>
      <c r="D392" s="230">
        <v>2.0</v>
      </c>
      <c r="E392" s="230">
        <v>2.0</v>
      </c>
      <c r="F392" s="15" t="s">
        <v>8393</v>
      </c>
      <c r="G392" s="15" t="s">
        <v>8936</v>
      </c>
      <c r="H392" s="28"/>
      <c r="I392" s="28"/>
      <c r="J392" s="28"/>
    </row>
    <row r="393">
      <c r="A393" s="15" t="s">
        <v>10385</v>
      </c>
      <c r="B393" s="230">
        <v>3.0</v>
      </c>
      <c r="C393" s="230">
        <v>9.0</v>
      </c>
      <c r="D393" s="230">
        <v>2.0</v>
      </c>
      <c r="E393" s="230">
        <v>2.0</v>
      </c>
      <c r="F393" s="15" t="s">
        <v>8393</v>
      </c>
      <c r="G393" s="15" t="s">
        <v>8937</v>
      </c>
      <c r="H393" s="28"/>
      <c r="I393" s="28"/>
      <c r="J393" s="28"/>
    </row>
    <row r="394">
      <c r="A394" s="15" t="s">
        <v>10385</v>
      </c>
      <c r="B394" s="230">
        <v>3.0</v>
      </c>
      <c r="C394" s="230">
        <v>10.0</v>
      </c>
      <c r="D394" s="230">
        <v>2.0</v>
      </c>
      <c r="E394" s="230">
        <v>2.0</v>
      </c>
      <c r="F394" s="15" t="s">
        <v>8393</v>
      </c>
      <c r="G394" s="15" t="s">
        <v>8938</v>
      </c>
      <c r="H394" s="28"/>
      <c r="I394" s="28"/>
      <c r="J394" s="28"/>
    </row>
    <row r="395">
      <c r="A395" s="15" t="s">
        <v>10385</v>
      </c>
      <c r="B395" s="230">
        <v>3.0</v>
      </c>
      <c r="C395" s="230">
        <v>11.0</v>
      </c>
      <c r="D395" s="230">
        <v>2.0</v>
      </c>
      <c r="E395" s="230">
        <v>2.0</v>
      </c>
      <c r="F395" s="15" t="s">
        <v>8393</v>
      </c>
      <c r="G395" s="15" t="s">
        <v>9151</v>
      </c>
      <c r="H395" s="28"/>
      <c r="I395" s="28"/>
      <c r="J395" s="28"/>
    </row>
    <row r="396">
      <c r="A396" s="15" t="s">
        <v>10385</v>
      </c>
      <c r="B396" s="230">
        <v>3.0</v>
      </c>
      <c r="C396" s="230">
        <v>12.0</v>
      </c>
      <c r="D396" s="230">
        <v>2.0</v>
      </c>
      <c r="E396" s="230">
        <v>2.0</v>
      </c>
      <c r="F396" s="15" t="s">
        <v>8393</v>
      </c>
      <c r="G396" s="15" t="s">
        <v>8940</v>
      </c>
      <c r="H396" s="28"/>
      <c r="I396" s="28"/>
      <c r="J396" s="28"/>
    </row>
    <row r="397">
      <c r="A397" s="15" t="s">
        <v>10385</v>
      </c>
      <c r="B397" s="230">
        <v>3.0</v>
      </c>
      <c r="C397" s="230">
        <v>13.0</v>
      </c>
      <c r="D397" s="230">
        <v>2.0</v>
      </c>
      <c r="E397" s="230">
        <v>2.0</v>
      </c>
      <c r="F397" s="15" t="s">
        <v>8393</v>
      </c>
      <c r="G397" s="15" t="s">
        <v>8941</v>
      </c>
      <c r="H397" s="28"/>
      <c r="I397" s="28"/>
      <c r="J397" s="28"/>
    </row>
    <row r="398">
      <c r="A398" s="15" t="s">
        <v>10385</v>
      </c>
      <c r="B398" s="230">
        <v>3.0</v>
      </c>
      <c r="C398" s="230">
        <v>14.0</v>
      </c>
      <c r="D398" s="230">
        <v>2.0</v>
      </c>
      <c r="E398" s="230">
        <v>2.0</v>
      </c>
      <c r="F398" s="15" t="s">
        <v>8393</v>
      </c>
      <c r="G398" s="15" t="s">
        <v>8942</v>
      </c>
      <c r="H398" s="28"/>
      <c r="I398" s="28"/>
      <c r="J398" s="28"/>
    </row>
    <row r="399">
      <c r="A399" s="15" t="s">
        <v>10385</v>
      </c>
      <c r="B399" s="230">
        <v>3.0</v>
      </c>
      <c r="C399" s="230">
        <v>15.0</v>
      </c>
      <c r="D399" s="230">
        <v>2.0</v>
      </c>
      <c r="E399" s="230">
        <v>2.0</v>
      </c>
      <c r="F399" s="15" t="s">
        <v>8393</v>
      </c>
      <c r="G399" s="15" t="s">
        <v>8943</v>
      </c>
      <c r="H399" s="28"/>
      <c r="I399" s="28"/>
      <c r="J399" s="28"/>
    </row>
    <row r="400">
      <c r="A400" s="15" t="s">
        <v>10385</v>
      </c>
      <c r="B400" s="230">
        <v>3.0</v>
      </c>
      <c r="C400" s="230">
        <v>16.0</v>
      </c>
      <c r="D400" s="230">
        <v>2.0</v>
      </c>
      <c r="E400" s="230">
        <v>2.0</v>
      </c>
      <c r="F400" s="15" t="s">
        <v>8393</v>
      </c>
      <c r="G400" s="15" t="s">
        <v>8944</v>
      </c>
      <c r="H400" s="28"/>
      <c r="I400" s="28"/>
      <c r="J400" s="28"/>
    </row>
    <row r="401">
      <c r="A401" s="15" t="s">
        <v>10385</v>
      </c>
      <c r="B401" s="230">
        <v>3.0</v>
      </c>
      <c r="C401" s="230">
        <v>17.0</v>
      </c>
      <c r="D401" s="230">
        <v>2.0</v>
      </c>
      <c r="E401" s="230">
        <v>2.0</v>
      </c>
      <c r="F401" s="15" t="s">
        <v>8393</v>
      </c>
      <c r="G401" s="15" t="s">
        <v>8945</v>
      </c>
      <c r="H401" s="28"/>
      <c r="I401" s="28"/>
      <c r="J401" s="28"/>
    </row>
    <row r="402">
      <c r="A402" s="15" t="s">
        <v>10385</v>
      </c>
      <c r="B402" s="230">
        <v>3.0</v>
      </c>
      <c r="C402" s="230">
        <v>18.0</v>
      </c>
      <c r="D402" s="230">
        <v>2.0</v>
      </c>
      <c r="E402" s="230">
        <v>2.0</v>
      </c>
      <c r="F402" s="15" t="s">
        <v>8393</v>
      </c>
      <c r="G402" s="15" t="s">
        <v>8946</v>
      </c>
      <c r="H402" s="28"/>
      <c r="I402" s="28"/>
      <c r="J402" s="28"/>
    </row>
    <row r="403">
      <c r="A403" s="15" t="s">
        <v>10385</v>
      </c>
      <c r="B403" s="230">
        <v>3.0</v>
      </c>
      <c r="C403" s="230">
        <v>19.0</v>
      </c>
      <c r="D403" s="230">
        <v>2.0</v>
      </c>
      <c r="E403" s="230">
        <v>2.0</v>
      </c>
      <c r="F403" s="15" t="s">
        <v>8393</v>
      </c>
      <c r="G403" s="15" t="s">
        <v>8947</v>
      </c>
      <c r="H403" s="28"/>
      <c r="I403" s="28"/>
      <c r="J403" s="28"/>
    </row>
    <row r="404">
      <c r="A404" s="15" t="s">
        <v>10385</v>
      </c>
      <c r="B404" s="230">
        <v>3.0</v>
      </c>
      <c r="C404" s="230">
        <v>20.0</v>
      </c>
      <c r="D404" s="230">
        <v>2.0</v>
      </c>
      <c r="E404" s="230">
        <v>2.0</v>
      </c>
      <c r="F404" s="15" t="s">
        <v>8393</v>
      </c>
      <c r="G404" s="15" t="s">
        <v>8948</v>
      </c>
      <c r="H404" s="28"/>
      <c r="I404" s="28"/>
      <c r="J404" s="28"/>
    </row>
    <row r="405">
      <c r="A405" s="15" t="s">
        <v>10385</v>
      </c>
      <c r="B405" s="230">
        <v>3.0</v>
      </c>
      <c r="C405" s="230">
        <v>21.0</v>
      </c>
      <c r="D405" s="230">
        <v>2.0</v>
      </c>
      <c r="E405" s="230">
        <v>2.0</v>
      </c>
      <c r="F405" s="15" t="s">
        <v>8393</v>
      </c>
      <c r="G405" s="15" t="s">
        <v>8949</v>
      </c>
      <c r="H405" s="28"/>
      <c r="I405" s="28"/>
      <c r="J405" s="28"/>
    </row>
    <row r="406">
      <c r="A406" s="15" t="s">
        <v>10385</v>
      </c>
      <c r="B406" s="230">
        <v>3.0</v>
      </c>
      <c r="C406" s="230">
        <v>22.0</v>
      </c>
      <c r="D406" s="230">
        <v>2.0</v>
      </c>
      <c r="E406" s="230">
        <v>2.0</v>
      </c>
      <c r="F406" s="15" t="s">
        <v>8393</v>
      </c>
      <c r="G406" s="15" t="s">
        <v>8950</v>
      </c>
      <c r="H406" s="28"/>
      <c r="I406" s="28"/>
      <c r="J406" s="28"/>
    </row>
    <row r="407">
      <c r="A407" s="15" t="s">
        <v>10385</v>
      </c>
      <c r="B407" s="230">
        <v>3.0</v>
      </c>
      <c r="C407" s="230">
        <v>23.0</v>
      </c>
      <c r="D407" s="230">
        <v>2.0</v>
      </c>
      <c r="E407" s="230">
        <v>2.0</v>
      </c>
      <c r="F407" s="15" t="s">
        <v>8393</v>
      </c>
      <c r="G407" s="15" t="s">
        <v>8951</v>
      </c>
      <c r="H407" s="28"/>
      <c r="I407" s="28"/>
      <c r="J407" s="28"/>
    </row>
    <row r="408">
      <c r="A408" s="15" t="s">
        <v>10385</v>
      </c>
      <c r="B408" s="230">
        <v>3.0</v>
      </c>
      <c r="C408" s="230">
        <v>24.0</v>
      </c>
      <c r="D408" s="230">
        <v>2.0</v>
      </c>
      <c r="E408" s="230">
        <v>2.0</v>
      </c>
      <c r="F408" s="15" t="s">
        <v>8393</v>
      </c>
      <c r="G408" s="15" t="s">
        <v>8952</v>
      </c>
      <c r="H408" s="28"/>
      <c r="I408" s="28"/>
      <c r="J408" s="28"/>
    </row>
    <row r="409">
      <c r="A409" s="15" t="s">
        <v>10385</v>
      </c>
      <c r="B409" s="230">
        <v>3.0</v>
      </c>
      <c r="C409" s="230">
        <v>25.0</v>
      </c>
      <c r="D409" s="230">
        <v>2.0</v>
      </c>
      <c r="E409" s="230">
        <v>2.0</v>
      </c>
      <c r="F409" s="15" t="s">
        <v>8393</v>
      </c>
      <c r="G409" s="15" t="s">
        <v>8953</v>
      </c>
      <c r="H409" s="28"/>
      <c r="I409" s="28"/>
      <c r="J409" s="28"/>
    </row>
    <row r="410">
      <c r="A410" s="15" t="s">
        <v>10385</v>
      </c>
      <c r="B410" s="230">
        <v>3.0</v>
      </c>
      <c r="C410" s="230">
        <v>26.0</v>
      </c>
      <c r="D410" s="230">
        <v>2.0</v>
      </c>
      <c r="E410" s="230">
        <v>2.0</v>
      </c>
      <c r="F410" s="15" t="s">
        <v>8393</v>
      </c>
      <c r="G410" s="15" t="s">
        <v>9038</v>
      </c>
      <c r="H410" s="28"/>
      <c r="I410" s="28"/>
      <c r="J410" s="28"/>
    </row>
    <row r="411">
      <c r="A411" s="15" t="s">
        <v>10385</v>
      </c>
      <c r="B411" s="230">
        <v>3.0</v>
      </c>
      <c r="C411" s="230">
        <v>27.0</v>
      </c>
      <c r="D411" s="230">
        <v>2.0</v>
      </c>
      <c r="E411" s="230">
        <v>2.0</v>
      </c>
      <c r="F411" s="15" t="s">
        <v>8393</v>
      </c>
      <c r="G411" s="15" t="s">
        <v>9107</v>
      </c>
      <c r="H411" s="28"/>
      <c r="I411" s="28"/>
      <c r="J411" s="28"/>
    </row>
    <row r="412">
      <c r="A412" s="15" t="s">
        <v>10385</v>
      </c>
      <c r="B412" s="230">
        <v>3.0</v>
      </c>
      <c r="C412" s="230">
        <v>28.0</v>
      </c>
      <c r="D412" s="230">
        <v>2.0</v>
      </c>
      <c r="E412" s="230">
        <v>2.0</v>
      </c>
      <c r="F412" s="15" t="s">
        <v>8393</v>
      </c>
      <c r="G412" s="15" t="s">
        <v>9109</v>
      </c>
      <c r="H412" s="28"/>
      <c r="I412" s="28"/>
      <c r="J412" s="28"/>
    </row>
    <row r="413">
      <c r="A413" s="15" t="s">
        <v>10385</v>
      </c>
      <c r="B413" s="230">
        <v>3.0</v>
      </c>
      <c r="C413" s="230">
        <v>29.0</v>
      </c>
      <c r="D413" s="230">
        <v>2.0</v>
      </c>
      <c r="E413" s="230">
        <v>2.0</v>
      </c>
      <c r="F413" s="15" t="s">
        <v>8393</v>
      </c>
      <c r="G413" s="15" t="s">
        <v>9044</v>
      </c>
      <c r="H413" s="28"/>
      <c r="I413" s="28"/>
      <c r="J413" s="28"/>
    </row>
    <row r="414">
      <c r="A414" s="15" t="s">
        <v>10385</v>
      </c>
      <c r="B414" s="230">
        <v>3.0</v>
      </c>
      <c r="C414" s="230">
        <v>30.0</v>
      </c>
      <c r="D414" s="230">
        <v>2.0</v>
      </c>
      <c r="E414" s="230">
        <v>2.0</v>
      </c>
      <c r="F414" s="15" t="s">
        <v>8393</v>
      </c>
      <c r="G414" s="15" t="s">
        <v>9112</v>
      </c>
      <c r="H414" s="28"/>
      <c r="I414" s="28"/>
      <c r="J414" s="28"/>
    </row>
    <row r="415">
      <c r="A415" s="15" t="s">
        <v>10385</v>
      </c>
      <c r="B415" s="230">
        <v>3.0</v>
      </c>
      <c r="C415" s="230">
        <v>31.0</v>
      </c>
      <c r="D415" s="230">
        <v>2.0</v>
      </c>
      <c r="E415" s="230">
        <v>2.0</v>
      </c>
      <c r="F415" s="15" t="s">
        <v>8393</v>
      </c>
      <c r="G415" s="15" t="s">
        <v>9114</v>
      </c>
      <c r="H415" s="28"/>
      <c r="I415" s="28"/>
      <c r="J415" s="28"/>
    </row>
    <row r="416">
      <c r="A416" s="15" t="s">
        <v>10385</v>
      </c>
      <c r="B416" s="230">
        <v>3.0</v>
      </c>
      <c r="C416" s="230">
        <v>32.0</v>
      </c>
      <c r="D416" s="230">
        <v>2.0</v>
      </c>
      <c r="E416" s="230">
        <v>2.0</v>
      </c>
      <c r="F416" s="15" t="s">
        <v>8393</v>
      </c>
      <c r="G416" s="15" t="s">
        <v>9116</v>
      </c>
      <c r="H416" s="28"/>
      <c r="I416" s="28"/>
      <c r="J416" s="28"/>
    </row>
    <row r="417">
      <c r="A417" s="15" t="s">
        <v>10385</v>
      </c>
      <c r="B417" s="230">
        <v>3.0</v>
      </c>
      <c r="C417" s="230">
        <v>33.0</v>
      </c>
      <c r="D417" s="230">
        <v>2.0</v>
      </c>
      <c r="E417" s="230">
        <v>2.0</v>
      </c>
      <c r="F417" s="15" t="s">
        <v>8393</v>
      </c>
      <c r="G417" s="15" t="s">
        <v>9118</v>
      </c>
      <c r="H417" s="28"/>
      <c r="I417" s="28"/>
      <c r="J417" s="28"/>
    </row>
    <row r="418">
      <c r="A418" s="15" t="s">
        <v>10385</v>
      </c>
      <c r="B418" s="230">
        <v>3.0</v>
      </c>
      <c r="C418" s="230">
        <v>34.0</v>
      </c>
      <c r="D418" s="230">
        <v>2.0</v>
      </c>
      <c r="E418" s="230">
        <v>2.0</v>
      </c>
      <c r="F418" s="15" t="s">
        <v>8393</v>
      </c>
      <c r="G418" s="15" t="s">
        <v>8968</v>
      </c>
      <c r="H418" s="28"/>
      <c r="I418" s="28"/>
      <c r="J418" s="28"/>
    </row>
    <row r="419">
      <c r="A419" s="15" t="s">
        <v>10385</v>
      </c>
      <c r="B419" s="230">
        <v>3.0</v>
      </c>
      <c r="C419" s="230">
        <v>35.0</v>
      </c>
      <c r="D419" s="230">
        <v>2.0</v>
      </c>
      <c r="E419" s="230">
        <v>2.0</v>
      </c>
      <c r="F419" s="15" t="s">
        <v>8393</v>
      </c>
      <c r="G419" s="15" t="s">
        <v>8972</v>
      </c>
      <c r="H419" s="28"/>
      <c r="I419" s="28"/>
      <c r="J419" s="28"/>
    </row>
    <row r="420">
      <c r="A420" s="15" t="s">
        <v>10385</v>
      </c>
      <c r="B420" s="230">
        <v>3.0</v>
      </c>
      <c r="C420" s="230">
        <v>36.0</v>
      </c>
      <c r="D420" s="230">
        <v>2.0</v>
      </c>
      <c r="E420" s="230">
        <v>2.0</v>
      </c>
      <c r="F420" s="15" t="s">
        <v>8393</v>
      </c>
      <c r="G420" s="15" t="s">
        <v>8980</v>
      </c>
      <c r="H420" s="28"/>
      <c r="I420" s="28"/>
      <c r="J420" s="28"/>
    </row>
    <row r="421">
      <c r="A421" s="15" t="s">
        <v>10385</v>
      </c>
      <c r="B421" s="230">
        <v>3.0</v>
      </c>
      <c r="C421" s="230">
        <v>37.0</v>
      </c>
      <c r="D421" s="230">
        <v>2.0</v>
      </c>
      <c r="E421" s="230">
        <v>2.0</v>
      </c>
      <c r="F421" s="15" t="s">
        <v>8393</v>
      </c>
      <c r="G421" s="15" t="s">
        <v>9123</v>
      </c>
      <c r="H421" s="28"/>
      <c r="I421" s="28"/>
      <c r="J421" s="28"/>
    </row>
    <row r="422">
      <c r="A422" s="15" t="s">
        <v>10385</v>
      </c>
      <c r="B422" s="230">
        <v>3.0</v>
      </c>
      <c r="C422" s="230">
        <v>38.0</v>
      </c>
      <c r="D422" s="230">
        <v>2.0</v>
      </c>
      <c r="E422" s="230">
        <v>2.0</v>
      </c>
      <c r="F422" s="15" t="s">
        <v>8393</v>
      </c>
      <c r="G422" s="15" t="s">
        <v>9125</v>
      </c>
      <c r="H422" s="28"/>
      <c r="I422" s="28"/>
      <c r="J422" s="28"/>
    </row>
    <row r="423">
      <c r="A423" s="15" t="s">
        <v>10385</v>
      </c>
      <c r="B423" s="230">
        <v>3.0</v>
      </c>
      <c r="C423" s="230">
        <v>39.0</v>
      </c>
      <c r="D423" s="230">
        <v>2.0</v>
      </c>
      <c r="E423" s="230">
        <v>2.0</v>
      </c>
      <c r="F423" s="15" t="s">
        <v>8393</v>
      </c>
      <c r="G423" s="10" t="s">
        <v>9127</v>
      </c>
      <c r="H423" s="28"/>
      <c r="I423" s="28"/>
      <c r="J423" s="28"/>
    </row>
    <row r="424">
      <c r="A424" s="15" t="s">
        <v>10385</v>
      </c>
      <c r="B424" s="230">
        <v>3.0</v>
      </c>
      <c r="C424" s="230">
        <v>40.0</v>
      </c>
      <c r="D424" s="230">
        <v>2.0</v>
      </c>
      <c r="E424" s="230">
        <v>2.0</v>
      </c>
      <c r="F424" s="15" t="s">
        <v>8393</v>
      </c>
      <c r="G424" s="15" t="s">
        <v>9129</v>
      </c>
      <c r="H424" s="28"/>
      <c r="I424" s="28"/>
      <c r="J424" s="28"/>
    </row>
    <row r="425">
      <c r="A425" s="15" t="s">
        <v>10385</v>
      </c>
      <c r="B425" s="230">
        <v>3.0</v>
      </c>
      <c r="C425" s="230">
        <v>41.0</v>
      </c>
      <c r="D425" s="230">
        <v>2.0</v>
      </c>
      <c r="E425" s="230">
        <v>2.0</v>
      </c>
      <c r="F425" s="15" t="s">
        <v>8393</v>
      </c>
      <c r="G425" s="15" t="s">
        <v>9131</v>
      </c>
      <c r="H425" s="28"/>
      <c r="I425" s="28"/>
      <c r="J425" s="28"/>
    </row>
    <row r="426">
      <c r="A426" s="15" t="s">
        <v>10385</v>
      </c>
      <c r="B426" s="230">
        <v>3.0</v>
      </c>
      <c r="C426" s="230">
        <v>42.0</v>
      </c>
      <c r="D426" s="230">
        <v>2.0</v>
      </c>
      <c r="E426" s="230">
        <v>2.0</v>
      </c>
      <c r="F426" s="15" t="s">
        <v>8393</v>
      </c>
      <c r="G426" s="15" t="s">
        <v>9133</v>
      </c>
      <c r="H426" s="28"/>
      <c r="I426" s="28"/>
      <c r="J426" s="28"/>
    </row>
    <row r="427">
      <c r="A427" s="15" t="s">
        <v>10385</v>
      </c>
      <c r="B427" s="230">
        <v>3.0</v>
      </c>
      <c r="C427" s="230">
        <v>1.0</v>
      </c>
      <c r="D427" s="230">
        <v>2.0</v>
      </c>
      <c r="E427" s="230">
        <v>3.0</v>
      </c>
      <c r="F427" s="15" t="s">
        <v>8393</v>
      </c>
      <c r="G427" s="15" t="s">
        <v>8929</v>
      </c>
      <c r="H427" s="28"/>
      <c r="I427" s="28"/>
      <c r="J427" s="28"/>
    </row>
    <row r="428">
      <c r="A428" s="15" t="s">
        <v>10385</v>
      </c>
      <c r="B428" s="230">
        <v>3.0</v>
      </c>
      <c r="C428" s="230">
        <v>2.0</v>
      </c>
      <c r="D428" s="230">
        <v>2.0</v>
      </c>
      <c r="E428" s="230">
        <v>3.0</v>
      </c>
      <c r="F428" s="15" t="s">
        <v>8393</v>
      </c>
      <c r="G428" s="15" t="s">
        <v>8930</v>
      </c>
      <c r="H428" s="28"/>
      <c r="I428" s="28"/>
      <c r="J428" s="28"/>
    </row>
    <row r="429">
      <c r="A429" s="15" t="s">
        <v>10385</v>
      </c>
      <c r="B429" s="230">
        <v>3.0</v>
      </c>
      <c r="C429" s="230">
        <v>3.0</v>
      </c>
      <c r="D429" s="230">
        <v>2.0</v>
      </c>
      <c r="E429" s="230">
        <v>3.0</v>
      </c>
      <c r="F429" s="15" t="s">
        <v>8393</v>
      </c>
      <c r="G429" s="15" t="s">
        <v>8931</v>
      </c>
      <c r="H429" s="28"/>
      <c r="I429" s="28"/>
      <c r="J429" s="28"/>
    </row>
    <row r="430">
      <c r="A430" s="15" t="s">
        <v>10385</v>
      </c>
      <c r="B430" s="230">
        <v>3.0</v>
      </c>
      <c r="C430" s="230">
        <v>4.0</v>
      </c>
      <c r="D430" s="230">
        <v>2.0</v>
      </c>
      <c r="E430" s="230">
        <v>3.0</v>
      </c>
      <c r="F430" s="15" t="s">
        <v>8393</v>
      </c>
      <c r="G430" s="15" t="s">
        <v>8932</v>
      </c>
      <c r="H430" s="28"/>
      <c r="I430" s="28"/>
      <c r="J430" s="28"/>
    </row>
    <row r="431">
      <c r="A431" s="15" t="s">
        <v>10385</v>
      </c>
      <c r="B431" s="230">
        <v>3.0</v>
      </c>
      <c r="C431" s="230">
        <v>5.0</v>
      </c>
      <c r="D431" s="230">
        <v>2.0</v>
      </c>
      <c r="E431" s="230">
        <v>3.0</v>
      </c>
      <c r="F431" s="15" t="s">
        <v>8393</v>
      </c>
      <c r="G431" s="15" t="s">
        <v>8933</v>
      </c>
      <c r="H431" s="28"/>
      <c r="I431" s="28"/>
      <c r="J431" s="28"/>
    </row>
    <row r="432">
      <c r="A432" s="15" t="s">
        <v>10385</v>
      </c>
      <c r="B432" s="230">
        <v>3.0</v>
      </c>
      <c r="C432" s="230">
        <v>6.0</v>
      </c>
      <c r="D432" s="230">
        <v>2.0</v>
      </c>
      <c r="E432" s="230">
        <v>3.0</v>
      </c>
      <c r="F432" s="15" t="s">
        <v>8393</v>
      </c>
      <c r="G432" s="15" t="s">
        <v>8934</v>
      </c>
      <c r="H432" s="28"/>
      <c r="I432" s="28"/>
      <c r="J432" s="28"/>
    </row>
    <row r="433">
      <c r="A433" s="15" t="s">
        <v>10385</v>
      </c>
      <c r="B433" s="230">
        <v>3.0</v>
      </c>
      <c r="C433" s="230">
        <v>7.0</v>
      </c>
      <c r="D433" s="230">
        <v>2.0</v>
      </c>
      <c r="E433" s="230">
        <v>3.0</v>
      </c>
      <c r="F433" s="15" t="s">
        <v>8393</v>
      </c>
      <c r="G433" s="15" t="s">
        <v>8935</v>
      </c>
      <c r="H433" s="28"/>
      <c r="I433" s="28"/>
      <c r="J433" s="28"/>
    </row>
    <row r="434">
      <c r="A434" s="15" t="s">
        <v>10385</v>
      </c>
      <c r="B434" s="230">
        <v>3.0</v>
      </c>
      <c r="C434" s="230">
        <v>8.0</v>
      </c>
      <c r="D434" s="230">
        <v>2.0</v>
      </c>
      <c r="E434" s="230">
        <v>3.0</v>
      </c>
      <c r="F434" s="15" t="s">
        <v>8393</v>
      </c>
      <c r="G434" s="15" t="s">
        <v>8936</v>
      </c>
      <c r="H434" s="28"/>
      <c r="I434" s="28"/>
      <c r="J434" s="28"/>
    </row>
    <row r="435">
      <c r="A435" s="15" t="s">
        <v>10385</v>
      </c>
      <c r="B435" s="230">
        <v>3.0</v>
      </c>
      <c r="C435" s="230">
        <v>9.0</v>
      </c>
      <c r="D435" s="230">
        <v>2.0</v>
      </c>
      <c r="E435" s="230">
        <v>3.0</v>
      </c>
      <c r="F435" s="15" t="s">
        <v>8393</v>
      </c>
      <c r="G435" s="15" t="s">
        <v>8937</v>
      </c>
      <c r="H435" s="28"/>
      <c r="I435" s="28"/>
      <c r="J435" s="28"/>
    </row>
    <row r="436">
      <c r="A436" s="15" t="s">
        <v>10385</v>
      </c>
      <c r="B436" s="230">
        <v>3.0</v>
      </c>
      <c r="C436" s="230">
        <v>10.0</v>
      </c>
      <c r="D436" s="230">
        <v>2.0</v>
      </c>
      <c r="E436" s="230">
        <v>3.0</v>
      </c>
      <c r="F436" s="15" t="s">
        <v>8393</v>
      </c>
      <c r="G436" s="15" t="s">
        <v>8938</v>
      </c>
      <c r="H436" s="28"/>
      <c r="I436" s="28"/>
      <c r="J436" s="28"/>
    </row>
    <row r="437">
      <c r="A437" s="15" t="s">
        <v>10385</v>
      </c>
      <c r="B437" s="230">
        <v>3.0</v>
      </c>
      <c r="C437" s="230">
        <v>11.0</v>
      </c>
      <c r="D437" s="230">
        <v>2.0</v>
      </c>
      <c r="E437" s="230">
        <v>3.0</v>
      </c>
      <c r="F437" s="15" t="s">
        <v>8393</v>
      </c>
      <c r="G437" s="15" t="s">
        <v>9151</v>
      </c>
      <c r="H437" s="28"/>
      <c r="I437" s="28"/>
      <c r="J437" s="28"/>
    </row>
    <row r="438">
      <c r="A438" s="15" t="s">
        <v>10385</v>
      </c>
      <c r="B438" s="230">
        <v>3.0</v>
      </c>
      <c r="C438" s="230">
        <v>12.0</v>
      </c>
      <c r="D438" s="230">
        <v>2.0</v>
      </c>
      <c r="E438" s="230">
        <v>3.0</v>
      </c>
      <c r="F438" s="15" t="s">
        <v>8393</v>
      </c>
      <c r="G438" s="15" t="s">
        <v>8940</v>
      </c>
      <c r="H438" s="28"/>
      <c r="I438" s="28"/>
      <c r="J438" s="28"/>
    </row>
    <row r="439">
      <c r="A439" s="15" t="s">
        <v>10385</v>
      </c>
      <c r="B439" s="230">
        <v>3.0</v>
      </c>
      <c r="C439" s="230">
        <v>13.0</v>
      </c>
      <c r="D439" s="230">
        <v>2.0</v>
      </c>
      <c r="E439" s="230">
        <v>3.0</v>
      </c>
      <c r="F439" s="15" t="s">
        <v>8393</v>
      </c>
      <c r="G439" s="15" t="s">
        <v>8941</v>
      </c>
      <c r="H439" s="28"/>
      <c r="I439" s="28"/>
      <c r="J439" s="28"/>
    </row>
    <row r="440">
      <c r="A440" s="15" t="s">
        <v>10385</v>
      </c>
      <c r="B440" s="230">
        <v>3.0</v>
      </c>
      <c r="C440" s="230">
        <v>14.0</v>
      </c>
      <c r="D440" s="230">
        <v>2.0</v>
      </c>
      <c r="E440" s="230">
        <v>3.0</v>
      </c>
      <c r="F440" s="15" t="s">
        <v>8393</v>
      </c>
      <c r="G440" s="15" t="s">
        <v>8942</v>
      </c>
      <c r="H440" s="28"/>
      <c r="I440" s="28"/>
      <c r="J440" s="28"/>
    </row>
    <row r="441">
      <c r="A441" s="15" t="s">
        <v>10385</v>
      </c>
      <c r="B441" s="230">
        <v>3.0</v>
      </c>
      <c r="C441" s="230">
        <v>15.0</v>
      </c>
      <c r="D441" s="230">
        <v>2.0</v>
      </c>
      <c r="E441" s="230">
        <v>3.0</v>
      </c>
      <c r="F441" s="15" t="s">
        <v>8393</v>
      </c>
      <c r="G441" s="15" t="s">
        <v>8943</v>
      </c>
      <c r="H441" s="28"/>
      <c r="I441" s="28"/>
      <c r="J441" s="28"/>
    </row>
    <row r="442">
      <c r="A442" s="15" t="s">
        <v>10385</v>
      </c>
      <c r="B442" s="230">
        <v>3.0</v>
      </c>
      <c r="C442" s="230">
        <v>16.0</v>
      </c>
      <c r="D442" s="230">
        <v>2.0</v>
      </c>
      <c r="E442" s="230">
        <v>3.0</v>
      </c>
      <c r="F442" s="15" t="s">
        <v>8393</v>
      </c>
      <c r="G442" s="15" t="s">
        <v>8944</v>
      </c>
      <c r="H442" s="28"/>
      <c r="I442" s="28"/>
      <c r="J442" s="28"/>
    </row>
    <row r="443">
      <c r="A443" s="15" t="s">
        <v>10385</v>
      </c>
      <c r="B443" s="230">
        <v>3.0</v>
      </c>
      <c r="C443" s="230">
        <v>17.0</v>
      </c>
      <c r="D443" s="230">
        <v>2.0</v>
      </c>
      <c r="E443" s="230">
        <v>3.0</v>
      </c>
      <c r="F443" s="15" t="s">
        <v>8393</v>
      </c>
      <c r="G443" s="15" t="s">
        <v>8945</v>
      </c>
      <c r="H443" s="28"/>
      <c r="I443" s="28"/>
      <c r="J443" s="28"/>
    </row>
    <row r="444">
      <c r="A444" s="15" t="s">
        <v>10385</v>
      </c>
      <c r="B444" s="230">
        <v>3.0</v>
      </c>
      <c r="C444" s="230">
        <v>18.0</v>
      </c>
      <c r="D444" s="230">
        <v>2.0</v>
      </c>
      <c r="E444" s="230">
        <v>3.0</v>
      </c>
      <c r="F444" s="15" t="s">
        <v>8393</v>
      </c>
      <c r="G444" s="15" t="s">
        <v>8946</v>
      </c>
      <c r="H444" s="28"/>
      <c r="I444" s="28"/>
      <c r="J444" s="28"/>
    </row>
    <row r="445">
      <c r="A445" s="15" t="s">
        <v>10385</v>
      </c>
      <c r="B445" s="230">
        <v>3.0</v>
      </c>
      <c r="C445" s="230">
        <v>19.0</v>
      </c>
      <c r="D445" s="230">
        <v>2.0</v>
      </c>
      <c r="E445" s="230">
        <v>3.0</v>
      </c>
      <c r="F445" s="15" t="s">
        <v>8393</v>
      </c>
      <c r="G445" s="15" t="s">
        <v>8947</v>
      </c>
      <c r="H445" s="28"/>
      <c r="I445" s="28"/>
      <c r="J445" s="28"/>
    </row>
    <row r="446">
      <c r="A446" s="15" t="s">
        <v>10385</v>
      </c>
      <c r="B446" s="230">
        <v>3.0</v>
      </c>
      <c r="C446" s="230">
        <v>20.0</v>
      </c>
      <c r="D446" s="230">
        <v>2.0</v>
      </c>
      <c r="E446" s="230">
        <v>3.0</v>
      </c>
      <c r="F446" s="15" t="s">
        <v>8393</v>
      </c>
      <c r="G446" s="15" t="s">
        <v>8948</v>
      </c>
      <c r="H446" s="28"/>
      <c r="I446" s="28"/>
      <c r="J446" s="28"/>
    </row>
    <row r="447">
      <c r="A447" s="15" t="s">
        <v>10385</v>
      </c>
      <c r="B447" s="230">
        <v>3.0</v>
      </c>
      <c r="C447" s="230">
        <v>21.0</v>
      </c>
      <c r="D447" s="230">
        <v>2.0</v>
      </c>
      <c r="E447" s="230">
        <v>3.0</v>
      </c>
      <c r="F447" s="15" t="s">
        <v>8393</v>
      </c>
      <c r="G447" s="15" t="s">
        <v>8949</v>
      </c>
      <c r="H447" s="28"/>
      <c r="I447" s="28"/>
      <c r="J447" s="28"/>
    </row>
    <row r="448">
      <c r="A448" s="15" t="s">
        <v>10385</v>
      </c>
      <c r="B448" s="230">
        <v>3.0</v>
      </c>
      <c r="C448" s="230">
        <v>22.0</v>
      </c>
      <c r="D448" s="230">
        <v>2.0</v>
      </c>
      <c r="E448" s="230">
        <v>3.0</v>
      </c>
      <c r="F448" s="15" t="s">
        <v>8393</v>
      </c>
      <c r="G448" s="15" t="s">
        <v>8950</v>
      </c>
      <c r="H448" s="28"/>
      <c r="I448" s="28"/>
      <c r="J448" s="28"/>
    </row>
    <row r="449">
      <c r="A449" s="15" t="s">
        <v>10385</v>
      </c>
      <c r="B449" s="230">
        <v>3.0</v>
      </c>
      <c r="C449" s="230">
        <v>23.0</v>
      </c>
      <c r="D449" s="230">
        <v>2.0</v>
      </c>
      <c r="E449" s="230">
        <v>3.0</v>
      </c>
      <c r="F449" s="15" t="s">
        <v>8393</v>
      </c>
      <c r="G449" s="15" t="s">
        <v>8951</v>
      </c>
      <c r="H449" s="28"/>
      <c r="I449" s="28"/>
      <c r="J449" s="28"/>
    </row>
    <row r="450">
      <c r="A450" s="15" t="s">
        <v>10385</v>
      </c>
      <c r="B450" s="230">
        <v>3.0</v>
      </c>
      <c r="C450" s="230">
        <v>24.0</v>
      </c>
      <c r="D450" s="230">
        <v>2.0</v>
      </c>
      <c r="E450" s="230">
        <v>3.0</v>
      </c>
      <c r="F450" s="15" t="s">
        <v>8393</v>
      </c>
      <c r="G450" s="15" t="s">
        <v>8952</v>
      </c>
      <c r="H450" s="28"/>
      <c r="I450" s="28"/>
      <c r="J450" s="28"/>
    </row>
    <row r="451">
      <c r="A451" s="15" t="s">
        <v>10385</v>
      </c>
      <c r="B451" s="230">
        <v>3.0</v>
      </c>
      <c r="C451" s="230">
        <v>25.0</v>
      </c>
      <c r="D451" s="230">
        <v>2.0</v>
      </c>
      <c r="E451" s="230">
        <v>3.0</v>
      </c>
      <c r="F451" s="15" t="s">
        <v>8393</v>
      </c>
      <c r="G451" s="15" t="s">
        <v>8953</v>
      </c>
      <c r="H451" s="28"/>
      <c r="I451" s="28"/>
      <c r="J451" s="28"/>
    </row>
    <row r="452">
      <c r="A452" s="15" t="s">
        <v>10385</v>
      </c>
      <c r="B452" s="230">
        <v>3.0</v>
      </c>
      <c r="C452" s="230">
        <v>26.0</v>
      </c>
      <c r="D452" s="230">
        <v>2.0</v>
      </c>
      <c r="E452" s="230">
        <v>3.0</v>
      </c>
      <c r="F452" s="15" t="s">
        <v>8393</v>
      </c>
      <c r="G452" s="15" t="s">
        <v>8956</v>
      </c>
      <c r="H452" s="28"/>
      <c r="I452" s="28"/>
      <c r="J452" s="28"/>
    </row>
    <row r="453">
      <c r="A453" s="15" t="s">
        <v>10385</v>
      </c>
      <c r="B453" s="230">
        <v>3.0</v>
      </c>
      <c r="C453" s="230">
        <v>27.0</v>
      </c>
      <c r="D453" s="230">
        <v>2.0</v>
      </c>
      <c r="E453" s="230">
        <v>3.0</v>
      </c>
      <c r="F453" s="15" t="s">
        <v>8393</v>
      </c>
      <c r="G453" s="15" t="s">
        <v>9084</v>
      </c>
      <c r="H453" s="28"/>
      <c r="I453" s="28"/>
      <c r="J453" s="28"/>
    </row>
    <row r="454">
      <c r="A454" s="15" t="s">
        <v>10385</v>
      </c>
      <c r="B454" s="230">
        <v>3.0</v>
      </c>
      <c r="C454" s="230">
        <v>28.0</v>
      </c>
      <c r="D454" s="230">
        <v>2.0</v>
      </c>
      <c r="E454" s="230">
        <v>3.0</v>
      </c>
      <c r="F454" s="15" t="s">
        <v>8393</v>
      </c>
      <c r="G454" s="15" t="s">
        <v>9086</v>
      </c>
      <c r="H454" s="28"/>
      <c r="I454" s="28"/>
      <c r="J454" s="28"/>
    </row>
    <row r="455">
      <c r="A455" s="15" t="s">
        <v>10385</v>
      </c>
      <c r="B455" s="230">
        <v>3.0</v>
      </c>
      <c r="C455" s="230">
        <v>29.0</v>
      </c>
      <c r="D455" s="230">
        <v>2.0</v>
      </c>
      <c r="E455" s="230">
        <v>3.0</v>
      </c>
      <c r="F455" s="15" t="s">
        <v>8393</v>
      </c>
      <c r="G455" s="15" t="s">
        <v>9088</v>
      </c>
      <c r="H455" s="28"/>
      <c r="I455" s="28"/>
      <c r="J455" s="28"/>
    </row>
    <row r="456">
      <c r="A456" s="15" t="s">
        <v>10385</v>
      </c>
      <c r="B456" s="230">
        <v>3.0</v>
      </c>
      <c r="C456" s="230">
        <v>30.0</v>
      </c>
      <c r="D456" s="230">
        <v>2.0</v>
      </c>
      <c r="E456" s="230">
        <v>3.0</v>
      </c>
      <c r="F456" s="15" t="s">
        <v>8393</v>
      </c>
      <c r="G456" s="15" t="s">
        <v>9041</v>
      </c>
      <c r="H456" s="28"/>
      <c r="I456" s="28"/>
      <c r="J456" s="28"/>
    </row>
    <row r="457">
      <c r="A457" s="15" t="s">
        <v>10385</v>
      </c>
      <c r="B457" s="230">
        <v>3.0</v>
      </c>
      <c r="C457" s="230">
        <v>31.0</v>
      </c>
      <c r="D457" s="230">
        <v>2.0</v>
      </c>
      <c r="E457" s="230">
        <v>3.0</v>
      </c>
      <c r="F457" s="15" t="s">
        <v>8393</v>
      </c>
      <c r="G457" s="15" t="s">
        <v>8960</v>
      </c>
      <c r="H457" s="28"/>
      <c r="I457" s="28"/>
      <c r="J457" s="28"/>
    </row>
    <row r="458">
      <c r="A458" s="15" t="s">
        <v>10385</v>
      </c>
      <c r="B458" s="230">
        <v>3.0</v>
      </c>
      <c r="C458" s="230">
        <v>32.0</v>
      </c>
      <c r="D458" s="230">
        <v>2.0</v>
      </c>
      <c r="E458" s="230">
        <v>3.0</v>
      </c>
      <c r="F458" s="15" t="s">
        <v>8393</v>
      </c>
      <c r="G458" s="15" t="s">
        <v>9092</v>
      </c>
      <c r="H458" s="28"/>
      <c r="I458" s="28"/>
      <c r="J458" s="28"/>
    </row>
    <row r="459">
      <c r="A459" s="15" t="s">
        <v>10385</v>
      </c>
      <c r="B459" s="230">
        <v>3.0</v>
      </c>
      <c r="C459" s="230">
        <v>33.0</v>
      </c>
      <c r="D459" s="230">
        <v>2.0</v>
      </c>
      <c r="E459" s="230">
        <v>3.0</v>
      </c>
      <c r="F459" s="15" t="s">
        <v>8393</v>
      </c>
      <c r="G459" s="15" t="s">
        <v>8962</v>
      </c>
      <c r="H459" s="28"/>
      <c r="I459" s="28"/>
      <c r="J459" s="28"/>
    </row>
    <row r="460">
      <c r="A460" s="15" t="s">
        <v>10385</v>
      </c>
      <c r="B460" s="230">
        <v>3.0</v>
      </c>
      <c r="C460" s="230">
        <v>34.0</v>
      </c>
      <c r="D460" s="230">
        <v>2.0</v>
      </c>
      <c r="E460" s="230">
        <v>3.0</v>
      </c>
      <c r="F460" s="15" t="s">
        <v>8393</v>
      </c>
      <c r="G460" s="15" t="s">
        <v>8966</v>
      </c>
      <c r="H460" s="28"/>
      <c r="I460" s="28"/>
      <c r="J460" s="28"/>
    </row>
    <row r="461">
      <c r="A461" s="15" t="s">
        <v>10385</v>
      </c>
      <c r="B461" s="230">
        <v>3.0</v>
      </c>
      <c r="C461" s="230">
        <v>35.0</v>
      </c>
      <c r="D461" s="230">
        <v>2.0</v>
      </c>
      <c r="E461" s="230">
        <v>3.0</v>
      </c>
      <c r="F461" s="15" t="s">
        <v>8393</v>
      </c>
      <c r="G461" s="15" t="s">
        <v>8968</v>
      </c>
      <c r="H461" s="28"/>
      <c r="I461" s="28"/>
      <c r="J461" s="28"/>
    </row>
    <row r="462">
      <c r="A462" s="15" t="s">
        <v>10385</v>
      </c>
      <c r="B462" s="230">
        <v>3.0</v>
      </c>
      <c r="C462" s="230">
        <v>36.0</v>
      </c>
      <c r="D462" s="230">
        <v>2.0</v>
      </c>
      <c r="E462" s="230">
        <v>3.0</v>
      </c>
      <c r="F462" s="15" t="s">
        <v>8393</v>
      </c>
      <c r="G462" s="15" t="s">
        <v>8970</v>
      </c>
      <c r="H462" s="28"/>
      <c r="I462" s="28"/>
      <c r="J462" s="28"/>
    </row>
    <row r="463">
      <c r="A463" s="15" t="s">
        <v>10385</v>
      </c>
      <c r="B463" s="230">
        <v>3.0</v>
      </c>
      <c r="C463" s="230">
        <v>37.0</v>
      </c>
      <c r="D463" s="230">
        <v>2.0</v>
      </c>
      <c r="E463" s="230">
        <v>3.0</v>
      </c>
      <c r="F463" s="15" t="s">
        <v>8393</v>
      </c>
      <c r="G463" s="15" t="s">
        <v>8976</v>
      </c>
      <c r="H463" s="28"/>
      <c r="I463" s="28"/>
      <c r="J463" s="28"/>
    </row>
    <row r="464">
      <c r="A464" s="15" t="s">
        <v>10385</v>
      </c>
      <c r="B464" s="230">
        <v>3.0</v>
      </c>
      <c r="C464" s="230">
        <v>38.0</v>
      </c>
      <c r="D464" s="230">
        <v>2.0</v>
      </c>
      <c r="E464" s="230">
        <v>3.0</v>
      </c>
      <c r="F464" s="15" t="s">
        <v>8393</v>
      </c>
      <c r="G464" s="15" t="s">
        <v>8978</v>
      </c>
      <c r="H464" s="28"/>
      <c r="I464" s="28"/>
      <c r="J464" s="28"/>
    </row>
    <row r="465">
      <c r="A465" s="15" t="s">
        <v>10385</v>
      </c>
      <c r="B465" s="230">
        <v>3.0</v>
      </c>
      <c r="C465" s="230">
        <v>39.0</v>
      </c>
      <c r="D465" s="230">
        <v>2.0</v>
      </c>
      <c r="E465" s="230">
        <v>3.0</v>
      </c>
      <c r="F465" s="15" t="s">
        <v>8393</v>
      </c>
      <c r="G465" s="15" t="s">
        <v>8980</v>
      </c>
      <c r="H465" s="28"/>
      <c r="I465" s="28"/>
      <c r="J465" s="28"/>
    </row>
    <row r="466">
      <c r="A466" s="15" t="s">
        <v>10385</v>
      </c>
      <c r="B466" s="230">
        <v>3.0</v>
      </c>
      <c r="C466" s="230">
        <v>40.0</v>
      </c>
      <c r="D466" s="230">
        <v>2.0</v>
      </c>
      <c r="E466" s="230">
        <v>3.0</v>
      </c>
      <c r="F466" s="15" t="s">
        <v>8393</v>
      </c>
      <c r="G466" s="15" t="s">
        <v>8982</v>
      </c>
      <c r="H466" s="28"/>
      <c r="I466" s="28"/>
      <c r="J466" s="28"/>
    </row>
    <row r="467">
      <c r="A467" s="15" t="s">
        <v>10385</v>
      </c>
      <c r="B467" s="230">
        <v>3.0</v>
      </c>
      <c r="C467" s="230">
        <v>41.0</v>
      </c>
      <c r="D467" s="230">
        <v>2.0</v>
      </c>
      <c r="E467" s="230">
        <v>3.0</v>
      </c>
      <c r="F467" s="15" t="s">
        <v>8393</v>
      </c>
      <c r="G467" s="15" t="s">
        <v>9102</v>
      </c>
      <c r="H467" s="28"/>
      <c r="I467" s="28"/>
      <c r="J467" s="28"/>
    </row>
    <row r="468">
      <c r="A468" s="15" t="s">
        <v>10385</v>
      </c>
      <c r="B468" s="230">
        <v>3.0</v>
      </c>
      <c r="C468" s="230">
        <v>1.0</v>
      </c>
      <c r="D468" s="230">
        <v>2.0</v>
      </c>
      <c r="E468" s="230">
        <v>4.0</v>
      </c>
      <c r="F468" s="15" t="s">
        <v>8393</v>
      </c>
      <c r="G468" s="15" t="s">
        <v>8929</v>
      </c>
      <c r="H468" s="28"/>
      <c r="I468" s="28"/>
      <c r="J468" s="28"/>
    </row>
    <row r="469">
      <c r="A469" s="15" t="s">
        <v>10385</v>
      </c>
      <c r="B469" s="230">
        <v>3.0</v>
      </c>
      <c r="C469" s="230">
        <v>2.0</v>
      </c>
      <c r="D469" s="230">
        <v>2.0</v>
      </c>
      <c r="E469" s="230">
        <v>4.0</v>
      </c>
      <c r="F469" s="15" t="s">
        <v>8393</v>
      </c>
      <c r="G469" s="15" t="s">
        <v>8930</v>
      </c>
      <c r="H469" s="28"/>
      <c r="I469" s="28"/>
      <c r="J469" s="28"/>
    </row>
    <row r="470">
      <c r="A470" s="15" t="s">
        <v>10385</v>
      </c>
      <c r="B470" s="230">
        <v>3.0</v>
      </c>
      <c r="C470" s="230">
        <v>3.0</v>
      </c>
      <c r="D470" s="230">
        <v>2.0</v>
      </c>
      <c r="E470" s="230">
        <v>4.0</v>
      </c>
      <c r="F470" s="15" t="s">
        <v>8393</v>
      </c>
      <c r="G470" s="15" t="s">
        <v>8931</v>
      </c>
      <c r="H470" s="28"/>
      <c r="I470" s="28"/>
      <c r="J470" s="28"/>
    </row>
    <row r="471">
      <c r="A471" s="15" t="s">
        <v>10385</v>
      </c>
      <c r="B471" s="230">
        <v>3.0</v>
      </c>
      <c r="C471" s="230">
        <v>4.0</v>
      </c>
      <c r="D471" s="230">
        <v>2.0</v>
      </c>
      <c r="E471" s="230">
        <v>4.0</v>
      </c>
      <c r="F471" s="15" t="s">
        <v>8393</v>
      </c>
      <c r="G471" s="15" t="s">
        <v>8932</v>
      </c>
      <c r="H471" s="28"/>
      <c r="I471" s="28"/>
      <c r="J471" s="28"/>
    </row>
    <row r="472">
      <c r="A472" s="15" t="s">
        <v>10385</v>
      </c>
      <c r="B472" s="230">
        <v>3.0</v>
      </c>
      <c r="C472" s="230">
        <v>5.0</v>
      </c>
      <c r="D472" s="230">
        <v>2.0</v>
      </c>
      <c r="E472" s="230">
        <v>4.0</v>
      </c>
      <c r="F472" s="15" t="s">
        <v>8393</v>
      </c>
      <c r="G472" s="15" t="s">
        <v>8933</v>
      </c>
      <c r="H472" s="28"/>
      <c r="I472" s="28"/>
      <c r="J472" s="28"/>
    </row>
    <row r="473">
      <c r="A473" s="15" t="s">
        <v>10385</v>
      </c>
      <c r="B473" s="230">
        <v>3.0</v>
      </c>
      <c r="C473" s="230">
        <v>6.0</v>
      </c>
      <c r="D473" s="230">
        <v>2.0</v>
      </c>
      <c r="E473" s="230">
        <v>4.0</v>
      </c>
      <c r="F473" s="15" t="s">
        <v>8393</v>
      </c>
      <c r="G473" s="15" t="s">
        <v>8934</v>
      </c>
      <c r="H473" s="28"/>
      <c r="I473" s="28"/>
      <c r="J473" s="28"/>
    </row>
    <row r="474">
      <c r="A474" s="15" t="s">
        <v>10385</v>
      </c>
      <c r="B474" s="230">
        <v>3.0</v>
      </c>
      <c r="C474" s="230">
        <v>7.0</v>
      </c>
      <c r="D474" s="230">
        <v>2.0</v>
      </c>
      <c r="E474" s="230">
        <v>4.0</v>
      </c>
      <c r="F474" s="15" t="s">
        <v>8393</v>
      </c>
      <c r="G474" s="15" t="s">
        <v>8935</v>
      </c>
      <c r="H474" s="28"/>
      <c r="I474" s="28"/>
      <c r="J474" s="28"/>
    </row>
    <row r="475">
      <c r="A475" s="15" t="s">
        <v>10385</v>
      </c>
      <c r="B475" s="230">
        <v>3.0</v>
      </c>
      <c r="C475" s="230">
        <v>8.0</v>
      </c>
      <c r="D475" s="230">
        <v>2.0</v>
      </c>
      <c r="E475" s="230">
        <v>4.0</v>
      </c>
      <c r="F475" s="15" t="s">
        <v>8393</v>
      </c>
      <c r="G475" s="15" t="s">
        <v>8936</v>
      </c>
      <c r="H475" s="28"/>
      <c r="I475" s="28"/>
      <c r="J475" s="28"/>
    </row>
    <row r="476">
      <c r="A476" s="15" t="s">
        <v>10385</v>
      </c>
      <c r="B476" s="230">
        <v>3.0</v>
      </c>
      <c r="C476" s="230">
        <v>9.0</v>
      </c>
      <c r="D476" s="230">
        <v>2.0</v>
      </c>
      <c r="E476" s="230">
        <v>4.0</v>
      </c>
      <c r="F476" s="15" t="s">
        <v>8393</v>
      </c>
      <c r="G476" s="15" t="s">
        <v>8937</v>
      </c>
      <c r="H476" s="28"/>
      <c r="I476" s="28"/>
      <c r="J476" s="28"/>
    </row>
    <row r="477">
      <c r="A477" s="15" t="s">
        <v>10385</v>
      </c>
      <c r="B477" s="230">
        <v>3.0</v>
      </c>
      <c r="C477" s="230">
        <v>10.0</v>
      </c>
      <c r="D477" s="230">
        <v>2.0</v>
      </c>
      <c r="E477" s="230">
        <v>4.0</v>
      </c>
      <c r="F477" s="15" t="s">
        <v>8393</v>
      </c>
      <c r="G477" s="15" t="s">
        <v>8938</v>
      </c>
      <c r="H477" s="28"/>
      <c r="I477" s="28"/>
      <c r="J477" s="28"/>
    </row>
    <row r="478">
      <c r="A478" s="15" t="s">
        <v>10385</v>
      </c>
      <c r="B478" s="230">
        <v>3.0</v>
      </c>
      <c r="C478" s="230">
        <v>11.0</v>
      </c>
      <c r="D478" s="230">
        <v>2.0</v>
      </c>
      <c r="E478" s="230">
        <v>4.0</v>
      </c>
      <c r="F478" s="15" t="s">
        <v>8393</v>
      </c>
      <c r="G478" s="15" t="s">
        <v>9151</v>
      </c>
      <c r="H478" s="28"/>
      <c r="I478" s="28"/>
      <c r="J478" s="28"/>
    </row>
    <row r="479">
      <c r="A479" s="15" t="s">
        <v>10385</v>
      </c>
      <c r="B479" s="230">
        <v>3.0</v>
      </c>
      <c r="C479" s="230">
        <v>12.0</v>
      </c>
      <c r="D479" s="230">
        <v>2.0</v>
      </c>
      <c r="E479" s="230">
        <v>4.0</v>
      </c>
      <c r="F479" s="15" t="s">
        <v>8393</v>
      </c>
      <c r="G479" s="15" t="s">
        <v>8940</v>
      </c>
      <c r="H479" s="28"/>
      <c r="I479" s="28"/>
      <c r="J479" s="28"/>
    </row>
    <row r="480">
      <c r="A480" s="15" t="s">
        <v>10385</v>
      </c>
      <c r="B480" s="230">
        <v>3.0</v>
      </c>
      <c r="C480" s="230">
        <v>13.0</v>
      </c>
      <c r="D480" s="230">
        <v>2.0</v>
      </c>
      <c r="E480" s="230">
        <v>4.0</v>
      </c>
      <c r="F480" s="15" t="s">
        <v>8393</v>
      </c>
      <c r="G480" s="15" t="s">
        <v>8941</v>
      </c>
      <c r="H480" s="28"/>
      <c r="I480" s="28"/>
      <c r="J480" s="28"/>
    </row>
    <row r="481">
      <c r="A481" s="15" t="s">
        <v>10385</v>
      </c>
      <c r="B481" s="230">
        <v>3.0</v>
      </c>
      <c r="C481" s="230">
        <v>14.0</v>
      </c>
      <c r="D481" s="230">
        <v>2.0</v>
      </c>
      <c r="E481" s="230">
        <v>4.0</v>
      </c>
      <c r="F481" s="15" t="s">
        <v>8393</v>
      </c>
      <c r="G481" s="15" t="s">
        <v>8942</v>
      </c>
      <c r="H481" s="28"/>
      <c r="I481" s="28"/>
      <c r="J481" s="28"/>
    </row>
    <row r="482">
      <c r="A482" s="15" t="s">
        <v>10385</v>
      </c>
      <c r="B482" s="230">
        <v>3.0</v>
      </c>
      <c r="C482" s="230">
        <v>15.0</v>
      </c>
      <c r="D482" s="230">
        <v>2.0</v>
      </c>
      <c r="E482" s="230">
        <v>4.0</v>
      </c>
      <c r="F482" s="15" t="s">
        <v>8393</v>
      </c>
      <c r="G482" s="15" t="s">
        <v>8943</v>
      </c>
      <c r="H482" s="28"/>
      <c r="I482" s="28"/>
      <c r="J482" s="28"/>
    </row>
    <row r="483">
      <c r="A483" s="15" t="s">
        <v>10385</v>
      </c>
      <c r="B483" s="230">
        <v>3.0</v>
      </c>
      <c r="C483" s="230">
        <v>16.0</v>
      </c>
      <c r="D483" s="230">
        <v>2.0</v>
      </c>
      <c r="E483" s="230">
        <v>4.0</v>
      </c>
      <c r="F483" s="15" t="s">
        <v>8393</v>
      </c>
      <c r="G483" s="15" t="s">
        <v>8944</v>
      </c>
      <c r="H483" s="28"/>
      <c r="I483" s="28"/>
      <c r="J483" s="28"/>
    </row>
    <row r="484">
      <c r="A484" s="15" t="s">
        <v>10385</v>
      </c>
      <c r="B484" s="230">
        <v>3.0</v>
      </c>
      <c r="C484" s="230">
        <v>17.0</v>
      </c>
      <c r="D484" s="230">
        <v>2.0</v>
      </c>
      <c r="E484" s="230">
        <v>4.0</v>
      </c>
      <c r="F484" s="15" t="s">
        <v>8393</v>
      </c>
      <c r="G484" s="15" t="s">
        <v>8945</v>
      </c>
      <c r="H484" s="28"/>
      <c r="I484" s="28"/>
      <c r="J484" s="28"/>
    </row>
    <row r="485">
      <c r="A485" s="15" t="s">
        <v>10385</v>
      </c>
      <c r="B485" s="230">
        <v>3.0</v>
      </c>
      <c r="C485" s="230">
        <v>18.0</v>
      </c>
      <c r="D485" s="230">
        <v>2.0</v>
      </c>
      <c r="E485" s="230">
        <v>4.0</v>
      </c>
      <c r="F485" s="15" t="s">
        <v>8393</v>
      </c>
      <c r="G485" s="15" t="s">
        <v>8946</v>
      </c>
      <c r="H485" s="28"/>
      <c r="I485" s="28"/>
      <c r="J485" s="28"/>
    </row>
    <row r="486">
      <c r="A486" s="15" t="s">
        <v>10385</v>
      </c>
      <c r="B486" s="230">
        <v>3.0</v>
      </c>
      <c r="C486" s="230">
        <v>19.0</v>
      </c>
      <c r="D486" s="230">
        <v>2.0</v>
      </c>
      <c r="E486" s="230">
        <v>4.0</v>
      </c>
      <c r="F486" s="15" t="s">
        <v>8393</v>
      </c>
      <c r="G486" s="15" t="s">
        <v>8947</v>
      </c>
      <c r="H486" s="28"/>
      <c r="I486" s="28"/>
      <c r="J486" s="28"/>
    </row>
    <row r="487">
      <c r="A487" s="15" t="s">
        <v>10385</v>
      </c>
      <c r="B487" s="230">
        <v>3.0</v>
      </c>
      <c r="C487" s="230">
        <v>20.0</v>
      </c>
      <c r="D487" s="230">
        <v>2.0</v>
      </c>
      <c r="E487" s="230">
        <v>4.0</v>
      </c>
      <c r="F487" s="15" t="s">
        <v>8393</v>
      </c>
      <c r="G487" s="15" t="s">
        <v>8948</v>
      </c>
      <c r="H487" s="28"/>
      <c r="I487" s="28"/>
      <c r="J487" s="28"/>
    </row>
    <row r="488">
      <c r="A488" s="15" t="s">
        <v>10385</v>
      </c>
      <c r="B488" s="230">
        <v>3.0</v>
      </c>
      <c r="C488" s="230">
        <v>21.0</v>
      </c>
      <c r="D488" s="230">
        <v>2.0</v>
      </c>
      <c r="E488" s="230">
        <v>4.0</v>
      </c>
      <c r="F488" s="15" t="s">
        <v>8393</v>
      </c>
      <c r="G488" s="15" t="s">
        <v>8949</v>
      </c>
      <c r="H488" s="28"/>
      <c r="I488" s="28"/>
      <c r="J488" s="28"/>
    </row>
    <row r="489">
      <c r="A489" s="15" t="s">
        <v>10385</v>
      </c>
      <c r="B489" s="230">
        <v>3.0</v>
      </c>
      <c r="C489" s="230">
        <v>22.0</v>
      </c>
      <c r="D489" s="230">
        <v>2.0</v>
      </c>
      <c r="E489" s="230">
        <v>4.0</v>
      </c>
      <c r="F489" s="15" t="s">
        <v>8393</v>
      </c>
      <c r="G489" s="15" t="s">
        <v>8950</v>
      </c>
      <c r="H489" s="28"/>
      <c r="I489" s="28"/>
      <c r="J489" s="28"/>
    </row>
    <row r="490">
      <c r="A490" s="15" t="s">
        <v>10385</v>
      </c>
      <c r="B490" s="230">
        <v>3.0</v>
      </c>
      <c r="C490" s="230">
        <v>23.0</v>
      </c>
      <c r="D490" s="230">
        <v>2.0</v>
      </c>
      <c r="E490" s="230">
        <v>4.0</v>
      </c>
      <c r="F490" s="15" t="s">
        <v>8393</v>
      </c>
      <c r="G490" s="15" t="s">
        <v>8951</v>
      </c>
      <c r="H490" s="28"/>
      <c r="I490" s="28"/>
      <c r="J490" s="28"/>
    </row>
    <row r="491">
      <c r="A491" s="15" t="s">
        <v>10385</v>
      </c>
      <c r="B491" s="230">
        <v>3.0</v>
      </c>
      <c r="C491" s="230">
        <v>24.0</v>
      </c>
      <c r="D491" s="230">
        <v>2.0</v>
      </c>
      <c r="E491" s="230">
        <v>4.0</v>
      </c>
      <c r="F491" s="15" t="s">
        <v>8393</v>
      </c>
      <c r="G491" s="15" t="s">
        <v>8952</v>
      </c>
      <c r="H491" s="28"/>
      <c r="I491" s="28"/>
      <c r="J491" s="28"/>
    </row>
    <row r="492">
      <c r="A492" s="15" t="s">
        <v>10385</v>
      </c>
      <c r="B492" s="230">
        <v>3.0</v>
      </c>
      <c r="C492" s="230">
        <v>25.0</v>
      </c>
      <c r="D492" s="230">
        <v>2.0</v>
      </c>
      <c r="E492" s="230">
        <v>4.0</v>
      </c>
      <c r="F492" s="15" t="s">
        <v>8393</v>
      </c>
      <c r="G492" s="15" t="s">
        <v>8953</v>
      </c>
      <c r="H492" s="28"/>
      <c r="I492" s="28"/>
      <c r="J492" s="28"/>
    </row>
    <row r="493">
      <c r="A493" s="15" t="s">
        <v>10385</v>
      </c>
      <c r="B493" s="230">
        <v>3.0</v>
      </c>
      <c r="C493" s="230">
        <v>26.0</v>
      </c>
      <c r="D493" s="230">
        <v>2.0</v>
      </c>
      <c r="E493" s="230">
        <v>4.0</v>
      </c>
      <c r="F493" s="15" t="s">
        <v>8393</v>
      </c>
      <c r="G493" s="15" t="s">
        <v>8956</v>
      </c>
      <c r="H493" s="28"/>
      <c r="I493" s="28"/>
      <c r="J493" s="28"/>
    </row>
    <row r="494">
      <c r="A494" s="15" t="s">
        <v>10385</v>
      </c>
      <c r="B494" s="230">
        <v>3.0</v>
      </c>
      <c r="C494" s="230">
        <v>27.0</v>
      </c>
      <c r="D494" s="230">
        <v>2.0</v>
      </c>
      <c r="E494" s="230">
        <v>4.0</v>
      </c>
      <c r="F494" s="15" t="s">
        <v>8393</v>
      </c>
      <c r="G494" s="15" t="s">
        <v>9038</v>
      </c>
      <c r="H494" s="28"/>
      <c r="I494" s="28"/>
      <c r="J494" s="28"/>
    </row>
    <row r="495">
      <c r="A495" s="15" t="s">
        <v>10385</v>
      </c>
      <c r="B495" s="230">
        <v>3.0</v>
      </c>
      <c r="C495" s="230">
        <v>28.0</v>
      </c>
      <c r="D495" s="230">
        <v>2.0</v>
      </c>
      <c r="E495" s="230">
        <v>4.0</v>
      </c>
      <c r="F495" s="15" t="s">
        <v>8393</v>
      </c>
      <c r="G495" s="15" t="s">
        <v>8958</v>
      </c>
      <c r="H495" s="28"/>
      <c r="I495" s="28"/>
      <c r="J495" s="28"/>
    </row>
    <row r="496">
      <c r="A496" s="15" t="s">
        <v>10385</v>
      </c>
      <c r="B496" s="230">
        <v>3.0</v>
      </c>
      <c r="C496" s="230">
        <v>29.0</v>
      </c>
      <c r="D496" s="230">
        <v>2.0</v>
      </c>
      <c r="E496" s="230">
        <v>4.0</v>
      </c>
      <c r="F496" s="15" t="s">
        <v>8393</v>
      </c>
      <c r="G496" s="15" t="s">
        <v>9041</v>
      </c>
      <c r="H496" s="28"/>
      <c r="I496" s="28"/>
      <c r="J496" s="28"/>
    </row>
    <row r="497">
      <c r="A497" s="15" t="s">
        <v>10385</v>
      </c>
      <c r="B497" s="230">
        <v>3.0</v>
      </c>
      <c r="C497" s="230">
        <v>30.0</v>
      </c>
      <c r="D497" s="230">
        <v>2.0</v>
      </c>
      <c r="E497" s="230">
        <v>4.0</v>
      </c>
      <c r="F497" s="15" t="s">
        <v>8393</v>
      </c>
      <c r="G497" s="15" t="s">
        <v>8960</v>
      </c>
      <c r="H497" s="28"/>
      <c r="I497" s="28"/>
      <c r="J497" s="28"/>
    </row>
    <row r="498">
      <c r="A498" s="15" t="s">
        <v>10385</v>
      </c>
      <c r="B498" s="230">
        <v>3.0</v>
      </c>
      <c r="C498" s="230">
        <v>31.0</v>
      </c>
      <c r="D498" s="230">
        <v>2.0</v>
      </c>
      <c r="E498" s="230">
        <v>4.0</v>
      </c>
      <c r="F498" s="15" t="s">
        <v>8393</v>
      </c>
      <c r="G498" s="15" t="s">
        <v>9044</v>
      </c>
      <c r="H498" s="28"/>
      <c r="I498" s="28"/>
      <c r="J498" s="28"/>
    </row>
    <row r="499">
      <c r="A499" s="15" t="s">
        <v>10385</v>
      </c>
      <c r="B499" s="230">
        <v>3.0</v>
      </c>
      <c r="C499" s="230">
        <v>32.0</v>
      </c>
      <c r="D499" s="230">
        <v>2.0</v>
      </c>
      <c r="E499" s="230">
        <v>4.0</v>
      </c>
      <c r="F499" s="15" t="s">
        <v>8393</v>
      </c>
      <c r="G499" s="10" t="s">
        <v>8964</v>
      </c>
      <c r="H499" s="28"/>
      <c r="I499" s="28"/>
      <c r="J499" s="28"/>
    </row>
    <row r="500">
      <c r="A500" s="15" t="s">
        <v>10385</v>
      </c>
      <c r="B500" s="230">
        <v>3.0</v>
      </c>
      <c r="C500" s="230">
        <v>33.0</v>
      </c>
      <c r="D500" s="230">
        <v>2.0</v>
      </c>
      <c r="E500" s="230">
        <v>4.0</v>
      </c>
      <c r="F500" s="15" t="s">
        <v>8393</v>
      </c>
      <c r="G500" s="15" t="s">
        <v>8966</v>
      </c>
      <c r="H500" s="28"/>
      <c r="I500" s="28"/>
      <c r="J500" s="28"/>
    </row>
    <row r="501">
      <c r="A501" s="15" t="s">
        <v>10385</v>
      </c>
      <c r="B501" s="230">
        <v>3.0</v>
      </c>
      <c r="C501" s="230">
        <v>34.0</v>
      </c>
      <c r="D501" s="230">
        <v>2.0</v>
      </c>
      <c r="E501" s="230">
        <v>4.0</v>
      </c>
      <c r="F501" s="15" t="s">
        <v>8393</v>
      </c>
      <c r="G501" s="15" t="s">
        <v>8968</v>
      </c>
      <c r="H501" s="28"/>
      <c r="I501" s="28"/>
      <c r="J501" s="28"/>
    </row>
    <row r="502">
      <c r="A502" s="15" t="s">
        <v>10385</v>
      </c>
      <c r="B502" s="230">
        <v>3.0</v>
      </c>
      <c r="C502" s="230">
        <v>35.0</v>
      </c>
      <c r="D502" s="230">
        <v>2.0</v>
      </c>
      <c r="E502" s="230">
        <v>4.0</v>
      </c>
      <c r="F502" s="15" t="s">
        <v>8393</v>
      </c>
      <c r="G502" s="15" t="s">
        <v>8970</v>
      </c>
      <c r="H502" s="28"/>
      <c r="I502" s="28"/>
      <c r="J502" s="28"/>
    </row>
    <row r="503">
      <c r="A503" s="15" t="s">
        <v>10385</v>
      </c>
      <c r="B503" s="230">
        <v>3.0</v>
      </c>
      <c r="C503" s="230">
        <v>36.0</v>
      </c>
      <c r="D503" s="230">
        <v>2.0</v>
      </c>
      <c r="E503" s="230">
        <v>4.0</v>
      </c>
      <c r="F503" s="15" t="s">
        <v>8393</v>
      </c>
      <c r="G503" s="15" t="s">
        <v>9050</v>
      </c>
      <c r="H503" s="28"/>
      <c r="I503" s="28"/>
      <c r="J503" s="28"/>
    </row>
    <row r="504">
      <c r="A504" s="15" t="s">
        <v>10385</v>
      </c>
      <c r="B504" s="230">
        <v>3.0</v>
      </c>
      <c r="C504" s="230">
        <v>37.0</v>
      </c>
      <c r="D504" s="230">
        <v>2.0</v>
      </c>
      <c r="E504" s="230">
        <v>4.0</v>
      </c>
      <c r="F504" s="15" t="s">
        <v>8393</v>
      </c>
      <c r="G504" s="15" t="s">
        <v>8972</v>
      </c>
      <c r="H504" s="28"/>
      <c r="I504" s="28"/>
      <c r="J504" s="28"/>
    </row>
    <row r="505">
      <c r="A505" s="15" t="s">
        <v>10385</v>
      </c>
      <c r="B505" s="230">
        <v>3.0</v>
      </c>
      <c r="C505" s="230">
        <v>38.0</v>
      </c>
      <c r="D505" s="230">
        <v>2.0</v>
      </c>
      <c r="E505" s="230">
        <v>4.0</v>
      </c>
      <c r="F505" s="15" t="s">
        <v>8393</v>
      </c>
      <c r="G505" s="15" t="s">
        <v>8976</v>
      </c>
      <c r="H505" s="28"/>
      <c r="I505" s="28"/>
      <c r="J505" s="28"/>
    </row>
    <row r="506">
      <c r="A506" s="15" t="s">
        <v>10385</v>
      </c>
      <c r="B506" s="230">
        <v>3.0</v>
      </c>
      <c r="C506" s="230">
        <v>39.0</v>
      </c>
      <c r="D506" s="230">
        <v>2.0</v>
      </c>
      <c r="E506" s="230">
        <v>4.0</v>
      </c>
      <c r="F506" s="15" t="s">
        <v>8393</v>
      </c>
      <c r="G506" s="15" t="s">
        <v>8980</v>
      </c>
      <c r="H506" s="28"/>
      <c r="I506" s="28"/>
      <c r="J506" s="28"/>
    </row>
    <row r="507">
      <c r="A507" s="15" t="s">
        <v>10385</v>
      </c>
      <c r="B507" s="230">
        <v>3.0</v>
      </c>
      <c r="C507" s="230">
        <v>40.0</v>
      </c>
      <c r="D507" s="230">
        <v>2.0</v>
      </c>
      <c r="E507" s="230">
        <v>4.0</v>
      </c>
      <c r="F507" s="15" t="s">
        <v>8393</v>
      </c>
      <c r="G507" s="15" t="s">
        <v>9055</v>
      </c>
      <c r="H507" s="28"/>
      <c r="I507" s="28"/>
      <c r="J507" s="28"/>
    </row>
    <row r="508">
      <c r="A508" s="15" t="s">
        <v>10385</v>
      </c>
      <c r="B508" s="230">
        <v>3.0</v>
      </c>
      <c r="C508" s="230">
        <v>41.0</v>
      </c>
      <c r="D508" s="230">
        <v>2.0</v>
      </c>
      <c r="E508" s="230">
        <v>4.0</v>
      </c>
      <c r="F508" s="15" t="s">
        <v>8393</v>
      </c>
      <c r="G508" s="15" t="s">
        <v>8984</v>
      </c>
      <c r="H508" s="28"/>
      <c r="I508" s="28"/>
      <c r="J508" s="28"/>
    </row>
    <row r="509">
      <c r="A509" s="15" t="s">
        <v>10385</v>
      </c>
      <c r="B509" s="230">
        <v>3.0</v>
      </c>
      <c r="C509" s="230">
        <v>1.0</v>
      </c>
      <c r="D509" s="230">
        <v>2.0</v>
      </c>
      <c r="E509" s="230">
        <v>5.0</v>
      </c>
      <c r="F509" s="15" t="s">
        <v>8393</v>
      </c>
      <c r="G509" s="15" t="s">
        <v>9138</v>
      </c>
      <c r="H509" s="28"/>
      <c r="I509" s="28"/>
      <c r="J509" s="28"/>
    </row>
    <row r="510">
      <c r="A510" s="15" t="s">
        <v>10385</v>
      </c>
      <c r="B510" s="230">
        <v>3.0</v>
      </c>
      <c r="C510" s="230">
        <v>1.0</v>
      </c>
      <c r="D510" s="230">
        <v>2.0</v>
      </c>
      <c r="E510" s="230">
        <v>6.0</v>
      </c>
      <c r="F510" s="15" t="s">
        <v>8393</v>
      </c>
      <c r="G510" s="15" t="s">
        <v>8929</v>
      </c>
      <c r="H510" s="28"/>
      <c r="I510" s="28"/>
      <c r="J510" s="28"/>
    </row>
    <row r="511">
      <c r="A511" s="15" t="s">
        <v>10385</v>
      </c>
      <c r="B511" s="230">
        <v>3.0</v>
      </c>
      <c r="C511" s="230">
        <v>2.0</v>
      </c>
      <c r="D511" s="230">
        <v>2.0</v>
      </c>
      <c r="E511" s="230">
        <v>6.0</v>
      </c>
      <c r="F511" s="15" t="s">
        <v>8393</v>
      </c>
      <c r="G511" s="15" t="s">
        <v>8930</v>
      </c>
      <c r="H511" s="28"/>
      <c r="I511" s="28"/>
      <c r="J511" s="28"/>
    </row>
    <row r="512">
      <c r="A512" s="15" t="s">
        <v>10385</v>
      </c>
      <c r="B512" s="230">
        <v>3.0</v>
      </c>
      <c r="C512" s="230">
        <v>3.0</v>
      </c>
      <c r="D512" s="230">
        <v>2.0</v>
      </c>
      <c r="E512" s="230">
        <v>6.0</v>
      </c>
      <c r="F512" s="15" t="s">
        <v>8393</v>
      </c>
      <c r="G512" s="15" t="s">
        <v>8931</v>
      </c>
      <c r="H512" s="28"/>
      <c r="I512" s="28"/>
      <c r="J512" s="28"/>
    </row>
    <row r="513">
      <c r="A513" s="15" t="s">
        <v>10385</v>
      </c>
      <c r="B513" s="230">
        <v>3.0</v>
      </c>
      <c r="C513" s="230">
        <v>4.0</v>
      </c>
      <c r="D513" s="230">
        <v>2.0</v>
      </c>
      <c r="E513" s="230">
        <v>6.0</v>
      </c>
      <c r="F513" s="15" t="s">
        <v>8393</v>
      </c>
      <c r="G513" s="15" t="s">
        <v>8932</v>
      </c>
      <c r="H513" s="28"/>
      <c r="I513" s="28"/>
      <c r="J513" s="28"/>
    </row>
    <row r="514">
      <c r="A514" s="15" t="s">
        <v>10385</v>
      </c>
      <c r="B514" s="230">
        <v>3.0</v>
      </c>
      <c r="C514" s="230">
        <v>5.0</v>
      </c>
      <c r="D514" s="230">
        <v>2.0</v>
      </c>
      <c r="E514" s="230">
        <v>6.0</v>
      </c>
      <c r="F514" s="15" t="s">
        <v>8393</v>
      </c>
      <c r="G514" s="15" t="s">
        <v>8933</v>
      </c>
      <c r="H514" s="28"/>
      <c r="I514" s="28"/>
      <c r="J514" s="28"/>
    </row>
    <row r="515">
      <c r="A515" s="15" t="s">
        <v>10385</v>
      </c>
      <c r="B515" s="230">
        <v>3.0</v>
      </c>
      <c r="C515" s="230">
        <v>6.0</v>
      </c>
      <c r="D515" s="230">
        <v>2.0</v>
      </c>
      <c r="E515" s="230">
        <v>6.0</v>
      </c>
      <c r="F515" s="15" t="s">
        <v>8393</v>
      </c>
      <c r="G515" s="15" t="s">
        <v>8934</v>
      </c>
      <c r="H515" s="28"/>
      <c r="I515" s="28"/>
      <c r="J515" s="28"/>
    </row>
    <row r="516">
      <c r="A516" s="15" t="s">
        <v>10385</v>
      </c>
      <c r="B516" s="230">
        <v>3.0</v>
      </c>
      <c r="C516" s="230">
        <v>7.0</v>
      </c>
      <c r="D516" s="230">
        <v>2.0</v>
      </c>
      <c r="E516" s="230">
        <v>6.0</v>
      </c>
      <c r="F516" s="15" t="s">
        <v>8393</v>
      </c>
      <c r="G516" s="15" t="s">
        <v>8935</v>
      </c>
      <c r="H516" s="28"/>
      <c r="I516" s="28"/>
      <c r="J516" s="28"/>
    </row>
    <row r="517">
      <c r="A517" s="15" t="s">
        <v>10385</v>
      </c>
      <c r="B517" s="230">
        <v>3.0</v>
      </c>
      <c r="C517" s="230">
        <v>8.0</v>
      </c>
      <c r="D517" s="230">
        <v>2.0</v>
      </c>
      <c r="E517" s="230">
        <v>6.0</v>
      </c>
      <c r="F517" s="15" t="s">
        <v>8393</v>
      </c>
      <c r="G517" s="15" t="s">
        <v>8936</v>
      </c>
      <c r="H517" s="28"/>
      <c r="I517" s="28"/>
      <c r="J517" s="28"/>
    </row>
    <row r="518">
      <c r="A518" s="15" t="s">
        <v>10385</v>
      </c>
      <c r="B518" s="230">
        <v>3.0</v>
      </c>
      <c r="C518" s="230">
        <v>9.0</v>
      </c>
      <c r="D518" s="230">
        <v>2.0</v>
      </c>
      <c r="E518" s="230">
        <v>6.0</v>
      </c>
      <c r="F518" s="15" t="s">
        <v>8393</v>
      </c>
      <c r="G518" s="15" t="s">
        <v>8937</v>
      </c>
      <c r="H518" s="28"/>
      <c r="I518" s="28"/>
      <c r="J518" s="28"/>
    </row>
    <row r="519">
      <c r="A519" s="15" t="s">
        <v>10385</v>
      </c>
      <c r="B519" s="230">
        <v>3.0</v>
      </c>
      <c r="C519" s="230">
        <v>10.0</v>
      </c>
      <c r="D519" s="230">
        <v>2.0</v>
      </c>
      <c r="E519" s="230">
        <v>6.0</v>
      </c>
      <c r="F519" s="15" t="s">
        <v>8393</v>
      </c>
      <c r="G519" s="15" t="s">
        <v>8938</v>
      </c>
      <c r="H519" s="28"/>
      <c r="I519" s="28"/>
      <c r="J519" s="28"/>
    </row>
    <row r="520">
      <c r="A520" s="15" t="s">
        <v>10385</v>
      </c>
      <c r="B520" s="230">
        <v>3.0</v>
      </c>
      <c r="C520" s="230">
        <v>11.0</v>
      </c>
      <c r="D520" s="230">
        <v>2.0</v>
      </c>
      <c r="E520" s="230">
        <v>6.0</v>
      </c>
      <c r="F520" s="15" t="s">
        <v>8393</v>
      </c>
      <c r="G520" s="15" t="s">
        <v>9151</v>
      </c>
      <c r="H520" s="28"/>
      <c r="I520" s="28"/>
      <c r="J520" s="28"/>
    </row>
    <row r="521">
      <c r="A521" s="15" t="s">
        <v>10385</v>
      </c>
      <c r="B521" s="230">
        <v>3.0</v>
      </c>
      <c r="C521" s="230">
        <v>12.0</v>
      </c>
      <c r="D521" s="230">
        <v>2.0</v>
      </c>
      <c r="E521" s="230">
        <v>6.0</v>
      </c>
      <c r="F521" s="15" t="s">
        <v>8393</v>
      </c>
      <c r="G521" s="15" t="s">
        <v>8940</v>
      </c>
      <c r="H521" s="28"/>
      <c r="I521" s="28"/>
      <c r="J521" s="28"/>
    </row>
    <row r="522">
      <c r="A522" s="15" t="s">
        <v>10385</v>
      </c>
      <c r="B522" s="230">
        <v>3.0</v>
      </c>
      <c r="C522" s="230">
        <v>13.0</v>
      </c>
      <c r="D522" s="230">
        <v>2.0</v>
      </c>
      <c r="E522" s="230">
        <v>6.0</v>
      </c>
      <c r="F522" s="15" t="s">
        <v>8393</v>
      </c>
      <c r="G522" s="15" t="s">
        <v>8941</v>
      </c>
      <c r="H522" s="28"/>
      <c r="I522" s="28"/>
      <c r="J522" s="28"/>
    </row>
    <row r="523">
      <c r="A523" s="15" t="s">
        <v>10385</v>
      </c>
      <c r="B523" s="230">
        <v>3.0</v>
      </c>
      <c r="C523" s="230">
        <v>14.0</v>
      </c>
      <c r="D523" s="230">
        <v>2.0</v>
      </c>
      <c r="E523" s="230">
        <v>6.0</v>
      </c>
      <c r="F523" s="15" t="s">
        <v>8393</v>
      </c>
      <c r="G523" s="15" t="s">
        <v>8942</v>
      </c>
      <c r="H523" s="28"/>
      <c r="I523" s="28"/>
      <c r="J523" s="28"/>
    </row>
    <row r="524">
      <c r="A524" s="15" t="s">
        <v>10385</v>
      </c>
      <c r="B524" s="230">
        <v>3.0</v>
      </c>
      <c r="C524" s="230">
        <v>15.0</v>
      </c>
      <c r="D524" s="230">
        <v>2.0</v>
      </c>
      <c r="E524" s="230">
        <v>6.0</v>
      </c>
      <c r="F524" s="15" t="s">
        <v>8393</v>
      </c>
      <c r="G524" s="15" t="s">
        <v>8943</v>
      </c>
      <c r="H524" s="28"/>
      <c r="I524" s="28"/>
      <c r="J524" s="28"/>
    </row>
    <row r="525">
      <c r="A525" s="15" t="s">
        <v>10385</v>
      </c>
      <c r="B525" s="230">
        <v>3.0</v>
      </c>
      <c r="C525" s="230">
        <v>16.0</v>
      </c>
      <c r="D525" s="230">
        <v>2.0</v>
      </c>
      <c r="E525" s="230">
        <v>6.0</v>
      </c>
      <c r="F525" s="15" t="s">
        <v>8393</v>
      </c>
      <c r="G525" s="15" t="s">
        <v>8944</v>
      </c>
      <c r="H525" s="28"/>
      <c r="I525" s="28"/>
      <c r="J525" s="28"/>
    </row>
    <row r="526">
      <c r="A526" s="15" t="s">
        <v>10385</v>
      </c>
      <c r="B526" s="230">
        <v>3.0</v>
      </c>
      <c r="C526" s="230">
        <v>17.0</v>
      </c>
      <c r="D526" s="230">
        <v>2.0</v>
      </c>
      <c r="E526" s="230">
        <v>6.0</v>
      </c>
      <c r="F526" s="15" t="s">
        <v>8393</v>
      </c>
      <c r="G526" s="15" t="s">
        <v>8945</v>
      </c>
      <c r="H526" s="28"/>
      <c r="I526" s="28"/>
      <c r="J526" s="28"/>
    </row>
    <row r="527">
      <c r="A527" s="15" t="s">
        <v>10385</v>
      </c>
      <c r="B527" s="230">
        <v>3.0</v>
      </c>
      <c r="C527" s="230">
        <v>18.0</v>
      </c>
      <c r="D527" s="230">
        <v>2.0</v>
      </c>
      <c r="E527" s="230">
        <v>6.0</v>
      </c>
      <c r="F527" s="15" t="s">
        <v>8393</v>
      </c>
      <c r="G527" s="15" t="s">
        <v>8946</v>
      </c>
      <c r="H527" s="28"/>
      <c r="I527" s="28"/>
      <c r="J527" s="28"/>
    </row>
    <row r="528">
      <c r="A528" s="15" t="s">
        <v>10385</v>
      </c>
      <c r="B528" s="230">
        <v>3.0</v>
      </c>
      <c r="C528" s="230">
        <v>19.0</v>
      </c>
      <c r="D528" s="230">
        <v>2.0</v>
      </c>
      <c r="E528" s="230">
        <v>6.0</v>
      </c>
      <c r="F528" s="15" t="s">
        <v>8393</v>
      </c>
      <c r="G528" s="15" t="s">
        <v>8947</v>
      </c>
      <c r="H528" s="28"/>
      <c r="I528" s="28"/>
      <c r="J528" s="28"/>
    </row>
    <row r="529">
      <c r="A529" s="15" t="s">
        <v>10385</v>
      </c>
      <c r="B529" s="230">
        <v>3.0</v>
      </c>
      <c r="C529" s="230">
        <v>20.0</v>
      </c>
      <c r="D529" s="230">
        <v>2.0</v>
      </c>
      <c r="E529" s="230">
        <v>6.0</v>
      </c>
      <c r="F529" s="15" t="s">
        <v>8393</v>
      </c>
      <c r="G529" s="15" t="s">
        <v>8948</v>
      </c>
      <c r="H529" s="28"/>
      <c r="I529" s="28"/>
      <c r="J529" s="28"/>
    </row>
    <row r="530">
      <c r="A530" s="15" t="s">
        <v>10385</v>
      </c>
      <c r="B530" s="230">
        <v>3.0</v>
      </c>
      <c r="C530" s="230">
        <v>21.0</v>
      </c>
      <c r="D530" s="230">
        <v>2.0</v>
      </c>
      <c r="E530" s="230">
        <v>6.0</v>
      </c>
      <c r="F530" s="15" t="s">
        <v>8393</v>
      </c>
      <c r="G530" s="15" t="s">
        <v>8949</v>
      </c>
      <c r="H530" s="28"/>
      <c r="I530" s="28"/>
      <c r="J530" s="28"/>
    </row>
    <row r="531">
      <c r="A531" s="15" t="s">
        <v>10385</v>
      </c>
      <c r="B531" s="230">
        <v>3.0</v>
      </c>
      <c r="C531" s="230">
        <v>22.0</v>
      </c>
      <c r="D531" s="230">
        <v>2.0</v>
      </c>
      <c r="E531" s="230">
        <v>6.0</v>
      </c>
      <c r="F531" s="15" t="s">
        <v>8393</v>
      </c>
      <c r="G531" s="15" t="s">
        <v>8950</v>
      </c>
      <c r="H531" s="28"/>
      <c r="I531" s="28"/>
      <c r="J531" s="28"/>
    </row>
    <row r="532">
      <c r="A532" s="15" t="s">
        <v>10385</v>
      </c>
      <c r="B532" s="230">
        <v>3.0</v>
      </c>
      <c r="C532" s="230">
        <v>23.0</v>
      </c>
      <c r="D532" s="230">
        <v>2.0</v>
      </c>
      <c r="E532" s="230">
        <v>6.0</v>
      </c>
      <c r="F532" s="15" t="s">
        <v>8393</v>
      </c>
      <c r="G532" s="15" t="s">
        <v>8951</v>
      </c>
      <c r="H532" s="28"/>
      <c r="I532" s="28"/>
      <c r="J532" s="28"/>
    </row>
    <row r="533">
      <c r="A533" s="15" t="s">
        <v>10385</v>
      </c>
      <c r="B533" s="230">
        <v>3.0</v>
      </c>
      <c r="C533" s="230">
        <v>24.0</v>
      </c>
      <c r="D533" s="230">
        <v>2.0</v>
      </c>
      <c r="E533" s="230">
        <v>6.0</v>
      </c>
      <c r="F533" s="15" t="s">
        <v>8393</v>
      </c>
      <c r="G533" s="15" t="s">
        <v>8952</v>
      </c>
      <c r="H533" s="28"/>
      <c r="I533" s="28"/>
      <c r="J533" s="28"/>
    </row>
    <row r="534">
      <c r="A534" s="15" t="s">
        <v>10385</v>
      </c>
      <c r="B534" s="230">
        <v>3.0</v>
      </c>
      <c r="C534" s="230">
        <v>25.0</v>
      </c>
      <c r="D534" s="230">
        <v>2.0</v>
      </c>
      <c r="E534" s="230">
        <v>6.0</v>
      </c>
      <c r="F534" s="15" t="s">
        <v>8393</v>
      </c>
      <c r="G534" s="15" t="s">
        <v>8953</v>
      </c>
      <c r="H534" s="28"/>
      <c r="I534" s="28"/>
      <c r="J534" s="28"/>
    </row>
    <row r="535">
      <c r="A535" s="15" t="s">
        <v>10385</v>
      </c>
      <c r="B535" s="230">
        <v>3.0</v>
      </c>
      <c r="C535" s="230">
        <v>26.0</v>
      </c>
      <c r="D535" s="230">
        <v>2.0</v>
      </c>
      <c r="E535" s="230">
        <v>6.0</v>
      </c>
      <c r="F535" s="15" t="s">
        <v>8393</v>
      </c>
      <c r="G535" s="15" t="s">
        <v>9038</v>
      </c>
      <c r="H535" s="28"/>
      <c r="I535" s="28"/>
      <c r="J535" s="28"/>
    </row>
    <row r="536">
      <c r="A536" s="15" t="s">
        <v>10385</v>
      </c>
      <c r="B536" s="230">
        <v>3.0</v>
      </c>
      <c r="C536" s="230">
        <v>27.0</v>
      </c>
      <c r="D536" s="230">
        <v>2.0</v>
      </c>
      <c r="E536" s="230">
        <v>6.0</v>
      </c>
      <c r="F536" s="15" t="s">
        <v>8393</v>
      </c>
      <c r="G536" s="15" t="s">
        <v>9107</v>
      </c>
      <c r="H536" s="28"/>
      <c r="I536" s="28"/>
      <c r="J536" s="28"/>
    </row>
    <row r="537">
      <c r="A537" s="15" t="s">
        <v>10385</v>
      </c>
      <c r="B537" s="230">
        <v>3.0</v>
      </c>
      <c r="C537" s="230">
        <v>28.0</v>
      </c>
      <c r="D537" s="230">
        <v>2.0</v>
      </c>
      <c r="E537" s="230">
        <v>6.0</v>
      </c>
      <c r="F537" s="15" t="s">
        <v>8393</v>
      </c>
      <c r="G537" s="15" t="s">
        <v>9109</v>
      </c>
      <c r="H537" s="28"/>
      <c r="I537" s="28"/>
      <c r="J537" s="28"/>
    </row>
    <row r="538">
      <c r="A538" s="15" t="s">
        <v>10385</v>
      </c>
      <c r="B538" s="230">
        <v>3.0</v>
      </c>
      <c r="C538" s="230">
        <v>29.0</v>
      </c>
      <c r="D538" s="230">
        <v>2.0</v>
      </c>
      <c r="E538" s="230">
        <v>6.0</v>
      </c>
      <c r="F538" s="15" t="s">
        <v>8393</v>
      </c>
      <c r="G538" s="15" t="s">
        <v>9044</v>
      </c>
      <c r="H538" s="28"/>
      <c r="I538" s="28"/>
      <c r="J538" s="28"/>
    </row>
    <row r="539">
      <c r="A539" s="15" t="s">
        <v>10385</v>
      </c>
      <c r="B539" s="230">
        <v>3.0</v>
      </c>
      <c r="C539" s="230">
        <v>30.0</v>
      </c>
      <c r="D539" s="230">
        <v>2.0</v>
      </c>
      <c r="E539" s="230">
        <v>6.0</v>
      </c>
      <c r="F539" s="15" t="s">
        <v>8393</v>
      </c>
      <c r="G539" s="15" t="s">
        <v>9112</v>
      </c>
      <c r="H539" s="28"/>
      <c r="I539" s="28"/>
      <c r="J539" s="28"/>
    </row>
    <row r="540">
      <c r="A540" s="15" t="s">
        <v>10385</v>
      </c>
      <c r="B540" s="230">
        <v>3.0</v>
      </c>
      <c r="C540" s="230">
        <v>31.0</v>
      </c>
      <c r="D540" s="230">
        <v>2.0</v>
      </c>
      <c r="E540" s="230">
        <v>6.0</v>
      </c>
      <c r="F540" s="15" t="s">
        <v>8393</v>
      </c>
      <c r="G540" s="15" t="s">
        <v>9114</v>
      </c>
      <c r="H540" s="28"/>
      <c r="I540" s="28"/>
      <c r="J540" s="28"/>
    </row>
    <row r="541">
      <c r="A541" s="15" t="s">
        <v>10385</v>
      </c>
      <c r="B541" s="230">
        <v>3.0</v>
      </c>
      <c r="C541" s="230">
        <v>32.0</v>
      </c>
      <c r="D541" s="230">
        <v>2.0</v>
      </c>
      <c r="E541" s="230">
        <v>6.0</v>
      </c>
      <c r="F541" s="15" t="s">
        <v>8393</v>
      </c>
      <c r="G541" s="15" t="s">
        <v>9116</v>
      </c>
      <c r="H541" s="28"/>
      <c r="I541" s="28"/>
      <c r="J541" s="28"/>
    </row>
    <row r="542">
      <c r="A542" s="15" t="s">
        <v>10385</v>
      </c>
      <c r="B542" s="230">
        <v>3.0</v>
      </c>
      <c r="C542" s="230">
        <v>33.0</v>
      </c>
      <c r="D542" s="230">
        <v>2.0</v>
      </c>
      <c r="E542" s="230">
        <v>6.0</v>
      </c>
      <c r="F542" s="15" t="s">
        <v>8393</v>
      </c>
      <c r="G542" s="15" t="s">
        <v>9118</v>
      </c>
      <c r="H542" s="28"/>
      <c r="I542" s="28"/>
      <c r="J542" s="28"/>
    </row>
    <row r="543">
      <c r="A543" s="15" t="s">
        <v>10385</v>
      </c>
      <c r="B543" s="230">
        <v>3.0</v>
      </c>
      <c r="C543" s="230">
        <v>34.0</v>
      </c>
      <c r="D543" s="230">
        <v>2.0</v>
      </c>
      <c r="E543" s="230">
        <v>6.0</v>
      </c>
      <c r="F543" s="15" t="s">
        <v>8393</v>
      </c>
      <c r="G543" s="15" t="s">
        <v>8968</v>
      </c>
      <c r="H543" s="28"/>
      <c r="I543" s="28"/>
      <c r="J543" s="28"/>
    </row>
    <row r="544">
      <c r="A544" s="15" t="s">
        <v>10385</v>
      </c>
      <c r="B544" s="230">
        <v>3.0</v>
      </c>
      <c r="C544" s="230">
        <v>35.0</v>
      </c>
      <c r="D544" s="230">
        <v>2.0</v>
      </c>
      <c r="E544" s="230">
        <v>6.0</v>
      </c>
      <c r="F544" s="15" t="s">
        <v>8393</v>
      </c>
      <c r="G544" s="15" t="s">
        <v>8972</v>
      </c>
      <c r="H544" s="28"/>
      <c r="I544" s="28"/>
      <c r="J544" s="28"/>
    </row>
    <row r="545">
      <c r="A545" s="15" t="s">
        <v>10385</v>
      </c>
      <c r="B545" s="230">
        <v>3.0</v>
      </c>
      <c r="C545" s="230">
        <v>36.0</v>
      </c>
      <c r="D545" s="230">
        <v>2.0</v>
      </c>
      <c r="E545" s="230">
        <v>6.0</v>
      </c>
      <c r="F545" s="15" t="s">
        <v>8393</v>
      </c>
      <c r="G545" s="15" t="s">
        <v>8980</v>
      </c>
      <c r="H545" s="28"/>
      <c r="I545" s="28"/>
      <c r="J545" s="28"/>
    </row>
    <row r="546">
      <c r="A546" s="15" t="s">
        <v>10385</v>
      </c>
      <c r="B546" s="230">
        <v>3.0</v>
      </c>
      <c r="C546" s="230">
        <v>37.0</v>
      </c>
      <c r="D546" s="230">
        <v>2.0</v>
      </c>
      <c r="E546" s="230">
        <v>6.0</v>
      </c>
      <c r="F546" s="15" t="s">
        <v>8393</v>
      </c>
      <c r="G546" s="15" t="s">
        <v>9123</v>
      </c>
      <c r="H546" s="28"/>
      <c r="I546" s="28"/>
      <c r="J546" s="28"/>
    </row>
    <row r="547">
      <c r="A547" s="15" t="s">
        <v>10385</v>
      </c>
      <c r="B547" s="230">
        <v>3.0</v>
      </c>
      <c r="C547" s="230">
        <v>38.0</v>
      </c>
      <c r="D547" s="230">
        <v>2.0</v>
      </c>
      <c r="E547" s="230">
        <v>6.0</v>
      </c>
      <c r="F547" s="15" t="s">
        <v>8393</v>
      </c>
      <c r="G547" s="15" t="s">
        <v>9125</v>
      </c>
      <c r="H547" s="28"/>
      <c r="I547" s="28"/>
      <c r="J547" s="28"/>
    </row>
    <row r="548">
      <c r="A548" s="15" t="s">
        <v>10385</v>
      </c>
      <c r="B548" s="230">
        <v>3.0</v>
      </c>
      <c r="C548" s="230">
        <v>39.0</v>
      </c>
      <c r="D548" s="230">
        <v>2.0</v>
      </c>
      <c r="E548" s="230">
        <v>6.0</v>
      </c>
      <c r="F548" s="15" t="s">
        <v>8393</v>
      </c>
      <c r="G548" s="10" t="s">
        <v>9127</v>
      </c>
      <c r="H548" s="28"/>
      <c r="I548" s="28"/>
      <c r="J548" s="28"/>
    </row>
    <row r="549">
      <c r="A549" s="15" t="s">
        <v>10385</v>
      </c>
      <c r="B549" s="230">
        <v>3.0</v>
      </c>
      <c r="C549" s="230">
        <v>40.0</v>
      </c>
      <c r="D549" s="230">
        <v>2.0</v>
      </c>
      <c r="E549" s="230">
        <v>6.0</v>
      </c>
      <c r="F549" s="15" t="s">
        <v>8393</v>
      </c>
      <c r="G549" s="15" t="s">
        <v>9129</v>
      </c>
      <c r="H549" s="28"/>
      <c r="I549" s="28"/>
      <c r="J549" s="28"/>
    </row>
    <row r="550">
      <c r="A550" s="15" t="s">
        <v>10385</v>
      </c>
      <c r="B550" s="230">
        <v>3.0</v>
      </c>
      <c r="C550" s="230">
        <v>41.0</v>
      </c>
      <c r="D550" s="230">
        <v>2.0</v>
      </c>
      <c r="E550" s="230">
        <v>6.0</v>
      </c>
      <c r="F550" s="15" t="s">
        <v>8393</v>
      </c>
      <c r="G550" s="15" t="s">
        <v>9131</v>
      </c>
      <c r="H550" s="28"/>
      <c r="I550" s="28"/>
      <c r="J550" s="28"/>
    </row>
    <row r="551">
      <c r="A551" s="15" t="s">
        <v>10385</v>
      </c>
      <c r="B551" s="230">
        <v>3.0</v>
      </c>
      <c r="C551" s="230">
        <v>42.0</v>
      </c>
      <c r="D551" s="230">
        <v>2.0</v>
      </c>
      <c r="E551" s="230">
        <v>6.0</v>
      </c>
      <c r="F551" s="15" t="s">
        <v>8393</v>
      </c>
      <c r="G551" s="15" t="s">
        <v>9133</v>
      </c>
      <c r="H551" s="28"/>
      <c r="I551" s="28"/>
      <c r="J551" s="28"/>
    </row>
    <row r="552">
      <c r="A552" s="15" t="s">
        <v>10385</v>
      </c>
      <c r="B552" s="230">
        <v>3.0</v>
      </c>
      <c r="C552" s="230">
        <v>1.0</v>
      </c>
      <c r="D552" s="230">
        <v>2.0</v>
      </c>
      <c r="E552" s="230">
        <v>7.0</v>
      </c>
      <c r="F552" s="15" t="s">
        <v>8393</v>
      </c>
      <c r="G552" s="15" t="s">
        <v>8929</v>
      </c>
      <c r="H552" s="28"/>
      <c r="I552" s="28"/>
      <c r="J552" s="28"/>
    </row>
    <row r="553">
      <c r="A553" s="15" t="s">
        <v>10385</v>
      </c>
      <c r="B553" s="230">
        <v>3.0</v>
      </c>
      <c r="C553" s="230">
        <v>2.0</v>
      </c>
      <c r="D553" s="230">
        <v>2.0</v>
      </c>
      <c r="E553" s="230">
        <v>7.0</v>
      </c>
      <c r="F553" s="15" t="s">
        <v>8393</v>
      </c>
      <c r="G553" s="15" t="s">
        <v>8930</v>
      </c>
      <c r="H553" s="28"/>
      <c r="I553" s="28"/>
      <c r="J553" s="28"/>
    </row>
    <row r="554">
      <c r="A554" s="15" t="s">
        <v>10385</v>
      </c>
      <c r="B554" s="230">
        <v>3.0</v>
      </c>
      <c r="C554" s="230">
        <v>3.0</v>
      </c>
      <c r="D554" s="230">
        <v>2.0</v>
      </c>
      <c r="E554" s="230">
        <v>7.0</v>
      </c>
      <c r="F554" s="15" t="s">
        <v>8393</v>
      </c>
      <c r="G554" s="15" t="s">
        <v>8931</v>
      </c>
      <c r="H554" s="28"/>
      <c r="I554" s="28"/>
      <c r="J554" s="28"/>
    </row>
    <row r="555">
      <c r="A555" s="15" t="s">
        <v>10385</v>
      </c>
      <c r="B555" s="230">
        <v>3.0</v>
      </c>
      <c r="C555" s="230">
        <v>4.0</v>
      </c>
      <c r="D555" s="230">
        <v>2.0</v>
      </c>
      <c r="E555" s="230">
        <v>7.0</v>
      </c>
      <c r="F555" s="15" t="s">
        <v>8393</v>
      </c>
      <c r="G555" s="15" t="s">
        <v>8932</v>
      </c>
      <c r="H555" s="28"/>
      <c r="I555" s="28"/>
      <c r="J555" s="28"/>
    </row>
    <row r="556">
      <c r="A556" s="15" t="s">
        <v>10385</v>
      </c>
      <c r="B556" s="230">
        <v>3.0</v>
      </c>
      <c r="C556" s="230">
        <v>5.0</v>
      </c>
      <c r="D556" s="230">
        <v>2.0</v>
      </c>
      <c r="E556" s="230">
        <v>7.0</v>
      </c>
      <c r="F556" s="15" t="s">
        <v>8393</v>
      </c>
      <c r="G556" s="15" t="s">
        <v>8933</v>
      </c>
      <c r="H556" s="28"/>
      <c r="I556" s="28"/>
      <c r="J556" s="28"/>
    </row>
    <row r="557">
      <c r="A557" s="15" t="s">
        <v>10385</v>
      </c>
      <c r="B557" s="230">
        <v>3.0</v>
      </c>
      <c r="C557" s="230">
        <v>6.0</v>
      </c>
      <c r="D557" s="230">
        <v>2.0</v>
      </c>
      <c r="E557" s="230">
        <v>7.0</v>
      </c>
      <c r="F557" s="15" t="s">
        <v>8393</v>
      </c>
      <c r="G557" s="15" t="s">
        <v>8934</v>
      </c>
      <c r="H557" s="28"/>
      <c r="I557" s="28"/>
      <c r="J557" s="28"/>
    </row>
    <row r="558">
      <c r="A558" s="15" t="s">
        <v>10385</v>
      </c>
      <c r="B558" s="230">
        <v>3.0</v>
      </c>
      <c r="C558" s="230">
        <v>7.0</v>
      </c>
      <c r="D558" s="230">
        <v>2.0</v>
      </c>
      <c r="E558" s="230">
        <v>7.0</v>
      </c>
      <c r="F558" s="15" t="s">
        <v>8393</v>
      </c>
      <c r="G558" s="15" t="s">
        <v>8935</v>
      </c>
      <c r="H558" s="28"/>
      <c r="I558" s="28"/>
      <c r="J558" s="28"/>
    </row>
    <row r="559">
      <c r="A559" s="15" t="s">
        <v>10385</v>
      </c>
      <c r="B559" s="230">
        <v>3.0</v>
      </c>
      <c r="C559" s="230">
        <v>8.0</v>
      </c>
      <c r="D559" s="230">
        <v>2.0</v>
      </c>
      <c r="E559" s="230">
        <v>7.0</v>
      </c>
      <c r="F559" s="15" t="s">
        <v>8393</v>
      </c>
      <c r="G559" s="15" t="s">
        <v>8936</v>
      </c>
      <c r="H559" s="28"/>
      <c r="I559" s="28"/>
      <c r="J559" s="28"/>
    </row>
    <row r="560">
      <c r="A560" s="15" t="s">
        <v>10385</v>
      </c>
      <c r="B560" s="230">
        <v>3.0</v>
      </c>
      <c r="C560" s="230">
        <v>9.0</v>
      </c>
      <c r="D560" s="230">
        <v>2.0</v>
      </c>
      <c r="E560" s="230">
        <v>7.0</v>
      </c>
      <c r="F560" s="15" t="s">
        <v>8393</v>
      </c>
      <c r="G560" s="15" t="s">
        <v>8937</v>
      </c>
      <c r="H560" s="28"/>
      <c r="I560" s="28"/>
      <c r="J560" s="28"/>
    </row>
    <row r="561">
      <c r="A561" s="15" t="s">
        <v>10385</v>
      </c>
      <c r="B561" s="230">
        <v>3.0</v>
      </c>
      <c r="C561" s="230">
        <v>10.0</v>
      </c>
      <c r="D561" s="230">
        <v>2.0</v>
      </c>
      <c r="E561" s="230">
        <v>7.0</v>
      </c>
      <c r="F561" s="15" t="s">
        <v>8393</v>
      </c>
      <c r="G561" s="15" t="s">
        <v>8938</v>
      </c>
      <c r="H561" s="28"/>
      <c r="I561" s="28"/>
      <c r="J561" s="28"/>
    </row>
    <row r="562">
      <c r="A562" s="15" t="s">
        <v>10385</v>
      </c>
      <c r="B562" s="230">
        <v>3.0</v>
      </c>
      <c r="C562" s="230">
        <v>11.0</v>
      </c>
      <c r="D562" s="230">
        <v>2.0</v>
      </c>
      <c r="E562" s="230">
        <v>7.0</v>
      </c>
      <c r="F562" s="15" t="s">
        <v>8393</v>
      </c>
      <c r="G562" s="15" t="s">
        <v>9151</v>
      </c>
      <c r="H562" s="28"/>
      <c r="I562" s="28"/>
      <c r="J562" s="28"/>
    </row>
    <row r="563">
      <c r="A563" s="15" t="s">
        <v>10385</v>
      </c>
      <c r="B563" s="230">
        <v>3.0</v>
      </c>
      <c r="C563" s="230">
        <v>12.0</v>
      </c>
      <c r="D563" s="230">
        <v>2.0</v>
      </c>
      <c r="E563" s="230">
        <v>7.0</v>
      </c>
      <c r="F563" s="15" t="s">
        <v>8393</v>
      </c>
      <c r="G563" s="15" t="s">
        <v>8940</v>
      </c>
      <c r="H563" s="28"/>
      <c r="I563" s="28"/>
      <c r="J563" s="28"/>
    </row>
    <row r="564">
      <c r="A564" s="15" t="s">
        <v>10385</v>
      </c>
      <c r="B564" s="230">
        <v>3.0</v>
      </c>
      <c r="C564" s="230">
        <v>13.0</v>
      </c>
      <c r="D564" s="230">
        <v>2.0</v>
      </c>
      <c r="E564" s="230">
        <v>7.0</v>
      </c>
      <c r="F564" s="15" t="s">
        <v>8393</v>
      </c>
      <c r="G564" s="15" t="s">
        <v>8941</v>
      </c>
      <c r="H564" s="28"/>
      <c r="I564" s="28"/>
      <c r="J564" s="28"/>
    </row>
    <row r="565">
      <c r="A565" s="15" t="s">
        <v>10385</v>
      </c>
      <c r="B565" s="230">
        <v>3.0</v>
      </c>
      <c r="C565" s="230">
        <v>14.0</v>
      </c>
      <c r="D565" s="230">
        <v>2.0</v>
      </c>
      <c r="E565" s="230">
        <v>7.0</v>
      </c>
      <c r="F565" s="15" t="s">
        <v>8393</v>
      </c>
      <c r="G565" s="15" t="s">
        <v>8942</v>
      </c>
      <c r="H565" s="28"/>
      <c r="I565" s="28"/>
      <c r="J565" s="28"/>
    </row>
    <row r="566">
      <c r="A566" s="15" t="s">
        <v>10385</v>
      </c>
      <c r="B566" s="230">
        <v>3.0</v>
      </c>
      <c r="C566" s="230">
        <v>15.0</v>
      </c>
      <c r="D566" s="230">
        <v>2.0</v>
      </c>
      <c r="E566" s="230">
        <v>7.0</v>
      </c>
      <c r="F566" s="15" t="s">
        <v>8393</v>
      </c>
      <c r="G566" s="15" t="s">
        <v>8943</v>
      </c>
      <c r="H566" s="28"/>
      <c r="I566" s="28"/>
      <c r="J566" s="28"/>
    </row>
    <row r="567">
      <c r="A567" s="15" t="s">
        <v>10385</v>
      </c>
      <c r="B567" s="230">
        <v>3.0</v>
      </c>
      <c r="C567" s="230">
        <v>16.0</v>
      </c>
      <c r="D567" s="230">
        <v>2.0</v>
      </c>
      <c r="E567" s="230">
        <v>7.0</v>
      </c>
      <c r="F567" s="15" t="s">
        <v>8393</v>
      </c>
      <c r="G567" s="15" t="s">
        <v>8944</v>
      </c>
      <c r="H567" s="28"/>
      <c r="I567" s="28"/>
      <c r="J567" s="28"/>
    </row>
    <row r="568">
      <c r="A568" s="15" t="s">
        <v>10385</v>
      </c>
      <c r="B568" s="230">
        <v>3.0</v>
      </c>
      <c r="C568" s="230">
        <v>17.0</v>
      </c>
      <c r="D568" s="230">
        <v>2.0</v>
      </c>
      <c r="E568" s="230">
        <v>7.0</v>
      </c>
      <c r="F568" s="15" t="s">
        <v>8393</v>
      </c>
      <c r="G568" s="15" t="s">
        <v>8945</v>
      </c>
      <c r="H568" s="28"/>
      <c r="I568" s="28"/>
      <c r="J568" s="28"/>
    </row>
    <row r="569">
      <c r="A569" s="15" t="s">
        <v>10385</v>
      </c>
      <c r="B569" s="230">
        <v>3.0</v>
      </c>
      <c r="C569" s="230">
        <v>18.0</v>
      </c>
      <c r="D569" s="230">
        <v>2.0</v>
      </c>
      <c r="E569" s="230">
        <v>7.0</v>
      </c>
      <c r="F569" s="15" t="s">
        <v>8393</v>
      </c>
      <c r="G569" s="15" t="s">
        <v>8946</v>
      </c>
      <c r="H569" s="28"/>
      <c r="I569" s="28"/>
      <c r="J569" s="28"/>
    </row>
    <row r="570">
      <c r="A570" s="15" t="s">
        <v>10385</v>
      </c>
      <c r="B570" s="230">
        <v>3.0</v>
      </c>
      <c r="C570" s="230">
        <v>19.0</v>
      </c>
      <c r="D570" s="230">
        <v>2.0</v>
      </c>
      <c r="E570" s="230">
        <v>7.0</v>
      </c>
      <c r="F570" s="15" t="s">
        <v>8393</v>
      </c>
      <c r="G570" s="15" t="s">
        <v>8947</v>
      </c>
      <c r="H570" s="28"/>
      <c r="I570" s="28"/>
      <c r="J570" s="28"/>
    </row>
    <row r="571">
      <c r="A571" s="15" t="s">
        <v>10385</v>
      </c>
      <c r="B571" s="230">
        <v>3.0</v>
      </c>
      <c r="C571" s="230">
        <v>20.0</v>
      </c>
      <c r="D571" s="230">
        <v>2.0</v>
      </c>
      <c r="E571" s="230">
        <v>7.0</v>
      </c>
      <c r="F571" s="15" t="s">
        <v>8393</v>
      </c>
      <c r="G571" s="15" t="s">
        <v>8948</v>
      </c>
      <c r="H571" s="28"/>
      <c r="I571" s="28"/>
      <c r="J571" s="28"/>
    </row>
    <row r="572">
      <c r="A572" s="15" t="s">
        <v>10385</v>
      </c>
      <c r="B572" s="230">
        <v>3.0</v>
      </c>
      <c r="C572" s="230">
        <v>21.0</v>
      </c>
      <c r="D572" s="230">
        <v>2.0</v>
      </c>
      <c r="E572" s="230">
        <v>7.0</v>
      </c>
      <c r="F572" s="15" t="s">
        <v>8393</v>
      </c>
      <c r="G572" s="15" t="s">
        <v>8949</v>
      </c>
      <c r="H572" s="28"/>
      <c r="I572" s="28"/>
      <c r="J572" s="28"/>
    </row>
    <row r="573">
      <c r="A573" s="15" t="s">
        <v>10385</v>
      </c>
      <c r="B573" s="230">
        <v>3.0</v>
      </c>
      <c r="C573" s="230">
        <v>22.0</v>
      </c>
      <c r="D573" s="230">
        <v>2.0</v>
      </c>
      <c r="E573" s="230">
        <v>7.0</v>
      </c>
      <c r="F573" s="15" t="s">
        <v>8393</v>
      </c>
      <c r="G573" s="15" t="s">
        <v>8950</v>
      </c>
      <c r="H573" s="28"/>
      <c r="I573" s="28"/>
      <c r="J573" s="28"/>
    </row>
    <row r="574">
      <c r="A574" s="15" t="s">
        <v>10385</v>
      </c>
      <c r="B574" s="230">
        <v>3.0</v>
      </c>
      <c r="C574" s="230">
        <v>23.0</v>
      </c>
      <c r="D574" s="230">
        <v>2.0</v>
      </c>
      <c r="E574" s="230">
        <v>7.0</v>
      </c>
      <c r="F574" s="15" t="s">
        <v>8393</v>
      </c>
      <c r="G574" s="15" t="s">
        <v>8951</v>
      </c>
      <c r="H574" s="28"/>
      <c r="I574" s="28"/>
      <c r="J574" s="28"/>
    </row>
    <row r="575">
      <c r="A575" s="15" t="s">
        <v>10385</v>
      </c>
      <c r="B575" s="230">
        <v>3.0</v>
      </c>
      <c r="C575" s="230">
        <v>24.0</v>
      </c>
      <c r="D575" s="230">
        <v>2.0</v>
      </c>
      <c r="E575" s="230">
        <v>7.0</v>
      </c>
      <c r="F575" s="15" t="s">
        <v>8393</v>
      </c>
      <c r="G575" s="15" t="s">
        <v>8952</v>
      </c>
      <c r="H575" s="28"/>
      <c r="I575" s="28"/>
      <c r="J575" s="28"/>
    </row>
    <row r="576">
      <c r="A576" s="15" t="s">
        <v>10385</v>
      </c>
      <c r="B576" s="230">
        <v>3.0</v>
      </c>
      <c r="C576" s="230">
        <v>25.0</v>
      </c>
      <c r="D576" s="230">
        <v>2.0</v>
      </c>
      <c r="E576" s="230">
        <v>7.0</v>
      </c>
      <c r="F576" s="15" t="s">
        <v>8393</v>
      </c>
      <c r="G576" s="15" t="s">
        <v>8953</v>
      </c>
      <c r="H576" s="28"/>
      <c r="I576" s="28"/>
      <c r="J576" s="28"/>
    </row>
    <row r="577">
      <c r="A577" s="15" t="s">
        <v>10385</v>
      </c>
      <c r="B577" s="230">
        <v>3.0</v>
      </c>
      <c r="C577" s="230">
        <v>26.0</v>
      </c>
      <c r="D577" s="230">
        <v>2.0</v>
      </c>
      <c r="E577" s="230">
        <v>7.0</v>
      </c>
      <c r="F577" s="15" t="s">
        <v>8393</v>
      </c>
      <c r="G577" s="15" t="s">
        <v>8956</v>
      </c>
      <c r="H577" s="28"/>
      <c r="I577" s="28"/>
      <c r="J577" s="28"/>
    </row>
    <row r="578">
      <c r="A578" s="15" t="s">
        <v>10385</v>
      </c>
      <c r="B578" s="230">
        <v>3.0</v>
      </c>
      <c r="C578" s="230">
        <v>27.0</v>
      </c>
      <c r="D578" s="230">
        <v>2.0</v>
      </c>
      <c r="E578" s="230">
        <v>7.0</v>
      </c>
      <c r="F578" s="15" t="s">
        <v>8393</v>
      </c>
      <c r="G578" s="15" t="s">
        <v>9084</v>
      </c>
      <c r="H578" s="28"/>
      <c r="I578" s="28"/>
      <c r="J578" s="28"/>
    </row>
    <row r="579">
      <c r="A579" s="15" t="s">
        <v>10385</v>
      </c>
      <c r="B579" s="230">
        <v>3.0</v>
      </c>
      <c r="C579" s="230">
        <v>28.0</v>
      </c>
      <c r="D579" s="230">
        <v>2.0</v>
      </c>
      <c r="E579" s="230">
        <v>7.0</v>
      </c>
      <c r="F579" s="15" t="s">
        <v>8393</v>
      </c>
      <c r="G579" s="15" t="s">
        <v>9086</v>
      </c>
      <c r="H579" s="28"/>
      <c r="I579" s="28"/>
      <c r="J579" s="28"/>
    </row>
    <row r="580">
      <c r="A580" s="15" t="s">
        <v>10385</v>
      </c>
      <c r="B580" s="230">
        <v>3.0</v>
      </c>
      <c r="C580" s="230">
        <v>29.0</v>
      </c>
      <c r="D580" s="230">
        <v>2.0</v>
      </c>
      <c r="E580" s="230">
        <v>7.0</v>
      </c>
      <c r="F580" s="15" t="s">
        <v>8393</v>
      </c>
      <c r="G580" s="15" t="s">
        <v>9088</v>
      </c>
      <c r="H580" s="28"/>
      <c r="I580" s="28"/>
      <c r="J580" s="28"/>
    </row>
    <row r="581">
      <c r="A581" s="15" t="s">
        <v>10385</v>
      </c>
      <c r="B581" s="230">
        <v>3.0</v>
      </c>
      <c r="C581" s="230">
        <v>30.0</v>
      </c>
      <c r="D581" s="230">
        <v>2.0</v>
      </c>
      <c r="E581" s="230">
        <v>7.0</v>
      </c>
      <c r="F581" s="15" t="s">
        <v>8393</v>
      </c>
      <c r="G581" s="15" t="s">
        <v>9041</v>
      </c>
      <c r="H581" s="28"/>
      <c r="I581" s="28"/>
      <c r="J581" s="28"/>
    </row>
    <row r="582">
      <c r="A582" s="15" t="s">
        <v>10385</v>
      </c>
      <c r="B582" s="230">
        <v>3.0</v>
      </c>
      <c r="C582" s="230">
        <v>31.0</v>
      </c>
      <c r="D582" s="230">
        <v>2.0</v>
      </c>
      <c r="E582" s="230">
        <v>7.0</v>
      </c>
      <c r="F582" s="15" t="s">
        <v>8393</v>
      </c>
      <c r="G582" s="15" t="s">
        <v>8960</v>
      </c>
      <c r="H582" s="28"/>
      <c r="I582" s="28"/>
      <c r="J582" s="28"/>
    </row>
    <row r="583">
      <c r="A583" s="15" t="s">
        <v>10385</v>
      </c>
      <c r="B583" s="230">
        <v>3.0</v>
      </c>
      <c r="C583" s="230">
        <v>32.0</v>
      </c>
      <c r="D583" s="230">
        <v>2.0</v>
      </c>
      <c r="E583" s="230">
        <v>7.0</v>
      </c>
      <c r="F583" s="15" t="s">
        <v>8393</v>
      </c>
      <c r="G583" s="15" t="s">
        <v>9092</v>
      </c>
      <c r="H583" s="28"/>
      <c r="I583" s="28"/>
      <c r="J583" s="28"/>
    </row>
    <row r="584">
      <c r="A584" s="15" t="s">
        <v>10385</v>
      </c>
      <c r="B584" s="230">
        <v>3.0</v>
      </c>
      <c r="C584" s="230">
        <v>33.0</v>
      </c>
      <c r="D584" s="230">
        <v>2.0</v>
      </c>
      <c r="E584" s="230">
        <v>7.0</v>
      </c>
      <c r="F584" s="15" t="s">
        <v>8393</v>
      </c>
      <c r="G584" s="15" t="s">
        <v>8962</v>
      </c>
      <c r="H584" s="28"/>
      <c r="I584" s="28"/>
      <c r="J584" s="28"/>
    </row>
    <row r="585">
      <c r="A585" s="15" t="s">
        <v>10385</v>
      </c>
      <c r="B585" s="230">
        <v>3.0</v>
      </c>
      <c r="C585" s="230">
        <v>34.0</v>
      </c>
      <c r="D585" s="230">
        <v>2.0</v>
      </c>
      <c r="E585" s="230">
        <v>7.0</v>
      </c>
      <c r="F585" s="15" t="s">
        <v>8393</v>
      </c>
      <c r="G585" s="15" t="s">
        <v>8966</v>
      </c>
      <c r="H585" s="28"/>
      <c r="I585" s="28"/>
      <c r="J585" s="28"/>
    </row>
    <row r="586">
      <c r="A586" s="15" t="s">
        <v>10385</v>
      </c>
      <c r="B586" s="230">
        <v>3.0</v>
      </c>
      <c r="C586" s="230">
        <v>35.0</v>
      </c>
      <c r="D586" s="230">
        <v>2.0</v>
      </c>
      <c r="E586" s="230">
        <v>7.0</v>
      </c>
      <c r="F586" s="15" t="s">
        <v>8393</v>
      </c>
      <c r="G586" s="15" t="s">
        <v>8968</v>
      </c>
      <c r="H586" s="28"/>
      <c r="I586" s="28"/>
      <c r="J586" s="28"/>
    </row>
    <row r="587">
      <c r="A587" s="15" t="s">
        <v>10385</v>
      </c>
      <c r="B587" s="230">
        <v>3.0</v>
      </c>
      <c r="C587" s="230">
        <v>36.0</v>
      </c>
      <c r="D587" s="230">
        <v>2.0</v>
      </c>
      <c r="E587" s="230">
        <v>7.0</v>
      </c>
      <c r="F587" s="15" t="s">
        <v>8393</v>
      </c>
      <c r="G587" s="15" t="s">
        <v>8970</v>
      </c>
      <c r="H587" s="28"/>
      <c r="I587" s="28"/>
      <c r="J587" s="28"/>
    </row>
    <row r="588">
      <c r="A588" s="15" t="s">
        <v>10385</v>
      </c>
      <c r="B588" s="230">
        <v>3.0</v>
      </c>
      <c r="C588" s="230">
        <v>37.0</v>
      </c>
      <c r="D588" s="230">
        <v>2.0</v>
      </c>
      <c r="E588" s="230">
        <v>7.0</v>
      </c>
      <c r="F588" s="15" t="s">
        <v>8393</v>
      </c>
      <c r="G588" s="15" t="s">
        <v>8976</v>
      </c>
      <c r="H588" s="28"/>
      <c r="I588" s="28"/>
      <c r="J588" s="28"/>
    </row>
    <row r="589">
      <c r="A589" s="15" t="s">
        <v>10385</v>
      </c>
      <c r="B589" s="230">
        <v>3.0</v>
      </c>
      <c r="C589" s="230">
        <v>38.0</v>
      </c>
      <c r="D589" s="230">
        <v>2.0</v>
      </c>
      <c r="E589" s="230">
        <v>7.0</v>
      </c>
      <c r="F589" s="15" t="s">
        <v>8393</v>
      </c>
      <c r="G589" s="15" t="s">
        <v>8978</v>
      </c>
      <c r="H589" s="28"/>
      <c r="I589" s="28"/>
      <c r="J589" s="28"/>
    </row>
    <row r="590">
      <c r="A590" s="15" t="s">
        <v>10385</v>
      </c>
      <c r="B590" s="230">
        <v>3.0</v>
      </c>
      <c r="C590" s="230">
        <v>39.0</v>
      </c>
      <c r="D590" s="230">
        <v>2.0</v>
      </c>
      <c r="E590" s="230">
        <v>7.0</v>
      </c>
      <c r="F590" s="15" t="s">
        <v>8393</v>
      </c>
      <c r="G590" s="15" t="s">
        <v>8980</v>
      </c>
      <c r="H590" s="28"/>
      <c r="I590" s="28"/>
      <c r="J590" s="28"/>
    </row>
    <row r="591">
      <c r="A591" s="15" t="s">
        <v>10385</v>
      </c>
      <c r="B591" s="230">
        <v>3.0</v>
      </c>
      <c r="C591" s="230">
        <v>40.0</v>
      </c>
      <c r="D591" s="230">
        <v>2.0</v>
      </c>
      <c r="E591" s="230">
        <v>7.0</v>
      </c>
      <c r="F591" s="15" t="s">
        <v>8393</v>
      </c>
      <c r="G591" s="15" t="s">
        <v>8982</v>
      </c>
      <c r="H591" s="28"/>
      <c r="I591" s="28"/>
      <c r="J591" s="28"/>
    </row>
    <row r="592">
      <c r="A592" s="15" t="s">
        <v>10385</v>
      </c>
      <c r="B592" s="230">
        <v>3.0</v>
      </c>
      <c r="C592" s="230">
        <v>41.0</v>
      </c>
      <c r="D592" s="230">
        <v>2.0</v>
      </c>
      <c r="E592" s="230">
        <v>7.0</v>
      </c>
      <c r="F592" s="15" t="s">
        <v>8393</v>
      </c>
      <c r="G592" s="15" t="s">
        <v>9102</v>
      </c>
      <c r="H592" s="28"/>
      <c r="I592" s="28"/>
      <c r="J592" s="28"/>
    </row>
    <row r="593">
      <c r="A593" s="15" t="s">
        <v>10385</v>
      </c>
      <c r="B593" s="230">
        <v>3.0</v>
      </c>
      <c r="C593" s="230">
        <v>1.0</v>
      </c>
      <c r="D593" s="230">
        <v>2.0</v>
      </c>
      <c r="E593" s="230">
        <v>8.0</v>
      </c>
      <c r="F593" s="15" t="s">
        <v>8393</v>
      </c>
      <c r="G593" s="15" t="s">
        <v>9138</v>
      </c>
      <c r="H593" s="28"/>
      <c r="I593" s="28"/>
      <c r="J593" s="28"/>
    </row>
    <row r="594">
      <c r="A594" s="15" t="s">
        <v>10385</v>
      </c>
      <c r="B594" s="230">
        <v>3.0</v>
      </c>
      <c r="C594" s="230">
        <v>1.0</v>
      </c>
      <c r="D594" s="230">
        <v>2.0</v>
      </c>
      <c r="E594" s="230">
        <v>9.0</v>
      </c>
      <c r="F594" s="15" t="s">
        <v>8393</v>
      </c>
      <c r="G594" s="15" t="s">
        <v>8929</v>
      </c>
      <c r="H594" s="28"/>
      <c r="I594" s="28"/>
      <c r="J594" s="28"/>
    </row>
    <row r="595">
      <c r="A595" s="15" t="s">
        <v>10385</v>
      </c>
      <c r="B595" s="230">
        <v>3.0</v>
      </c>
      <c r="C595" s="230">
        <v>2.0</v>
      </c>
      <c r="D595" s="230">
        <v>2.0</v>
      </c>
      <c r="E595" s="230">
        <v>9.0</v>
      </c>
      <c r="F595" s="15" t="s">
        <v>8393</v>
      </c>
      <c r="G595" s="15" t="s">
        <v>8930</v>
      </c>
      <c r="H595" s="28"/>
      <c r="I595" s="28"/>
      <c r="J595" s="28"/>
    </row>
    <row r="596">
      <c r="A596" s="15" t="s">
        <v>10385</v>
      </c>
      <c r="B596" s="230">
        <v>3.0</v>
      </c>
      <c r="C596" s="230">
        <v>3.0</v>
      </c>
      <c r="D596" s="230">
        <v>2.0</v>
      </c>
      <c r="E596" s="230">
        <v>9.0</v>
      </c>
      <c r="F596" s="15" t="s">
        <v>8393</v>
      </c>
      <c r="G596" s="15" t="s">
        <v>8931</v>
      </c>
      <c r="H596" s="28"/>
      <c r="I596" s="28"/>
      <c r="J596" s="28"/>
    </row>
    <row r="597">
      <c r="A597" s="15" t="s">
        <v>10385</v>
      </c>
      <c r="B597" s="230">
        <v>3.0</v>
      </c>
      <c r="C597" s="230">
        <v>4.0</v>
      </c>
      <c r="D597" s="230">
        <v>2.0</v>
      </c>
      <c r="E597" s="230">
        <v>9.0</v>
      </c>
      <c r="F597" s="15" t="s">
        <v>8393</v>
      </c>
      <c r="G597" s="15" t="s">
        <v>8932</v>
      </c>
      <c r="H597" s="28"/>
      <c r="I597" s="28"/>
      <c r="J597" s="28"/>
    </row>
    <row r="598">
      <c r="A598" s="15" t="s">
        <v>10385</v>
      </c>
      <c r="B598" s="230">
        <v>3.0</v>
      </c>
      <c r="C598" s="230">
        <v>5.0</v>
      </c>
      <c r="D598" s="230">
        <v>2.0</v>
      </c>
      <c r="E598" s="230">
        <v>9.0</v>
      </c>
      <c r="F598" s="15" t="s">
        <v>8393</v>
      </c>
      <c r="G598" s="15" t="s">
        <v>8933</v>
      </c>
      <c r="H598" s="28"/>
      <c r="I598" s="28"/>
      <c r="J598" s="28"/>
    </row>
    <row r="599">
      <c r="A599" s="15" t="s">
        <v>10385</v>
      </c>
      <c r="B599" s="230">
        <v>3.0</v>
      </c>
      <c r="C599" s="230">
        <v>6.0</v>
      </c>
      <c r="D599" s="230">
        <v>2.0</v>
      </c>
      <c r="E599" s="230">
        <v>9.0</v>
      </c>
      <c r="F599" s="15" t="s">
        <v>8393</v>
      </c>
      <c r="G599" s="15" t="s">
        <v>8934</v>
      </c>
      <c r="H599" s="28"/>
      <c r="I599" s="28"/>
      <c r="J599" s="28"/>
    </row>
    <row r="600">
      <c r="A600" s="15" t="s">
        <v>10385</v>
      </c>
      <c r="B600" s="230">
        <v>3.0</v>
      </c>
      <c r="C600" s="230">
        <v>7.0</v>
      </c>
      <c r="D600" s="230">
        <v>2.0</v>
      </c>
      <c r="E600" s="230">
        <v>9.0</v>
      </c>
      <c r="F600" s="15" t="s">
        <v>8393</v>
      </c>
      <c r="G600" s="15" t="s">
        <v>8935</v>
      </c>
      <c r="H600" s="28"/>
      <c r="I600" s="28"/>
      <c r="J600" s="28"/>
    </row>
    <row r="601">
      <c r="A601" s="15" t="s">
        <v>10385</v>
      </c>
      <c r="B601" s="230">
        <v>3.0</v>
      </c>
      <c r="C601" s="230">
        <v>8.0</v>
      </c>
      <c r="D601" s="230">
        <v>2.0</v>
      </c>
      <c r="E601" s="230">
        <v>9.0</v>
      </c>
      <c r="F601" s="15" t="s">
        <v>8393</v>
      </c>
      <c r="G601" s="15" t="s">
        <v>8936</v>
      </c>
      <c r="H601" s="28"/>
      <c r="I601" s="28"/>
      <c r="J601" s="28"/>
    </row>
    <row r="602">
      <c r="A602" s="15" t="s">
        <v>10385</v>
      </c>
      <c r="B602" s="230">
        <v>3.0</v>
      </c>
      <c r="C602" s="230">
        <v>9.0</v>
      </c>
      <c r="D602" s="230">
        <v>2.0</v>
      </c>
      <c r="E602" s="230">
        <v>9.0</v>
      </c>
      <c r="F602" s="15" t="s">
        <v>8393</v>
      </c>
      <c r="G602" s="15" t="s">
        <v>8937</v>
      </c>
      <c r="H602" s="28"/>
      <c r="I602" s="28"/>
      <c r="J602" s="28"/>
    </row>
    <row r="603">
      <c r="A603" s="15" t="s">
        <v>10385</v>
      </c>
      <c r="B603" s="230">
        <v>3.0</v>
      </c>
      <c r="C603" s="230">
        <v>10.0</v>
      </c>
      <c r="D603" s="230">
        <v>2.0</v>
      </c>
      <c r="E603" s="230">
        <v>9.0</v>
      </c>
      <c r="F603" s="15" t="s">
        <v>8393</v>
      </c>
      <c r="G603" s="15" t="s">
        <v>8938</v>
      </c>
      <c r="H603" s="28"/>
      <c r="I603" s="28"/>
      <c r="J603" s="28"/>
    </row>
    <row r="604">
      <c r="A604" s="15" t="s">
        <v>10385</v>
      </c>
      <c r="B604" s="230">
        <v>3.0</v>
      </c>
      <c r="C604" s="230">
        <v>11.0</v>
      </c>
      <c r="D604" s="230">
        <v>2.0</v>
      </c>
      <c r="E604" s="230">
        <v>9.0</v>
      </c>
      <c r="F604" s="15" t="s">
        <v>8393</v>
      </c>
      <c r="G604" s="15" t="s">
        <v>9151</v>
      </c>
      <c r="H604" s="28"/>
      <c r="I604" s="28"/>
      <c r="J604" s="28"/>
    </row>
    <row r="605">
      <c r="A605" s="15" t="s">
        <v>10385</v>
      </c>
      <c r="B605" s="230">
        <v>3.0</v>
      </c>
      <c r="C605" s="230">
        <v>12.0</v>
      </c>
      <c r="D605" s="230">
        <v>2.0</v>
      </c>
      <c r="E605" s="230">
        <v>9.0</v>
      </c>
      <c r="F605" s="15" t="s">
        <v>8393</v>
      </c>
      <c r="G605" s="15" t="s">
        <v>8940</v>
      </c>
      <c r="H605" s="28"/>
      <c r="I605" s="28"/>
      <c r="J605" s="28"/>
    </row>
    <row r="606">
      <c r="A606" s="15" t="s">
        <v>10385</v>
      </c>
      <c r="B606" s="230">
        <v>3.0</v>
      </c>
      <c r="C606" s="230">
        <v>13.0</v>
      </c>
      <c r="D606" s="230">
        <v>2.0</v>
      </c>
      <c r="E606" s="230">
        <v>9.0</v>
      </c>
      <c r="F606" s="15" t="s">
        <v>8393</v>
      </c>
      <c r="G606" s="15" t="s">
        <v>8941</v>
      </c>
      <c r="H606" s="28"/>
      <c r="I606" s="28"/>
      <c r="J606" s="28"/>
    </row>
    <row r="607">
      <c r="A607" s="15" t="s">
        <v>10385</v>
      </c>
      <c r="B607" s="230">
        <v>3.0</v>
      </c>
      <c r="C607" s="230">
        <v>14.0</v>
      </c>
      <c r="D607" s="230">
        <v>2.0</v>
      </c>
      <c r="E607" s="230">
        <v>9.0</v>
      </c>
      <c r="F607" s="15" t="s">
        <v>8393</v>
      </c>
      <c r="G607" s="15" t="s">
        <v>8942</v>
      </c>
      <c r="H607" s="28"/>
      <c r="I607" s="28"/>
      <c r="J607" s="28"/>
    </row>
    <row r="608">
      <c r="A608" s="15" t="s">
        <v>10385</v>
      </c>
      <c r="B608" s="230">
        <v>3.0</v>
      </c>
      <c r="C608" s="230">
        <v>15.0</v>
      </c>
      <c r="D608" s="230">
        <v>2.0</v>
      </c>
      <c r="E608" s="230">
        <v>9.0</v>
      </c>
      <c r="F608" s="15" t="s">
        <v>8393</v>
      </c>
      <c r="G608" s="15" t="s">
        <v>8943</v>
      </c>
      <c r="H608" s="28"/>
      <c r="I608" s="28"/>
      <c r="J608" s="28"/>
    </row>
    <row r="609">
      <c r="A609" s="15" t="s">
        <v>10385</v>
      </c>
      <c r="B609" s="230">
        <v>3.0</v>
      </c>
      <c r="C609" s="230">
        <v>16.0</v>
      </c>
      <c r="D609" s="230">
        <v>2.0</v>
      </c>
      <c r="E609" s="230">
        <v>9.0</v>
      </c>
      <c r="F609" s="15" t="s">
        <v>8393</v>
      </c>
      <c r="G609" s="15" t="s">
        <v>8944</v>
      </c>
      <c r="H609" s="28"/>
      <c r="I609" s="28"/>
      <c r="J609" s="28"/>
    </row>
    <row r="610">
      <c r="A610" s="15" t="s">
        <v>10385</v>
      </c>
      <c r="B610" s="230">
        <v>3.0</v>
      </c>
      <c r="C610" s="230">
        <v>17.0</v>
      </c>
      <c r="D610" s="230">
        <v>2.0</v>
      </c>
      <c r="E610" s="230">
        <v>9.0</v>
      </c>
      <c r="F610" s="15" t="s">
        <v>8393</v>
      </c>
      <c r="G610" s="15" t="s">
        <v>8945</v>
      </c>
      <c r="H610" s="28"/>
      <c r="I610" s="28"/>
      <c r="J610" s="28"/>
    </row>
    <row r="611">
      <c r="A611" s="15" t="s">
        <v>10385</v>
      </c>
      <c r="B611" s="230">
        <v>3.0</v>
      </c>
      <c r="C611" s="230">
        <v>18.0</v>
      </c>
      <c r="D611" s="230">
        <v>2.0</v>
      </c>
      <c r="E611" s="230">
        <v>9.0</v>
      </c>
      <c r="F611" s="15" t="s">
        <v>8393</v>
      </c>
      <c r="G611" s="15" t="s">
        <v>8946</v>
      </c>
      <c r="H611" s="28"/>
      <c r="I611" s="28"/>
      <c r="J611" s="28"/>
    </row>
    <row r="612">
      <c r="A612" s="15" t="s">
        <v>10385</v>
      </c>
      <c r="B612" s="230">
        <v>3.0</v>
      </c>
      <c r="C612" s="230">
        <v>19.0</v>
      </c>
      <c r="D612" s="230">
        <v>2.0</v>
      </c>
      <c r="E612" s="230">
        <v>9.0</v>
      </c>
      <c r="F612" s="15" t="s">
        <v>8393</v>
      </c>
      <c r="G612" s="15" t="s">
        <v>8947</v>
      </c>
      <c r="H612" s="28"/>
      <c r="I612" s="28"/>
      <c r="J612" s="28"/>
    </row>
    <row r="613">
      <c r="A613" s="15" t="s">
        <v>10385</v>
      </c>
      <c r="B613" s="230">
        <v>3.0</v>
      </c>
      <c r="C613" s="230">
        <v>20.0</v>
      </c>
      <c r="D613" s="230">
        <v>2.0</v>
      </c>
      <c r="E613" s="230">
        <v>9.0</v>
      </c>
      <c r="F613" s="15" t="s">
        <v>8393</v>
      </c>
      <c r="G613" s="15" t="s">
        <v>8948</v>
      </c>
      <c r="H613" s="28"/>
      <c r="I613" s="28"/>
      <c r="J613" s="28"/>
    </row>
    <row r="614">
      <c r="A614" s="15" t="s">
        <v>10385</v>
      </c>
      <c r="B614" s="230">
        <v>3.0</v>
      </c>
      <c r="C614" s="230">
        <v>21.0</v>
      </c>
      <c r="D614" s="230">
        <v>2.0</v>
      </c>
      <c r="E614" s="230">
        <v>9.0</v>
      </c>
      <c r="F614" s="15" t="s">
        <v>8393</v>
      </c>
      <c r="G614" s="15" t="s">
        <v>8949</v>
      </c>
      <c r="H614" s="28"/>
      <c r="I614" s="28"/>
      <c r="J614" s="28"/>
    </row>
    <row r="615">
      <c r="A615" s="15" t="s">
        <v>10385</v>
      </c>
      <c r="B615" s="230">
        <v>3.0</v>
      </c>
      <c r="C615" s="230">
        <v>22.0</v>
      </c>
      <c r="D615" s="230">
        <v>2.0</v>
      </c>
      <c r="E615" s="230">
        <v>9.0</v>
      </c>
      <c r="F615" s="15" t="s">
        <v>8393</v>
      </c>
      <c r="G615" s="15" t="s">
        <v>8950</v>
      </c>
      <c r="H615" s="28"/>
      <c r="I615" s="28"/>
      <c r="J615" s="28"/>
    </row>
    <row r="616">
      <c r="A616" s="15" t="s">
        <v>10385</v>
      </c>
      <c r="B616" s="230">
        <v>3.0</v>
      </c>
      <c r="C616" s="230">
        <v>23.0</v>
      </c>
      <c r="D616" s="230">
        <v>2.0</v>
      </c>
      <c r="E616" s="230">
        <v>9.0</v>
      </c>
      <c r="F616" s="15" t="s">
        <v>8393</v>
      </c>
      <c r="G616" s="15" t="s">
        <v>8951</v>
      </c>
      <c r="H616" s="28"/>
      <c r="I616" s="28"/>
      <c r="J616" s="28"/>
    </row>
    <row r="617">
      <c r="A617" s="15" t="s">
        <v>10385</v>
      </c>
      <c r="B617" s="230">
        <v>3.0</v>
      </c>
      <c r="C617" s="230">
        <v>24.0</v>
      </c>
      <c r="D617" s="230">
        <v>2.0</v>
      </c>
      <c r="E617" s="230">
        <v>9.0</v>
      </c>
      <c r="F617" s="15" t="s">
        <v>8393</v>
      </c>
      <c r="G617" s="15" t="s">
        <v>8952</v>
      </c>
      <c r="H617" s="28"/>
      <c r="I617" s="28"/>
      <c r="J617" s="28"/>
    </row>
    <row r="618">
      <c r="A618" s="15" t="s">
        <v>10385</v>
      </c>
      <c r="B618" s="230">
        <v>3.0</v>
      </c>
      <c r="C618" s="230">
        <v>25.0</v>
      </c>
      <c r="D618" s="230">
        <v>2.0</v>
      </c>
      <c r="E618" s="230">
        <v>9.0</v>
      </c>
      <c r="F618" s="15" t="s">
        <v>8393</v>
      </c>
      <c r="G618" s="15" t="s">
        <v>8953</v>
      </c>
      <c r="H618" s="28"/>
      <c r="I618" s="28"/>
      <c r="J618" s="28"/>
    </row>
    <row r="619">
      <c r="A619" s="15" t="s">
        <v>10385</v>
      </c>
      <c r="B619" s="230">
        <v>3.0</v>
      </c>
      <c r="C619" s="230">
        <v>26.0</v>
      </c>
      <c r="D619" s="230">
        <v>2.0</v>
      </c>
      <c r="E619" s="230">
        <v>9.0</v>
      </c>
      <c r="F619" s="15" t="s">
        <v>8393</v>
      </c>
      <c r="G619" s="15" t="s">
        <v>8954</v>
      </c>
      <c r="H619" s="28"/>
      <c r="I619" s="28"/>
      <c r="J619" s="28"/>
    </row>
    <row r="620">
      <c r="A620" s="15" t="s">
        <v>10385</v>
      </c>
      <c r="B620" s="230">
        <v>3.0</v>
      </c>
      <c r="C620" s="230">
        <v>27.0</v>
      </c>
      <c r="D620" s="230">
        <v>2.0</v>
      </c>
      <c r="E620" s="230">
        <v>10.0</v>
      </c>
      <c r="F620" s="15" t="s">
        <v>8393</v>
      </c>
      <c r="G620" s="15" t="s">
        <v>9138</v>
      </c>
      <c r="H620" s="28"/>
      <c r="I620" s="28"/>
      <c r="J620" s="28"/>
    </row>
    <row r="621">
      <c r="A621" s="15"/>
      <c r="B621" s="15"/>
      <c r="C621" s="15"/>
      <c r="D621" s="15"/>
      <c r="E621" s="15"/>
      <c r="F621" s="15"/>
      <c r="G621" s="15"/>
      <c r="H621" s="28"/>
      <c r="I621" s="28"/>
      <c r="J621" s="28"/>
    </row>
    <row r="622">
      <c r="A622" s="15"/>
      <c r="B622" s="15"/>
      <c r="C622" s="15"/>
      <c r="D622" s="15"/>
      <c r="E622" s="15"/>
      <c r="F622" s="15"/>
      <c r="G622" s="15"/>
      <c r="H622" s="28"/>
      <c r="I622" s="28"/>
      <c r="J622" s="28"/>
    </row>
    <row r="623">
      <c r="A623" s="15"/>
      <c r="B623" s="15"/>
      <c r="C623" s="15"/>
      <c r="D623" s="15"/>
      <c r="E623" s="15"/>
      <c r="F623" s="15"/>
      <c r="G623" s="15"/>
      <c r="H623" s="28"/>
      <c r="I623" s="28"/>
      <c r="J623" s="28"/>
    </row>
    <row r="624">
      <c r="A624" s="15"/>
      <c r="B624" s="15"/>
      <c r="C624" s="15"/>
      <c r="D624" s="15"/>
      <c r="E624" s="15"/>
      <c r="F624" s="15"/>
      <c r="G624" s="15"/>
      <c r="H624" s="28"/>
      <c r="I624" s="28"/>
      <c r="J624" s="28"/>
    </row>
    <row r="625">
      <c r="A625" s="15"/>
      <c r="B625" s="15"/>
      <c r="C625" s="15"/>
      <c r="D625" s="15"/>
      <c r="E625" s="15"/>
      <c r="F625" s="15"/>
      <c r="G625" s="15"/>
      <c r="H625" s="28"/>
      <c r="I625" s="28"/>
      <c r="J625" s="28"/>
    </row>
    <row r="626">
      <c r="A626" s="15"/>
      <c r="B626" s="15"/>
      <c r="C626" s="15"/>
      <c r="D626" s="15"/>
      <c r="E626" s="15"/>
      <c r="F626" s="15"/>
      <c r="G626" s="15"/>
      <c r="H626" s="28"/>
      <c r="I626" s="28"/>
      <c r="J626" s="28"/>
    </row>
    <row r="627">
      <c r="A627" s="15"/>
      <c r="B627" s="15"/>
      <c r="C627" s="15"/>
      <c r="D627" s="15"/>
      <c r="E627" s="15"/>
      <c r="F627" s="15"/>
      <c r="G627" s="15"/>
      <c r="H627" s="28"/>
      <c r="I627" s="28"/>
      <c r="J627" s="28"/>
    </row>
    <row r="628">
      <c r="A628" s="15"/>
      <c r="B628" s="15"/>
      <c r="C628" s="15"/>
      <c r="D628" s="15"/>
      <c r="E628" s="15"/>
      <c r="F628" s="15"/>
      <c r="G628" s="15"/>
      <c r="H628" s="28"/>
      <c r="I628" s="28"/>
      <c r="J628" s="28"/>
    </row>
    <row r="629">
      <c r="A629" s="15"/>
      <c r="B629" s="15"/>
      <c r="C629" s="15"/>
      <c r="D629" s="15"/>
      <c r="E629" s="15"/>
      <c r="F629" s="15"/>
      <c r="G629" s="15"/>
      <c r="H629" s="28"/>
      <c r="I629" s="28"/>
      <c r="J629" s="28"/>
    </row>
    <row r="630">
      <c r="A630" s="15"/>
      <c r="B630" s="15"/>
      <c r="C630" s="15"/>
      <c r="D630" s="15"/>
      <c r="E630" s="15"/>
      <c r="F630" s="15"/>
      <c r="G630" s="15"/>
      <c r="H630" s="28"/>
      <c r="I630" s="28"/>
      <c r="J630" s="28"/>
    </row>
    <row r="631">
      <c r="A631" s="15"/>
      <c r="B631" s="15"/>
      <c r="C631" s="15"/>
      <c r="D631" s="15"/>
      <c r="E631" s="15"/>
      <c r="F631" s="15"/>
      <c r="G631" s="15"/>
      <c r="H631" s="28"/>
      <c r="I631" s="28"/>
      <c r="J631" s="28"/>
    </row>
    <row r="632">
      <c r="A632" s="15"/>
      <c r="B632" s="15"/>
      <c r="C632" s="15"/>
      <c r="D632" s="15"/>
      <c r="E632" s="15"/>
      <c r="F632" s="15"/>
      <c r="G632" s="15"/>
      <c r="H632" s="28"/>
      <c r="I632" s="28"/>
      <c r="J632" s="28"/>
    </row>
    <row r="633">
      <c r="A633" s="15"/>
      <c r="B633" s="15"/>
      <c r="C633" s="15"/>
      <c r="D633" s="15"/>
      <c r="E633" s="15"/>
      <c r="F633" s="15"/>
      <c r="G633" s="15"/>
      <c r="H633" s="28"/>
      <c r="I633" s="28"/>
      <c r="J633" s="28"/>
    </row>
    <row r="634">
      <c r="A634" s="15"/>
      <c r="B634" s="15"/>
      <c r="C634" s="15"/>
      <c r="D634" s="15"/>
      <c r="E634" s="15"/>
      <c r="F634" s="15"/>
      <c r="G634" s="15"/>
      <c r="H634" s="28"/>
      <c r="I634" s="28"/>
      <c r="J634" s="28"/>
    </row>
    <row r="635">
      <c r="A635" s="15"/>
      <c r="B635" s="15"/>
      <c r="C635" s="15"/>
      <c r="D635" s="15"/>
      <c r="E635" s="15"/>
      <c r="F635" s="15"/>
      <c r="G635" s="15"/>
      <c r="H635" s="28"/>
      <c r="I635" s="28"/>
      <c r="J635" s="28"/>
    </row>
    <row r="636">
      <c r="A636" s="15"/>
      <c r="B636" s="15"/>
      <c r="C636" s="15"/>
      <c r="D636" s="15"/>
      <c r="E636" s="15"/>
      <c r="F636" s="15"/>
      <c r="G636" s="15"/>
      <c r="H636" s="28"/>
      <c r="I636" s="28"/>
      <c r="J636" s="28"/>
    </row>
    <row r="637">
      <c r="A637" s="15"/>
      <c r="B637" s="15"/>
      <c r="C637" s="15"/>
      <c r="D637" s="15"/>
      <c r="E637" s="15"/>
      <c r="F637" s="15"/>
      <c r="G637" s="15"/>
      <c r="H637" s="28"/>
      <c r="I637" s="28"/>
      <c r="J637" s="28"/>
    </row>
    <row r="638">
      <c r="A638" s="15"/>
      <c r="B638" s="15"/>
      <c r="C638" s="15"/>
      <c r="D638" s="15"/>
      <c r="E638" s="15"/>
      <c r="F638" s="15"/>
      <c r="G638" s="15"/>
      <c r="H638" s="28"/>
      <c r="I638" s="28"/>
      <c r="J638" s="28"/>
    </row>
    <row r="639">
      <c r="A639" s="15"/>
      <c r="B639" s="15"/>
      <c r="C639" s="15"/>
      <c r="D639" s="15"/>
      <c r="E639" s="15"/>
      <c r="F639" s="15"/>
      <c r="G639" s="15"/>
      <c r="H639" s="28"/>
      <c r="I639" s="28"/>
      <c r="J639" s="28"/>
    </row>
    <row r="640">
      <c r="A640" s="15"/>
      <c r="B640" s="15"/>
      <c r="C640" s="15"/>
      <c r="D640" s="15"/>
      <c r="E640" s="15"/>
      <c r="F640" s="15"/>
      <c r="G640" s="15"/>
      <c r="H640" s="28"/>
      <c r="I640" s="28"/>
      <c r="J640" s="28"/>
    </row>
    <row r="641">
      <c r="A641" s="15"/>
      <c r="B641" s="15"/>
      <c r="C641" s="15"/>
      <c r="D641" s="15"/>
      <c r="E641" s="15"/>
      <c r="F641" s="15"/>
      <c r="G641" s="15"/>
      <c r="H641" s="28"/>
      <c r="I641" s="28"/>
      <c r="J641" s="28"/>
    </row>
    <row r="642">
      <c r="A642" s="15"/>
      <c r="B642" s="15"/>
      <c r="C642" s="15"/>
      <c r="D642" s="15"/>
      <c r="E642" s="15"/>
      <c r="F642" s="15"/>
      <c r="G642" s="15"/>
      <c r="H642" s="28"/>
      <c r="I642" s="28"/>
      <c r="J642" s="28"/>
    </row>
    <row r="643">
      <c r="A643" s="15"/>
      <c r="B643" s="15"/>
      <c r="C643" s="15"/>
      <c r="D643" s="15"/>
      <c r="E643" s="15"/>
      <c r="F643" s="15"/>
      <c r="G643" s="15"/>
      <c r="H643" s="28"/>
      <c r="I643" s="28"/>
      <c r="J643" s="28"/>
    </row>
    <row r="644">
      <c r="A644" s="15"/>
      <c r="B644" s="15"/>
      <c r="C644" s="15"/>
      <c r="D644" s="15"/>
      <c r="E644" s="15"/>
      <c r="F644" s="15"/>
      <c r="G644" s="15"/>
      <c r="H644" s="28"/>
      <c r="I644" s="28"/>
      <c r="J644" s="28"/>
    </row>
    <row r="645">
      <c r="A645" s="15"/>
      <c r="B645" s="15"/>
      <c r="C645" s="15"/>
      <c r="D645" s="15"/>
      <c r="E645" s="15"/>
      <c r="F645" s="15"/>
      <c r="G645" s="15"/>
      <c r="H645" s="28"/>
      <c r="I645" s="28"/>
      <c r="J645" s="28"/>
    </row>
    <row r="646">
      <c r="A646" s="15"/>
      <c r="B646" s="15"/>
      <c r="C646" s="15"/>
      <c r="D646" s="15"/>
      <c r="E646" s="15"/>
      <c r="F646" s="15"/>
      <c r="G646" s="15"/>
      <c r="H646" s="28"/>
      <c r="I646" s="28"/>
      <c r="J646" s="28"/>
    </row>
    <row r="647">
      <c r="A647" s="15"/>
      <c r="B647" s="15"/>
      <c r="C647" s="15"/>
      <c r="D647" s="15"/>
      <c r="E647" s="15"/>
      <c r="F647" s="15"/>
      <c r="G647" s="15"/>
      <c r="H647" s="28"/>
      <c r="I647" s="28"/>
      <c r="J647" s="28"/>
    </row>
    <row r="648">
      <c r="A648" s="15"/>
      <c r="B648" s="15"/>
      <c r="C648" s="15"/>
      <c r="D648" s="15"/>
      <c r="E648" s="15"/>
      <c r="F648" s="15"/>
      <c r="G648" s="15"/>
      <c r="H648" s="28"/>
      <c r="I648" s="28"/>
      <c r="J648" s="28"/>
    </row>
    <row r="649">
      <c r="A649" s="15"/>
      <c r="B649" s="15"/>
      <c r="C649" s="15"/>
      <c r="D649" s="15"/>
      <c r="E649" s="15"/>
      <c r="F649" s="15"/>
      <c r="G649" s="15"/>
      <c r="H649" s="28"/>
      <c r="I649" s="28"/>
      <c r="J649" s="28"/>
    </row>
    <row r="650">
      <c r="A650" s="15"/>
      <c r="B650" s="15"/>
      <c r="C650" s="15"/>
      <c r="D650" s="15"/>
      <c r="E650" s="15"/>
      <c r="F650" s="15"/>
      <c r="G650" s="15"/>
      <c r="H650" s="28"/>
      <c r="I650" s="28"/>
      <c r="J650" s="28"/>
    </row>
    <row r="651">
      <c r="A651" s="15"/>
      <c r="B651" s="15"/>
      <c r="C651" s="15"/>
      <c r="D651" s="15"/>
      <c r="E651" s="15"/>
      <c r="F651" s="15"/>
      <c r="G651" s="15"/>
      <c r="H651" s="28"/>
      <c r="I651" s="28"/>
      <c r="J651" s="28"/>
    </row>
    <row r="652">
      <c r="A652" s="15"/>
      <c r="B652" s="15"/>
      <c r="C652" s="15"/>
      <c r="D652" s="15"/>
      <c r="E652" s="15"/>
      <c r="F652" s="15"/>
      <c r="G652" s="15"/>
      <c r="H652" s="28"/>
      <c r="I652" s="28"/>
      <c r="J652" s="28"/>
    </row>
    <row r="653">
      <c r="A653" s="15"/>
      <c r="B653" s="15"/>
      <c r="C653" s="15"/>
      <c r="D653" s="15"/>
      <c r="E653" s="15"/>
      <c r="F653" s="15"/>
      <c r="G653" s="15"/>
      <c r="H653" s="28"/>
      <c r="I653" s="28"/>
      <c r="J653" s="28"/>
    </row>
    <row r="654">
      <c r="A654" s="15"/>
      <c r="B654" s="15"/>
      <c r="C654" s="15"/>
      <c r="D654" s="15"/>
      <c r="E654" s="15"/>
      <c r="F654" s="15"/>
      <c r="G654" s="15"/>
      <c r="H654" s="28"/>
      <c r="I654" s="28"/>
      <c r="J654" s="28"/>
    </row>
    <row r="655">
      <c r="A655" s="15"/>
      <c r="B655" s="15"/>
      <c r="C655" s="15"/>
      <c r="D655" s="15"/>
      <c r="E655" s="15"/>
      <c r="F655" s="15"/>
      <c r="G655" s="15"/>
      <c r="H655" s="28"/>
      <c r="I655" s="28"/>
      <c r="J655" s="28"/>
    </row>
    <row r="656">
      <c r="A656" s="15"/>
      <c r="B656" s="15"/>
      <c r="C656" s="15"/>
      <c r="D656" s="15"/>
      <c r="E656" s="15"/>
      <c r="F656" s="15"/>
      <c r="G656" s="15"/>
      <c r="H656" s="28"/>
      <c r="I656" s="28"/>
      <c r="J656" s="28"/>
    </row>
    <row r="657">
      <c r="A657" s="15"/>
      <c r="B657" s="15"/>
      <c r="C657" s="15"/>
      <c r="D657" s="15"/>
      <c r="E657" s="15"/>
      <c r="F657" s="15"/>
      <c r="G657" s="15"/>
      <c r="H657" s="28"/>
      <c r="I657" s="28"/>
      <c r="J657" s="28"/>
    </row>
    <row r="658">
      <c r="A658" s="15"/>
      <c r="B658" s="15"/>
      <c r="C658" s="15"/>
      <c r="D658" s="15"/>
      <c r="E658" s="15"/>
      <c r="F658" s="15"/>
      <c r="G658" s="15"/>
      <c r="H658" s="28"/>
      <c r="I658" s="28"/>
      <c r="J658" s="28"/>
    </row>
    <row r="659">
      <c r="A659" s="15"/>
      <c r="B659" s="15"/>
      <c r="C659" s="15"/>
      <c r="D659" s="15"/>
      <c r="E659" s="15"/>
      <c r="F659" s="15"/>
      <c r="G659" s="15"/>
      <c r="H659" s="28"/>
      <c r="I659" s="28"/>
      <c r="J659" s="28"/>
    </row>
    <row r="660">
      <c r="A660" s="15"/>
      <c r="B660" s="15"/>
      <c r="C660" s="15"/>
      <c r="D660" s="15"/>
      <c r="E660" s="15"/>
      <c r="F660" s="15"/>
      <c r="G660" s="15"/>
      <c r="H660" s="28"/>
      <c r="I660" s="28"/>
      <c r="J660" s="28"/>
    </row>
    <row r="661">
      <c r="A661" s="15"/>
      <c r="B661" s="15"/>
      <c r="C661" s="15"/>
      <c r="D661" s="15"/>
      <c r="E661" s="15"/>
      <c r="F661" s="15"/>
      <c r="G661" s="15"/>
      <c r="H661" s="28"/>
      <c r="I661" s="28"/>
      <c r="J661" s="28"/>
    </row>
    <row r="662">
      <c r="A662" s="15"/>
      <c r="B662" s="15"/>
      <c r="C662" s="15"/>
      <c r="D662" s="15"/>
      <c r="E662" s="15"/>
      <c r="F662" s="15"/>
      <c r="G662" s="15"/>
      <c r="H662" s="28"/>
      <c r="I662" s="28"/>
      <c r="J662" s="28"/>
    </row>
    <row r="663">
      <c r="A663" s="15"/>
      <c r="B663" s="15"/>
      <c r="C663" s="15"/>
      <c r="D663" s="15"/>
      <c r="E663" s="15"/>
      <c r="F663" s="15"/>
      <c r="G663" s="15"/>
      <c r="H663" s="28"/>
      <c r="I663" s="28"/>
      <c r="J663" s="28"/>
    </row>
    <row r="664">
      <c r="A664" s="15"/>
      <c r="B664" s="15"/>
      <c r="C664" s="15"/>
      <c r="D664" s="15"/>
      <c r="E664" s="15"/>
      <c r="F664" s="15"/>
      <c r="G664" s="15"/>
      <c r="H664" s="28"/>
      <c r="I664" s="28"/>
      <c r="J664" s="28"/>
    </row>
    <row r="665">
      <c r="A665" s="15"/>
      <c r="B665" s="15"/>
      <c r="C665" s="15"/>
      <c r="D665" s="15"/>
      <c r="E665" s="15"/>
      <c r="F665" s="15"/>
      <c r="G665" s="15"/>
      <c r="H665" s="28"/>
      <c r="I665" s="28"/>
      <c r="J665" s="28"/>
    </row>
    <row r="666">
      <c r="A666" s="15"/>
      <c r="B666" s="15"/>
      <c r="C666" s="15"/>
      <c r="D666" s="15"/>
      <c r="E666" s="15"/>
      <c r="F666" s="15"/>
      <c r="G666" s="15"/>
      <c r="H666" s="28"/>
      <c r="I666" s="28"/>
      <c r="J666" s="28"/>
    </row>
    <row r="667">
      <c r="A667" s="15"/>
      <c r="B667" s="15"/>
      <c r="C667" s="15"/>
      <c r="D667" s="15"/>
      <c r="E667" s="15"/>
      <c r="F667" s="15"/>
      <c r="G667" s="15"/>
      <c r="H667" s="28"/>
      <c r="I667" s="28"/>
      <c r="J667" s="28"/>
    </row>
    <row r="668">
      <c r="A668" s="15"/>
      <c r="B668" s="15"/>
      <c r="C668" s="15"/>
      <c r="D668" s="15"/>
      <c r="E668" s="15"/>
      <c r="F668" s="15"/>
      <c r="G668" s="15"/>
      <c r="H668" s="28"/>
      <c r="I668" s="28"/>
      <c r="J668" s="28"/>
    </row>
    <row r="669">
      <c r="A669" s="15"/>
      <c r="B669" s="15"/>
      <c r="C669" s="15"/>
      <c r="D669" s="15"/>
      <c r="E669" s="15"/>
      <c r="F669" s="15"/>
      <c r="G669" s="15"/>
      <c r="H669" s="28"/>
      <c r="I669" s="28"/>
      <c r="J669" s="28"/>
    </row>
    <row r="670">
      <c r="A670" s="15"/>
      <c r="B670" s="15"/>
      <c r="C670" s="15"/>
      <c r="D670" s="15"/>
      <c r="E670" s="15"/>
      <c r="F670" s="15"/>
      <c r="G670" s="15"/>
      <c r="H670" s="28"/>
      <c r="I670" s="28"/>
      <c r="J670" s="28"/>
    </row>
    <row r="671">
      <c r="A671" s="15"/>
      <c r="B671" s="15"/>
      <c r="C671" s="15"/>
      <c r="D671" s="15"/>
      <c r="E671" s="15"/>
      <c r="F671" s="15"/>
      <c r="G671" s="15"/>
      <c r="H671" s="28"/>
      <c r="I671" s="28"/>
      <c r="J671" s="28"/>
    </row>
    <row r="672">
      <c r="A672" s="15"/>
      <c r="B672" s="15"/>
      <c r="C672" s="15"/>
      <c r="D672" s="15"/>
      <c r="E672" s="15"/>
      <c r="F672" s="15"/>
      <c r="G672" s="15"/>
      <c r="H672" s="28"/>
      <c r="I672" s="28"/>
      <c r="J672" s="28"/>
    </row>
    <row r="673">
      <c r="A673" s="15"/>
      <c r="B673" s="15"/>
      <c r="C673" s="15"/>
      <c r="D673" s="15"/>
      <c r="E673" s="15"/>
      <c r="F673" s="15"/>
      <c r="G673" s="15"/>
      <c r="H673" s="28"/>
      <c r="I673" s="28"/>
      <c r="J673" s="28"/>
    </row>
    <row r="674">
      <c r="A674" s="15"/>
      <c r="B674" s="15"/>
      <c r="C674" s="15"/>
      <c r="D674" s="15"/>
      <c r="E674" s="15"/>
      <c r="F674" s="15"/>
      <c r="G674" s="15"/>
      <c r="H674" s="28"/>
      <c r="I674" s="28"/>
      <c r="J674" s="28"/>
    </row>
    <row r="675">
      <c r="A675" s="15"/>
      <c r="B675" s="15"/>
      <c r="C675" s="15"/>
      <c r="D675" s="15"/>
      <c r="E675" s="15"/>
      <c r="F675" s="15"/>
      <c r="G675" s="15"/>
      <c r="H675" s="28"/>
      <c r="I675" s="28"/>
      <c r="J675" s="28"/>
    </row>
    <row r="676">
      <c r="A676" s="15"/>
      <c r="B676" s="15"/>
      <c r="C676" s="15"/>
      <c r="D676" s="15"/>
      <c r="E676" s="15"/>
      <c r="F676" s="15"/>
      <c r="G676" s="15"/>
      <c r="H676" s="28"/>
      <c r="I676" s="28"/>
      <c r="J676" s="28"/>
    </row>
    <row r="677">
      <c r="A677" s="15"/>
      <c r="B677" s="15"/>
      <c r="C677" s="15"/>
      <c r="D677" s="15"/>
      <c r="E677" s="15"/>
      <c r="F677" s="15"/>
      <c r="G677" s="15"/>
      <c r="H677" s="28"/>
      <c r="I677" s="28"/>
      <c r="J677" s="28"/>
    </row>
    <row r="678">
      <c r="A678" s="15"/>
      <c r="B678" s="15"/>
      <c r="C678" s="15"/>
      <c r="D678" s="15"/>
      <c r="E678" s="15"/>
      <c r="F678" s="15"/>
      <c r="G678" s="15"/>
      <c r="H678" s="28"/>
      <c r="I678" s="28"/>
      <c r="J678" s="28"/>
    </row>
    <row r="679">
      <c r="A679" s="15"/>
      <c r="B679" s="15"/>
      <c r="C679" s="15"/>
      <c r="D679" s="15"/>
      <c r="E679" s="15"/>
      <c r="F679" s="15"/>
      <c r="G679" s="15"/>
      <c r="H679" s="28"/>
      <c r="I679" s="28"/>
      <c r="J679" s="28"/>
    </row>
    <row r="680">
      <c r="A680" s="15"/>
      <c r="B680" s="15"/>
      <c r="C680" s="15"/>
      <c r="D680" s="15"/>
      <c r="E680" s="15"/>
      <c r="F680" s="15"/>
      <c r="G680" s="15"/>
      <c r="H680" s="28"/>
      <c r="I680" s="28"/>
      <c r="J680" s="28"/>
    </row>
    <row r="681">
      <c r="A681" s="15"/>
      <c r="B681" s="15"/>
      <c r="C681" s="15"/>
      <c r="D681" s="15"/>
      <c r="E681" s="15"/>
      <c r="F681" s="15"/>
      <c r="G681" s="15"/>
      <c r="H681" s="28"/>
      <c r="I681" s="28"/>
      <c r="J681" s="28"/>
    </row>
    <row r="682">
      <c r="A682" s="15"/>
      <c r="B682" s="15"/>
      <c r="C682" s="15"/>
      <c r="D682" s="15"/>
      <c r="E682" s="15"/>
      <c r="F682" s="15"/>
      <c r="G682" s="15"/>
      <c r="H682" s="28"/>
      <c r="I682" s="28"/>
      <c r="J682" s="28"/>
    </row>
    <row r="683">
      <c r="A683" s="15"/>
      <c r="B683" s="15"/>
      <c r="C683" s="15"/>
      <c r="D683" s="15"/>
      <c r="E683" s="15"/>
      <c r="F683" s="15"/>
      <c r="G683" s="15"/>
      <c r="H683" s="28"/>
      <c r="I683" s="28"/>
      <c r="J683" s="28"/>
    </row>
    <row r="684">
      <c r="A684" s="15"/>
      <c r="B684" s="15"/>
      <c r="C684" s="15"/>
      <c r="D684" s="15"/>
      <c r="E684" s="15"/>
      <c r="F684" s="15"/>
      <c r="G684" s="15"/>
      <c r="H684" s="28"/>
      <c r="I684" s="28"/>
      <c r="J684" s="28"/>
    </row>
    <row r="685">
      <c r="A685" s="15"/>
      <c r="B685" s="15"/>
      <c r="C685" s="15"/>
      <c r="D685" s="15"/>
      <c r="E685" s="15"/>
      <c r="F685" s="15"/>
      <c r="G685" s="15"/>
      <c r="H685" s="28"/>
      <c r="I685" s="28"/>
      <c r="J685" s="28"/>
    </row>
    <row r="686">
      <c r="A686" s="15"/>
      <c r="B686" s="15"/>
      <c r="C686" s="15"/>
      <c r="D686" s="15"/>
      <c r="E686" s="15"/>
      <c r="F686" s="15"/>
      <c r="G686" s="15"/>
      <c r="H686" s="28"/>
      <c r="I686" s="28"/>
      <c r="J686" s="28"/>
    </row>
    <row r="687">
      <c r="A687" s="15"/>
      <c r="B687" s="15"/>
      <c r="C687" s="15"/>
      <c r="D687" s="15"/>
      <c r="E687" s="15"/>
      <c r="F687" s="15"/>
      <c r="G687" s="15"/>
      <c r="H687" s="28"/>
      <c r="I687" s="28"/>
      <c r="J687" s="28"/>
    </row>
    <row r="688">
      <c r="A688" s="15"/>
      <c r="B688" s="15"/>
      <c r="C688" s="15"/>
      <c r="D688" s="15"/>
      <c r="E688" s="15"/>
      <c r="F688" s="15"/>
      <c r="G688" s="15"/>
      <c r="H688" s="28"/>
      <c r="I688" s="28"/>
      <c r="J688" s="28"/>
    </row>
    <row r="689">
      <c r="A689" s="15"/>
      <c r="B689" s="15"/>
      <c r="C689" s="15"/>
      <c r="D689" s="15"/>
      <c r="E689" s="15"/>
      <c r="F689" s="15"/>
      <c r="G689" s="15"/>
      <c r="H689" s="28"/>
      <c r="I689" s="28"/>
      <c r="J689" s="28"/>
    </row>
    <row r="690">
      <c r="A690" s="15"/>
      <c r="B690" s="15"/>
      <c r="C690" s="15"/>
      <c r="D690" s="15"/>
      <c r="E690" s="15"/>
      <c r="F690" s="15"/>
      <c r="G690" s="15"/>
      <c r="H690" s="28"/>
      <c r="I690" s="28"/>
      <c r="J690" s="28"/>
    </row>
    <row r="691">
      <c r="A691" s="15"/>
      <c r="B691" s="15"/>
      <c r="C691" s="15"/>
      <c r="D691" s="15"/>
      <c r="E691" s="15"/>
      <c r="F691" s="15"/>
      <c r="G691" s="15"/>
      <c r="H691" s="28"/>
      <c r="I691" s="28"/>
      <c r="J691" s="28"/>
    </row>
    <row r="692">
      <c r="A692" s="15"/>
      <c r="B692" s="15"/>
      <c r="C692" s="15"/>
      <c r="D692" s="15"/>
      <c r="E692" s="15"/>
      <c r="F692" s="15"/>
      <c r="G692" s="15"/>
      <c r="H692" s="28"/>
      <c r="I692" s="28"/>
      <c r="J692" s="28"/>
    </row>
    <row r="693">
      <c r="A693" s="15"/>
      <c r="B693" s="15"/>
      <c r="C693" s="15"/>
      <c r="D693" s="15"/>
      <c r="E693" s="15"/>
      <c r="F693" s="15"/>
      <c r="G693" s="15"/>
      <c r="H693" s="28"/>
      <c r="I693" s="28"/>
      <c r="J693" s="28"/>
    </row>
    <row r="694">
      <c r="A694" s="15"/>
      <c r="B694" s="15"/>
      <c r="C694" s="15"/>
      <c r="D694" s="15"/>
      <c r="E694" s="15"/>
      <c r="F694" s="15"/>
      <c r="G694" s="15"/>
      <c r="H694" s="28"/>
      <c r="I694" s="28"/>
      <c r="J694" s="28"/>
    </row>
    <row r="695">
      <c r="A695" s="15"/>
      <c r="B695" s="15"/>
      <c r="C695" s="15"/>
      <c r="D695" s="15"/>
      <c r="E695" s="15"/>
      <c r="F695" s="15"/>
      <c r="G695" s="15"/>
      <c r="H695" s="28"/>
      <c r="I695" s="28"/>
      <c r="J695" s="28"/>
    </row>
    <row r="696">
      <c r="A696" s="15"/>
      <c r="B696" s="15"/>
      <c r="C696" s="15"/>
      <c r="D696" s="15"/>
      <c r="E696" s="15"/>
      <c r="F696" s="15"/>
      <c r="G696" s="15"/>
      <c r="H696" s="28"/>
      <c r="I696" s="28"/>
      <c r="J696" s="28"/>
    </row>
    <row r="697">
      <c r="A697" s="15"/>
      <c r="B697" s="15"/>
      <c r="C697" s="15"/>
      <c r="D697" s="15"/>
      <c r="E697" s="15"/>
      <c r="F697" s="15"/>
      <c r="G697" s="15"/>
      <c r="H697" s="28"/>
      <c r="I697" s="28"/>
      <c r="J697" s="28"/>
    </row>
    <row r="698">
      <c r="A698" s="15"/>
      <c r="B698" s="15"/>
      <c r="C698" s="15"/>
      <c r="D698" s="15"/>
      <c r="E698" s="15"/>
      <c r="F698" s="15"/>
      <c r="G698" s="15"/>
      <c r="H698" s="28"/>
      <c r="I698" s="28"/>
      <c r="J698" s="28"/>
    </row>
    <row r="699">
      <c r="A699" s="15"/>
      <c r="B699" s="15"/>
      <c r="C699" s="15"/>
      <c r="D699" s="15"/>
      <c r="E699" s="15"/>
      <c r="F699" s="15"/>
      <c r="G699" s="15"/>
      <c r="H699" s="28"/>
      <c r="I699" s="28"/>
      <c r="J699" s="28"/>
    </row>
    <row r="700">
      <c r="A700" s="15"/>
      <c r="B700" s="15"/>
      <c r="C700" s="15"/>
      <c r="D700" s="15"/>
      <c r="E700" s="15"/>
      <c r="F700" s="15"/>
      <c r="G700" s="15"/>
      <c r="H700" s="28"/>
      <c r="I700" s="28"/>
      <c r="J700" s="28"/>
    </row>
    <row r="701">
      <c r="A701" s="15"/>
      <c r="B701" s="15"/>
      <c r="C701" s="15"/>
      <c r="D701" s="15"/>
      <c r="E701" s="15"/>
      <c r="F701" s="15"/>
      <c r="G701" s="15"/>
      <c r="H701" s="28"/>
      <c r="I701" s="28"/>
      <c r="J701" s="28"/>
    </row>
    <row r="702">
      <c r="A702" s="15"/>
      <c r="B702" s="15"/>
      <c r="C702" s="15"/>
      <c r="D702" s="15"/>
      <c r="E702" s="15"/>
      <c r="F702" s="15"/>
      <c r="G702" s="15"/>
      <c r="H702" s="28"/>
      <c r="I702" s="28"/>
      <c r="J702" s="28"/>
    </row>
    <row r="703">
      <c r="A703" s="15"/>
      <c r="B703" s="15"/>
      <c r="C703" s="15"/>
      <c r="D703" s="15"/>
      <c r="E703" s="15"/>
      <c r="F703" s="15"/>
      <c r="G703" s="15"/>
      <c r="H703" s="28"/>
      <c r="I703" s="28"/>
      <c r="J703" s="28"/>
    </row>
    <row r="704">
      <c r="A704" s="15"/>
      <c r="B704" s="15"/>
      <c r="C704" s="15"/>
      <c r="D704" s="15"/>
      <c r="E704" s="15"/>
      <c r="F704" s="15"/>
      <c r="G704" s="15"/>
      <c r="H704" s="28"/>
      <c r="I704" s="28"/>
      <c r="J704" s="28"/>
    </row>
    <row r="705">
      <c r="A705" s="15"/>
      <c r="B705" s="15"/>
      <c r="C705" s="15"/>
      <c r="D705" s="15"/>
      <c r="E705" s="15"/>
      <c r="F705" s="15"/>
      <c r="G705" s="15"/>
      <c r="H705" s="28"/>
      <c r="I705" s="28"/>
      <c r="J705" s="28"/>
    </row>
    <row r="706">
      <c r="A706" s="15"/>
      <c r="B706" s="15"/>
      <c r="C706" s="15"/>
      <c r="D706" s="15"/>
      <c r="E706" s="15"/>
      <c r="F706" s="15"/>
      <c r="G706" s="15"/>
      <c r="H706" s="28"/>
      <c r="I706" s="28"/>
      <c r="J706" s="28"/>
    </row>
    <row r="707">
      <c r="A707" s="15"/>
      <c r="B707" s="15"/>
      <c r="C707" s="15"/>
      <c r="D707" s="15"/>
      <c r="E707" s="15"/>
      <c r="F707" s="15"/>
      <c r="G707" s="15"/>
      <c r="H707" s="28"/>
      <c r="I707" s="28"/>
      <c r="J707" s="28"/>
    </row>
    <row r="708">
      <c r="A708" s="15"/>
      <c r="B708" s="15"/>
      <c r="C708" s="15"/>
      <c r="D708" s="15"/>
      <c r="E708" s="15"/>
      <c r="F708" s="15"/>
      <c r="G708" s="15"/>
      <c r="H708" s="28"/>
      <c r="I708" s="28"/>
      <c r="J708" s="28"/>
    </row>
    <row r="709">
      <c r="A709" s="15"/>
      <c r="B709" s="15"/>
      <c r="C709" s="15"/>
      <c r="D709" s="15"/>
      <c r="E709" s="15"/>
      <c r="F709" s="15"/>
      <c r="G709" s="15"/>
      <c r="H709" s="28"/>
      <c r="I709" s="28"/>
      <c r="J709" s="28"/>
    </row>
    <row r="710">
      <c r="A710" s="15"/>
      <c r="B710" s="15"/>
      <c r="C710" s="15"/>
      <c r="D710" s="15"/>
      <c r="E710" s="15"/>
      <c r="F710" s="15"/>
      <c r="G710" s="15"/>
      <c r="H710" s="28"/>
      <c r="I710" s="28"/>
      <c r="J710" s="28"/>
    </row>
    <row r="711">
      <c r="A711" s="15"/>
      <c r="B711" s="15"/>
      <c r="C711" s="15"/>
      <c r="D711" s="15"/>
      <c r="E711" s="15"/>
      <c r="F711" s="15"/>
      <c r="G711" s="15"/>
      <c r="H711" s="28"/>
      <c r="I711" s="28"/>
      <c r="J711" s="28"/>
    </row>
    <row r="712">
      <c r="A712" s="15"/>
      <c r="B712" s="15"/>
      <c r="C712" s="15"/>
      <c r="D712" s="15"/>
      <c r="E712" s="15"/>
      <c r="F712" s="15"/>
      <c r="G712" s="15"/>
      <c r="H712" s="28"/>
      <c r="I712" s="28"/>
      <c r="J712" s="28"/>
    </row>
    <row r="713">
      <c r="A713" s="15"/>
      <c r="B713" s="15"/>
      <c r="C713" s="15"/>
      <c r="D713" s="15"/>
      <c r="E713" s="15"/>
      <c r="F713" s="15"/>
      <c r="G713" s="15"/>
      <c r="H713" s="28"/>
      <c r="I713" s="28"/>
      <c r="J713" s="28"/>
    </row>
    <row r="714">
      <c r="A714" s="15"/>
      <c r="B714" s="15"/>
      <c r="C714" s="15"/>
      <c r="D714" s="15"/>
      <c r="E714" s="15"/>
      <c r="F714" s="15"/>
      <c r="G714" s="15"/>
      <c r="H714" s="28"/>
      <c r="I714" s="28"/>
      <c r="J714" s="28"/>
    </row>
    <row r="715">
      <c r="A715" s="15"/>
      <c r="B715" s="15"/>
      <c r="C715" s="15"/>
      <c r="D715" s="15"/>
      <c r="E715" s="15"/>
      <c r="F715" s="15"/>
      <c r="G715" s="15"/>
      <c r="H715" s="28"/>
      <c r="I715" s="28"/>
      <c r="J715" s="28"/>
    </row>
    <row r="716">
      <c r="A716" s="15"/>
      <c r="B716" s="15"/>
      <c r="C716" s="15"/>
      <c r="D716" s="15"/>
      <c r="E716" s="15"/>
      <c r="F716" s="15"/>
      <c r="G716" s="15"/>
      <c r="H716" s="28"/>
      <c r="I716" s="28"/>
      <c r="J716" s="28"/>
    </row>
    <row r="717">
      <c r="A717" s="15"/>
      <c r="B717" s="15"/>
      <c r="C717" s="15"/>
      <c r="D717" s="15"/>
      <c r="E717" s="15"/>
      <c r="F717" s="15"/>
      <c r="G717" s="15"/>
      <c r="H717" s="28"/>
      <c r="I717" s="28"/>
      <c r="J717" s="28"/>
    </row>
    <row r="718">
      <c r="A718" s="15"/>
      <c r="B718" s="15"/>
      <c r="C718" s="15"/>
      <c r="D718" s="15"/>
      <c r="E718" s="15"/>
      <c r="F718" s="15"/>
      <c r="G718" s="15"/>
      <c r="H718" s="28"/>
      <c r="I718" s="28"/>
      <c r="J718" s="28"/>
    </row>
    <row r="719">
      <c r="A719" s="15"/>
      <c r="B719" s="15"/>
      <c r="C719" s="15"/>
      <c r="D719" s="15"/>
      <c r="E719" s="15"/>
      <c r="F719" s="15"/>
      <c r="G719" s="15"/>
      <c r="H719" s="28"/>
      <c r="I719" s="28"/>
      <c r="J719" s="28"/>
    </row>
    <row r="720">
      <c r="A720" s="15"/>
      <c r="B720" s="15"/>
      <c r="C720" s="15"/>
      <c r="D720" s="15"/>
      <c r="E720" s="15"/>
      <c r="F720" s="15"/>
      <c r="G720" s="15"/>
      <c r="H720" s="28"/>
      <c r="I720" s="28"/>
      <c r="J720" s="28"/>
    </row>
    <row r="721">
      <c r="A721" s="15"/>
      <c r="B721" s="15"/>
      <c r="C721" s="15"/>
      <c r="D721" s="15"/>
      <c r="E721" s="15"/>
      <c r="F721" s="15"/>
      <c r="G721" s="15"/>
      <c r="H721" s="28"/>
      <c r="I721" s="28"/>
      <c r="J721" s="28"/>
    </row>
    <row r="722">
      <c r="A722" s="15"/>
      <c r="B722" s="15"/>
      <c r="C722" s="15"/>
      <c r="D722" s="15"/>
      <c r="E722" s="15"/>
      <c r="F722" s="15"/>
      <c r="G722" s="15"/>
      <c r="H722" s="28"/>
      <c r="I722" s="28"/>
      <c r="J722" s="28"/>
    </row>
    <row r="723">
      <c r="A723" s="15"/>
      <c r="B723" s="15"/>
      <c r="C723" s="15"/>
      <c r="D723" s="15"/>
      <c r="E723" s="15"/>
      <c r="F723" s="15"/>
      <c r="G723" s="15"/>
      <c r="H723" s="28"/>
      <c r="I723" s="28"/>
      <c r="J723" s="28"/>
    </row>
    <row r="724">
      <c r="A724" s="15"/>
      <c r="B724" s="15"/>
      <c r="C724" s="15"/>
      <c r="D724" s="15"/>
      <c r="E724" s="15"/>
      <c r="F724" s="15"/>
      <c r="G724" s="15"/>
      <c r="H724" s="28"/>
      <c r="I724" s="28"/>
      <c r="J724" s="28"/>
    </row>
    <row r="725">
      <c r="A725" s="15"/>
      <c r="B725" s="15"/>
      <c r="C725" s="15"/>
      <c r="D725" s="15"/>
      <c r="E725" s="15"/>
      <c r="F725" s="15"/>
      <c r="G725" s="15"/>
      <c r="H725" s="28"/>
      <c r="I725" s="28"/>
      <c r="J725" s="28"/>
    </row>
    <row r="726">
      <c r="A726" s="15"/>
      <c r="B726" s="15"/>
      <c r="C726" s="15"/>
      <c r="D726" s="15"/>
      <c r="E726" s="15"/>
      <c r="F726" s="15"/>
      <c r="G726" s="15"/>
      <c r="H726" s="28"/>
      <c r="I726" s="28"/>
      <c r="J726" s="28"/>
    </row>
    <row r="727">
      <c r="A727" s="15"/>
      <c r="B727" s="15"/>
      <c r="C727" s="15"/>
      <c r="D727" s="15"/>
      <c r="E727" s="15"/>
      <c r="F727" s="15"/>
      <c r="G727" s="15"/>
      <c r="H727" s="28"/>
      <c r="I727" s="28"/>
      <c r="J727" s="28"/>
    </row>
    <row r="728">
      <c r="A728" s="15"/>
      <c r="B728" s="15"/>
      <c r="C728" s="15"/>
      <c r="D728" s="15"/>
      <c r="E728" s="15"/>
      <c r="F728" s="15"/>
      <c r="G728" s="15"/>
      <c r="H728" s="28"/>
      <c r="I728" s="28"/>
      <c r="J728" s="28"/>
    </row>
    <row r="729">
      <c r="A729" s="15"/>
      <c r="B729" s="15"/>
      <c r="C729" s="15"/>
      <c r="D729" s="15"/>
      <c r="E729" s="15"/>
      <c r="F729" s="15"/>
      <c r="G729" s="15"/>
      <c r="H729" s="28"/>
      <c r="I729" s="28"/>
      <c r="J729" s="28"/>
    </row>
    <row r="730">
      <c r="A730" s="15"/>
      <c r="B730" s="15"/>
      <c r="C730" s="15"/>
      <c r="D730" s="15"/>
      <c r="E730" s="15"/>
      <c r="F730" s="15"/>
      <c r="G730" s="15"/>
      <c r="H730" s="28"/>
      <c r="I730" s="28"/>
      <c r="J730" s="28"/>
    </row>
    <row r="731">
      <c r="A731" s="15"/>
      <c r="B731" s="15"/>
      <c r="C731" s="15"/>
      <c r="D731" s="15"/>
      <c r="E731" s="15"/>
      <c r="F731" s="15"/>
      <c r="G731" s="15"/>
      <c r="H731" s="28"/>
      <c r="I731" s="28"/>
      <c r="J731" s="28"/>
    </row>
    <row r="732">
      <c r="A732" s="15"/>
      <c r="B732" s="15"/>
      <c r="C732" s="15"/>
      <c r="D732" s="15"/>
      <c r="E732" s="15"/>
      <c r="F732" s="15"/>
      <c r="G732" s="15"/>
      <c r="H732" s="28"/>
      <c r="I732" s="28"/>
      <c r="J732" s="28"/>
    </row>
    <row r="733">
      <c r="A733" s="15"/>
      <c r="B733" s="15"/>
      <c r="C733" s="15"/>
      <c r="D733" s="15"/>
      <c r="E733" s="15"/>
      <c r="F733" s="15"/>
      <c r="G733" s="15"/>
      <c r="H733" s="28"/>
      <c r="I733" s="28"/>
      <c r="J733" s="28"/>
    </row>
    <row r="734">
      <c r="A734" s="15"/>
      <c r="B734" s="15"/>
      <c r="C734" s="15"/>
      <c r="D734" s="15"/>
      <c r="E734" s="15"/>
      <c r="F734" s="15"/>
      <c r="G734" s="15"/>
      <c r="H734" s="28"/>
      <c r="I734" s="28"/>
      <c r="J734" s="28"/>
    </row>
    <row r="735">
      <c r="A735" s="15"/>
      <c r="B735" s="15"/>
      <c r="C735" s="15"/>
      <c r="D735" s="15"/>
      <c r="E735" s="15"/>
      <c r="F735" s="15"/>
      <c r="G735" s="15"/>
      <c r="H735" s="28"/>
      <c r="I735" s="28"/>
      <c r="J735" s="28"/>
    </row>
    <row r="736">
      <c r="A736" s="15"/>
      <c r="B736" s="15"/>
      <c r="C736" s="15"/>
      <c r="D736" s="15"/>
      <c r="E736" s="15"/>
      <c r="F736" s="15"/>
      <c r="G736" s="15"/>
      <c r="H736" s="28"/>
      <c r="I736" s="28"/>
      <c r="J736" s="28"/>
    </row>
    <row r="737">
      <c r="A737" s="15"/>
      <c r="B737" s="15"/>
      <c r="C737" s="15"/>
      <c r="D737" s="15"/>
      <c r="E737" s="15"/>
      <c r="F737" s="15"/>
      <c r="G737" s="15"/>
      <c r="H737" s="28"/>
      <c r="I737" s="28"/>
      <c r="J737" s="28"/>
    </row>
    <row r="738">
      <c r="A738" s="15"/>
      <c r="B738" s="15"/>
      <c r="C738" s="15"/>
      <c r="D738" s="15"/>
      <c r="E738" s="15"/>
      <c r="F738" s="15"/>
      <c r="G738" s="15"/>
      <c r="H738" s="28"/>
      <c r="I738" s="28"/>
      <c r="J738" s="28"/>
    </row>
    <row r="739">
      <c r="A739" s="15"/>
      <c r="B739" s="15"/>
      <c r="C739" s="15"/>
      <c r="D739" s="15"/>
      <c r="E739" s="15"/>
      <c r="F739" s="15"/>
      <c r="G739" s="15"/>
      <c r="H739" s="28"/>
      <c r="I739" s="28"/>
      <c r="J739" s="28"/>
    </row>
    <row r="740">
      <c r="A740" s="15"/>
      <c r="B740" s="15"/>
      <c r="C740" s="15"/>
      <c r="D740" s="15"/>
      <c r="E740" s="15"/>
      <c r="F740" s="15"/>
      <c r="G740" s="15"/>
      <c r="H740" s="28"/>
      <c r="I740" s="28"/>
      <c r="J740" s="28"/>
    </row>
    <row r="741">
      <c r="A741" s="15"/>
      <c r="B741" s="15"/>
      <c r="C741" s="15"/>
      <c r="D741" s="15"/>
      <c r="E741" s="15"/>
      <c r="F741" s="15"/>
      <c r="G741" s="15"/>
      <c r="H741" s="28"/>
      <c r="I741" s="28"/>
      <c r="J741" s="28"/>
    </row>
    <row r="742">
      <c r="A742" s="15"/>
      <c r="B742" s="15"/>
      <c r="C742" s="15"/>
      <c r="D742" s="15"/>
      <c r="E742" s="15"/>
      <c r="F742" s="15"/>
      <c r="G742" s="15"/>
      <c r="H742" s="28"/>
      <c r="I742" s="28"/>
      <c r="J742" s="28"/>
    </row>
    <row r="743">
      <c r="A743" s="15"/>
      <c r="B743" s="15"/>
      <c r="C743" s="15"/>
      <c r="D743" s="15"/>
      <c r="E743" s="15"/>
      <c r="F743" s="15"/>
      <c r="G743" s="15"/>
      <c r="H743" s="28"/>
      <c r="I743" s="28"/>
      <c r="J743" s="28"/>
    </row>
    <row r="744">
      <c r="A744" s="15"/>
      <c r="B744" s="15"/>
      <c r="C744" s="15"/>
      <c r="D744" s="15"/>
      <c r="E744" s="15"/>
      <c r="F744" s="15"/>
      <c r="G744" s="15"/>
      <c r="H744" s="28"/>
      <c r="I744" s="28"/>
      <c r="J744" s="28"/>
    </row>
    <row r="745">
      <c r="A745" s="15"/>
      <c r="B745" s="15"/>
      <c r="C745" s="15"/>
      <c r="D745" s="15"/>
      <c r="E745" s="15"/>
      <c r="F745" s="15"/>
      <c r="G745" s="15"/>
      <c r="H745" s="28"/>
      <c r="I745" s="28"/>
      <c r="J745" s="28"/>
    </row>
    <row r="746">
      <c r="A746" s="15"/>
      <c r="B746" s="15"/>
      <c r="C746" s="15"/>
      <c r="D746" s="15"/>
      <c r="E746" s="15"/>
      <c r="F746" s="15"/>
      <c r="G746" s="15"/>
      <c r="H746" s="28"/>
      <c r="I746" s="28"/>
      <c r="J746" s="28"/>
    </row>
    <row r="747">
      <c r="A747" s="15"/>
      <c r="B747" s="15"/>
      <c r="C747" s="15"/>
      <c r="D747" s="15"/>
      <c r="E747" s="15"/>
      <c r="F747" s="15"/>
      <c r="G747" s="15"/>
      <c r="H747" s="28"/>
      <c r="I747" s="28"/>
      <c r="J747" s="28"/>
    </row>
    <row r="748">
      <c r="A748" s="15"/>
      <c r="B748" s="15"/>
      <c r="C748" s="15"/>
      <c r="D748" s="15"/>
      <c r="E748" s="15"/>
      <c r="F748" s="15"/>
      <c r="G748" s="15"/>
      <c r="H748" s="28"/>
      <c r="I748" s="28"/>
      <c r="J748" s="28"/>
    </row>
    <row r="749">
      <c r="A749" s="15"/>
      <c r="B749" s="15"/>
      <c r="C749" s="15"/>
      <c r="D749" s="15"/>
      <c r="E749" s="15"/>
      <c r="F749" s="15"/>
      <c r="G749" s="15"/>
      <c r="H749" s="28"/>
      <c r="I749" s="28"/>
      <c r="J749" s="28"/>
    </row>
    <row r="750">
      <c r="A750" s="15"/>
      <c r="B750" s="15"/>
      <c r="C750" s="15"/>
      <c r="D750" s="15"/>
      <c r="E750" s="15"/>
      <c r="F750" s="15"/>
      <c r="G750" s="15"/>
      <c r="H750" s="28"/>
      <c r="I750" s="28"/>
      <c r="J750" s="28"/>
    </row>
    <row r="751">
      <c r="A751" s="15"/>
      <c r="B751" s="15"/>
      <c r="C751" s="15"/>
      <c r="D751" s="15"/>
      <c r="E751" s="15"/>
      <c r="F751" s="15"/>
      <c r="G751" s="15"/>
      <c r="H751" s="28"/>
      <c r="I751" s="28"/>
      <c r="J751" s="28"/>
    </row>
    <row r="752">
      <c r="A752" s="15"/>
      <c r="B752" s="15"/>
      <c r="C752" s="15"/>
      <c r="D752" s="15"/>
      <c r="E752" s="15"/>
      <c r="F752" s="15"/>
      <c r="G752" s="15"/>
      <c r="H752" s="28"/>
      <c r="I752" s="28"/>
      <c r="J752" s="28"/>
    </row>
    <row r="753">
      <c r="A753" s="15"/>
      <c r="B753" s="15"/>
      <c r="C753" s="15"/>
      <c r="D753" s="15"/>
      <c r="E753" s="15"/>
      <c r="F753" s="15"/>
      <c r="G753" s="15"/>
      <c r="H753" s="28"/>
      <c r="I753" s="28"/>
      <c r="J753" s="28"/>
    </row>
    <row r="754">
      <c r="A754" s="15"/>
      <c r="B754" s="15"/>
      <c r="C754" s="15"/>
      <c r="D754" s="15"/>
      <c r="E754" s="15"/>
      <c r="F754" s="15"/>
      <c r="G754" s="15"/>
      <c r="H754" s="28"/>
      <c r="I754" s="28"/>
      <c r="J754" s="28"/>
    </row>
    <row r="755">
      <c r="A755" s="15"/>
      <c r="B755" s="15"/>
      <c r="C755" s="15"/>
      <c r="D755" s="15"/>
      <c r="E755" s="15"/>
      <c r="F755" s="15"/>
      <c r="G755" s="15"/>
      <c r="H755" s="28"/>
      <c r="I755" s="28"/>
      <c r="J755" s="28"/>
    </row>
    <row r="756">
      <c r="A756" s="15"/>
      <c r="B756" s="15"/>
      <c r="C756" s="15"/>
      <c r="D756" s="15"/>
      <c r="E756" s="15"/>
      <c r="F756" s="15"/>
      <c r="G756" s="15"/>
      <c r="H756" s="28"/>
      <c r="I756" s="28"/>
      <c r="J756" s="28"/>
    </row>
    <row r="757">
      <c r="A757" s="15"/>
      <c r="B757" s="15"/>
      <c r="C757" s="15"/>
      <c r="D757" s="15"/>
      <c r="E757" s="15"/>
      <c r="F757" s="15"/>
      <c r="G757" s="15"/>
      <c r="H757" s="28"/>
      <c r="I757" s="28"/>
      <c r="J757" s="28"/>
    </row>
    <row r="758">
      <c r="A758" s="15"/>
      <c r="B758" s="15"/>
      <c r="C758" s="15"/>
      <c r="D758" s="15"/>
      <c r="E758" s="15"/>
      <c r="F758" s="15"/>
      <c r="G758" s="15"/>
      <c r="H758" s="28"/>
      <c r="I758" s="28"/>
      <c r="J758" s="28"/>
    </row>
    <row r="759">
      <c r="A759" s="15"/>
      <c r="B759" s="15"/>
      <c r="C759" s="15"/>
      <c r="D759" s="15"/>
      <c r="E759" s="15"/>
      <c r="F759" s="15"/>
      <c r="G759" s="15"/>
      <c r="H759" s="28"/>
      <c r="I759" s="28"/>
      <c r="J759" s="28"/>
    </row>
    <row r="760">
      <c r="A760" s="15"/>
      <c r="B760" s="15"/>
      <c r="C760" s="15"/>
      <c r="D760" s="15"/>
      <c r="E760" s="15"/>
      <c r="F760" s="15"/>
      <c r="G760" s="15"/>
      <c r="H760" s="28"/>
      <c r="I760" s="28"/>
      <c r="J760" s="28"/>
    </row>
    <row r="761">
      <c r="A761" s="15"/>
      <c r="B761" s="15"/>
      <c r="C761" s="15"/>
      <c r="D761" s="15"/>
      <c r="E761" s="15"/>
      <c r="F761" s="15"/>
      <c r="G761" s="15"/>
      <c r="H761" s="28"/>
      <c r="I761" s="28"/>
      <c r="J761" s="28"/>
    </row>
    <row r="762">
      <c r="A762" s="15"/>
      <c r="B762" s="15"/>
      <c r="C762" s="15"/>
      <c r="D762" s="15"/>
      <c r="E762" s="15"/>
      <c r="F762" s="15"/>
      <c r="G762" s="15"/>
      <c r="H762" s="28"/>
      <c r="I762" s="28"/>
      <c r="J762" s="28"/>
    </row>
    <row r="763">
      <c r="A763" s="15"/>
      <c r="B763" s="15"/>
      <c r="C763" s="15"/>
      <c r="D763" s="15"/>
      <c r="E763" s="15"/>
      <c r="F763" s="15"/>
      <c r="G763" s="15"/>
      <c r="H763" s="28"/>
      <c r="I763" s="28"/>
      <c r="J763" s="28"/>
    </row>
    <row r="764">
      <c r="A764" s="15"/>
      <c r="B764" s="15"/>
      <c r="C764" s="15"/>
      <c r="D764" s="15"/>
      <c r="E764" s="15"/>
      <c r="F764" s="15"/>
      <c r="G764" s="15"/>
      <c r="H764" s="28"/>
      <c r="I764" s="28"/>
      <c r="J764" s="28"/>
    </row>
    <row r="765">
      <c r="A765" s="15"/>
      <c r="B765" s="15"/>
      <c r="C765" s="15"/>
      <c r="D765" s="15"/>
      <c r="E765" s="15"/>
      <c r="F765" s="15"/>
      <c r="G765" s="15"/>
      <c r="H765" s="28"/>
      <c r="I765" s="28"/>
      <c r="J765" s="28"/>
    </row>
    <row r="766">
      <c r="A766" s="15"/>
      <c r="B766" s="15"/>
      <c r="C766" s="15"/>
      <c r="D766" s="15"/>
      <c r="E766" s="15"/>
      <c r="F766" s="15"/>
      <c r="G766" s="15"/>
      <c r="H766" s="28"/>
      <c r="I766" s="28"/>
      <c r="J766" s="28"/>
    </row>
    <row r="767">
      <c r="A767" s="15"/>
      <c r="B767" s="15"/>
      <c r="C767" s="15"/>
      <c r="D767" s="15"/>
      <c r="E767" s="15"/>
      <c r="F767" s="15"/>
      <c r="G767" s="15"/>
      <c r="H767" s="28"/>
      <c r="I767" s="28"/>
      <c r="J767" s="28"/>
    </row>
    <row r="768">
      <c r="A768" s="15"/>
      <c r="B768" s="15"/>
      <c r="C768" s="15"/>
      <c r="D768" s="15"/>
      <c r="E768" s="15"/>
      <c r="F768" s="15"/>
      <c r="G768" s="15"/>
      <c r="H768" s="28"/>
      <c r="I768" s="28"/>
      <c r="J768" s="28"/>
    </row>
    <row r="769">
      <c r="A769" s="15"/>
      <c r="B769" s="15"/>
      <c r="C769" s="15"/>
      <c r="D769" s="15"/>
      <c r="E769" s="15"/>
      <c r="F769" s="15"/>
      <c r="G769" s="15"/>
      <c r="H769" s="28"/>
      <c r="I769" s="28"/>
      <c r="J769" s="28"/>
    </row>
    <row r="770">
      <c r="A770" s="15"/>
      <c r="B770" s="15"/>
      <c r="C770" s="15"/>
      <c r="D770" s="15"/>
      <c r="E770" s="15"/>
      <c r="F770" s="15"/>
      <c r="G770" s="15"/>
      <c r="H770" s="28"/>
      <c r="I770" s="28"/>
      <c r="J770" s="28"/>
    </row>
    <row r="771">
      <c r="A771" s="15"/>
      <c r="B771" s="15"/>
      <c r="C771" s="15"/>
      <c r="D771" s="15"/>
      <c r="E771" s="15"/>
      <c r="F771" s="15"/>
      <c r="G771" s="15"/>
      <c r="H771" s="28"/>
      <c r="I771" s="28"/>
      <c r="J771" s="28"/>
    </row>
    <row r="772">
      <c r="A772" s="15"/>
      <c r="B772" s="15"/>
      <c r="C772" s="15"/>
      <c r="D772" s="15"/>
      <c r="E772" s="15"/>
      <c r="F772" s="15"/>
      <c r="G772" s="15"/>
      <c r="H772" s="28"/>
      <c r="I772" s="28"/>
      <c r="J772" s="28"/>
    </row>
    <row r="773">
      <c r="A773" s="15"/>
      <c r="B773" s="15"/>
      <c r="C773" s="15"/>
      <c r="D773" s="15"/>
      <c r="E773" s="15"/>
      <c r="F773" s="15"/>
      <c r="G773" s="15"/>
      <c r="H773" s="28"/>
      <c r="I773" s="28"/>
      <c r="J773" s="28"/>
    </row>
    <row r="774">
      <c r="A774" s="15"/>
      <c r="B774" s="15"/>
      <c r="C774" s="15"/>
      <c r="D774" s="15"/>
      <c r="E774" s="15"/>
      <c r="F774" s="15"/>
      <c r="G774" s="15"/>
      <c r="H774" s="28"/>
      <c r="I774" s="28"/>
      <c r="J774" s="28"/>
    </row>
    <row r="775">
      <c r="A775" s="15"/>
      <c r="B775" s="15"/>
      <c r="C775" s="15"/>
      <c r="D775" s="15"/>
      <c r="E775" s="15"/>
      <c r="F775" s="15"/>
      <c r="G775" s="15"/>
      <c r="H775" s="28"/>
      <c r="I775" s="28"/>
      <c r="J775" s="28"/>
    </row>
    <row r="776">
      <c r="A776" s="15"/>
      <c r="B776" s="15"/>
      <c r="C776" s="15"/>
      <c r="D776" s="15"/>
      <c r="E776" s="15"/>
      <c r="F776" s="15"/>
      <c r="G776" s="15"/>
      <c r="H776" s="28"/>
      <c r="I776" s="28"/>
      <c r="J776" s="28"/>
    </row>
    <row r="777">
      <c r="A777" s="15"/>
      <c r="B777" s="15"/>
      <c r="C777" s="15"/>
      <c r="D777" s="15"/>
      <c r="E777" s="15"/>
      <c r="F777" s="15"/>
      <c r="G777" s="15"/>
      <c r="H777" s="28"/>
      <c r="I777" s="28"/>
      <c r="J777" s="28"/>
    </row>
    <row r="778">
      <c r="A778" s="15"/>
      <c r="B778" s="15"/>
      <c r="C778" s="15"/>
      <c r="D778" s="15"/>
      <c r="E778" s="15"/>
      <c r="F778" s="15"/>
      <c r="G778" s="15"/>
      <c r="H778" s="28"/>
      <c r="I778" s="28"/>
      <c r="J778" s="28"/>
    </row>
    <row r="779">
      <c r="A779" s="15"/>
      <c r="B779" s="15"/>
      <c r="C779" s="15"/>
      <c r="D779" s="15"/>
      <c r="E779" s="15"/>
      <c r="F779" s="15"/>
      <c r="G779" s="15"/>
      <c r="H779" s="28"/>
      <c r="I779" s="28"/>
      <c r="J779" s="28"/>
    </row>
    <row r="780">
      <c r="A780" s="15"/>
      <c r="B780" s="15"/>
      <c r="C780" s="15"/>
      <c r="D780" s="15"/>
      <c r="E780" s="15"/>
      <c r="F780" s="15"/>
      <c r="G780" s="15"/>
      <c r="H780" s="28"/>
      <c r="I780" s="28"/>
      <c r="J780" s="28"/>
    </row>
    <row r="781">
      <c r="A781" s="15"/>
      <c r="B781" s="15"/>
      <c r="C781" s="15"/>
      <c r="D781" s="15"/>
      <c r="E781" s="15"/>
      <c r="F781" s="15"/>
      <c r="G781" s="15"/>
      <c r="H781" s="28"/>
      <c r="I781" s="28"/>
      <c r="J781" s="28"/>
    </row>
    <row r="782">
      <c r="A782" s="15"/>
      <c r="B782" s="15"/>
      <c r="C782" s="15"/>
      <c r="D782" s="15"/>
      <c r="E782" s="15"/>
      <c r="F782" s="15"/>
      <c r="G782" s="15"/>
      <c r="H782" s="28"/>
      <c r="I782" s="28"/>
      <c r="J782" s="28"/>
    </row>
    <row r="783">
      <c r="A783" s="15"/>
      <c r="B783" s="15"/>
      <c r="C783" s="15"/>
      <c r="D783" s="15"/>
      <c r="E783" s="15"/>
      <c r="F783" s="15"/>
      <c r="G783" s="15"/>
      <c r="H783" s="28"/>
      <c r="I783" s="28"/>
      <c r="J783" s="28"/>
    </row>
    <row r="784">
      <c r="A784" s="15"/>
      <c r="B784" s="15"/>
      <c r="C784" s="15"/>
      <c r="D784" s="15"/>
      <c r="E784" s="15"/>
      <c r="F784" s="15"/>
      <c r="G784" s="15"/>
      <c r="H784" s="28"/>
      <c r="I784" s="28"/>
      <c r="J784" s="28"/>
    </row>
    <row r="785">
      <c r="A785" s="15"/>
      <c r="B785" s="15"/>
      <c r="C785" s="15"/>
      <c r="D785" s="15"/>
      <c r="E785" s="15"/>
      <c r="F785" s="15"/>
      <c r="G785" s="15"/>
      <c r="H785" s="28"/>
      <c r="I785" s="28"/>
      <c r="J785" s="28"/>
    </row>
    <row r="786">
      <c r="A786" s="15"/>
      <c r="B786" s="15"/>
      <c r="C786" s="15"/>
      <c r="D786" s="15"/>
      <c r="E786" s="15"/>
      <c r="F786" s="15"/>
      <c r="G786" s="15"/>
      <c r="H786" s="28"/>
      <c r="I786" s="28"/>
      <c r="J786" s="28"/>
    </row>
    <row r="787">
      <c r="A787" s="15"/>
      <c r="B787" s="15"/>
      <c r="C787" s="15"/>
      <c r="D787" s="15"/>
      <c r="E787" s="15"/>
      <c r="F787" s="15"/>
      <c r="G787" s="15"/>
      <c r="H787" s="28"/>
      <c r="I787" s="28"/>
      <c r="J787" s="28"/>
    </row>
    <row r="788">
      <c r="A788" s="15"/>
      <c r="B788" s="15"/>
      <c r="C788" s="15"/>
      <c r="D788" s="15"/>
      <c r="E788" s="15"/>
      <c r="F788" s="15"/>
      <c r="G788" s="15"/>
      <c r="H788" s="28"/>
      <c r="I788" s="28"/>
      <c r="J788" s="28"/>
    </row>
    <row r="789">
      <c r="A789" s="15"/>
      <c r="B789" s="15"/>
      <c r="C789" s="15"/>
      <c r="D789" s="15"/>
      <c r="E789" s="15"/>
      <c r="F789" s="15"/>
      <c r="G789" s="15"/>
      <c r="H789" s="28"/>
      <c r="I789" s="28"/>
      <c r="J789" s="28"/>
    </row>
    <row r="790">
      <c r="A790" s="15"/>
      <c r="B790" s="15"/>
      <c r="C790" s="15"/>
      <c r="D790" s="15"/>
      <c r="E790" s="15"/>
      <c r="F790" s="15"/>
      <c r="G790" s="15"/>
      <c r="H790" s="28"/>
      <c r="I790" s="28"/>
      <c r="J790" s="28"/>
    </row>
    <row r="791">
      <c r="A791" s="15"/>
      <c r="B791" s="15"/>
      <c r="C791" s="15"/>
      <c r="D791" s="15"/>
      <c r="E791" s="15"/>
      <c r="F791" s="15"/>
      <c r="G791" s="15"/>
      <c r="H791" s="28"/>
      <c r="I791" s="28"/>
      <c r="J791" s="28"/>
    </row>
    <row r="792">
      <c r="A792" s="15"/>
      <c r="B792" s="15"/>
      <c r="C792" s="15"/>
      <c r="D792" s="15"/>
      <c r="E792" s="15"/>
      <c r="F792" s="15"/>
      <c r="G792" s="15"/>
      <c r="H792" s="28"/>
      <c r="I792" s="28"/>
      <c r="J792" s="28"/>
    </row>
    <row r="793">
      <c r="A793" s="15"/>
      <c r="B793" s="15"/>
      <c r="C793" s="15"/>
      <c r="D793" s="15"/>
      <c r="E793" s="15"/>
      <c r="F793" s="15"/>
      <c r="G793" s="15"/>
      <c r="H793" s="28"/>
      <c r="I793" s="28"/>
      <c r="J793" s="28"/>
    </row>
    <row r="794">
      <c r="A794" s="15"/>
      <c r="B794" s="15"/>
      <c r="C794" s="15"/>
      <c r="D794" s="15"/>
      <c r="E794" s="15"/>
      <c r="F794" s="15"/>
      <c r="G794" s="15"/>
      <c r="H794" s="28"/>
      <c r="I794" s="28"/>
      <c r="J794" s="28"/>
    </row>
    <row r="795">
      <c r="A795" s="15"/>
      <c r="B795" s="15"/>
      <c r="C795" s="15"/>
      <c r="D795" s="15"/>
      <c r="E795" s="15"/>
      <c r="F795" s="15"/>
      <c r="G795" s="15"/>
      <c r="H795" s="28"/>
      <c r="I795" s="28"/>
      <c r="J795" s="28"/>
    </row>
    <row r="796">
      <c r="A796" s="15"/>
      <c r="B796" s="15"/>
      <c r="C796" s="15"/>
      <c r="D796" s="15"/>
      <c r="E796" s="15"/>
      <c r="F796" s="15"/>
      <c r="G796" s="15"/>
      <c r="H796" s="28"/>
      <c r="I796" s="28"/>
      <c r="J796" s="28"/>
    </row>
    <row r="797">
      <c r="A797" s="15"/>
      <c r="B797" s="15"/>
      <c r="C797" s="15"/>
      <c r="D797" s="15"/>
      <c r="E797" s="15"/>
      <c r="F797" s="15"/>
      <c r="G797" s="15"/>
      <c r="H797" s="28"/>
      <c r="I797" s="28"/>
      <c r="J797" s="28"/>
    </row>
    <row r="798">
      <c r="A798" s="15"/>
      <c r="B798" s="15"/>
      <c r="C798" s="15"/>
      <c r="D798" s="15"/>
      <c r="E798" s="15"/>
      <c r="F798" s="15"/>
      <c r="G798" s="15"/>
      <c r="H798" s="28"/>
      <c r="I798" s="28"/>
      <c r="J798" s="28"/>
    </row>
    <row r="799">
      <c r="A799" s="15"/>
      <c r="B799" s="15"/>
      <c r="C799" s="15"/>
      <c r="D799" s="15"/>
      <c r="E799" s="15"/>
      <c r="F799" s="15"/>
      <c r="G799" s="15"/>
      <c r="H799" s="28"/>
      <c r="I799" s="28"/>
      <c r="J799" s="28"/>
    </row>
    <row r="800">
      <c r="A800" s="15"/>
      <c r="B800" s="15"/>
      <c r="C800" s="15"/>
      <c r="D800" s="15"/>
      <c r="E800" s="15"/>
      <c r="F800" s="15"/>
      <c r="G800" s="15"/>
      <c r="H800" s="28"/>
      <c r="I800" s="28"/>
      <c r="J800" s="28"/>
    </row>
    <row r="801">
      <c r="A801" s="15"/>
      <c r="B801" s="15"/>
      <c r="C801" s="15"/>
      <c r="D801" s="15"/>
      <c r="E801" s="15"/>
      <c r="F801" s="15"/>
      <c r="G801" s="15"/>
      <c r="H801" s="28"/>
      <c r="I801" s="28"/>
      <c r="J801" s="28"/>
    </row>
    <row r="802">
      <c r="A802" s="15"/>
      <c r="B802" s="15"/>
      <c r="C802" s="15"/>
      <c r="D802" s="15"/>
      <c r="E802" s="15"/>
      <c r="F802" s="15"/>
      <c r="G802" s="15"/>
      <c r="H802" s="28"/>
      <c r="I802" s="28"/>
      <c r="J802" s="28"/>
    </row>
    <row r="803">
      <c r="A803" s="15"/>
      <c r="B803" s="15"/>
      <c r="C803" s="15"/>
      <c r="D803" s="15"/>
      <c r="E803" s="15"/>
      <c r="F803" s="15"/>
      <c r="G803" s="15"/>
      <c r="H803" s="28"/>
      <c r="I803" s="28"/>
      <c r="J803" s="28"/>
    </row>
    <row r="804">
      <c r="A804" s="15"/>
      <c r="B804" s="15"/>
      <c r="C804" s="15"/>
      <c r="D804" s="15"/>
      <c r="E804" s="15"/>
      <c r="F804" s="15"/>
      <c r="G804" s="15"/>
      <c r="H804" s="28"/>
      <c r="I804" s="28"/>
      <c r="J804" s="28"/>
    </row>
    <row r="805">
      <c r="A805" s="15"/>
      <c r="B805" s="15"/>
      <c r="C805" s="15"/>
      <c r="D805" s="15"/>
      <c r="E805" s="15"/>
      <c r="F805" s="15"/>
      <c r="G805" s="15"/>
      <c r="H805" s="28"/>
      <c r="I805" s="28"/>
      <c r="J805" s="28"/>
    </row>
    <row r="806">
      <c r="A806" s="15"/>
      <c r="B806" s="15"/>
      <c r="C806" s="15"/>
      <c r="D806" s="15"/>
      <c r="E806" s="15"/>
      <c r="F806" s="15"/>
      <c r="G806" s="15"/>
      <c r="H806" s="28"/>
      <c r="I806" s="28"/>
      <c r="J806" s="28"/>
    </row>
    <row r="807">
      <c r="A807" s="15"/>
      <c r="B807" s="15"/>
      <c r="C807" s="15"/>
      <c r="D807" s="15"/>
      <c r="E807" s="15"/>
      <c r="F807" s="15"/>
      <c r="G807" s="15"/>
      <c r="H807" s="28"/>
      <c r="I807" s="28"/>
      <c r="J807" s="28"/>
    </row>
    <row r="808">
      <c r="A808" s="15"/>
      <c r="B808" s="15"/>
      <c r="C808" s="15"/>
      <c r="D808" s="15"/>
      <c r="E808" s="15"/>
      <c r="F808" s="15"/>
      <c r="G808" s="15"/>
      <c r="H808" s="28"/>
      <c r="I808" s="28"/>
      <c r="J808" s="28"/>
    </row>
    <row r="809">
      <c r="A809" s="15"/>
      <c r="B809" s="15"/>
      <c r="C809" s="15"/>
      <c r="D809" s="15"/>
      <c r="E809" s="15"/>
      <c r="F809" s="15"/>
      <c r="G809" s="15"/>
      <c r="H809" s="28"/>
      <c r="I809" s="28"/>
      <c r="J809" s="28"/>
    </row>
    <row r="810">
      <c r="A810" s="15"/>
      <c r="B810" s="15"/>
      <c r="C810" s="15"/>
      <c r="D810" s="15"/>
      <c r="E810" s="15"/>
      <c r="F810" s="15"/>
      <c r="G810" s="15"/>
      <c r="H810" s="28"/>
      <c r="I810" s="28"/>
      <c r="J810" s="28"/>
    </row>
    <row r="811">
      <c r="A811" s="15"/>
      <c r="B811" s="15"/>
      <c r="C811" s="15"/>
      <c r="D811" s="15"/>
      <c r="E811" s="15"/>
      <c r="F811" s="15"/>
      <c r="G811" s="15"/>
      <c r="H811" s="28"/>
      <c r="I811" s="28"/>
      <c r="J811" s="28"/>
    </row>
    <row r="812">
      <c r="A812" s="15"/>
      <c r="B812" s="15"/>
      <c r="C812" s="15"/>
      <c r="D812" s="15"/>
      <c r="E812" s="15"/>
      <c r="F812" s="15"/>
      <c r="G812" s="15"/>
      <c r="H812" s="28"/>
      <c r="I812" s="28"/>
      <c r="J812" s="28"/>
    </row>
    <row r="813">
      <c r="A813" s="15"/>
      <c r="B813" s="15"/>
      <c r="C813" s="15"/>
      <c r="D813" s="15"/>
      <c r="E813" s="15"/>
      <c r="F813" s="15"/>
      <c r="G813" s="15"/>
      <c r="H813" s="28"/>
      <c r="I813" s="28"/>
      <c r="J813" s="28"/>
    </row>
    <row r="814">
      <c r="A814" s="15"/>
      <c r="B814" s="15"/>
      <c r="C814" s="15"/>
      <c r="D814" s="15"/>
      <c r="E814" s="15"/>
      <c r="F814" s="15"/>
      <c r="G814" s="15"/>
      <c r="H814" s="28"/>
      <c r="I814" s="28"/>
      <c r="J814" s="28"/>
    </row>
    <row r="815">
      <c r="A815" s="15"/>
      <c r="B815" s="15"/>
      <c r="C815" s="15"/>
      <c r="D815" s="15"/>
      <c r="E815" s="15"/>
      <c r="F815" s="15"/>
      <c r="G815" s="15"/>
      <c r="H815" s="28"/>
      <c r="I815" s="28"/>
      <c r="J815" s="28"/>
    </row>
    <row r="816">
      <c r="A816" s="15"/>
      <c r="B816" s="15"/>
      <c r="C816" s="15"/>
      <c r="D816" s="15"/>
      <c r="E816" s="15"/>
      <c r="F816" s="15"/>
      <c r="G816" s="15"/>
      <c r="H816" s="28"/>
      <c r="I816" s="28"/>
      <c r="J816" s="28"/>
    </row>
    <row r="817">
      <c r="A817" s="15"/>
      <c r="B817" s="15"/>
      <c r="C817" s="15"/>
      <c r="D817" s="15"/>
      <c r="E817" s="15"/>
      <c r="F817" s="15"/>
      <c r="G817" s="15"/>
      <c r="H817" s="28"/>
      <c r="I817" s="28"/>
      <c r="J817" s="28"/>
    </row>
    <row r="818">
      <c r="A818" s="15"/>
      <c r="B818" s="15"/>
      <c r="C818" s="15"/>
      <c r="D818" s="15"/>
      <c r="E818" s="15"/>
      <c r="F818" s="15"/>
      <c r="G818" s="15"/>
      <c r="H818" s="28"/>
      <c r="I818" s="28"/>
      <c r="J818" s="28"/>
    </row>
    <row r="819">
      <c r="A819" s="15"/>
      <c r="B819" s="15"/>
      <c r="C819" s="15"/>
      <c r="D819" s="15"/>
      <c r="E819" s="15"/>
      <c r="F819" s="15"/>
      <c r="G819" s="15"/>
      <c r="H819" s="28"/>
      <c r="I819" s="28"/>
      <c r="J819" s="28"/>
    </row>
    <row r="820">
      <c r="A820" s="15"/>
      <c r="B820" s="15"/>
      <c r="C820" s="15"/>
      <c r="D820" s="15"/>
      <c r="E820" s="15"/>
      <c r="F820" s="15"/>
      <c r="G820" s="15"/>
      <c r="H820" s="28"/>
      <c r="I820" s="28"/>
      <c r="J820" s="28"/>
    </row>
    <row r="821">
      <c r="A821" s="15"/>
      <c r="B821" s="15"/>
      <c r="C821" s="15"/>
      <c r="D821" s="15"/>
      <c r="E821" s="15"/>
      <c r="F821" s="15"/>
      <c r="G821" s="15"/>
      <c r="H821" s="28"/>
      <c r="I821" s="28"/>
      <c r="J821" s="28"/>
    </row>
    <row r="822">
      <c r="A822" s="15"/>
      <c r="B822" s="15"/>
      <c r="C822" s="15"/>
      <c r="D822" s="15"/>
      <c r="E822" s="15"/>
      <c r="F822" s="15"/>
      <c r="G822" s="15"/>
      <c r="H822" s="28"/>
      <c r="I822" s="28"/>
      <c r="J822" s="28"/>
    </row>
    <row r="823">
      <c r="A823" s="15"/>
      <c r="B823" s="15"/>
      <c r="C823" s="15"/>
      <c r="D823" s="15"/>
      <c r="E823" s="15"/>
      <c r="F823" s="15"/>
      <c r="G823" s="15"/>
      <c r="H823" s="28"/>
      <c r="I823" s="28"/>
      <c r="J823" s="28"/>
    </row>
    <row r="824">
      <c r="A824" s="15"/>
      <c r="B824" s="15"/>
      <c r="C824" s="15"/>
      <c r="D824" s="15"/>
      <c r="E824" s="15"/>
      <c r="F824" s="15"/>
      <c r="G824" s="15"/>
      <c r="H824" s="28"/>
      <c r="I824" s="28"/>
      <c r="J824" s="28"/>
    </row>
    <row r="825">
      <c r="A825" s="15"/>
      <c r="B825" s="15"/>
      <c r="C825" s="15"/>
      <c r="D825" s="15"/>
      <c r="E825" s="15"/>
      <c r="F825" s="15"/>
      <c r="G825" s="15"/>
      <c r="H825" s="28"/>
      <c r="I825" s="28"/>
      <c r="J825" s="28"/>
    </row>
    <row r="826">
      <c r="A826" s="15"/>
      <c r="B826" s="15"/>
      <c r="C826" s="15"/>
      <c r="D826" s="15"/>
      <c r="E826" s="15"/>
      <c r="F826" s="15"/>
      <c r="G826" s="15"/>
      <c r="H826" s="28"/>
      <c r="I826" s="28"/>
      <c r="J826" s="28"/>
    </row>
    <row r="827">
      <c r="A827" s="15"/>
      <c r="B827" s="15"/>
      <c r="C827" s="15"/>
      <c r="D827" s="15"/>
      <c r="E827" s="15"/>
      <c r="F827" s="15"/>
      <c r="G827" s="15"/>
      <c r="H827" s="28"/>
      <c r="I827" s="28"/>
      <c r="J827" s="28"/>
    </row>
    <row r="828">
      <c r="A828" s="15"/>
      <c r="B828" s="15"/>
      <c r="C828" s="15"/>
      <c r="D828" s="15"/>
      <c r="E828" s="15"/>
      <c r="F828" s="15"/>
      <c r="G828" s="15"/>
      <c r="H828" s="28"/>
      <c r="I828" s="28"/>
      <c r="J828" s="28"/>
    </row>
    <row r="829">
      <c r="A829" s="15"/>
      <c r="B829" s="15"/>
      <c r="C829" s="15"/>
      <c r="D829" s="15"/>
      <c r="E829" s="15"/>
      <c r="F829" s="15"/>
      <c r="G829" s="15"/>
      <c r="H829" s="28"/>
      <c r="I829" s="28"/>
      <c r="J829" s="28"/>
    </row>
    <row r="830">
      <c r="A830" s="15"/>
      <c r="B830" s="15"/>
      <c r="C830" s="15"/>
      <c r="D830" s="15"/>
      <c r="E830" s="15"/>
      <c r="F830" s="15"/>
      <c r="G830" s="15"/>
      <c r="H830" s="28"/>
      <c r="I830" s="28"/>
      <c r="J830" s="28"/>
    </row>
    <row r="831">
      <c r="A831" s="15"/>
      <c r="B831" s="15"/>
      <c r="C831" s="15"/>
      <c r="D831" s="15"/>
      <c r="E831" s="15"/>
      <c r="F831" s="15"/>
      <c r="G831" s="15"/>
      <c r="H831" s="28"/>
      <c r="I831" s="28"/>
      <c r="J831" s="28"/>
    </row>
    <row r="832">
      <c r="A832" s="15"/>
      <c r="B832" s="15"/>
      <c r="C832" s="15"/>
      <c r="D832" s="15"/>
      <c r="E832" s="15"/>
      <c r="F832" s="15"/>
      <c r="G832" s="15"/>
      <c r="H832" s="28"/>
      <c r="I832" s="28"/>
      <c r="J832" s="28"/>
    </row>
    <row r="833">
      <c r="A833" s="15"/>
      <c r="B833" s="15"/>
      <c r="C833" s="15"/>
      <c r="D833" s="15"/>
      <c r="E833" s="15"/>
      <c r="F833" s="15"/>
      <c r="G833" s="15"/>
      <c r="H833" s="28"/>
      <c r="I833" s="28"/>
      <c r="J833" s="28"/>
    </row>
    <row r="834">
      <c r="A834" s="15"/>
      <c r="B834" s="15"/>
      <c r="C834" s="15"/>
      <c r="D834" s="15"/>
      <c r="E834" s="15"/>
      <c r="F834" s="15"/>
      <c r="G834" s="15"/>
      <c r="H834" s="28"/>
      <c r="I834" s="28"/>
      <c r="J834" s="28"/>
    </row>
    <row r="835">
      <c r="A835" s="15"/>
      <c r="B835" s="15"/>
      <c r="C835" s="15"/>
      <c r="D835" s="15"/>
      <c r="E835" s="15"/>
      <c r="F835" s="15"/>
      <c r="G835" s="15"/>
      <c r="H835" s="28"/>
      <c r="I835" s="28"/>
      <c r="J835" s="28"/>
    </row>
    <row r="836">
      <c r="A836" s="15"/>
      <c r="B836" s="15"/>
      <c r="C836" s="15"/>
      <c r="D836" s="15"/>
      <c r="E836" s="15"/>
      <c r="F836" s="15"/>
      <c r="G836" s="15"/>
      <c r="H836" s="28"/>
      <c r="I836" s="28"/>
      <c r="J836" s="28"/>
    </row>
    <row r="837">
      <c r="A837" s="15"/>
      <c r="B837" s="15"/>
      <c r="C837" s="15"/>
      <c r="D837" s="15"/>
      <c r="E837" s="15"/>
      <c r="F837" s="15"/>
      <c r="G837" s="15"/>
      <c r="H837" s="28"/>
      <c r="I837" s="28"/>
      <c r="J837" s="28"/>
    </row>
    <row r="838">
      <c r="A838" s="15"/>
      <c r="B838" s="15"/>
      <c r="C838" s="15"/>
      <c r="D838" s="15"/>
      <c r="E838" s="15"/>
      <c r="F838" s="15"/>
      <c r="G838" s="15"/>
      <c r="H838" s="28"/>
      <c r="I838" s="28"/>
      <c r="J838" s="28"/>
    </row>
    <row r="839">
      <c r="A839" s="15"/>
      <c r="B839" s="15"/>
      <c r="C839" s="15"/>
      <c r="D839" s="15"/>
      <c r="E839" s="15"/>
      <c r="F839" s="15"/>
      <c r="G839" s="15"/>
      <c r="H839" s="28"/>
      <c r="I839" s="28"/>
      <c r="J839" s="28"/>
    </row>
    <row r="840">
      <c r="A840" s="15"/>
      <c r="B840" s="15"/>
      <c r="C840" s="15"/>
      <c r="D840" s="15"/>
      <c r="E840" s="15"/>
      <c r="F840" s="15"/>
      <c r="G840" s="15"/>
      <c r="H840" s="28"/>
      <c r="I840" s="28"/>
      <c r="J840" s="28"/>
    </row>
    <row r="841">
      <c r="A841" s="15"/>
      <c r="B841" s="15"/>
      <c r="C841" s="15"/>
      <c r="D841" s="15"/>
      <c r="E841" s="15"/>
      <c r="F841" s="15"/>
      <c r="G841" s="15"/>
      <c r="H841" s="28"/>
      <c r="I841" s="28"/>
      <c r="J841" s="28"/>
    </row>
    <row r="842">
      <c r="A842" s="15"/>
      <c r="B842" s="15"/>
      <c r="C842" s="15"/>
      <c r="D842" s="15"/>
      <c r="E842" s="15"/>
      <c r="F842" s="15"/>
      <c r="G842" s="15"/>
      <c r="H842" s="28"/>
      <c r="I842" s="28"/>
      <c r="J842" s="28"/>
    </row>
    <row r="843">
      <c r="A843" s="15"/>
      <c r="B843" s="15"/>
      <c r="C843" s="15"/>
      <c r="D843" s="15"/>
      <c r="E843" s="15"/>
      <c r="F843" s="15"/>
      <c r="G843" s="15"/>
      <c r="H843" s="28"/>
      <c r="I843" s="28"/>
      <c r="J843" s="28"/>
    </row>
    <row r="844">
      <c r="A844" s="15"/>
      <c r="B844" s="15"/>
      <c r="C844" s="15"/>
      <c r="D844" s="15"/>
      <c r="E844" s="15"/>
      <c r="F844" s="15"/>
      <c r="G844" s="15"/>
      <c r="H844" s="28"/>
      <c r="I844" s="28"/>
      <c r="J844" s="28"/>
    </row>
    <row r="845">
      <c r="A845" s="15"/>
      <c r="B845" s="15"/>
      <c r="C845" s="15"/>
      <c r="D845" s="15"/>
      <c r="E845" s="15"/>
      <c r="F845" s="15"/>
      <c r="G845" s="15"/>
      <c r="H845" s="28"/>
      <c r="I845" s="28"/>
      <c r="J845" s="28"/>
    </row>
    <row r="846">
      <c r="A846" s="15"/>
      <c r="B846" s="15"/>
      <c r="C846" s="15"/>
      <c r="D846" s="15"/>
      <c r="E846" s="15"/>
      <c r="F846" s="15"/>
      <c r="G846" s="15"/>
      <c r="H846" s="28"/>
      <c r="I846" s="28"/>
      <c r="J846" s="28"/>
    </row>
    <row r="847">
      <c r="A847" s="15"/>
      <c r="B847" s="15"/>
      <c r="C847" s="15"/>
      <c r="D847" s="15"/>
      <c r="E847" s="15"/>
      <c r="F847" s="15"/>
      <c r="G847" s="15"/>
      <c r="H847" s="28"/>
      <c r="I847" s="28"/>
      <c r="J847" s="28"/>
    </row>
    <row r="848">
      <c r="A848" s="15"/>
      <c r="B848" s="15"/>
      <c r="C848" s="15"/>
      <c r="D848" s="15"/>
      <c r="E848" s="15"/>
      <c r="F848" s="15"/>
      <c r="G848" s="15"/>
      <c r="H848" s="28"/>
      <c r="I848" s="28"/>
      <c r="J848" s="28"/>
    </row>
    <row r="849">
      <c r="A849" s="15"/>
      <c r="B849" s="15"/>
      <c r="C849" s="15"/>
      <c r="D849" s="15"/>
      <c r="E849" s="15"/>
      <c r="F849" s="15"/>
      <c r="G849" s="15"/>
      <c r="H849" s="28"/>
      <c r="I849" s="28"/>
      <c r="J849" s="28"/>
    </row>
    <row r="850">
      <c r="A850" s="15"/>
      <c r="B850" s="15"/>
      <c r="C850" s="15"/>
      <c r="D850" s="15"/>
      <c r="E850" s="15"/>
      <c r="F850" s="15"/>
      <c r="G850" s="15"/>
      <c r="H850" s="28"/>
      <c r="I850" s="28"/>
      <c r="J850" s="28"/>
    </row>
    <row r="851">
      <c r="A851" s="15"/>
      <c r="B851" s="15"/>
      <c r="C851" s="15"/>
      <c r="D851" s="15"/>
      <c r="E851" s="15"/>
      <c r="F851" s="15"/>
      <c r="G851" s="15"/>
      <c r="H851" s="28"/>
      <c r="I851" s="28"/>
      <c r="J851" s="28"/>
    </row>
    <row r="852">
      <c r="A852" s="15"/>
      <c r="B852" s="15"/>
      <c r="C852" s="15"/>
      <c r="D852" s="15"/>
      <c r="E852" s="15"/>
      <c r="F852" s="15"/>
      <c r="G852" s="15"/>
      <c r="H852" s="28"/>
      <c r="I852" s="28"/>
      <c r="J852" s="28"/>
    </row>
    <row r="853">
      <c r="A853" s="15"/>
      <c r="B853" s="15"/>
      <c r="C853" s="15"/>
      <c r="D853" s="15"/>
      <c r="E853" s="15"/>
      <c r="F853" s="15"/>
      <c r="G853" s="15"/>
      <c r="H853" s="28"/>
      <c r="I853" s="28"/>
      <c r="J853" s="28"/>
    </row>
    <row r="854">
      <c r="A854" s="15"/>
      <c r="B854" s="15"/>
      <c r="C854" s="15"/>
      <c r="D854" s="15"/>
      <c r="E854" s="15"/>
      <c r="F854" s="15"/>
      <c r="G854" s="15"/>
      <c r="H854" s="28"/>
      <c r="I854" s="28"/>
      <c r="J854" s="28"/>
    </row>
    <row r="855">
      <c r="A855" s="15"/>
      <c r="B855" s="15"/>
      <c r="C855" s="15"/>
      <c r="D855" s="15"/>
      <c r="E855" s="15"/>
      <c r="F855" s="15"/>
      <c r="G855" s="15"/>
      <c r="H855" s="28"/>
      <c r="I855" s="28"/>
      <c r="J855" s="28"/>
    </row>
    <row r="856">
      <c r="A856" s="15"/>
      <c r="B856" s="15"/>
      <c r="C856" s="15"/>
      <c r="D856" s="15"/>
      <c r="E856" s="15"/>
      <c r="F856" s="15"/>
      <c r="G856" s="15"/>
      <c r="H856" s="28"/>
      <c r="I856" s="28"/>
      <c r="J856" s="28"/>
    </row>
    <row r="857">
      <c r="A857" s="15"/>
      <c r="B857" s="15"/>
      <c r="C857" s="15"/>
      <c r="D857" s="15"/>
      <c r="E857" s="15"/>
      <c r="F857" s="15"/>
      <c r="G857" s="15"/>
      <c r="H857" s="28"/>
      <c r="I857" s="28"/>
      <c r="J857" s="28"/>
    </row>
    <row r="858">
      <c r="A858" s="15"/>
      <c r="B858" s="15"/>
      <c r="C858" s="15"/>
      <c r="D858" s="15"/>
      <c r="E858" s="15"/>
      <c r="F858" s="15"/>
      <c r="G858" s="15"/>
      <c r="H858" s="28"/>
      <c r="I858" s="28"/>
      <c r="J858" s="28"/>
    </row>
    <row r="859">
      <c r="A859" s="15"/>
      <c r="B859" s="15"/>
      <c r="C859" s="15"/>
      <c r="D859" s="15"/>
      <c r="E859" s="15"/>
      <c r="F859" s="15"/>
      <c r="G859" s="15"/>
      <c r="H859" s="28"/>
      <c r="I859" s="28"/>
      <c r="J859" s="28"/>
    </row>
    <row r="860">
      <c r="A860" s="15"/>
      <c r="B860" s="15"/>
      <c r="C860" s="15"/>
      <c r="D860" s="15"/>
      <c r="E860" s="15"/>
      <c r="F860" s="15"/>
      <c r="G860" s="15"/>
      <c r="H860" s="28"/>
      <c r="I860" s="28"/>
      <c r="J860" s="28"/>
    </row>
    <row r="861">
      <c r="A861" s="15"/>
      <c r="B861" s="15"/>
      <c r="C861" s="15"/>
      <c r="D861" s="15"/>
      <c r="E861" s="15"/>
      <c r="F861" s="15"/>
      <c r="G861" s="15"/>
      <c r="H861" s="28"/>
      <c r="I861" s="28"/>
      <c r="J861" s="28"/>
    </row>
    <row r="862">
      <c r="A862" s="15"/>
      <c r="B862" s="15"/>
      <c r="C862" s="15"/>
      <c r="D862" s="15"/>
      <c r="E862" s="15"/>
      <c r="F862" s="15"/>
      <c r="G862" s="15"/>
      <c r="H862" s="28"/>
      <c r="I862" s="28"/>
      <c r="J862" s="28"/>
    </row>
    <row r="863">
      <c r="A863" s="15"/>
      <c r="B863" s="15"/>
      <c r="C863" s="15"/>
      <c r="D863" s="15"/>
      <c r="E863" s="15"/>
      <c r="F863" s="15"/>
      <c r="G863" s="15"/>
      <c r="H863" s="28"/>
      <c r="I863" s="28"/>
      <c r="J863" s="28"/>
    </row>
    <row r="864">
      <c r="A864" s="15"/>
      <c r="B864" s="15"/>
      <c r="C864" s="15"/>
      <c r="D864" s="15"/>
      <c r="E864" s="15"/>
      <c r="F864" s="15"/>
      <c r="G864" s="15"/>
      <c r="H864" s="28"/>
      <c r="I864" s="28"/>
      <c r="J864" s="28"/>
    </row>
    <row r="865">
      <c r="A865" s="15"/>
      <c r="B865" s="15"/>
      <c r="C865" s="15"/>
      <c r="D865" s="15"/>
      <c r="E865" s="15"/>
      <c r="F865" s="15"/>
      <c r="G865" s="15"/>
      <c r="H865" s="28"/>
      <c r="I865" s="28"/>
      <c r="J865" s="28"/>
    </row>
    <row r="866">
      <c r="A866" s="15"/>
      <c r="B866" s="15"/>
      <c r="C866" s="15"/>
      <c r="D866" s="15"/>
      <c r="E866" s="15"/>
      <c r="F866" s="15"/>
      <c r="G866" s="15"/>
      <c r="H866" s="28"/>
      <c r="I866" s="28"/>
      <c r="J866" s="28"/>
    </row>
    <row r="867">
      <c r="A867" s="15"/>
      <c r="B867" s="15"/>
      <c r="C867" s="15"/>
      <c r="D867" s="15"/>
      <c r="E867" s="15"/>
      <c r="F867" s="15"/>
      <c r="G867" s="15"/>
      <c r="H867" s="28"/>
      <c r="I867" s="28"/>
      <c r="J867" s="28"/>
    </row>
    <row r="868">
      <c r="A868" s="15"/>
      <c r="B868" s="15"/>
      <c r="C868" s="15"/>
      <c r="D868" s="15"/>
      <c r="E868" s="15"/>
      <c r="F868" s="15"/>
      <c r="G868" s="15"/>
      <c r="H868" s="28"/>
      <c r="I868" s="28"/>
      <c r="J868" s="28"/>
    </row>
    <row r="869">
      <c r="A869" s="15"/>
      <c r="B869" s="15"/>
      <c r="C869" s="15"/>
      <c r="D869" s="15"/>
      <c r="E869" s="15"/>
      <c r="F869" s="15"/>
      <c r="G869" s="15"/>
      <c r="H869" s="28"/>
      <c r="I869" s="28"/>
      <c r="J869" s="28"/>
    </row>
    <row r="870">
      <c r="A870" s="15"/>
      <c r="B870" s="15"/>
      <c r="C870" s="15"/>
      <c r="D870" s="15"/>
      <c r="E870" s="15"/>
      <c r="F870" s="15"/>
      <c r="G870" s="15"/>
      <c r="H870" s="28"/>
      <c r="I870" s="28"/>
      <c r="J870" s="28"/>
    </row>
    <row r="871">
      <c r="A871" s="15"/>
      <c r="B871" s="15"/>
      <c r="C871" s="15"/>
      <c r="D871" s="15"/>
      <c r="E871" s="15"/>
      <c r="F871" s="15"/>
      <c r="G871" s="15"/>
      <c r="H871" s="28"/>
      <c r="I871" s="28"/>
      <c r="J871" s="28"/>
    </row>
    <row r="872">
      <c r="A872" s="15"/>
      <c r="B872" s="15"/>
      <c r="C872" s="15"/>
      <c r="D872" s="15"/>
      <c r="E872" s="15"/>
      <c r="F872" s="15"/>
      <c r="G872" s="15"/>
      <c r="H872" s="28"/>
      <c r="I872" s="28"/>
      <c r="J872" s="28"/>
    </row>
    <row r="873">
      <c r="A873" s="15"/>
      <c r="B873" s="15"/>
      <c r="C873" s="15"/>
      <c r="D873" s="15"/>
      <c r="E873" s="15"/>
      <c r="F873" s="15"/>
      <c r="G873" s="15"/>
      <c r="H873" s="28"/>
      <c r="I873" s="28"/>
      <c r="J873" s="28"/>
    </row>
    <row r="874">
      <c r="A874" s="15"/>
      <c r="B874" s="15"/>
      <c r="C874" s="15"/>
      <c r="D874" s="15"/>
      <c r="E874" s="15"/>
      <c r="F874" s="15"/>
      <c r="G874" s="15"/>
      <c r="H874" s="28"/>
      <c r="I874" s="28"/>
      <c r="J874" s="28"/>
    </row>
    <row r="875">
      <c r="A875" s="15"/>
      <c r="B875" s="15"/>
      <c r="C875" s="15"/>
      <c r="D875" s="15"/>
      <c r="E875" s="15"/>
      <c r="F875" s="15"/>
      <c r="G875" s="15"/>
      <c r="H875" s="28"/>
      <c r="I875" s="28"/>
      <c r="J875" s="28"/>
    </row>
    <row r="876">
      <c r="A876" s="15"/>
      <c r="B876" s="15"/>
      <c r="C876" s="15"/>
      <c r="D876" s="15"/>
      <c r="E876" s="15"/>
      <c r="F876" s="15"/>
      <c r="G876" s="15"/>
      <c r="H876" s="28"/>
      <c r="I876" s="28"/>
      <c r="J876" s="28"/>
    </row>
    <row r="877">
      <c r="A877" s="15"/>
      <c r="B877" s="15"/>
      <c r="C877" s="15"/>
      <c r="D877" s="15"/>
      <c r="E877" s="15"/>
      <c r="F877" s="15"/>
      <c r="G877" s="15"/>
      <c r="H877" s="28"/>
      <c r="I877" s="28"/>
      <c r="J877" s="28"/>
    </row>
    <row r="878">
      <c r="A878" s="15"/>
      <c r="B878" s="15"/>
      <c r="C878" s="15"/>
      <c r="D878" s="15"/>
      <c r="E878" s="15"/>
      <c r="F878" s="15"/>
      <c r="G878" s="15"/>
      <c r="H878" s="28"/>
      <c r="I878" s="28"/>
      <c r="J878" s="28"/>
    </row>
    <row r="879">
      <c r="A879" s="15"/>
      <c r="B879" s="15"/>
      <c r="C879" s="15"/>
      <c r="D879" s="15"/>
      <c r="E879" s="15"/>
      <c r="F879" s="15"/>
      <c r="G879" s="15"/>
      <c r="H879" s="28"/>
      <c r="I879" s="28"/>
      <c r="J879" s="28"/>
    </row>
    <row r="880">
      <c r="A880" s="15"/>
      <c r="B880" s="15"/>
      <c r="C880" s="15"/>
      <c r="D880" s="15"/>
      <c r="E880" s="15"/>
      <c r="F880" s="15"/>
      <c r="G880" s="15"/>
      <c r="H880" s="28"/>
      <c r="I880" s="28"/>
      <c r="J880" s="28"/>
    </row>
    <row r="881">
      <c r="A881" s="15"/>
      <c r="B881" s="15"/>
      <c r="C881" s="15"/>
      <c r="D881" s="15"/>
      <c r="E881" s="15"/>
      <c r="F881" s="15"/>
      <c r="G881" s="15"/>
      <c r="H881" s="28"/>
      <c r="I881" s="28"/>
      <c r="J881" s="28"/>
    </row>
    <row r="882">
      <c r="A882" s="15"/>
      <c r="B882" s="15"/>
      <c r="C882" s="15"/>
      <c r="D882" s="15"/>
      <c r="E882" s="15"/>
      <c r="F882" s="15"/>
      <c r="G882" s="15"/>
      <c r="H882" s="28"/>
      <c r="I882" s="28"/>
      <c r="J882" s="28"/>
    </row>
    <row r="883">
      <c r="A883" s="15"/>
      <c r="B883" s="15"/>
      <c r="C883" s="15"/>
      <c r="D883" s="15"/>
      <c r="E883" s="15"/>
      <c r="F883" s="15"/>
      <c r="G883" s="15"/>
      <c r="H883" s="28"/>
      <c r="I883" s="28"/>
      <c r="J883" s="28"/>
    </row>
    <row r="884">
      <c r="A884" s="15"/>
      <c r="B884" s="15"/>
      <c r="C884" s="15"/>
      <c r="D884" s="15"/>
      <c r="E884" s="15"/>
      <c r="F884" s="15"/>
      <c r="G884" s="15"/>
      <c r="H884" s="28"/>
      <c r="I884" s="28"/>
      <c r="J884" s="28"/>
    </row>
    <row r="885">
      <c r="A885" s="15"/>
      <c r="B885" s="15"/>
      <c r="C885" s="15"/>
      <c r="D885" s="15"/>
      <c r="E885" s="15"/>
      <c r="F885" s="15"/>
      <c r="G885" s="15"/>
      <c r="H885" s="28"/>
      <c r="I885" s="28"/>
      <c r="J885" s="28"/>
    </row>
    <row r="886">
      <c r="A886" s="15"/>
      <c r="B886" s="15"/>
      <c r="C886" s="15"/>
      <c r="D886" s="15"/>
      <c r="E886" s="15"/>
      <c r="F886" s="15"/>
      <c r="G886" s="15"/>
      <c r="H886" s="28"/>
      <c r="I886" s="28"/>
      <c r="J886" s="28"/>
    </row>
    <row r="887">
      <c r="A887" s="15"/>
      <c r="B887" s="15"/>
      <c r="C887" s="15"/>
      <c r="D887" s="15"/>
      <c r="E887" s="15"/>
      <c r="F887" s="15"/>
      <c r="G887" s="15"/>
      <c r="H887" s="28"/>
      <c r="I887" s="28"/>
      <c r="J887" s="28"/>
    </row>
    <row r="888">
      <c r="A888" s="15"/>
      <c r="B888" s="15"/>
      <c r="C888" s="15"/>
      <c r="D888" s="15"/>
      <c r="E888" s="15"/>
      <c r="F888" s="15"/>
      <c r="G888" s="15"/>
      <c r="H888" s="28"/>
      <c r="I888" s="28"/>
      <c r="J888" s="28"/>
    </row>
    <row r="889">
      <c r="A889" s="15"/>
      <c r="B889" s="15"/>
      <c r="C889" s="15"/>
      <c r="D889" s="15"/>
      <c r="E889" s="15"/>
      <c r="F889" s="15"/>
      <c r="G889" s="15"/>
      <c r="H889" s="28"/>
      <c r="I889" s="28"/>
      <c r="J889" s="28"/>
    </row>
    <row r="890">
      <c r="A890" s="15"/>
      <c r="B890" s="15"/>
      <c r="C890" s="15"/>
      <c r="D890" s="15"/>
      <c r="E890" s="15"/>
      <c r="F890" s="15"/>
      <c r="G890" s="15"/>
      <c r="H890" s="28"/>
      <c r="I890" s="28"/>
      <c r="J890" s="28"/>
    </row>
    <row r="891">
      <c r="A891" s="15"/>
      <c r="B891" s="15"/>
      <c r="C891" s="15"/>
      <c r="D891" s="15"/>
      <c r="E891" s="15"/>
      <c r="F891" s="15"/>
      <c r="G891" s="15"/>
      <c r="H891" s="28"/>
      <c r="I891" s="28"/>
      <c r="J891" s="28"/>
    </row>
    <row r="892">
      <c r="A892" s="15"/>
      <c r="B892" s="15"/>
      <c r="C892" s="15"/>
      <c r="D892" s="15"/>
      <c r="E892" s="15"/>
      <c r="F892" s="15"/>
      <c r="G892" s="15"/>
      <c r="H892" s="28"/>
      <c r="I892" s="28"/>
      <c r="J892" s="28"/>
    </row>
    <row r="893">
      <c r="A893" s="15"/>
      <c r="B893" s="15"/>
      <c r="C893" s="15"/>
      <c r="D893" s="15"/>
      <c r="E893" s="15"/>
      <c r="F893" s="15"/>
      <c r="G893" s="15"/>
      <c r="H893" s="28"/>
      <c r="I893" s="28"/>
      <c r="J893" s="28"/>
    </row>
    <row r="894">
      <c r="A894" s="15"/>
      <c r="B894" s="15"/>
      <c r="C894" s="15"/>
      <c r="D894" s="15"/>
      <c r="E894" s="15"/>
      <c r="F894" s="15"/>
      <c r="G894" s="15"/>
      <c r="H894" s="28"/>
      <c r="I894" s="28"/>
      <c r="J894" s="28"/>
    </row>
    <row r="895">
      <c r="A895" s="15"/>
      <c r="B895" s="15"/>
      <c r="C895" s="15"/>
      <c r="D895" s="15"/>
      <c r="E895" s="15"/>
      <c r="F895" s="15"/>
      <c r="G895" s="15"/>
      <c r="H895" s="28"/>
      <c r="I895" s="28"/>
      <c r="J895" s="28"/>
    </row>
    <row r="896">
      <c r="A896" s="15"/>
      <c r="B896" s="15"/>
      <c r="C896" s="15"/>
      <c r="D896" s="15"/>
      <c r="E896" s="15"/>
      <c r="F896" s="15"/>
      <c r="G896" s="15"/>
      <c r="H896" s="28"/>
      <c r="I896" s="28"/>
      <c r="J896" s="28"/>
    </row>
    <row r="897">
      <c r="A897" s="15"/>
      <c r="B897" s="15"/>
      <c r="C897" s="15"/>
      <c r="D897" s="15"/>
      <c r="E897" s="15"/>
      <c r="F897" s="15"/>
      <c r="G897" s="15"/>
      <c r="H897" s="28"/>
      <c r="I897" s="28"/>
      <c r="J897" s="28"/>
    </row>
    <row r="898">
      <c r="A898" s="15"/>
      <c r="B898" s="15"/>
      <c r="C898" s="15"/>
      <c r="D898" s="15"/>
      <c r="E898" s="15"/>
      <c r="F898" s="15"/>
      <c r="G898" s="15"/>
      <c r="H898" s="28"/>
      <c r="I898" s="28"/>
      <c r="J898" s="28"/>
    </row>
    <row r="899">
      <c r="A899" s="15"/>
      <c r="B899" s="15"/>
      <c r="C899" s="15"/>
      <c r="D899" s="15"/>
      <c r="E899" s="15"/>
      <c r="F899" s="15"/>
      <c r="G899" s="15"/>
      <c r="H899" s="28"/>
      <c r="I899" s="28"/>
      <c r="J899" s="28"/>
    </row>
    <row r="900">
      <c r="A900" s="15"/>
      <c r="B900" s="15"/>
      <c r="C900" s="15"/>
      <c r="D900" s="15"/>
      <c r="E900" s="15"/>
      <c r="F900" s="15"/>
      <c r="G900" s="15"/>
      <c r="H900" s="28"/>
      <c r="I900" s="28"/>
      <c r="J900" s="28"/>
    </row>
    <row r="901">
      <c r="A901" s="15"/>
      <c r="B901" s="15"/>
      <c r="C901" s="15"/>
      <c r="D901" s="15"/>
      <c r="E901" s="15"/>
      <c r="F901" s="15"/>
      <c r="G901" s="15"/>
      <c r="H901" s="28"/>
      <c r="I901" s="28"/>
      <c r="J901" s="28"/>
    </row>
    <row r="902">
      <c r="A902" s="15"/>
      <c r="B902" s="15"/>
      <c r="C902" s="15"/>
      <c r="D902" s="15"/>
      <c r="E902" s="15"/>
      <c r="F902" s="15"/>
      <c r="G902" s="15"/>
      <c r="H902" s="28"/>
      <c r="I902" s="28"/>
      <c r="J902" s="28"/>
    </row>
    <row r="903">
      <c r="A903" s="15"/>
      <c r="B903" s="15"/>
      <c r="C903" s="15"/>
      <c r="D903" s="15"/>
      <c r="E903" s="15"/>
      <c r="F903" s="15"/>
      <c r="G903" s="15"/>
      <c r="H903" s="28"/>
      <c r="I903" s="28"/>
      <c r="J903" s="28"/>
    </row>
    <row r="904">
      <c r="A904" s="15"/>
      <c r="B904" s="15"/>
      <c r="C904" s="15"/>
      <c r="D904" s="15"/>
      <c r="E904" s="15"/>
      <c r="F904" s="15"/>
      <c r="G904" s="15"/>
      <c r="H904" s="28"/>
      <c r="I904" s="28"/>
      <c r="J904" s="28"/>
    </row>
    <row r="905">
      <c r="A905" s="15"/>
      <c r="B905" s="15"/>
      <c r="C905" s="15"/>
      <c r="D905" s="15"/>
      <c r="E905" s="15"/>
      <c r="F905" s="15"/>
      <c r="G905" s="15"/>
      <c r="H905" s="28"/>
      <c r="I905" s="28"/>
      <c r="J905" s="28"/>
    </row>
    <row r="906">
      <c r="A906" s="15"/>
      <c r="B906" s="15"/>
      <c r="C906" s="15"/>
      <c r="D906" s="15"/>
      <c r="E906" s="15"/>
      <c r="F906" s="15"/>
      <c r="G906" s="15"/>
      <c r="H906" s="28"/>
      <c r="I906" s="28"/>
      <c r="J906" s="28"/>
    </row>
    <row r="907">
      <c r="A907" s="15"/>
      <c r="B907" s="15"/>
      <c r="C907" s="15"/>
      <c r="D907" s="15"/>
      <c r="E907" s="15"/>
      <c r="F907" s="15"/>
      <c r="G907" s="15"/>
      <c r="H907" s="28"/>
      <c r="I907" s="28"/>
      <c r="J907" s="28"/>
    </row>
    <row r="908">
      <c r="A908" s="15"/>
      <c r="B908" s="15"/>
      <c r="C908" s="15"/>
      <c r="D908" s="15"/>
      <c r="E908" s="15"/>
      <c r="F908" s="15"/>
      <c r="G908" s="15"/>
      <c r="H908" s="28"/>
      <c r="I908" s="28"/>
      <c r="J908" s="28"/>
    </row>
    <row r="909">
      <c r="A909" s="15"/>
      <c r="B909" s="15"/>
      <c r="C909" s="15"/>
      <c r="D909" s="15"/>
      <c r="E909" s="15"/>
      <c r="F909" s="15"/>
      <c r="G909" s="15"/>
      <c r="H909" s="28"/>
      <c r="I909" s="28"/>
      <c r="J909" s="28"/>
    </row>
    <row r="910">
      <c r="A910" s="15"/>
      <c r="B910" s="15"/>
      <c r="C910" s="15"/>
      <c r="D910" s="15"/>
      <c r="E910" s="15"/>
      <c r="F910" s="15"/>
      <c r="G910" s="15"/>
      <c r="H910" s="28"/>
      <c r="I910" s="28"/>
      <c r="J910" s="28"/>
    </row>
    <row r="911">
      <c r="A911" s="15"/>
      <c r="B911" s="15"/>
      <c r="C911" s="15"/>
      <c r="D911" s="15"/>
      <c r="E911" s="15"/>
      <c r="F911" s="15"/>
      <c r="G911" s="15"/>
      <c r="H911" s="28"/>
      <c r="I911" s="28"/>
      <c r="J911" s="28"/>
    </row>
    <row r="912">
      <c r="A912" s="15"/>
      <c r="B912" s="15"/>
      <c r="C912" s="15"/>
      <c r="D912" s="15"/>
      <c r="E912" s="15"/>
      <c r="F912" s="15"/>
      <c r="G912" s="15"/>
      <c r="H912" s="28"/>
      <c r="I912" s="28"/>
      <c r="J912" s="28"/>
    </row>
    <row r="913">
      <c r="A913" s="15"/>
      <c r="B913" s="15"/>
      <c r="C913" s="15"/>
      <c r="D913" s="15"/>
      <c r="E913" s="15"/>
      <c r="F913" s="15"/>
      <c r="G913" s="15"/>
      <c r="H913" s="28"/>
      <c r="I913" s="28"/>
      <c r="J913" s="28"/>
    </row>
    <row r="914">
      <c r="A914" s="15"/>
      <c r="B914" s="15"/>
      <c r="C914" s="15"/>
      <c r="D914" s="15"/>
      <c r="E914" s="15"/>
      <c r="F914" s="15"/>
      <c r="G914" s="15"/>
      <c r="H914" s="28"/>
      <c r="I914" s="28"/>
      <c r="J914" s="28"/>
    </row>
    <row r="915">
      <c r="A915" s="15"/>
      <c r="B915" s="15"/>
      <c r="C915" s="15"/>
      <c r="D915" s="15"/>
      <c r="E915" s="15"/>
      <c r="F915" s="15"/>
      <c r="G915" s="15"/>
      <c r="H915" s="28"/>
      <c r="I915" s="28"/>
      <c r="J915" s="28"/>
    </row>
    <row r="916">
      <c r="A916" s="15"/>
      <c r="B916" s="15"/>
      <c r="C916" s="15"/>
      <c r="D916" s="15"/>
      <c r="E916" s="15"/>
      <c r="F916" s="15"/>
      <c r="G916" s="15"/>
      <c r="H916" s="28"/>
      <c r="I916" s="28"/>
      <c r="J916" s="28"/>
    </row>
    <row r="917">
      <c r="A917" s="15"/>
      <c r="B917" s="15"/>
      <c r="C917" s="15"/>
      <c r="D917" s="15"/>
      <c r="E917" s="15"/>
      <c r="F917" s="15"/>
      <c r="G917" s="15"/>
      <c r="H917" s="28"/>
      <c r="I917" s="28"/>
      <c r="J917" s="28"/>
    </row>
    <row r="918">
      <c r="A918" s="15"/>
      <c r="B918" s="15"/>
      <c r="C918" s="15"/>
      <c r="D918" s="15"/>
      <c r="E918" s="15"/>
      <c r="F918" s="15"/>
      <c r="G918" s="15"/>
      <c r="H918" s="28"/>
      <c r="I918" s="28"/>
      <c r="J918" s="28"/>
    </row>
    <row r="919">
      <c r="A919" s="15"/>
      <c r="B919" s="15"/>
      <c r="C919" s="15"/>
      <c r="D919" s="15"/>
      <c r="E919" s="15"/>
      <c r="F919" s="15"/>
      <c r="G919" s="15"/>
      <c r="H919" s="28"/>
      <c r="I919" s="28"/>
      <c r="J919" s="28"/>
    </row>
    <row r="920">
      <c r="A920" s="15"/>
      <c r="B920" s="15"/>
      <c r="C920" s="15"/>
      <c r="D920" s="15"/>
      <c r="E920" s="15"/>
      <c r="F920" s="15"/>
      <c r="G920" s="15"/>
      <c r="H920" s="28"/>
      <c r="I920" s="28"/>
      <c r="J920" s="28"/>
    </row>
    <row r="921">
      <c r="A921" s="15"/>
      <c r="B921" s="15"/>
      <c r="C921" s="15"/>
      <c r="D921" s="15"/>
      <c r="E921" s="15"/>
      <c r="F921" s="15"/>
      <c r="G921" s="15"/>
      <c r="H921" s="28"/>
      <c r="I921" s="28"/>
      <c r="J921" s="28"/>
    </row>
    <row r="922">
      <c r="A922" s="15"/>
      <c r="B922" s="15"/>
      <c r="C922" s="15"/>
      <c r="D922" s="15"/>
      <c r="E922" s="15"/>
      <c r="F922" s="15"/>
      <c r="G922" s="15"/>
      <c r="H922" s="28"/>
      <c r="I922" s="28"/>
      <c r="J922" s="28"/>
    </row>
    <row r="923">
      <c r="A923" s="15"/>
      <c r="B923" s="15"/>
      <c r="C923" s="15"/>
      <c r="D923" s="15"/>
      <c r="E923" s="15"/>
      <c r="F923" s="15"/>
      <c r="G923" s="15"/>
      <c r="H923" s="28"/>
      <c r="I923" s="28"/>
      <c r="J923" s="28"/>
    </row>
    <row r="924">
      <c r="A924" s="15"/>
      <c r="B924" s="15"/>
      <c r="C924" s="15"/>
      <c r="D924" s="15"/>
      <c r="E924" s="15"/>
      <c r="F924" s="15"/>
      <c r="G924" s="15"/>
      <c r="H924" s="28"/>
      <c r="I924" s="28"/>
      <c r="J924" s="28"/>
    </row>
    <row r="925">
      <c r="A925" s="15"/>
      <c r="B925" s="15"/>
      <c r="C925" s="15"/>
      <c r="D925" s="15"/>
      <c r="E925" s="15"/>
      <c r="F925" s="15"/>
      <c r="G925" s="15"/>
      <c r="H925" s="28"/>
      <c r="I925" s="28"/>
      <c r="J925" s="28"/>
    </row>
    <row r="926">
      <c r="A926" s="15"/>
      <c r="B926" s="15"/>
      <c r="C926" s="15"/>
      <c r="D926" s="15"/>
      <c r="E926" s="15"/>
      <c r="F926" s="15"/>
      <c r="G926" s="15"/>
      <c r="H926" s="28"/>
      <c r="I926" s="28"/>
      <c r="J926" s="28"/>
    </row>
    <row r="927">
      <c r="A927" s="15"/>
      <c r="B927" s="15"/>
      <c r="C927" s="15"/>
      <c r="D927" s="15"/>
      <c r="E927" s="15"/>
      <c r="F927" s="15"/>
      <c r="G927" s="15"/>
      <c r="H927" s="28"/>
      <c r="I927" s="28"/>
      <c r="J927" s="28"/>
    </row>
    <row r="928">
      <c r="A928" s="15"/>
      <c r="B928" s="15"/>
      <c r="C928" s="15"/>
      <c r="D928" s="15"/>
      <c r="E928" s="15"/>
      <c r="F928" s="15"/>
      <c r="G928" s="15"/>
      <c r="H928" s="28"/>
      <c r="I928" s="28"/>
      <c r="J928" s="28"/>
    </row>
    <row r="929">
      <c r="A929" s="15"/>
      <c r="B929" s="15"/>
      <c r="C929" s="15"/>
      <c r="D929" s="15"/>
      <c r="E929" s="15"/>
      <c r="F929" s="15"/>
      <c r="G929" s="15"/>
      <c r="H929" s="28"/>
      <c r="I929" s="28"/>
      <c r="J929" s="28"/>
    </row>
    <row r="930">
      <c r="A930" s="15"/>
      <c r="B930" s="15"/>
      <c r="C930" s="15"/>
      <c r="D930" s="15"/>
      <c r="E930" s="15"/>
      <c r="F930" s="15"/>
      <c r="G930" s="15"/>
      <c r="H930" s="28"/>
      <c r="I930" s="28"/>
      <c r="J930" s="28"/>
    </row>
    <row r="931">
      <c r="A931" s="15"/>
      <c r="B931" s="15"/>
      <c r="C931" s="15"/>
      <c r="D931" s="15"/>
      <c r="E931" s="15"/>
      <c r="F931" s="15"/>
      <c r="G931" s="15"/>
      <c r="H931" s="28"/>
      <c r="I931" s="28"/>
      <c r="J931" s="28"/>
    </row>
    <row r="932">
      <c r="A932" s="15"/>
      <c r="B932" s="15"/>
      <c r="C932" s="15"/>
      <c r="D932" s="15"/>
      <c r="E932" s="15"/>
      <c r="F932" s="15"/>
      <c r="G932" s="15"/>
      <c r="H932" s="28"/>
      <c r="I932" s="28"/>
      <c r="J932" s="28"/>
    </row>
    <row r="933">
      <c r="A933" s="15"/>
      <c r="B933" s="15"/>
      <c r="C933" s="15"/>
      <c r="D933" s="15"/>
      <c r="E933" s="15"/>
      <c r="F933" s="15"/>
      <c r="G933" s="15"/>
      <c r="H933" s="28"/>
      <c r="I933" s="28"/>
      <c r="J933" s="28"/>
    </row>
    <row r="934">
      <c r="A934" s="15"/>
      <c r="B934" s="15"/>
      <c r="C934" s="15"/>
      <c r="D934" s="15"/>
      <c r="E934" s="15"/>
      <c r="F934" s="15"/>
      <c r="G934" s="15"/>
      <c r="H934" s="28"/>
      <c r="I934" s="28"/>
      <c r="J934" s="28"/>
    </row>
    <row r="935">
      <c r="A935" s="15"/>
      <c r="B935" s="15"/>
      <c r="C935" s="15"/>
      <c r="D935" s="15"/>
      <c r="E935" s="15"/>
      <c r="F935" s="15"/>
      <c r="G935" s="15"/>
      <c r="H935" s="28"/>
      <c r="I935" s="28"/>
      <c r="J935" s="28"/>
    </row>
    <row r="936">
      <c r="A936" s="15"/>
      <c r="B936" s="15"/>
      <c r="C936" s="15"/>
      <c r="D936" s="15"/>
      <c r="E936" s="15"/>
      <c r="F936" s="15"/>
      <c r="G936" s="15"/>
      <c r="H936" s="28"/>
      <c r="I936" s="28"/>
      <c r="J936" s="28"/>
    </row>
    <row r="937">
      <c r="A937" s="15"/>
      <c r="B937" s="15"/>
      <c r="C937" s="15"/>
      <c r="D937" s="15"/>
      <c r="E937" s="15"/>
      <c r="F937" s="15"/>
      <c r="G937" s="15"/>
      <c r="H937" s="28"/>
      <c r="I937" s="28"/>
      <c r="J937" s="28"/>
    </row>
    <row r="938">
      <c r="A938" s="15"/>
      <c r="B938" s="15"/>
      <c r="C938" s="15"/>
      <c r="D938" s="15"/>
      <c r="E938" s="15"/>
      <c r="F938" s="15"/>
      <c r="G938" s="15"/>
      <c r="H938" s="28"/>
      <c r="I938" s="28"/>
      <c r="J938" s="28"/>
    </row>
    <row r="939">
      <c r="A939" s="15"/>
      <c r="B939" s="15"/>
      <c r="C939" s="15"/>
      <c r="D939" s="15"/>
      <c r="E939" s="15"/>
      <c r="F939" s="15"/>
      <c r="G939" s="15"/>
      <c r="H939" s="28"/>
      <c r="I939" s="28"/>
      <c r="J939" s="28"/>
    </row>
    <row r="940">
      <c r="A940" s="15"/>
      <c r="B940" s="15"/>
      <c r="C940" s="15"/>
      <c r="D940" s="15"/>
      <c r="E940" s="15"/>
      <c r="F940" s="15"/>
      <c r="G940" s="15"/>
      <c r="H940" s="28"/>
      <c r="I940" s="28"/>
      <c r="J940" s="28"/>
    </row>
    <row r="941">
      <c r="A941" s="15"/>
      <c r="B941" s="15"/>
      <c r="C941" s="15"/>
      <c r="D941" s="15"/>
      <c r="E941" s="15"/>
      <c r="F941" s="15"/>
      <c r="G941" s="15"/>
      <c r="H941" s="28"/>
      <c r="I941" s="28"/>
      <c r="J941" s="28"/>
    </row>
    <row r="942">
      <c r="A942" s="15"/>
      <c r="B942" s="15"/>
      <c r="C942" s="15"/>
      <c r="D942" s="15"/>
      <c r="E942" s="15"/>
      <c r="F942" s="15"/>
      <c r="G942" s="15"/>
      <c r="H942" s="28"/>
      <c r="I942" s="28"/>
      <c r="J942" s="28"/>
    </row>
    <row r="943">
      <c r="A943" s="15"/>
      <c r="B943" s="15"/>
      <c r="C943" s="15"/>
      <c r="D943" s="15"/>
      <c r="E943" s="15"/>
      <c r="F943" s="15"/>
      <c r="G943" s="15"/>
      <c r="H943" s="28"/>
      <c r="I943" s="28"/>
      <c r="J943" s="28"/>
    </row>
    <row r="944">
      <c r="A944" s="15"/>
      <c r="B944" s="15"/>
      <c r="C944" s="15"/>
      <c r="D944" s="15"/>
      <c r="E944" s="15"/>
      <c r="F944" s="15"/>
      <c r="G944" s="15"/>
      <c r="H944" s="28"/>
      <c r="I944" s="28"/>
      <c r="J944" s="28"/>
    </row>
    <row r="945">
      <c r="A945" s="15"/>
      <c r="B945" s="15"/>
      <c r="C945" s="15"/>
      <c r="D945" s="15"/>
      <c r="E945" s="15"/>
      <c r="F945" s="15"/>
      <c r="G945" s="15"/>
      <c r="H945" s="28"/>
      <c r="I945" s="28"/>
      <c r="J945" s="28"/>
    </row>
    <row r="946">
      <c r="A946" s="15"/>
      <c r="B946" s="15"/>
      <c r="C946" s="15"/>
      <c r="D946" s="15"/>
      <c r="E946" s="15"/>
      <c r="F946" s="15"/>
      <c r="G946" s="15"/>
      <c r="H946" s="28"/>
      <c r="I946" s="28"/>
      <c r="J946" s="28"/>
    </row>
    <row r="947">
      <c r="A947" s="15"/>
      <c r="B947" s="15"/>
      <c r="C947" s="15"/>
      <c r="D947" s="15"/>
      <c r="E947" s="15"/>
      <c r="F947" s="15"/>
      <c r="G947" s="15"/>
      <c r="H947" s="28"/>
      <c r="I947" s="28"/>
      <c r="J947" s="28"/>
    </row>
    <row r="948">
      <c r="A948" s="15"/>
      <c r="B948" s="15"/>
      <c r="C948" s="15"/>
      <c r="D948" s="15"/>
      <c r="E948" s="15"/>
      <c r="F948" s="15"/>
      <c r="G948" s="15"/>
      <c r="H948" s="28"/>
      <c r="I948" s="28"/>
      <c r="J948" s="28"/>
    </row>
    <row r="949">
      <c r="A949" s="15"/>
      <c r="B949" s="15"/>
      <c r="C949" s="15"/>
      <c r="D949" s="15"/>
      <c r="E949" s="15"/>
      <c r="F949" s="15"/>
      <c r="G949" s="15"/>
      <c r="H949" s="28"/>
      <c r="I949" s="28"/>
      <c r="J949" s="28"/>
    </row>
    <row r="950">
      <c r="A950" s="15"/>
      <c r="B950" s="15"/>
      <c r="C950" s="15"/>
      <c r="D950" s="15"/>
      <c r="E950" s="15"/>
      <c r="F950" s="15"/>
      <c r="G950" s="15"/>
      <c r="H950" s="28"/>
      <c r="I950" s="28"/>
      <c r="J950" s="28"/>
    </row>
    <row r="951">
      <c r="A951" s="15"/>
      <c r="B951" s="15"/>
      <c r="C951" s="15"/>
      <c r="D951" s="15"/>
      <c r="E951" s="15"/>
      <c r="F951" s="15"/>
      <c r="G951" s="15"/>
      <c r="H951" s="28"/>
      <c r="I951" s="28"/>
      <c r="J951" s="28"/>
    </row>
    <row r="952">
      <c r="A952" s="15"/>
      <c r="B952" s="15"/>
      <c r="C952" s="15"/>
      <c r="D952" s="15"/>
      <c r="E952" s="15"/>
      <c r="F952" s="15"/>
      <c r="G952" s="15"/>
      <c r="H952" s="28"/>
      <c r="I952" s="28"/>
      <c r="J952" s="28"/>
    </row>
    <row r="953">
      <c r="A953" s="15"/>
      <c r="B953" s="15"/>
      <c r="C953" s="15"/>
      <c r="D953" s="15"/>
      <c r="E953" s="15"/>
      <c r="F953" s="15"/>
      <c r="G953" s="15"/>
      <c r="H953" s="28"/>
      <c r="I953" s="28"/>
      <c r="J953" s="28"/>
    </row>
    <row r="954">
      <c r="A954" s="15"/>
      <c r="B954" s="15"/>
      <c r="C954" s="15"/>
      <c r="D954" s="15"/>
      <c r="E954" s="15"/>
      <c r="F954" s="15"/>
      <c r="G954" s="15"/>
      <c r="H954" s="28"/>
      <c r="I954" s="28"/>
      <c r="J954" s="28"/>
    </row>
    <row r="955">
      <c r="A955" s="15"/>
      <c r="B955" s="15"/>
      <c r="C955" s="15"/>
      <c r="D955" s="15"/>
      <c r="E955" s="15"/>
      <c r="F955" s="15"/>
      <c r="G955" s="15"/>
      <c r="H955" s="28"/>
      <c r="I955" s="28"/>
      <c r="J955" s="28"/>
    </row>
    <row r="956">
      <c r="A956" s="15"/>
      <c r="B956" s="15"/>
      <c r="C956" s="15"/>
      <c r="D956" s="15"/>
      <c r="E956" s="15"/>
      <c r="F956" s="15"/>
      <c r="G956" s="15"/>
      <c r="H956" s="28"/>
      <c r="I956" s="28"/>
      <c r="J956" s="28"/>
    </row>
    <row r="957">
      <c r="A957" s="15"/>
      <c r="B957" s="15"/>
      <c r="C957" s="15"/>
      <c r="D957" s="15"/>
      <c r="E957" s="15"/>
      <c r="F957" s="15"/>
      <c r="G957" s="15"/>
      <c r="H957" s="28"/>
      <c r="I957" s="28"/>
      <c r="J957" s="28"/>
    </row>
    <row r="958">
      <c r="A958" s="15"/>
      <c r="B958" s="15"/>
      <c r="C958" s="15"/>
      <c r="D958" s="15"/>
      <c r="E958" s="15"/>
      <c r="F958" s="15"/>
      <c r="G958" s="15"/>
      <c r="H958" s="28"/>
      <c r="I958" s="28"/>
      <c r="J958" s="28"/>
    </row>
    <row r="959">
      <c r="A959" s="15"/>
      <c r="B959" s="15"/>
      <c r="C959" s="15"/>
      <c r="D959" s="15"/>
      <c r="E959" s="15"/>
      <c r="F959" s="15"/>
      <c r="G959" s="15"/>
      <c r="H959" s="28"/>
      <c r="I959" s="28"/>
      <c r="J959" s="28"/>
    </row>
    <row r="960">
      <c r="A960" s="15"/>
      <c r="B960" s="15"/>
      <c r="C960" s="15"/>
      <c r="D960" s="15"/>
      <c r="E960" s="15"/>
      <c r="F960" s="15"/>
      <c r="G960" s="15"/>
      <c r="H960" s="28"/>
      <c r="I960" s="28"/>
      <c r="J960" s="28"/>
    </row>
    <row r="961">
      <c r="A961" s="15"/>
      <c r="B961" s="15"/>
      <c r="C961" s="15"/>
      <c r="D961" s="15"/>
      <c r="E961" s="15"/>
      <c r="F961" s="15"/>
      <c r="G961" s="15"/>
      <c r="H961" s="28"/>
      <c r="I961" s="28"/>
      <c r="J961" s="28"/>
    </row>
    <row r="962">
      <c r="A962" s="15"/>
      <c r="B962" s="15"/>
      <c r="C962" s="15"/>
      <c r="D962" s="15"/>
      <c r="E962" s="15"/>
      <c r="F962" s="15"/>
      <c r="G962" s="15"/>
      <c r="H962" s="28"/>
      <c r="I962" s="28"/>
      <c r="J962" s="28"/>
    </row>
    <row r="963">
      <c r="A963" s="15"/>
      <c r="B963" s="15"/>
      <c r="C963" s="15"/>
      <c r="D963" s="15"/>
      <c r="E963" s="15"/>
      <c r="F963" s="15"/>
      <c r="G963" s="15"/>
      <c r="H963" s="28"/>
      <c r="I963" s="28"/>
      <c r="J963" s="28"/>
    </row>
    <row r="964">
      <c r="A964" s="15"/>
      <c r="B964" s="15"/>
      <c r="C964" s="15"/>
      <c r="D964" s="15"/>
      <c r="E964" s="15"/>
      <c r="F964" s="15"/>
      <c r="G964" s="15"/>
      <c r="H964" s="28"/>
      <c r="I964" s="28"/>
      <c r="J964" s="28"/>
    </row>
    <row r="965">
      <c r="A965" s="15"/>
      <c r="B965" s="15"/>
      <c r="C965" s="15"/>
      <c r="D965" s="15"/>
      <c r="E965" s="15"/>
      <c r="F965" s="15"/>
      <c r="G965" s="15"/>
      <c r="H965" s="28"/>
      <c r="I965" s="28"/>
      <c r="J965" s="28"/>
    </row>
    <row r="966">
      <c r="A966" s="15"/>
      <c r="B966" s="15"/>
      <c r="C966" s="15"/>
      <c r="D966" s="15"/>
      <c r="E966" s="15"/>
      <c r="F966" s="15"/>
      <c r="G966" s="15"/>
      <c r="H966" s="28"/>
      <c r="I966" s="28"/>
      <c r="J966" s="28"/>
    </row>
    <row r="967">
      <c r="A967" s="15"/>
      <c r="B967" s="15"/>
      <c r="C967" s="15"/>
      <c r="D967" s="15"/>
      <c r="E967" s="15"/>
      <c r="F967" s="15"/>
      <c r="G967" s="15"/>
      <c r="H967" s="28"/>
      <c r="I967" s="28"/>
      <c r="J967" s="28"/>
    </row>
    <row r="968">
      <c r="A968" s="15"/>
      <c r="B968" s="15"/>
      <c r="C968" s="15"/>
      <c r="D968" s="15"/>
      <c r="E968" s="15"/>
      <c r="F968" s="15"/>
      <c r="G968" s="15"/>
      <c r="H968" s="28"/>
      <c r="I968" s="28"/>
      <c r="J968" s="28"/>
    </row>
    <row r="969">
      <c r="A969" s="15"/>
      <c r="B969" s="15"/>
      <c r="C969" s="15"/>
      <c r="D969" s="15"/>
      <c r="E969" s="15"/>
      <c r="F969" s="15"/>
      <c r="G969" s="15"/>
      <c r="H969" s="28"/>
      <c r="I969" s="28"/>
      <c r="J969" s="28"/>
    </row>
    <row r="970">
      <c r="A970" s="15"/>
      <c r="B970" s="15"/>
      <c r="C970" s="15"/>
      <c r="D970" s="15"/>
      <c r="E970" s="15"/>
      <c r="F970" s="15"/>
      <c r="G970" s="15"/>
      <c r="H970" s="28"/>
      <c r="I970" s="28"/>
      <c r="J970" s="28"/>
    </row>
    <row r="971">
      <c r="A971" s="15"/>
      <c r="B971" s="15"/>
      <c r="C971" s="15"/>
      <c r="D971" s="15"/>
      <c r="E971" s="15"/>
      <c r="F971" s="15"/>
      <c r="G971" s="15"/>
      <c r="H971" s="28"/>
      <c r="I971" s="28"/>
      <c r="J971" s="28"/>
    </row>
    <row r="972">
      <c r="A972" s="15"/>
      <c r="B972" s="15"/>
      <c r="C972" s="15"/>
      <c r="D972" s="15"/>
      <c r="E972" s="15"/>
      <c r="F972" s="15"/>
      <c r="G972" s="15"/>
      <c r="H972" s="28"/>
      <c r="I972" s="28"/>
      <c r="J972" s="28"/>
    </row>
    <row r="973">
      <c r="A973" s="15"/>
      <c r="B973" s="15"/>
      <c r="C973" s="15"/>
      <c r="D973" s="15"/>
      <c r="E973" s="15"/>
      <c r="F973" s="15"/>
      <c r="G973" s="15"/>
      <c r="H973" s="28"/>
      <c r="I973" s="28"/>
      <c r="J973" s="28"/>
    </row>
    <row r="974">
      <c r="A974" s="15"/>
      <c r="B974" s="15"/>
      <c r="C974" s="15"/>
      <c r="D974" s="15"/>
      <c r="E974" s="15"/>
      <c r="F974" s="15"/>
      <c r="G974" s="15"/>
      <c r="H974" s="28"/>
      <c r="I974" s="28"/>
      <c r="J974" s="28"/>
    </row>
    <row r="975">
      <c r="A975" s="15"/>
      <c r="B975" s="15"/>
      <c r="C975" s="15"/>
      <c r="D975" s="15"/>
      <c r="E975" s="15"/>
      <c r="F975" s="15"/>
      <c r="G975" s="15"/>
      <c r="H975" s="28"/>
      <c r="I975" s="28"/>
      <c r="J975" s="28"/>
    </row>
    <row r="976">
      <c r="A976" s="15"/>
      <c r="B976" s="15"/>
      <c r="C976" s="15"/>
      <c r="D976" s="15"/>
      <c r="E976" s="15"/>
      <c r="F976" s="15"/>
      <c r="G976" s="15"/>
      <c r="H976" s="28"/>
      <c r="I976" s="28"/>
      <c r="J976" s="28"/>
    </row>
    <row r="977">
      <c r="A977" s="15"/>
      <c r="B977" s="15"/>
      <c r="C977" s="15"/>
      <c r="D977" s="15"/>
      <c r="E977" s="15"/>
      <c r="F977" s="15"/>
      <c r="G977" s="15"/>
      <c r="H977" s="28"/>
      <c r="I977" s="28"/>
      <c r="J977" s="28"/>
    </row>
    <row r="978">
      <c r="A978" s="15"/>
      <c r="B978" s="15"/>
      <c r="C978" s="15"/>
      <c r="D978" s="15"/>
      <c r="E978" s="15"/>
      <c r="F978" s="15"/>
      <c r="G978" s="15"/>
      <c r="H978" s="28"/>
      <c r="I978" s="28"/>
      <c r="J978" s="28"/>
    </row>
    <row r="979">
      <c r="A979" s="15"/>
      <c r="B979" s="15"/>
      <c r="C979" s="15"/>
      <c r="D979" s="15"/>
      <c r="E979" s="15"/>
      <c r="F979" s="15"/>
      <c r="G979" s="15"/>
      <c r="H979" s="28"/>
      <c r="I979" s="28"/>
      <c r="J979" s="28"/>
    </row>
    <row r="980">
      <c r="A980" s="15"/>
      <c r="B980" s="15"/>
      <c r="C980" s="15"/>
      <c r="D980" s="15"/>
      <c r="E980" s="15"/>
      <c r="F980" s="15"/>
      <c r="G980" s="15"/>
      <c r="H980" s="28"/>
      <c r="I980" s="28"/>
      <c r="J980" s="28"/>
    </row>
    <row r="981">
      <c r="A981" s="15"/>
      <c r="B981" s="15"/>
      <c r="C981" s="15"/>
      <c r="D981" s="15"/>
      <c r="E981" s="15"/>
      <c r="F981" s="15"/>
      <c r="G981" s="15"/>
      <c r="H981" s="28"/>
      <c r="I981" s="28"/>
      <c r="J981" s="28"/>
    </row>
    <row r="982">
      <c r="A982" s="15"/>
      <c r="B982" s="15"/>
      <c r="C982" s="15"/>
      <c r="D982" s="15"/>
      <c r="E982" s="15"/>
      <c r="F982" s="15"/>
      <c r="G982" s="15"/>
      <c r="H982" s="28"/>
      <c r="I982" s="28"/>
      <c r="J982" s="28"/>
    </row>
    <row r="983">
      <c r="A983" s="15"/>
      <c r="B983" s="15"/>
      <c r="C983" s="15"/>
      <c r="D983" s="15"/>
      <c r="E983" s="15"/>
      <c r="F983" s="15"/>
      <c r="G983" s="15"/>
      <c r="H983" s="28"/>
      <c r="I983" s="28"/>
      <c r="J983" s="28"/>
    </row>
    <row r="984">
      <c r="A984" s="15"/>
      <c r="B984" s="15"/>
      <c r="C984" s="15"/>
      <c r="D984" s="15"/>
      <c r="E984" s="15"/>
      <c r="F984" s="15"/>
      <c r="G984" s="15"/>
      <c r="H984" s="15"/>
      <c r="I984" s="28"/>
      <c r="J984" s="15"/>
    </row>
    <row r="985">
      <c r="A985" s="15"/>
      <c r="B985" s="15"/>
      <c r="C985" s="15"/>
      <c r="D985" s="15"/>
      <c r="E985" s="15"/>
      <c r="F985" s="15"/>
      <c r="G985" s="15"/>
      <c r="H985" s="15"/>
      <c r="I985" s="28"/>
      <c r="J985" s="15"/>
    </row>
    <row r="986">
      <c r="A986" s="15"/>
      <c r="B986" s="15"/>
      <c r="C986" s="15"/>
      <c r="D986" s="15"/>
      <c r="E986" s="15"/>
      <c r="F986" s="15"/>
      <c r="G986" s="15"/>
      <c r="H986" s="15"/>
      <c r="I986" s="28"/>
      <c r="J986" s="15"/>
    </row>
    <row r="987">
      <c r="A987" s="15"/>
      <c r="B987" s="15"/>
      <c r="C987" s="15"/>
      <c r="D987" s="15"/>
      <c r="E987" s="15"/>
      <c r="F987" s="15"/>
      <c r="G987" s="15"/>
      <c r="H987" s="15"/>
      <c r="I987" s="28"/>
      <c r="J987" s="15"/>
    </row>
    <row r="988">
      <c r="A988" s="15"/>
      <c r="B988" s="15"/>
      <c r="C988" s="15"/>
      <c r="D988" s="15"/>
      <c r="E988" s="15"/>
      <c r="F988" s="15"/>
      <c r="G988" s="15"/>
      <c r="H988" s="15"/>
      <c r="I988" s="28"/>
      <c r="J988" s="15"/>
    </row>
    <row r="989">
      <c r="A989" s="15"/>
      <c r="B989" s="15"/>
      <c r="C989" s="15"/>
      <c r="D989" s="15"/>
      <c r="E989" s="15"/>
      <c r="F989" s="15"/>
      <c r="G989" s="15"/>
      <c r="H989" s="15"/>
      <c r="I989" s="28"/>
      <c r="J989" s="15"/>
    </row>
    <row r="990">
      <c r="A990" s="15"/>
      <c r="B990" s="15"/>
      <c r="C990" s="15"/>
      <c r="D990" s="15"/>
      <c r="E990" s="15"/>
      <c r="F990" s="15"/>
      <c r="G990" s="15"/>
      <c r="H990" s="15"/>
      <c r="I990" s="28"/>
      <c r="J990" s="15"/>
    </row>
    <row r="991">
      <c r="A991" s="15"/>
      <c r="B991" s="15"/>
      <c r="C991" s="15"/>
      <c r="D991" s="15"/>
      <c r="E991" s="15"/>
      <c r="F991" s="15"/>
      <c r="G991" s="15"/>
      <c r="H991" s="15"/>
      <c r="I991" s="28"/>
      <c r="J991" s="15"/>
    </row>
    <row r="992">
      <c r="A992" s="15"/>
      <c r="B992" s="15"/>
      <c r="C992" s="15"/>
      <c r="D992" s="15"/>
      <c r="E992" s="15"/>
      <c r="F992" s="15"/>
      <c r="G992" s="15"/>
      <c r="H992" s="15"/>
      <c r="I992" s="28"/>
      <c r="J992" s="15"/>
    </row>
    <row r="993">
      <c r="A993" s="15"/>
      <c r="B993" s="15"/>
      <c r="C993" s="15"/>
      <c r="D993" s="15"/>
      <c r="E993" s="15"/>
      <c r="F993" s="15"/>
      <c r="G993" s="15"/>
      <c r="H993" s="15"/>
      <c r="I993" s="28"/>
      <c r="J993" s="15"/>
    </row>
    <row r="994">
      <c r="A994" s="15"/>
      <c r="B994" s="15"/>
      <c r="C994" s="15"/>
      <c r="D994" s="15"/>
      <c r="E994" s="15"/>
      <c r="F994" s="15"/>
      <c r="G994" s="15"/>
      <c r="H994" s="15"/>
      <c r="I994" s="28"/>
      <c r="J994" s="15"/>
    </row>
    <row r="995">
      <c r="A995" s="15"/>
      <c r="B995" s="15"/>
      <c r="C995" s="15"/>
      <c r="D995" s="15"/>
      <c r="E995" s="15"/>
      <c r="F995" s="15"/>
      <c r="G995" s="15"/>
      <c r="H995" s="15"/>
      <c r="I995" s="28"/>
      <c r="J995" s="15"/>
    </row>
    <row r="996">
      <c r="A996" s="15"/>
      <c r="B996" s="15"/>
      <c r="C996" s="15"/>
      <c r="D996" s="15"/>
      <c r="E996" s="15"/>
      <c r="F996" s="15"/>
      <c r="G996" s="15"/>
      <c r="H996" s="15"/>
      <c r="I996" s="28"/>
      <c r="J996" s="15"/>
    </row>
    <row r="997">
      <c r="A997" s="15"/>
      <c r="B997" s="15"/>
      <c r="C997" s="15"/>
      <c r="D997" s="15"/>
      <c r="E997" s="15"/>
      <c r="F997" s="15"/>
      <c r="G997" s="15"/>
      <c r="H997" s="15"/>
      <c r="I997" s="28"/>
      <c r="J997" s="15"/>
    </row>
    <row r="998">
      <c r="A998" s="15"/>
      <c r="B998" s="15"/>
      <c r="C998" s="15"/>
      <c r="D998" s="15"/>
      <c r="E998" s="15"/>
      <c r="F998" s="15"/>
      <c r="G998" s="15"/>
      <c r="H998" s="15"/>
      <c r="I998" s="28"/>
      <c r="J998" s="15"/>
    </row>
    <row r="999">
      <c r="A999" s="15"/>
      <c r="B999" s="15"/>
      <c r="C999" s="15"/>
      <c r="D999" s="15"/>
      <c r="E999" s="15"/>
      <c r="F999" s="15"/>
      <c r="G999" s="15"/>
      <c r="H999" s="15"/>
      <c r="I999" s="28"/>
      <c r="J999" s="15"/>
    </row>
    <row r="1000">
      <c r="A1000" s="15"/>
      <c r="B1000" s="15"/>
      <c r="C1000" s="15"/>
      <c r="D1000" s="15"/>
      <c r="E1000" s="15"/>
      <c r="F1000" s="15"/>
      <c r="G1000" s="15"/>
      <c r="H1000" s="15"/>
      <c r="I1000" s="28"/>
      <c r="J1000" s="15"/>
    </row>
    <row r="1001">
      <c r="A1001" s="15"/>
      <c r="B1001" s="15"/>
      <c r="C1001" s="15"/>
      <c r="D1001" s="15"/>
      <c r="E1001" s="15"/>
      <c r="F1001" s="15"/>
      <c r="G1001" s="15"/>
      <c r="H1001" s="15"/>
      <c r="I1001" s="15"/>
      <c r="J1001" s="15"/>
    </row>
    <row r="1002">
      <c r="A1002" s="15"/>
      <c r="B1002" s="15"/>
      <c r="C1002" s="15"/>
      <c r="D1002" s="15"/>
      <c r="E1002" s="15"/>
      <c r="F1002" s="15"/>
      <c r="G1002" s="15"/>
      <c r="H1002" s="15"/>
      <c r="I1002" s="15"/>
      <c r="J1002" s="15"/>
    </row>
    <row r="1003">
      <c r="A1003" s="15"/>
      <c r="B1003" s="15"/>
      <c r="C1003" s="15"/>
      <c r="D1003" s="15"/>
      <c r="E1003" s="15"/>
      <c r="F1003" s="15"/>
      <c r="G1003" s="15"/>
      <c r="H1003" s="15"/>
      <c r="I1003" s="15"/>
      <c r="J1003" s="15"/>
    </row>
    <row r="1004">
      <c r="A1004" s="15"/>
      <c r="B1004" s="15"/>
      <c r="C1004" s="15"/>
      <c r="D1004" s="15"/>
      <c r="E1004" s="15"/>
      <c r="F1004" s="15"/>
      <c r="G1004" s="15"/>
      <c r="H1004" s="15"/>
      <c r="I1004" s="15"/>
      <c r="J1004" s="15"/>
    </row>
    <row r="1005">
      <c r="A1005" s="15"/>
      <c r="B1005" s="15"/>
      <c r="C1005" s="15"/>
      <c r="D1005" s="15"/>
      <c r="E1005" s="15"/>
      <c r="F1005" s="15"/>
      <c r="G1005" s="15"/>
      <c r="H1005" s="15"/>
      <c r="I1005" s="15"/>
      <c r="J1005" s="15"/>
    </row>
    <row r="1006">
      <c r="A1006" s="15"/>
      <c r="B1006" s="15"/>
      <c r="C1006" s="15"/>
      <c r="D1006" s="15"/>
      <c r="E1006" s="15"/>
      <c r="F1006" s="15"/>
      <c r="G1006" s="15"/>
      <c r="H1006" s="15"/>
      <c r="I1006" s="15"/>
      <c r="J1006" s="15"/>
    </row>
    <row r="1007">
      <c r="A1007" s="15"/>
      <c r="B1007" s="15"/>
      <c r="C1007" s="15"/>
      <c r="D1007" s="15"/>
      <c r="E1007" s="15"/>
      <c r="F1007" s="15"/>
      <c r="G1007" s="15"/>
      <c r="H1007" s="15"/>
      <c r="I1007" s="15"/>
      <c r="J1007" s="15"/>
    </row>
    <row r="1008">
      <c r="A1008" s="15"/>
      <c r="B1008" s="15"/>
      <c r="C1008" s="15"/>
      <c r="D1008" s="15"/>
      <c r="E1008" s="15"/>
      <c r="F1008" s="15"/>
      <c r="G1008" s="15"/>
      <c r="H1008" s="15"/>
      <c r="I1008" s="15"/>
      <c r="J1008" s="15"/>
    </row>
    <row r="1009">
      <c r="A1009" s="15"/>
      <c r="B1009" s="15"/>
      <c r="C1009" s="15"/>
      <c r="D1009" s="15"/>
      <c r="E1009" s="15"/>
      <c r="F1009" s="15"/>
      <c r="G1009" s="15"/>
      <c r="H1009" s="15"/>
      <c r="I1009" s="15"/>
      <c r="J1009" s="15"/>
    </row>
    <row r="1010">
      <c r="A1010" s="15"/>
      <c r="B1010" s="15"/>
      <c r="C1010" s="15"/>
      <c r="D1010" s="15"/>
      <c r="E1010" s="15"/>
      <c r="F1010" s="15"/>
      <c r="G1010" s="15"/>
      <c r="H1010" s="15"/>
      <c r="I1010" s="15"/>
      <c r="J1010" s="15"/>
    </row>
    <row r="1011">
      <c r="A1011" s="15"/>
      <c r="B1011" s="15"/>
      <c r="C1011" s="15"/>
      <c r="D1011" s="15"/>
      <c r="E1011" s="15"/>
      <c r="F1011" s="15"/>
      <c r="G1011" s="15"/>
      <c r="H1011" s="15"/>
      <c r="I1011" s="15"/>
      <c r="J1011" s="15"/>
    </row>
    <row r="1012">
      <c r="A1012" s="15"/>
      <c r="B1012" s="15"/>
      <c r="C1012" s="15"/>
      <c r="D1012" s="15"/>
      <c r="E1012" s="15"/>
      <c r="F1012" s="15"/>
      <c r="G1012" s="15"/>
      <c r="H1012" s="15"/>
      <c r="I1012" s="15"/>
      <c r="J1012" s="15"/>
    </row>
    <row r="1013">
      <c r="A1013" s="15"/>
      <c r="B1013" s="15"/>
      <c r="C1013" s="15"/>
      <c r="D1013" s="15"/>
      <c r="E1013" s="15"/>
      <c r="F1013" s="15"/>
      <c r="G1013" s="15"/>
      <c r="H1013" s="15"/>
      <c r="I1013" s="15"/>
      <c r="J1013" s="15"/>
    </row>
    <row r="1014">
      <c r="A1014" s="15"/>
      <c r="B1014" s="15"/>
      <c r="C1014" s="15"/>
      <c r="D1014" s="15"/>
      <c r="E1014" s="15"/>
      <c r="F1014" s="15"/>
      <c r="G1014" s="15"/>
      <c r="H1014" s="15"/>
      <c r="I1014" s="15"/>
      <c r="J1014" s="15"/>
    </row>
    <row r="1015">
      <c r="A1015" s="15"/>
      <c r="B1015" s="15"/>
      <c r="C1015" s="15"/>
      <c r="D1015" s="15"/>
      <c r="E1015" s="15"/>
      <c r="F1015" s="15"/>
      <c r="G1015" s="15"/>
      <c r="H1015" s="15"/>
      <c r="I1015" s="15"/>
      <c r="J1015" s="15"/>
    </row>
    <row r="1016">
      <c r="A1016" s="15"/>
      <c r="B1016" s="15"/>
      <c r="C1016" s="15"/>
      <c r="D1016" s="15"/>
      <c r="E1016" s="15"/>
      <c r="F1016" s="15"/>
      <c r="G1016" s="15"/>
      <c r="H1016" s="15"/>
      <c r="I1016" s="15"/>
      <c r="J1016" s="15"/>
    </row>
    <row r="1017">
      <c r="A1017" s="15"/>
      <c r="B1017" s="15"/>
      <c r="C1017" s="15"/>
      <c r="D1017" s="15"/>
      <c r="E1017" s="15"/>
      <c r="F1017" s="15"/>
      <c r="G1017" s="15"/>
      <c r="H1017" s="15"/>
      <c r="I1017" s="15"/>
      <c r="J1017" s="15"/>
    </row>
    <row r="1018">
      <c r="A1018" s="15"/>
      <c r="B1018" s="15"/>
      <c r="C1018" s="15"/>
      <c r="D1018" s="15"/>
      <c r="E1018" s="15"/>
      <c r="F1018" s="15"/>
      <c r="G1018" s="15"/>
      <c r="H1018" s="15"/>
      <c r="I1018" s="15"/>
      <c r="J1018" s="15"/>
    </row>
    <row r="1019">
      <c r="A1019" s="15"/>
      <c r="B1019" s="15"/>
      <c r="C1019" s="15"/>
      <c r="D1019" s="15"/>
      <c r="E1019" s="15"/>
      <c r="F1019" s="15"/>
      <c r="G1019" s="15"/>
      <c r="H1019" s="15"/>
      <c r="I1019" s="15"/>
      <c r="J1019" s="15"/>
    </row>
    <row r="1020">
      <c r="A1020" s="15"/>
      <c r="B1020" s="15"/>
      <c r="C1020" s="15"/>
      <c r="D1020" s="15"/>
      <c r="E1020" s="15"/>
      <c r="F1020" s="15"/>
      <c r="G1020" s="15"/>
      <c r="H1020" s="15"/>
      <c r="I1020" s="15"/>
      <c r="J1020" s="15"/>
    </row>
    <row r="1021">
      <c r="A1021" s="15"/>
      <c r="B1021" s="15"/>
      <c r="C1021" s="15"/>
      <c r="D1021" s="15"/>
      <c r="E1021" s="15"/>
      <c r="F1021" s="15"/>
      <c r="G1021" s="15"/>
      <c r="H1021" s="15"/>
      <c r="I1021" s="15"/>
      <c r="J1021" s="15"/>
    </row>
    <row r="1022">
      <c r="A1022" s="15"/>
      <c r="B1022" s="15"/>
      <c r="C1022" s="15"/>
      <c r="D1022" s="15"/>
      <c r="E1022" s="15"/>
      <c r="F1022" s="15"/>
      <c r="G1022" s="15"/>
      <c r="H1022" s="15"/>
      <c r="I1022" s="15"/>
      <c r="J1022" s="15"/>
    </row>
    <row r="1023">
      <c r="A1023" s="15"/>
      <c r="B1023" s="15"/>
      <c r="C1023" s="15"/>
      <c r="D1023" s="15"/>
      <c r="E1023" s="15"/>
      <c r="F1023" s="15"/>
      <c r="G1023" s="15"/>
      <c r="H1023" s="15"/>
      <c r="I1023" s="15"/>
      <c r="J1023" s="15"/>
    </row>
    <row r="1024">
      <c r="A1024" s="15"/>
      <c r="B1024" s="15"/>
      <c r="C1024" s="15"/>
      <c r="D1024" s="15"/>
      <c r="E1024" s="15"/>
      <c r="F1024" s="15"/>
      <c r="G1024" s="15"/>
      <c r="H1024" s="15"/>
      <c r="I1024" s="15"/>
      <c r="J1024" s="15"/>
    </row>
    <row r="1025">
      <c r="A1025" s="15"/>
      <c r="B1025" s="15"/>
      <c r="C1025" s="15"/>
      <c r="D1025" s="15"/>
      <c r="E1025" s="15"/>
      <c r="F1025" s="15"/>
      <c r="G1025" s="15"/>
      <c r="H1025" s="15"/>
      <c r="I1025" s="15"/>
      <c r="J1025" s="15"/>
    </row>
    <row r="1026">
      <c r="A1026" s="15"/>
      <c r="B1026" s="15"/>
      <c r="C1026" s="15"/>
      <c r="D1026" s="15"/>
      <c r="E1026" s="15"/>
      <c r="F1026" s="15"/>
      <c r="G1026" s="15"/>
      <c r="H1026" s="15"/>
      <c r="I1026" s="15"/>
      <c r="J1026" s="15"/>
    </row>
    <row r="1027">
      <c r="A1027" s="15"/>
      <c r="B1027" s="15"/>
      <c r="C1027" s="15"/>
      <c r="D1027" s="15"/>
      <c r="E1027" s="15"/>
      <c r="F1027" s="15"/>
      <c r="G1027" s="15"/>
      <c r="H1027" s="15"/>
      <c r="I1027" s="15"/>
      <c r="J1027" s="15"/>
    </row>
    <row r="1028">
      <c r="A1028" s="15"/>
      <c r="B1028" s="15"/>
      <c r="C1028" s="15"/>
      <c r="D1028" s="15"/>
      <c r="E1028" s="15"/>
      <c r="F1028" s="15"/>
      <c r="G1028" s="15"/>
      <c r="H1028" s="15"/>
      <c r="I1028" s="15"/>
      <c r="J1028" s="15"/>
    </row>
    <row r="1029">
      <c r="A1029" s="15"/>
      <c r="B1029" s="15"/>
      <c r="C1029" s="15"/>
      <c r="D1029" s="15"/>
      <c r="E1029" s="15"/>
      <c r="F1029" s="15"/>
      <c r="G1029" s="15"/>
      <c r="H1029" s="15"/>
      <c r="I1029" s="15"/>
      <c r="J1029" s="15"/>
    </row>
    <row r="1030">
      <c r="A1030" s="15"/>
      <c r="B1030" s="15"/>
      <c r="C1030" s="15"/>
      <c r="D1030" s="15"/>
      <c r="E1030" s="15"/>
      <c r="F1030" s="15"/>
      <c r="G1030" s="15"/>
      <c r="H1030" s="15"/>
      <c r="I1030" s="15"/>
      <c r="J1030" s="15"/>
    </row>
    <row r="1031">
      <c r="A1031" s="15"/>
      <c r="B1031" s="15"/>
      <c r="C1031" s="15"/>
      <c r="D1031" s="15"/>
      <c r="E1031" s="15"/>
      <c r="F1031" s="15"/>
      <c r="G1031" s="15"/>
      <c r="H1031" s="15"/>
      <c r="I1031" s="15"/>
      <c r="J1031" s="15"/>
    </row>
    <row r="1032">
      <c r="A1032" s="15"/>
      <c r="B1032" s="15"/>
      <c r="C1032" s="15"/>
      <c r="D1032" s="15"/>
      <c r="E1032" s="15"/>
      <c r="F1032" s="15"/>
      <c r="G1032" s="15"/>
      <c r="H1032" s="15"/>
      <c r="I1032" s="15"/>
      <c r="J1032" s="15"/>
    </row>
    <row r="1033">
      <c r="A1033" s="15"/>
      <c r="B1033" s="15"/>
      <c r="C1033" s="15"/>
      <c r="D1033" s="15"/>
      <c r="E1033" s="15"/>
      <c r="F1033" s="15"/>
      <c r="G1033" s="15"/>
      <c r="H1033" s="15"/>
      <c r="I1033" s="15"/>
      <c r="J1033" s="15"/>
    </row>
    <row r="1034">
      <c r="A1034" s="15"/>
      <c r="B1034" s="15"/>
      <c r="C1034" s="15"/>
      <c r="D1034" s="15"/>
      <c r="E1034" s="15"/>
      <c r="F1034" s="15"/>
      <c r="G1034" s="15"/>
      <c r="H1034" s="15"/>
      <c r="I1034" s="15"/>
      <c r="J1034" s="15"/>
    </row>
    <row r="1035">
      <c r="A1035" s="15"/>
      <c r="B1035" s="15"/>
      <c r="C1035" s="15"/>
      <c r="D1035" s="15"/>
      <c r="E1035" s="15"/>
      <c r="F1035" s="15"/>
      <c r="G1035" s="15"/>
      <c r="H1035" s="15"/>
      <c r="I1035" s="15"/>
      <c r="J1035" s="15"/>
    </row>
    <row r="1036">
      <c r="A1036" s="15"/>
      <c r="B1036" s="15"/>
      <c r="C1036" s="15"/>
      <c r="D1036" s="15"/>
      <c r="E1036" s="15"/>
      <c r="F1036" s="15"/>
      <c r="G1036" s="15"/>
      <c r="H1036" s="15"/>
      <c r="I1036" s="15"/>
      <c r="J1036" s="15"/>
    </row>
    <row r="1037">
      <c r="A1037" s="15"/>
      <c r="B1037" s="15"/>
      <c r="C1037" s="15"/>
      <c r="D1037" s="15"/>
      <c r="E1037" s="15"/>
      <c r="F1037" s="15"/>
      <c r="G1037" s="15"/>
      <c r="H1037" s="15"/>
      <c r="I1037" s="15"/>
      <c r="J1037" s="15"/>
    </row>
    <row r="1038">
      <c r="A1038" s="15"/>
      <c r="B1038" s="15"/>
      <c r="C1038" s="15"/>
      <c r="D1038" s="15"/>
      <c r="E1038" s="15"/>
      <c r="F1038" s="15"/>
      <c r="G1038" s="15"/>
      <c r="H1038" s="15"/>
      <c r="I1038" s="15"/>
      <c r="J1038" s="15"/>
    </row>
    <row r="1039">
      <c r="A1039" s="15"/>
      <c r="B1039" s="15"/>
      <c r="C1039" s="15"/>
      <c r="D1039" s="15"/>
      <c r="E1039" s="15"/>
      <c r="F1039" s="15"/>
      <c r="G1039" s="15"/>
      <c r="H1039" s="15"/>
      <c r="I1039" s="15"/>
      <c r="J1039" s="15"/>
    </row>
    <row r="1040">
      <c r="A1040" s="15"/>
      <c r="B1040" s="15"/>
      <c r="C1040" s="15"/>
      <c r="D1040" s="15"/>
      <c r="E1040" s="15"/>
      <c r="F1040" s="15"/>
      <c r="G1040" s="15"/>
      <c r="H1040" s="15"/>
      <c r="I1040" s="15"/>
      <c r="J1040" s="15"/>
    </row>
    <row r="1041">
      <c r="A1041" s="15"/>
      <c r="B1041" s="15"/>
      <c r="C1041" s="15"/>
      <c r="D1041" s="15"/>
      <c r="E1041" s="15"/>
      <c r="F1041" s="15"/>
      <c r="G1041" s="15"/>
      <c r="H1041" s="15"/>
      <c r="I1041" s="15"/>
      <c r="J1041" s="15"/>
    </row>
    <row r="1042">
      <c r="A1042" s="15"/>
      <c r="B1042" s="15"/>
      <c r="C1042" s="15"/>
      <c r="D1042" s="15"/>
      <c r="E1042" s="15"/>
      <c r="F1042" s="15"/>
      <c r="G1042" s="15"/>
      <c r="H1042" s="15"/>
      <c r="I1042" s="15"/>
      <c r="J1042" s="15"/>
    </row>
    <row r="1043">
      <c r="A1043" s="15"/>
      <c r="B1043" s="15"/>
      <c r="C1043" s="15"/>
      <c r="D1043" s="15"/>
      <c r="E1043" s="15"/>
      <c r="F1043" s="15"/>
      <c r="G1043" s="15"/>
      <c r="H1043" s="15"/>
      <c r="I1043" s="15"/>
      <c r="J1043" s="15"/>
    </row>
    <row r="1044">
      <c r="A1044" s="15"/>
      <c r="B1044" s="15"/>
      <c r="C1044" s="15"/>
      <c r="D1044" s="15"/>
      <c r="E1044" s="15"/>
      <c r="F1044" s="15"/>
      <c r="G1044" s="15"/>
      <c r="H1044" s="15"/>
      <c r="I1044" s="15"/>
      <c r="J1044" s="15"/>
    </row>
    <row r="1045">
      <c r="A1045" s="15"/>
      <c r="B1045" s="15"/>
      <c r="C1045" s="15"/>
      <c r="D1045" s="15"/>
      <c r="E1045" s="15"/>
      <c r="F1045" s="15"/>
      <c r="G1045" s="15"/>
      <c r="H1045" s="15"/>
      <c r="I1045" s="15"/>
      <c r="J1045" s="15"/>
    </row>
    <row r="1046">
      <c r="A1046" s="15"/>
      <c r="B1046" s="15"/>
      <c r="C1046" s="15"/>
      <c r="D1046" s="15"/>
      <c r="E1046" s="15"/>
      <c r="F1046" s="15"/>
      <c r="G1046" s="15"/>
      <c r="H1046" s="15"/>
      <c r="I1046" s="15"/>
      <c r="J1046" s="15"/>
    </row>
    <row r="1047">
      <c r="A1047" s="15"/>
      <c r="B1047" s="15"/>
      <c r="C1047" s="15"/>
      <c r="D1047" s="15"/>
      <c r="E1047" s="15"/>
      <c r="F1047" s="15"/>
      <c r="G1047" s="15"/>
      <c r="H1047" s="15"/>
      <c r="I1047" s="15"/>
      <c r="J1047" s="15"/>
    </row>
    <row r="1048">
      <c r="A1048" s="15"/>
      <c r="B1048" s="15"/>
      <c r="C1048" s="15"/>
      <c r="D1048" s="15"/>
      <c r="E1048" s="15"/>
      <c r="F1048" s="15"/>
      <c r="G1048" s="15"/>
      <c r="H1048" s="15"/>
      <c r="I1048" s="15"/>
      <c r="J1048" s="15"/>
    </row>
    <row r="1049">
      <c r="A1049" s="15"/>
      <c r="B1049" s="15"/>
      <c r="C1049" s="15"/>
      <c r="D1049" s="15"/>
      <c r="E1049" s="15"/>
      <c r="F1049" s="15"/>
      <c r="G1049" s="15"/>
      <c r="H1049" s="15"/>
      <c r="I1049" s="15"/>
      <c r="J1049" s="15"/>
    </row>
    <row r="1050">
      <c r="A1050" s="15"/>
      <c r="B1050" s="15"/>
      <c r="C1050" s="15"/>
      <c r="D1050" s="15"/>
      <c r="E1050" s="15"/>
      <c r="F1050" s="15"/>
      <c r="G1050" s="15"/>
      <c r="H1050" s="15"/>
      <c r="I1050" s="15"/>
      <c r="J1050" s="15"/>
    </row>
    <row r="1051">
      <c r="A1051" s="15"/>
      <c r="B1051" s="15"/>
      <c r="C1051" s="15"/>
      <c r="D1051" s="15"/>
      <c r="E1051" s="15"/>
      <c r="F1051" s="15"/>
      <c r="G1051" s="15"/>
      <c r="H1051" s="15"/>
      <c r="I1051" s="15"/>
      <c r="J1051" s="15"/>
    </row>
    <row r="1052">
      <c r="A1052" s="15"/>
      <c r="B1052" s="15"/>
      <c r="C1052" s="15"/>
      <c r="D1052" s="15"/>
      <c r="E1052" s="15"/>
      <c r="F1052" s="15"/>
      <c r="G1052" s="15"/>
      <c r="H1052" s="15"/>
      <c r="I1052" s="15"/>
      <c r="J1052" s="15"/>
    </row>
    <row r="1053">
      <c r="A1053" s="15"/>
      <c r="B1053" s="15"/>
      <c r="C1053" s="15"/>
      <c r="D1053" s="15"/>
      <c r="E1053" s="15"/>
      <c r="F1053" s="15"/>
      <c r="G1053" s="15"/>
      <c r="H1053" s="15"/>
      <c r="I1053" s="15"/>
      <c r="J1053" s="15"/>
    </row>
    <row r="1054">
      <c r="A1054" s="15"/>
      <c r="B1054" s="15"/>
      <c r="C1054" s="15"/>
      <c r="D1054" s="15"/>
      <c r="E1054" s="15"/>
      <c r="F1054" s="15"/>
      <c r="G1054" s="15"/>
      <c r="H1054" s="15"/>
      <c r="I1054" s="15"/>
      <c r="J1054" s="15"/>
    </row>
    <row r="1055">
      <c r="A1055" s="15"/>
      <c r="B1055" s="15"/>
      <c r="C1055" s="15"/>
      <c r="D1055" s="15"/>
      <c r="E1055" s="15"/>
      <c r="F1055" s="15"/>
      <c r="G1055" s="15"/>
      <c r="H1055" s="15"/>
      <c r="I1055" s="15"/>
      <c r="J1055" s="15"/>
    </row>
    <row r="1056">
      <c r="A1056" s="15"/>
      <c r="B1056" s="15"/>
      <c r="C1056" s="15"/>
      <c r="D1056" s="15"/>
      <c r="E1056" s="15"/>
      <c r="F1056" s="15"/>
      <c r="G1056" s="15"/>
      <c r="H1056" s="15"/>
      <c r="I1056" s="15"/>
      <c r="J1056" s="15"/>
    </row>
    <row r="1057">
      <c r="A1057" s="15"/>
      <c r="B1057" s="15"/>
      <c r="C1057" s="15"/>
      <c r="D1057" s="15"/>
      <c r="E1057" s="15"/>
      <c r="F1057" s="15"/>
      <c r="G1057" s="15"/>
      <c r="H1057" s="15"/>
      <c r="I1057" s="15"/>
      <c r="J1057" s="15"/>
    </row>
    <row r="1058">
      <c r="A1058" s="15"/>
      <c r="B1058" s="15"/>
      <c r="C1058" s="15"/>
      <c r="D1058" s="15"/>
      <c r="E1058" s="15"/>
      <c r="F1058" s="15"/>
      <c r="G1058" s="15"/>
      <c r="H1058" s="15"/>
      <c r="I1058" s="15"/>
      <c r="J1058" s="15"/>
    </row>
    <row r="1059">
      <c r="A1059" s="15"/>
      <c r="B1059" s="15"/>
      <c r="C1059" s="15"/>
      <c r="D1059" s="15"/>
      <c r="E1059" s="15"/>
      <c r="F1059" s="15"/>
      <c r="G1059" s="15"/>
      <c r="H1059" s="15"/>
      <c r="I1059" s="15"/>
      <c r="J1059" s="15"/>
    </row>
    <row r="1060">
      <c r="A1060" s="15"/>
      <c r="B1060" s="15"/>
      <c r="C1060" s="15"/>
      <c r="D1060" s="15"/>
      <c r="E1060" s="15"/>
      <c r="F1060" s="15"/>
      <c r="G1060" s="15"/>
      <c r="H1060" s="15"/>
      <c r="I1060" s="15"/>
      <c r="J1060" s="15"/>
    </row>
    <row r="1061">
      <c r="A1061" s="15"/>
      <c r="B1061" s="15"/>
      <c r="C1061" s="15"/>
      <c r="D1061" s="15"/>
      <c r="E1061" s="15"/>
      <c r="F1061" s="15"/>
      <c r="G1061" s="15"/>
      <c r="H1061" s="15"/>
      <c r="I1061" s="15"/>
      <c r="J1061" s="15"/>
    </row>
    <row r="1062">
      <c r="A1062" s="15"/>
      <c r="B1062" s="15"/>
      <c r="C1062" s="15"/>
      <c r="D1062" s="15"/>
      <c r="E1062" s="15"/>
      <c r="F1062" s="15"/>
      <c r="G1062" s="15"/>
      <c r="H1062" s="15"/>
      <c r="I1062" s="15"/>
      <c r="J1062" s="15"/>
    </row>
    <row r="1063">
      <c r="A1063" s="15"/>
      <c r="B1063" s="15"/>
      <c r="C1063" s="15"/>
      <c r="D1063" s="15"/>
      <c r="E1063" s="15"/>
      <c r="F1063" s="15"/>
      <c r="G1063" s="15"/>
      <c r="H1063" s="15"/>
      <c r="I1063" s="15"/>
      <c r="J1063" s="15"/>
    </row>
    <row r="1064">
      <c r="A1064" s="15"/>
      <c r="B1064" s="15"/>
      <c r="C1064" s="15"/>
      <c r="D1064" s="15"/>
      <c r="E1064" s="15"/>
      <c r="F1064" s="15"/>
      <c r="G1064" s="15"/>
      <c r="H1064" s="15"/>
      <c r="I1064" s="15"/>
      <c r="J1064" s="15"/>
    </row>
    <row r="1065">
      <c r="A1065" s="15"/>
      <c r="B1065" s="15"/>
      <c r="C1065" s="15"/>
      <c r="D1065" s="15"/>
      <c r="E1065" s="15"/>
      <c r="F1065" s="15"/>
      <c r="G1065" s="15"/>
      <c r="H1065" s="15"/>
      <c r="I1065" s="15"/>
      <c r="J1065" s="15"/>
    </row>
    <row r="1066">
      <c r="A1066" s="15"/>
      <c r="B1066" s="15"/>
      <c r="C1066" s="15"/>
      <c r="D1066" s="15"/>
      <c r="E1066" s="15"/>
      <c r="F1066" s="15"/>
      <c r="G1066" s="15"/>
      <c r="H1066" s="15"/>
      <c r="I1066" s="15"/>
      <c r="J1066" s="15"/>
    </row>
    <row r="1067">
      <c r="A1067" s="15"/>
      <c r="B1067" s="15"/>
      <c r="C1067" s="15"/>
      <c r="D1067" s="15"/>
      <c r="E1067" s="15"/>
      <c r="F1067" s="15"/>
      <c r="G1067" s="15"/>
      <c r="H1067" s="15"/>
      <c r="I1067" s="15"/>
      <c r="J1067" s="15"/>
    </row>
    <row r="1068">
      <c r="A1068" s="15"/>
      <c r="B1068" s="15"/>
      <c r="C1068" s="15"/>
      <c r="D1068" s="15"/>
      <c r="E1068" s="15"/>
      <c r="F1068" s="15"/>
      <c r="G1068" s="15"/>
      <c r="H1068" s="15"/>
      <c r="I1068" s="15"/>
      <c r="J1068" s="15"/>
    </row>
    <row r="1069">
      <c r="A1069" s="15"/>
      <c r="B1069" s="15"/>
      <c r="C1069" s="15"/>
      <c r="D1069" s="15"/>
      <c r="E1069" s="15"/>
      <c r="F1069" s="15"/>
      <c r="G1069" s="15"/>
      <c r="H1069" s="15"/>
      <c r="I1069" s="15"/>
      <c r="J1069" s="15"/>
    </row>
    <row r="1070">
      <c r="A1070" s="15"/>
      <c r="B1070" s="15"/>
      <c r="C1070" s="15"/>
      <c r="D1070" s="15"/>
      <c r="E1070" s="15"/>
      <c r="F1070" s="15"/>
      <c r="G1070" s="15"/>
      <c r="H1070" s="15"/>
      <c r="I1070" s="15"/>
      <c r="J1070" s="15"/>
    </row>
    <row r="1071">
      <c r="A1071" s="15"/>
      <c r="B1071" s="15"/>
      <c r="C1071" s="15"/>
      <c r="D1071" s="15"/>
      <c r="E1071" s="15"/>
      <c r="F1071" s="15"/>
      <c r="G1071" s="15"/>
      <c r="H1071" s="15"/>
      <c r="I1071" s="15"/>
      <c r="J1071" s="15"/>
    </row>
    <row r="1072">
      <c r="A1072" s="15"/>
      <c r="B1072" s="15"/>
      <c r="C1072" s="15"/>
      <c r="D1072" s="15"/>
      <c r="E1072" s="15"/>
      <c r="F1072" s="15"/>
      <c r="G1072" s="15"/>
      <c r="H1072" s="15"/>
      <c r="I1072" s="15"/>
      <c r="J1072" s="15"/>
    </row>
    <row r="1073">
      <c r="A1073" s="15"/>
      <c r="B1073" s="15"/>
      <c r="C1073" s="15"/>
      <c r="D1073" s="15"/>
      <c r="E1073" s="15"/>
      <c r="F1073" s="15"/>
      <c r="G1073" s="15"/>
      <c r="H1073" s="15"/>
      <c r="I1073" s="15"/>
      <c r="J1073" s="15"/>
    </row>
    <row r="1074">
      <c r="A1074" s="15"/>
      <c r="B1074" s="15"/>
      <c r="C1074" s="15"/>
      <c r="D1074" s="15"/>
      <c r="E1074" s="15"/>
      <c r="F1074" s="15"/>
      <c r="G1074" s="15"/>
      <c r="H1074" s="15"/>
      <c r="I1074" s="15"/>
      <c r="J1074" s="15"/>
    </row>
    <row r="1075">
      <c r="A1075" s="15"/>
      <c r="B1075" s="15"/>
      <c r="C1075" s="15"/>
      <c r="D1075" s="15"/>
      <c r="E1075" s="15"/>
      <c r="F1075" s="15"/>
      <c r="G1075" s="15"/>
      <c r="H1075" s="15"/>
      <c r="I1075" s="15"/>
      <c r="J1075" s="15"/>
    </row>
    <row r="1076">
      <c r="A1076" s="15"/>
      <c r="B1076" s="15"/>
      <c r="C1076" s="15"/>
      <c r="D1076" s="15"/>
      <c r="E1076" s="15"/>
      <c r="F1076" s="15"/>
      <c r="G1076" s="15"/>
      <c r="H1076" s="15"/>
      <c r="I1076" s="15"/>
      <c r="J1076" s="15"/>
    </row>
    <row r="1077">
      <c r="A1077" s="15"/>
      <c r="B1077" s="15"/>
      <c r="C1077" s="15"/>
      <c r="D1077" s="15"/>
      <c r="E1077" s="15"/>
      <c r="F1077" s="15"/>
      <c r="G1077" s="15"/>
      <c r="H1077" s="15"/>
      <c r="I1077" s="15"/>
      <c r="J1077" s="15"/>
    </row>
    <row r="1078">
      <c r="A1078" s="15"/>
      <c r="B1078" s="15"/>
      <c r="C1078" s="15"/>
      <c r="D1078" s="15"/>
      <c r="E1078" s="15"/>
      <c r="F1078" s="15"/>
      <c r="G1078" s="15"/>
      <c r="H1078" s="15"/>
      <c r="I1078" s="15"/>
      <c r="J1078" s="15"/>
    </row>
    <row r="1079">
      <c r="A1079" s="15"/>
      <c r="B1079" s="15"/>
      <c r="C1079" s="15"/>
      <c r="D1079" s="15"/>
      <c r="E1079" s="15"/>
      <c r="F1079" s="15"/>
      <c r="G1079" s="15"/>
      <c r="H1079" s="15"/>
      <c r="I1079" s="15"/>
      <c r="J1079" s="15"/>
    </row>
    <row r="1080">
      <c r="A1080" s="15"/>
      <c r="B1080" s="15"/>
      <c r="C1080" s="15"/>
      <c r="D1080" s="15"/>
      <c r="E1080" s="15"/>
      <c r="F1080" s="15"/>
      <c r="G1080" s="15"/>
      <c r="H1080" s="15"/>
      <c r="I1080" s="15"/>
      <c r="J1080" s="15"/>
    </row>
    <row r="1081">
      <c r="A1081" s="15"/>
      <c r="B1081" s="15"/>
      <c r="C1081" s="15"/>
      <c r="D1081" s="15"/>
      <c r="E1081" s="15"/>
      <c r="F1081" s="15"/>
      <c r="G1081" s="15"/>
      <c r="H1081" s="15"/>
      <c r="I1081" s="15"/>
      <c r="J1081" s="15"/>
    </row>
    <row r="1082">
      <c r="A1082" s="15"/>
      <c r="B1082" s="15"/>
      <c r="C1082" s="15"/>
      <c r="D1082" s="15"/>
      <c r="E1082" s="15"/>
      <c r="F1082" s="15"/>
      <c r="G1082" s="15"/>
      <c r="H1082" s="15"/>
      <c r="I1082" s="15"/>
      <c r="J1082" s="15"/>
    </row>
    <row r="1083">
      <c r="A1083" s="15"/>
      <c r="B1083" s="15"/>
      <c r="C1083" s="15"/>
      <c r="D1083" s="15"/>
      <c r="E1083" s="15"/>
      <c r="F1083" s="15"/>
      <c r="G1083" s="15"/>
      <c r="H1083" s="15"/>
      <c r="I1083" s="15"/>
      <c r="J1083" s="15"/>
    </row>
    <row r="1084">
      <c r="A1084" s="15"/>
      <c r="B1084" s="15"/>
      <c r="C1084" s="15"/>
      <c r="D1084" s="15"/>
      <c r="E1084" s="15"/>
      <c r="F1084" s="15"/>
      <c r="G1084" s="15"/>
      <c r="H1084" s="15"/>
      <c r="I1084" s="15"/>
      <c r="J1084" s="15"/>
    </row>
    <row r="1085">
      <c r="A1085" s="15"/>
      <c r="B1085" s="15"/>
      <c r="C1085" s="15"/>
      <c r="D1085" s="15"/>
      <c r="E1085" s="15"/>
      <c r="F1085" s="15"/>
      <c r="G1085" s="15"/>
      <c r="H1085" s="15"/>
      <c r="I1085" s="15"/>
      <c r="J1085" s="15"/>
    </row>
    <row r="1086">
      <c r="A1086" s="15"/>
      <c r="B1086" s="15"/>
      <c r="C1086" s="15"/>
      <c r="D1086" s="15"/>
      <c r="E1086" s="15"/>
      <c r="F1086" s="15"/>
      <c r="G1086" s="15"/>
      <c r="H1086" s="15"/>
      <c r="I1086" s="15"/>
      <c r="J1086" s="15"/>
    </row>
    <row r="1087">
      <c r="A1087" s="15"/>
      <c r="B1087" s="15"/>
      <c r="C1087" s="15"/>
      <c r="D1087" s="15"/>
      <c r="E1087" s="15"/>
      <c r="F1087" s="15"/>
      <c r="G1087" s="15"/>
      <c r="H1087" s="15"/>
      <c r="I1087" s="15"/>
      <c r="J1087" s="15"/>
    </row>
    <row r="1088">
      <c r="A1088" s="15"/>
      <c r="B1088" s="15"/>
      <c r="C1088" s="15"/>
      <c r="D1088" s="15"/>
      <c r="E1088" s="15"/>
      <c r="F1088" s="15"/>
      <c r="G1088" s="15"/>
      <c r="H1088" s="15"/>
      <c r="I1088" s="15"/>
      <c r="J1088" s="15"/>
    </row>
    <row r="1089">
      <c r="A1089" s="15"/>
      <c r="B1089" s="15"/>
      <c r="C1089" s="15"/>
      <c r="D1089" s="15"/>
      <c r="E1089" s="15"/>
      <c r="F1089" s="15"/>
      <c r="G1089" s="15"/>
      <c r="H1089" s="15"/>
      <c r="I1089" s="15"/>
      <c r="J1089" s="15"/>
    </row>
    <row r="1090">
      <c r="A1090" s="15"/>
      <c r="B1090" s="15"/>
      <c r="C1090" s="15"/>
      <c r="D1090" s="15"/>
      <c r="E1090" s="15"/>
      <c r="F1090" s="15"/>
      <c r="G1090" s="15"/>
      <c r="H1090" s="15"/>
      <c r="I1090" s="15"/>
      <c r="J1090" s="15"/>
    </row>
    <row r="1091">
      <c r="A1091" s="15"/>
      <c r="B1091" s="15"/>
      <c r="C1091" s="15"/>
      <c r="D1091" s="15"/>
      <c r="E1091" s="15"/>
      <c r="F1091" s="15"/>
      <c r="G1091" s="15"/>
      <c r="H1091" s="15"/>
      <c r="I1091" s="15"/>
      <c r="J1091" s="15"/>
    </row>
    <row r="1092">
      <c r="A1092" s="15"/>
      <c r="B1092" s="15"/>
      <c r="C1092" s="15"/>
      <c r="D1092" s="15"/>
      <c r="E1092" s="15"/>
      <c r="F1092" s="15"/>
      <c r="G1092" s="15"/>
      <c r="H1092" s="15"/>
      <c r="I1092" s="15"/>
      <c r="J1092" s="15"/>
    </row>
    <row r="1093">
      <c r="A1093" s="15"/>
      <c r="B1093" s="15"/>
      <c r="C1093" s="15"/>
      <c r="D1093" s="15"/>
      <c r="E1093" s="15"/>
      <c r="F1093" s="15"/>
      <c r="G1093" s="15"/>
      <c r="H1093" s="15"/>
      <c r="I1093" s="15"/>
      <c r="J1093" s="15"/>
    </row>
    <row r="1094">
      <c r="A1094" s="15"/>
      <c r="B1094" s="15"/>
      <c r="C1094" s="15"/>
      <c r="D1094" s="15"/>
      <c r="E1094" s="15"/>
      <c r="F1094" s="15"/>
      <c r="G1094" s="15"/>
      <c r="H1094" s="15"/>
      <c r="I1094" s="15"/>
      <c r="J1094" s="15"/>
    </row>
    <row r="1095">
      <c r="A1095" s="15"/>
      <c r="B1095" s="15"/>
      <c r="C1095" s="15"/>
      <c r="D1095" s="15"/>
      <c r="E1095" s="15"/>
      <c r="F1095" s="15"/>
      <c r="G1095" s="15"/>
      <c r="H1095" s="15"/>
      <c r="I1095" s="15"/>
      <c r="J1095" s="15"/>
    </row>
    <row r="1096">
      <c r="A1096" s="15"/>
      <c r="B1096" s="15"/>
      <c r="C1096" s="15"/>
      <c r="D1096" s="15"/>
      <c r="E1096" s="15"/>
      <c r="F1096" s="15"/>
      <c r="G1096" s="15"/>
      <c r="H1096" s="15"/>
      <c r="I1096" s="15"/>
      <c r="J1096" s="15"/>
    </row>
    <row r="1097">
      <c r="A1097" s="15"/>
      <c r="B1097" s="15"/>
      <c r="C1097" s="15"/>
      <c r="D1097" s="15"/>
      <c r="E1097" s="15"/>
      <c r="F1097" s="15"/>
      <c r="G1097" s="15"/>
      <c r="H1097" s="15"/>
      <c r="I1097" s="15"/>
      <c r="J1097" s="15"/>
    </row>
    <row r="1098">
      <c r="A1098" s="15"/>
      <c r="B1098" s="15"/>
      <c r="C1098" s="15"/>
      <c r="D1098" s="15"/>
      <c r="E1098" s="15"/>
      <c r="F1098" s="15"/>
      <c r="G1098" s="15"/>
      <c r="H1098" s="15"/>
      <c r="I1098" s="15"/>
      <c r="J1098" s="15"/>
    </row>
    <row r="1099">
      <c r="A1099" s="15"/>
      <c r="B1099" s="15"/>
      <c r="C1099" s="15"/>
      <c r="D1099" s="15"/>
      <c r="E1099" s="15"/>
      <c r="F1099" s="15"/>
      <c r="G1099" s="15"/>
      <c r="H1099" s="15"/>
      <c r="I1099" s="15"/>
      <c r="J1099" s="15"/>
    </row>
    <row r="1100">
      <c r="A1100" s="15"/>
      <c r="B1100" s="15"/>
      <c r="C1100" s="15"/>
      <c r="D1100" s="15"/>
      <c r="E1100" s="15"/>
      <c r="F1100" s="15"/>
      <c r="G1100" s="15"/>
      <c r="H1100" s="15"/>
      <c r="I1100" s="15"/>
      <c r="J1100" s="15"/>
    </row>
    <row r="1101">
      <c r="A1101" s="15"/>
      <c r="B1101" s="15"/>
      <c r="C1101" s="15"/>
      <c r="D1101" s="15"/>
      <c r="E1101" s="15"/>
      <c r="F1101" s="15"/>
      <c r="G1101" s="15"/>
      <c r="H1101" s="15"/>
      <c r="I1101" s="15"/>
      <c r="J1101" s="15"/>
    </row>
    <row r="1102">
      <c r="A1102" s="15"/>
      <c r="B1102" s="15"/>
      <c r="C1102" s="15"/>
      <c r="D1102" s="15"/>
      <c r="E1102" s="15"/>
      <c r="F1102" s="15"/>
      <c r="G1102" s="15"/>
      <c r="H1102" s="15"/>
      <c r="I1102" s="15"/>
      <c r="J1102" s="15"/>
    </row>
    <row r="1103">
      <c r="A1103" s="15"/>
      <c r="B1103" s="15"/>
      <c r="C1103" s="15"/>
      <c r="D1103" s="15"/>
      <c r="E1103" s="15"/>
      <c r="F1103" s="15"/>
      <c r="G1103" s="15"/>
      <c r="H1103" s="15"/>
      <c r="I1103" s="15"/>
      <c r="J1103" s="15"/>
    </row>
    <row r="1104">
      <c r="A1104" s="15"/>
      <c r="B1104" s="15"/>
      <c r="C1104" s="15"/>
      <c r="D1104" s="15"/>
      <c r="E1104" s="15"/>
      <c r="F1104" s="15"/>
      <c r="G1104" s="15"/>
      <c r="H1104" s="15"/>
      <c r="I1104" s="15"/>
      <c r="J1104" s="15"/>
    </row>
    <row r="1105">
      <c r="A1105" s="15"/>
      <c r="B1105" s="15"/>
      <c r="C1105" s="15"/>
      <c r="D1105" s="15"/>
      <c r="E1105" s="15"/>
      <c r="F1105" s="15"/>
      <c r="G1105" s="15"/>
      <c r="H1105" s="15"/>
      <c r="I1105" s="15"/>
      <c r="J1105" s="15"/>
    </row>
    <row r="1106">
      <c r="A1106" s="15"/>
      <c r="B1106" s="15"/>
      <c r="C1106" s="15"/>
      <c r="D1106" s="15"/>
      <c r="E1106" s="15"/>
      <c r="F1106" s="15"/>
      <c r="G1106" s="15"/>
      <c r="H1106" s="15"/>
      <c r="I1106" s="15"/>
      <c r="J1106" s="15"/>
    </row>
    <row r="1107">
      <c r="A1107" s="15"/>
      <c r="B1107" s="15"/>
      <c r="C1107" s="15"/>
      <c r="D1107" s="15"/>
      <c r="E1107" s="15"/>
      <c r="F1107" s="15"/>
      <c r="G1107" s="15"/>
      <c r="H1107" s="15"/>
      <c r="I1107" s="15"/>
      <c r="J1107" s="15"/>
    </row>
    <row r="1108">
      <c r="A1108" s="15"/>
      <c r="B1108" s="15"/>
      <c r="C1108" s="15"/>
      <c r="D1108" s="15"/>
      <c r="E1108" s="15"/>
      <c r="F1108" s="15"/>
      <c r="G1108" s="15"/>
      <c r="H1108" s="15"/>
      <c r="I1108" s="15"/>
      <c r="J1108" s="15"/>
    </row>
    <row r="1109">
      <c r="A1109" s="15"/>
      <c r="B1109" s="15"/>
      <c r="C1109" s="15"/>
      <c r="D1109" s="15"/>
      <c r="E1109" s="15"/>
      <c r="F1109" s="15"/>
      <c r="G1109" s="15"/>
      <c r="H1109" s="15"/>
      <c r="I1109" s="15"/>
      <c r="J1109" s="15"/>
    </row>
    <row r="1110">
      <c r="A1110" s="15"/>
      <c r="B1110" s="15"/>
      <c r="C1110" s="15"/>
      <c r="D1110" s="15"/>
      <c r="E1110" s="15"/>
      <c r="F1110" s="15"/>
      <c r="G1110" s="15"/>
      <c r="H1110" s="15"/>
      <c r="I1110" s="15"/>
      <c r="J1110" s="15"/>
    </row>
    <row r="1111">
      <c r="A1111" s="15"/>
      <c r="B1111" s="15"/>
      <c r="C1111" s="15"/>
      <c r="D1111" s="15"/>
      <c r="E1111" s="15"/>
      <c r="F1111" s="15"/>
      <c r="G1111" s="15"/>
      <c r="H1111" s="15"/>
      <c r="I1111" s="15"/>
      <c r="J1111" s="15"/>
    </row>
    <row r="1112">
      <c r="A1112" s="15"/>
      <c r="B1112" s="15"/>
      <c r="C1112" s="15"/>
      <c r="D1112" s="15"/>
      <c r="E1112" s="15"/>
      <c r="F1112" s="15"/>
      <c r="G1112" s="15"/>
      <c r="H1112" s="15"/>
      <c r="I1112" s="15"/>
      <c r="J1112" s="15"/>
    </row>
    <row r="1113">
      <c r="A1113" s="15"/>
      <c r="B1113" s="15"/>
      <c r="C1113" s="15"/>
      <c r="D1113" s="15"/>
      <c r="E1113" s="15"/>
      <c r="F1113" s="15"/>
      <c r="G1113" s="15"/>
      <c r="H1113" s="15"/>
      <c r="I1113" s="15"/>
      <c r="J1113" s="15"/>
    </row>
    <row r="1114">
      <c r="A1114" s="15"/>
      <c r="B1114" s="15"/>
      <c r="C1114" s="15"/>
      <c r="D1114" s="15"/>
      <c r="E1114" s="15"/>
      <c r="F1114" s="15"/>
      <c r="G1114" s="15"/>
      <c r="H1114" s="15"/>
      <c r="I1114" s="15"/>
      <c r="J1114" s="15"/>
    </row>
    <row r="1115">
      <c r="A1115" s="15"/>
      <c r="B1115" s="15"/>
      <c r="C1115" s="15"/>
      <c r="D1115" s="15"/>
      <c r="E1115" s="15"/>
      <c r="F1115" s="15"/>
      <c r="G1115" s="15"/>
      <c r="H1115" s="15"/>
      <c r="I1115" s="15"/>
      <c r="J1115" s="15"/>
    </row>
    <row r="1116">
      <c r="A1116" s="15"/>
      <c r="B1116" s="15"/>
      <c r="C1116" s="15"/>
      <c r="D1116" s="15"/>
      <c r="E1116" s="15"/>
      <c r="F1116" s="15"/>
      <c r="G1116" s="15"/>
      <c r="H1116" s="15"/>
      <c r="I1116" s="15"/>
      <c r="J1116" s="15"/>
    </row>
    <row r="1117">
      <c r="A1117" s="15"/>
      <c r="B1117" s="15"/>
      <c r="C1117" s="15"/>
      <c r="D1117" s="15"/>
      <c r="E1117" s="15"/>
      <c r="F1117" s="15"/>
      <c r="G1117" s="15"/>
      <c r="H1117" s="15"/>
      <c r="I1117" s="15"/>
      <c r="J1117" s="15"/>
    </row>
    <row r="1118">
      <c r="A1118" s="15"/>
      <c r="B1118" s="15"/>
      <c r="C1118" s="15"/>
      <c r="D1118" s="15"/>
      <c r="E1118" s="15"/>
      <c r="F1118" s="15"/>
      <c r="G1118" s="15"/>
      <c r="H1118" s="15"/>
      <c r="I1118" s="15"/>
      <c r="J1118" s="15"/>
    </row>
    <row r="1119">
      <c r="A1119" s="15"/>
      <c r="B1119" s="15"/>
      <c r="C1119" s="15"/>
      <c r="D1119" s="15"/>
      <c r="E1119" s="15"/>
      <c r="F1119" s="15"/>
      <c r="G1119" s="15"/>
      <c r="H1119" s="15"/>
      <c r="I1119" s="15"/>
      <c r="J1119" s="15"/>
    </row>
    <row r="1120">
      <c r="A1120" s="15"/>
      <c r="B1120" s="15"/>
      <c r="C1120" s="15"/>
      <c r="D1120" s="15"/>
      <c r="E1120" s="15"/>
      <c r="F1120" s="15"/>
      <c r="G1120" s="15"/>
      <c r="H1120" s="15"/>
      <c r="I1120" s="15"/>
      <c r="J1120" s="15"/>
    </row>
    <row r="1121">
      <c r="A1121" s="15"/>
      <c r="B1121" s="15"/>
      <c r="C1121" s="15"/>
      <c r="D1121" s="15"/>
      <c r="E1121" s="15"/>
      <c r="F1121" s="15"/>
      <c r="G1121" s="15"/>
      <c r="H1121" s="15"/>
      <c r="I1121" s="15"/>
      <c r="J1121" s="15"/>
    </row>
    <row r="1122">
      <c r="A1122" s="15"/>
      <c r="B1122" s="15"/>
      <c r="C1122" s="15"/>
      <c r="D1122" s="15"/>
      <c r="E1122" s="15"/>
      <c r="F1122" s="15"/>
      <c r="G1122" s="15"/>
      <c r="H1122" s="15"/>
      <c r="I1122" s="15"/>
      <c r="J1122" s="15"/>
    </row>
    <row r="1123">
      <c r="A1123" s="15"/>
      <c r="B1123" s="15"/>
      <c r="C1123" s="15"/>
      <c r="D1123" s="15"/>
      <c r="E1123" s="15"/>
      <c r="F1123" s="15"/>
      <c r="G1123" s="15"/>
      <c r="H1123" s="15"/>
      <c r="I1123" s="15"/>
      <c r="J1123" s="15"/>
    </row>
    <row r="1124">
      <c r="A1124" s="15"/>
      <c r="B1124" s="15"/>
      <c r="C1124" s="15"/>
      <c r="D1124" s="15"/>
      <c r="E1124" s="15"/>
      <c r="F1124" s="15"/>
      <c r="G1124" s="15"/>
      <c r="H1124" s="15"/>
      <c r="I1124" s="15"/>
      <c r="J1124" s="15"/>
    </row>
    <row r="1125">
      <c r="A1125" s="15"/>
      <c r="B1125" s="15"/>
      <c r="C1125" s="15"/>
      <c r="D1125" s="15"/>
      <c r="E1125" s="15"/>
      <c r="F1125" s="15"/>
      <c r="G1125" s="15"/>
      <c r="H1125" s="15"/>
      <c r="I1125" s="15"/>
      <c r="J1125" s="15"/>
    </row>
    <row r="1126">
      <c r="A1126" s="15"/>
      <c r="B1126" s="15"/>
      <c r="C1126" s="15"/>
      <c r="D1126" s="15"/>
      <c r="E1126" s="15"/>
      <c r="F1126" s="15"/>
      <c r="G1126" s="15"/>
      <c r="H1126" s="15"/>
      <c r="I1126" s="15"/>
      <c r="J1126" s="15"/>
    </row>
    <row r="1127">
      <c r="A1127" s="15"/>
      <c r="B1127" s="15"/>
      <c r="C1127" s="15"/>
      <c r="D1127" s="15"/>
      <c r="E1127" s="15"/>
      <c r="F1127" s="15"/>
      <c r="G1127" s="15"/>
      <c r="H1127" s="15"/>
      <c r="I1127" s="15"/>
      <c r="J1127" s="15"/>
    </row>
    <row r="1128">
      <c r="A1128" s="15"/>
      <c r="B1128" s="15"/>
      <c r="C1128" s="15"/>
      <c r="D1128" s="15"/>
      <c r="E1128" s="15"/>
      <c r="F1128" s="15"/>
      <c r="G1128" s="15"/>
      <c r="H1128" s="15"/>
      <c r="I1128" s="15"/>
      <c r="J1128" s="15"/>
    </row>
    <row r="1129">
      <c r="A1129" s="15"/>
      <c r="B1129" s="15"/>
      <c r="C1129" s="15"/>
      <c r="D1129" s="15"/>
      <c r="E1129" s="15"/>
      <c r="F1129" s="15"/>
      <c r="G1129" s="15"/>
      <c r="H1129" s="15"/>
      <c r="I1129" s="15"/>
      <c r="J1129" s="15"/>
    </row>
    <row r="1130">
      <c r="A1130" s="15"/>
      <c r="B1130" s="15"/>
      <c r="C1130" s="15"/>
      <c r="D1130" s="15"/>
      <c r="E1130" s="15"/>
      <c r="F1130" s="15"/>
      <c r="G1130" s="15"/>
      <c r="H1130" s="15"/>
      <c r="I1130" s="15"/>
      <c r="J1130" s="15"/>
    </row>
    <row r="1131">
      <c r="A1131" s="15"/>
      <c r="B1131" s="15"/>
      <c r="C1131" s="15"/>
      <c r="D1131" s="15"/>
      <c r="E1131" s="15"/>
      <c r="F1131" s="15"/>
      <c r="G1131" s="15"/>
      <c r="H1131" s="15"/>
      <c r="I1131" s="15"/>
      <c r="J1131" s="15"/>
    </row>
    <row r="1132">
      <c r="A1132" s="15"/>
      <c r="B1132" s="15"/>
      <c r="C1132" s="15"/>
      <c r="D1132" s="15"/>
      <c r="E1132" s="15"/>
      <c r="F1132" s="15"/>
      <c r="G1132" s="15"/>
      <c r="H1132" s="15"/>
      <c r="I1132" s="15"/>
      <c r="J1132" s="15"/>
    </row>
    <row r="1133">
      <c r="A1133" s="15"/>
      <c r="B1133" s="15"/>
      <c r="C1133" s="15"/>
      <c r="D1133" s="15"/>
      <c r="E1133" s="15"/>
      <c r="F1133" s="15"/>
      <c r="G1133" s="15"/>
      <c r="H1133" s="15"/>
      <c r="I1133" s="15"/>
      <c r="J1133" s="15"/>
    </row>
    <row r="1134">
      <c r="A1134" s="15"/>
      <c r="B1134" s="15"/>
      <c r="C1134" s="15"/>
      <c r="D1134" s="15"/>
      <c r="E1134" s="15"/>
      <c r="F1134" s="15"/>
      <c r="G1134" s="15"/>
      <c r="H1134" s="15"/>
      <c r="I1134" s="15"/>
      <c r="J1134" s="15"/>
    </row>
    <row r="1135">
      <c r="A1135" s="15"/>
      <c r="B1135" s="15"/>
      <c r="C1135" s="15"/>
      <c r="D1135" s="15"/>
      <c r="E1135" s="15"/>
      <c r="F1135" s="15"/>
      <c r="G1135" s="15"/>
      <c r="H1135" s="15"/>
      <c r="I1135" s="15"/>
      <c r="J1135" s="15"/>
    </row>
    <row r="1136">
      <c r="A1136" s="15"/>
      <c r="B1136" s="15"/>
      <c r="C1136" s="15"/>
      <c r="D1136" s="15"/>
      <c r="E1136" s="15"/>
      <c r="F1136" s="15"/>
      <c r="G1136" s="15"/>
      <c r="H1136" s="15"/>
      <c r="I1136" s="15"/>
      <c r="J1136" s="15"/>
    </row>
    <row r="1137">
      <c r="A1137" s="15"/>
      <c r="B1137" s="15"/>
      <c r="C1137" s="15"/>
      <c r="D1137" s="15"/>
      <c r="E1137" s="15"/>
      <c r="F1137" s="15"/>
      <c r="G1137" s="15"/>
      <c r="H1137" s="15"/>
      <c r="I1137" s="15"/>
      <c r="J1137" s="15"/>
    </row>
    <row r="1138">
      <c r="A1138" s="15"/>
      <c r="B1138" s="15"/>
      <c r="C1138" s="15"/>
      <c r="D1138" s="15"/>
      <c r="E1138" s="15"/>
      <c r="F1138" s="15"/>
      <c r="G1138" s="15"/>
      <c r="H1138" s="15"/>
      <c r="I1138" s="15"/>
      <c r="J1138" s="15"/>
    </row>
    <row r="1139">
      <c r="A1139" s="15"/>
      <c r="B1139" s="15"/>
      <c r="C1139" s="15"/>
      <c r="D1139" s="15"/>
      <c r="E1139" s="15"/>
      <c r="F1139" s="15"/>
      <c r="G1139" s="15"/>
      <c r="H1139" s="15"/>
      <c r="I1139" s="15"/>
      <c r="J1139" s="15"/>
    </row>
    <row r="1140">
      <c r="A1140" s="15"/>
      <c r="B1140" s="15"/>
      <c r="C1140" s="15"/>
      <c r="D1140" s="15"/>
      <c r="E1140" s="15"/>
      <c r="F1140" s="15"/>
      <c r="G1140" s="15"/>
      <c r="H1140" s="15"/>
      <c r="I1140" s="15"/>
      <c r="J1140" s="15"/>
    </row>
    <row r="1141">
      <c r="A1141" s="15"/>
      <c r="B1141" s="15"/>
      <c r="C1141" s="15"/>
      <c r="D1141" s="15"/>
      <c r="E1141" s="15"/>
      <c r="F1141" s="15"/>
      <c r="G1141" s="15"/>
      <c r="H1141" s="15"/>
      <c r="I1141" s="15"/>
      <c r="J1141" s="15"/>
    </row>
    <row r="1142">
      <c r="A1142" s="15"/>
      <c r="B1142" s="15"/>
      <c r="C1142" s="15"/>
      <c r="D1142" s="15"/>
      <c r="E1142" s="15"/>
      <c r="F1142" s="15"/>
      <c r="G1142" s="15"/>
      <c r="H1142" s="15"/>
      <c r="I1142" s="15"/>
      <c r="J1142" s="15"/>
    </row>
    <row r="1143">
      <c r="A1143" s="15"/>
      <c r="B1143" s="15"/>
      <c r="C1143" s="15"/>
      <c r="D1143" s="15"/>
      <c r="E1143" s="15"/>
      <c r="F1143" s="15"/>
      <c r="G1143" s="15"/>
      <c r="H1143" s="15"/>
      <c r="I1143" s="15"/>
      <c r="J1143" s="15"/>
    </row>
    <row r="1144">
      <c r="A1144" s="15"/>
      <c r="B1144" s="15"/>
      <c r="C1144" s="15"/>
      <c r="D1144" s="15"/>
      <c r="E1144" s="15"/>
      <c r="F1144" s="15"/>
      <c r="G1144" s="15"/>
      <c r="H1144" s="15"/>
      <c r="I1144" s="15"/>
      <c r="J1144" s="15"/>
    </row>
    <row r="1145">
      <c r="A1145" s="15"/>
      <c r="B1145" s="15"/>
      <c r="C1145" s="15"/>
      <c r="D1145" s="15"/>
      <c r="E1145" s="15"/>
      <c r="F1145" s="15"/>
      <c r="G1145" s="15"/>
      <c r="H1145" s="15"/>
      <c r="I1145" s="15"/>
      <c r="J1145" s="15"/>
    </row>
    <row r="1146">
      <c r="A1146" s="15"/>
      <c r="B1146" s="15"/>
      <c r="C1146" s="15"/>
      <c r="D1146" s="15"/>
      <c r="E1146" s="15"/>
      <c r="F1146" s="15"/>
      <c r="G1146" s="15"/>
      <c r="H1146" s="15"/>
      <c r="I1146" s="15"/>
      <c r="J1146" s="15"/>
    </row>
    <row r="1147">
      <c r="A1147" s="15"/>
      <c r="B1147" s="15"/>
      <c r="C1147" s="15"/>
      <c r="D1147" s="15"/>
      <c r="E1147" s="15"/>
      <c r="F1147" s="15"/>
      <c r="G1147" s="15"/>
      <c r="H1147" s="15"/>
      <c r="I1147" s="15"/>
      <c r="J1147" s="15"/>
    </row>
    <row r="1148">
      <c r="A1148" s="15"/>
      <c r="B1148" s="15"/>
      <c r="C1148" s="15"/>
      <c r="D1148" s="15"/>
      <c r="E1148" s="15"/>
      <c r="F1148" s="15"/>
      <c r="G1148" s="15"/>
      <c r="H1148" s="15"/>
      <c r="I1148" s="15"/>
      <c r="J1148" s="15"/>
    </row>
    <row r="1149">
      <c r="A1149" s="15"/>
      <c r="B1149" s="15"/>
      <c r="C1149" s="15"/>
      <c r="D1149" s="15"/>
      <c r="E1149" s="15"/>
      <c r="F1149" s="15"/>
      <c r="G1149" s="15"/>
      <c r="H1149" s="15"/>
      <c r="I1149" s="15"/>
      <c r="J1149" s="15"/>
    </row>
    <row r="1150">
      <c r="A1150" s="15"/>
      <c r="B1150" s="15"/>
      <c r="C1150" s="15"/>
      <c r="D1150" s="15"/>
      <c r="E1150" s="15"/>
      <c r="F1150" s="15"/>
      <c r="G1150" s="15"/>
      <c r="H1150" s="15"/>
      <c r="I1150" s="15"/>
      <c r="J1150" s="15"/>
    </row>
    <row r="1151">
      <c r="A1151" s="15"/>
      <c r="B1151" s="15"/>
      <c r="C1151" s="15"/>
      <c r="D1151" s="15"/>
      <c r="E1151" s="15"/>
      <c r="F1151" s="15"/>
      <c r="G1151" s="15"/>
      <c r="H1151" s="15"/>
      <c r="I1151" s="15"/>
      <c r="J1151" s="15"/>
    </row>
    <row r="1152">
      <c r="A1152" s="15"/>
      <c r="B1152" s="15"/>
      <c r="C1152" s="15"/>
      <c r="D1152" s="15"/>
      <c r="E1152" s="15"/>
      <c r="F1152" s="15"/>
      <c r="G1152" s="15"/>
      <c r="H1152" s="15"/>
      <c r="I1152" s="15"/>
      <c r="J1152" s="15"/>
    </row>
    <row r="1153">
      <c r="A1153" s="15"/>
      <c r="B1153" s="15"/>
      <c r="C1153" s="15"/>
      <c r="D1153" s="15"/>
      <c r="E1153" s="15"/>
      <c r="F1153" s="15"/>
      <c r="G1153" s="15"/>
      <c r="H1153" s="15"/>
      <c r="I1153" s="15"/>
      <c r="J1153" s="15"/>
    </row>
    <row r="1154">
      <c r="A1154" s="15"/>
      <c r="B1154" s="15"/>
      <c r="C1154" s="15"/>
      <c r="D1154" s="15"/>
      <c r="E1154" s="15"/>
      <c r="F1154" s="15"/>
      <c r="G1154" s="15"/>
      <c r="H1154" s="15"/>
      <c r="I1154" s="15"/>
      <c r="J1154" s="15"/>
    </row>
    <row r="1155">
      <c r="A1155" s="15"/>
      <c r="B1155" s="15"/>
      <c r="C1155" s="15"/>
      <c r="D1155" s="15"/>
      <c r="E1155" s="15"/>
      <c r="F1155" s="15"/>
      <c r="G1155" s="15"/>
      <c r="H1155" s="15"/>
      <c r="I1155" s="15"/>
      <c r="J1155" s="15"/>
    </row>
    <row r="1156">
      <c r="A1156" s="15"/>
      <c r="B1156" s="15"/>
      <c r="C1156" s="15"/>
      <c r="D1156" s="15"/>
      <c r="E1156" s="15"/>
      <c r="F1156" s="15"/>
      <c r="G1156" s="15"/>
      <c r="H1156" s="15"/>
      <c r="I1156" s="15"/>
      <c r="J1156" s="15"/>
    </row>
    <row r="1157">
      <c r="A1157" s="15"/>
      <c r="B1157" s="15"/>
      <c r="C1157" s="15"/>
      <c r="D1157" s="15"/>
      <c r="E1157" s="15"/>
      <c r="F1157" s="15"/>
      <c r="G1157" s="15"/>
      <c r="H1157" s="15"/>
      <c r="I1157" s="15"/>
      <c r="J1157" s="15"/>
    </row>
    <row r="1158">
      <c r="A1158" s="15"/>
      <c r="B1158" s="15"/>
      <c r="C1158" s="15"/>
      <c r="D1158" s="15"/>
      <c r="E1158" s="15"/>
      <c r="F1158" s="15"/>
      <c r="G1158" s="15"/>
      <c r="H1158" s="15"/>
      <c r="I1158" s="15"/>
      <c r="J1158" s="15"/>
    </row>
    <row r="1159">
      <c r="A1159" s="15"/>
      <c r="B1159" s="15"/>
      <c r="C1159" s="15"/>
      <c r="D1159" s="15"/>
      <c r="E1159" s="15"/>
      <c r="F1159" s="15"/>
      <c r="G1159" s="15"/>
      <c r="H1159" s="15"/>
      <c r="I1159" s="15"/>
      <c r="J1159" s="15"/>
    </row>
    <row r="1160">
      <c r="A1160" s="15"/>
      <c r="B1160" s="15"/>
      <c r="C1160" s="15"/>
      <c r="D1160" s="15"/>
      <c r="E1160" s="15"/>
      <c r="F1160" s="15"/>
      <c r="G1160" s="15"/>
      <c r="H1160" s="15"/>
      <c r="I1160" s="15"/>
      <c r="J1160" s="15"/>
    </row>
    <row r="1161">
      <c r="A1161" s="15"/>
      <c r="B1161" s="15"/>
      <c r="C1161" s="15"/>
      <c r="D1161" s="15"/>
      <c r="E1161" s="15"/>
      <c r="F1161" s="15"/>
      <c r="G1161" s="15"/>
      <c r="H1161" s="15"/>
      <c r="I1161" s="15"/>
      <c r="J1161" s="15"/>
    </row>
    <row r="1162">
      <c r="A1162" s="15"/>
      <c r="B1162" s="15"/>
      <c r="C1162" s="15"/>
      <c r="D1162" s="15"/>
      <c r="E1162" s="15"/>
      <c r="F1162" s="15"/>
      <c r="G1162" s="15"/>
      <c r="H1162" s="15"/>
      <c r="I1162" s="15"/>
      <c r="J1162" s="15"/>
    </row>
    <row r="1163">
      <c r="A1163" s="15"/>
      <c r="B1163" s="15"/>
      <c r="C1163" s="15"/>
      <c r="D1163" s="15"/>
      <c r="E1163" s="15"/>
      <c r="F1163" s="15"/>
      <c r="G1163" s="15"/>
      <c r="H1163" s="15"/>
      <c r="I1163" s="15"/>
      <c r="J1163" s="15"/>
    </row>
    <row r="1164">
      <c r="A1164" s="15"/>
      <c r="B1164" s="15"/>
      <c r="C1164" s="15"/>
      <c r="D1164" s="15"/>
      <c r="E1164" s="15"/>
      <c r="F1164" s="15"/>
      <c r="G1164" s="15"/>
      <c r="H1164" s="15"/>
      <c r="I1164" s="15"/>
      <c r="J1164" s="15"/>
    </row>
    <row r="1165">
      <c r="A1165" s="15"/>
      <c r="B1165" s="15"/>
      <c r="C1165" s="15"/>
      <c r="D1165" s="15"/>
      <c r="E1165" s="15"/>
      <c r="F1165" s="15"/>
      <c r="G1165" s="15"/>
      <c r="H1165" s="15"/>
      <c r="I1165" s="15"/>
      <c r="J1165" s="15"/>
    </row>
    <row r="1166">
      <c r="A1166" s="15"/>
      <c r="B1166" s="15"/>
      <c r="C1166" s="15"/>
      <c r="D1166" s="15"/>
      <c r="E1166" s="15"/>
      <c r="F1166" s="15"/>
      <c r="G1166" s="15"/>
      <c r="H1166" s="15"/>
      <c r="I1166" s="15"/>
      <c r="J1166" s="15"/>
    </row>
    <row r="1167">
      <c r="A1167" s="15"/>
      <c r="B1167" s="15"/>
      <c r="C1167" s="15"/>
      <c r="D1167" s="15"/>
      <c r="E1167" s="15"/>
      <c r="F1167" s="15"/>
      <c r="G1167" s="15"/>
      <c r="H1167" s="15"/>
      <c r="I1167" s="15"/>
      <c r="J1167" s="15"/>
    </row>
    <row r="1168">
      <c r="A1168" s="15"/>
      <c r="B1168" s="15"/>
      <c r="C1168" s="15"/>
      <c r="D1168" s="15"/>
      <c r="E1168" s="15"/>
      <c r="F1168" s="15"/>
      <c r="G1168" s="15"/>
      <c r="H1168" s="15"/>
      <c r="I1168" s="15"/>
      <c r="J1168" s="15"/>
    </row>
    <row r="1169">
      <c r="A1169" s="15"/>
      <c r="B1169" s="15"/>
      <c r="C1169" s="15"/>
      <c r="D1169" s="15"/>
      <c r="E1169" s="15"/>
      <c r="F1169" s="15"/>
      <c r="G1169" s="15"/>
      <c r="H1169" s="15"/>
      <c r="I1169" s="15"/>
      <c r="J1169" s="15"/>
    </row>
    <row r="1170">
      <c r="A1170" s="15"/>
      <c r="B1170" s="15"/>
      <c r="C1170" s="15"/>
      <c r="D1170" s="15"/>
      <c r="E1170" s="15"/>
      <c r="F1170" s="15"/>
      <c r="G1170" s="15"/>
      <c r="H1170" s="15"/>
      <c r="I1170" s="15"/>
      <c r="J1170" s="15"/>
    </row>
    <row r="1171">
      <c r="A1171" s="15"/>
      <c r="B1171" s="15"/>
      <c r="C1171" s="15"/>
      <c r="D1171" s="15"/>
      <c r="E1171" s="15"/>
      <c r="F1171" s="15"/>
      <c r="G1171" s="15"/>
      <c r="H1171" s="15"/>
      <c r="I1171" s="15"/>
      <c r="J1171" s="15"/>
    </row>
    <row r="1172">
      <c r="A1172" s="15"/>
      <c r="B1172" s="15"/>
      <c r="C1172" s="15"/>
      <c r="D1172" s="15"/>
      <c r="E1172" s="15"/>
      <c r="F1172" s="15"/>
      <c r="G1172" s="15"/>
      <c r="H1172" s="15"/>
      <c r="I1172" s="15"/>
      <c r="J1172" s="15"/>
    </row>
    <row r="1173">
      <c r="A1173" s="15"/>
      <c r="B1173" s="15"/>
      <c r="C1173" s="15"/>
      <c r="D1173" s="15"/>
      <c r="E1173" s="15"/>
      <c r="F1173" s="15"/>
      <c r="G1173" s="15"/>
      <c r="H1173" s="15"/>
      <c r="I1173" s="15"/>
      <c r="J1173" s="15"/>
    </row>
    <row r="1174">
      <c r="A1174" s="15"/>
      <c r="B1174" s="15"/>
      <c r="C1174" s="15"/>
      <c r="D1174" s="15"/>
      <c r="E1174" s="15"/>
      <c r="F1174" s="15"/>
      <c r="G1174" s="15"/>
      <c r="H1174" s="15"/>
      <c r="I1174" s="15"/>
      <c r="J1174" s="15"/>
    </row>
    <row r="1175">
      <c r="A1175" s="15"/>
      <c r="B1175" s="15"/>
      <c r="C1175" s="15"/>
      <c r="D1175" s="15"/>
      <c r="E1175" s="15"/>
      <c r="F1175" s="15"/>
      <c r="G1175" s="15"/>
      <c r="H1175" s="15"/>
      <c r="I1175" s="15"/>
      <c r="J1175" s="15"/>
    </row>
    <row r="1176">
      <c r="A1176" s="15"/>
      <c r="B1176" s="15"/>
      <c r="C1176" s="15"/>
      <c r="D1176" s="15"/>
      <c r="E1176" s="15"/>
      <c r="F1176" s="15"/>
      <c r="G1176" s="15"/>
      <c r="H1176" s="15"/>
      <c r="I1176" s="15"/>
      <c r="J1176" s="15"/>
    </row>
    <row r="1177">
      <c r="A1177" s="15"/>
      <c r="B1177" s="15"/>
      <c r="C1177" s="15"/>
      <c r="D1177" s="15"/>
      <c r="E1177" s="15"/>
      <c r="F1177" s="15"/>
      <c r="G1177" s="15"/>
      <c r="H1177" s="15"/>
      <c r="I1177" s="15"/>
      <c r="J1177" s="15"/>
    </row>
    <row r="1178">
      <c r="A1178" s="15"/>
      <c r="B1178" s="15"/>
      <c r="C1178" s="15"/>
      <c r="D1178" s="15"/>
      <c r="E1178" s="15"/>
      <c r="F1178" s="15"/>
      <c r="G1178" s="15"/>
      <c r="H1178" s="15"/>
      <c r="I1178" s="15"/>
      <c r="J1178" s="15"/>
    </row>
    <row r="1179">
      <c r="A1179" s="15"/>
      <c r="B1179" s="15"/>
      <c r="C1179" s="15"/>
      <c r="D1179" s="15"/>
      <c r="E1179" s="15"/>
      <c r="F1179" s="15"/>
      <c r="G1179" s="15"/>
      <c r="H1179" s="15"/>
      <c r="I1179" s="15"/>
      <c r="J1179" s="15"/>
    </row>
    <row r="1180">
      <c r="A1180" s="15"/>
      <c r="B1180" s="15"/>
      <c r="C1180" s="15"/>
      <c r="D1180" s="15"/>
      <c r="E1180" s="15"/>
      <c r="F1180" s="15"/>
      <c r="G1180" s="15"/>
      <c r="H1180" s="15"/>
      <c r="I1180" s="15"/>
      <c r="J1180" s="15"/>
    </row>
    <row r="1181">
      <c r="A1181" s="15"/>
      <c r="B1181" s="15"/>
      <c r="C1181" s="15"/>
      <c r="D1181" s="15"/>
      <c r="E1181" s="15"/>
      <c r="F1181" s="15"/>
      <c r="G1181" s="15"/>
      <c r="H1181" s="15"/>
      <c r="I1181" s="15"/>
      <c r="J1181" s="15"/>
    </row>
    <row r="1182">
      <c r="A1182" s="15"/>
      <c r="B1182" s="15"/>
      <c r="C1182" s="15"/>
      <c r="D1182" s="15"/>
      <c r="E1182" s="15"/>
      <c r="F1182" s="15"/>
      <c r="G1182" s="15"/>
      <c r="H1182" s="15"/>
      <c r="I1182" s="15"/>
      <c r="J1182" s="15"/>
    </row>
    <row r="1183">
      <c r="A1183" s="15"/>
      <c r="B1183" s="15"/>
      <c r="C1183" s="15"/>
      <c r="D1183" s="15"/>
      <c r="E1183" s="15"/>
      <c r="F1183" s="15"/>
      <c r="G1183" s="15"/>
      <c r="H1183" s="15"/>
      <c r="I1183" s="15"/>
      <c r="J1183" s="15"/>
    </row>
    <row r="1184">
      <c r="A1184" s="15"/>
      <c r="B1184" s="15"/>
      <c r="C1184" s="15"/>
      <c r="D1184" s="15"/>
      <c r="E1184" s="15"/>
      <c r="F1184" s="15"/>
      <c r="G1184" s="15"/>
      <c r="H1184" s="15"/>
      <c r="I1184" s="15"/>
      <c r="J1184" s="15"/>
    </row>
    <row r="1185">
      <c r="A1185" s="15"/>
      <c r="B1185" s="15"/>
      <c r="C1185" s="15"/>
      <c r="D1185" s="15"/>
      <c r="E1185" s="15"/>
      <c r="F1185" s="15"/>
      <c r="G1185" s="15"/>
      <c r="H1185" s="15"/>
      <c r="I1185" s="15"/>
      <c r="J1185" s="15"/>
    </row>
    <row r="1186">
      <c r="A1186" s="15"/>
      <c r="B1186" s="15"/>
      <c r="C1186" s="15"/>
      <c r="D1186" s="15"/>
      <c r="E1186" s="15"/>
      <c r="F1186" s="15"/>
      <c r="G1186" s="15"/>
      <c r="H1186" s="15"/>
      <c r="I1186" s="15"/>
      <c r="J1186" s="15"/>
    </row>
    <row r="1187">
      <c r="A1187" s="15"/>
      <c r="B1187" s="15"/>
      <c r="C1187" s="15"/>
      <c r="D1187" s="15"/>
      <c r="E1187" s="15"/>
      <c r="F1187" s="15"/>
      <c r="G1187" s="15"/>
      <c r="H1187" s="15"/>
      <c r="I1187" s="15"/>
      <c r="J1187" s="15"/>
    </row>
    <row r="1188">
      <c r="A1188" s="15"/>
      <c r="B1188" s="15"/>
      <c r="C1188" s="15"/>
      <c r="D1188" s="15"/>
      <c r="E1188" s="15"/>
      <c r="F1188" s="15"/>
      <c r="G1188" s="15"/>
      <c r="H1188" s="15"/>
      <c r="I1188" s="15"/>
      <c r="J1188" s="15"/>
    </row>
    <row r="1189">
      <c r="A1189" s="15"/>
      <c r="B1189" s="15"/>
      <c r="C1189" s="15"/>
      <c r="D1189" s="15"/>
      <c r="E1189" s="15"/>
      <c r="F1189" s="15"/>
      <c r="G1189" s="15"/>
      <c r="H1189" s="15"/>
      <c r="I1189" s="15"/>
      <c r="J1189" s="15"/>
    </row>
    <row r="1190">
      <c r="A1190" s="15"/>
      <c r="B1190" s="15"/>
      <c r="C1190" s="15"/>
      <c r="D1190" s="15"/>
      <c r="E1190" s="15"/>
      <c r="F1190" s="15"/>
      <c r="G1190" s="15"/>
      <c r="H1190" s="15"/>
      <c r="I1190" s="15"/>
      <c r="J1190" s="15"/>
    </row>
    <row r="1191">
      <c r="A1191" s="15"/>
      <c r="B1191" s="15"/>
      <c r="C1191" s="15"/>
      <c r="D1191" s="15"/>
      <c r="E1191" s="15"/>
      <c r="F1191" s="15"/>
      <c r="G1191" s="15"/>
      <c r="H1191" s="15"/>
      <c r="I1191" s="15"/>
      <c r="J1191" s="15"/>
    </row>
    <row r="1192">
      <c r="A1192" s="15"/>
      <c r="B1192" s="15"/>
      <c r="C1192" s="15"/>
      <c r="D1192" s="15"/>
      <c r="E1192" s="15"/>
      <c r="F1192" s="15"/>
      <c r="G1192" s="15"/>
      <c r="H1192" s="15"/>
      <c r="I1192" s="15"/>
      <c r="J1192" s="15"/>
    </row>
    <row r="1193">
      <c r="A1193" s="15"/>
      <c r="B1193" s="15"/>
      <c r="C1193" s="15"/>
      <c r="D1193" s="15"/>
      <c r="E1193" s="15"/>
      <c r="F1193" s="15"/>
      <c r="G1193" s="15"/>
      <c r="H1193" s="15"/>
      <c r="I1193" s="15"/>
      <c r="J1193" s="15"/>
    </row>
    <row r="1194">
      <c r="A1194" s="15"/>
      <c r="B1194" s="15"/>
      <c r="C1194" s="15"/>
      <c r="D1194" s="15"/>
      <c r="E1194" s="15"/>
      <c r="F1194" s="15"/>
      <c r="G1194" s="15"/>
      <c r="H1194" s="15"/>
      <c r="I1194" s="15"/>
      <c r="J1194" s="15"/>
    </row>
    <row r="1195">
      <c r="A1195" s="15"/>
      <c r="B1195" s="15"/>
      <c r="C1195" s="15"/>
      <c r="D1195" s="15"/>
      <c r="E1195" s="15"/>
      <c r="F1195" s="15"/>
      <c r="G1195" s="15"/>
      <c r="H1195" s="15"/>
      <c r="I1195" s="15"/>
      <c r="J1195" s="15"/>
    </row>
    <row r="1196">
      <c r="A1196" s="15"/>
      <c r="B1196" s="15"/>
      <c r="C1196" s="15"/>
      <c r="D1196" s="15"/>
      <c r="E1196" s="15"/>
      <c r="F1196" s="15"/>
      <c r="G1196" s="15"/>
      <c r="H1196" s="15"/>
      <c r="I1196" s="15"/>
      <c r="J1196" s="15"/>
    </row>
    <row r="1197">
      <c r="A1197" s="15"/>
      <c r="B1197" s="15"/>
      <c r="C1197" s="15"/>
      <c r="D1197" s="15"/>
      <c r="E1197" s="15"/>
      <c r="F1197" s="15"/>
      <c r="G1197" s="15"/>
      <c r="H1197" s="15"/>
      <c r="I1197" s="15"/>
      <c r="J1197" s="15"/>
    </row>
    <row r="1198">
      <c r="A1198" s="15"/>
      <c r="B1198" s="15"/>
      <c r="C1198" s="15"/>
      <c r="D1198" s="15"/>
      <c r="E1198" s="15"/>
      <c r="F1198" s="15"/>
      <c r="G1198" s="15"/>
      <c r="H1198" s="15"/>
      <c r="I1198" s="15"/>
      <c r="J1198" s="15"/>
    </row>
    <row r="1199">
      <c r="A1199" s="15"/>
      <c r="B1199" s="15"/>
      <c r="C1199" s="15"/>
      <c r="D1199" s="15"/>
      <c r="E1199" s="15"/>
      <c r="F1199" s="15"/>
      <c r="G1199" s="15"/>
      <c r="H1199" s="15"/>
      <c r="I1199" s="15"/>
      <c r="J1199" s="15"/>
    </row>
    <row r="1200">
      <c r="A1200" s="15"/>
      <c r="B1200" s="15"/>
      <c r="C1200" s="15"/>
      <c r="D1200" s="15"/>
      <c r="E1200" s="15"/>
      <c r="F1200" s="15"/>
      <c r="G1200" s="15"/>
      <c r="H1200" s="15"/>
      <c r="I1200" s="15"/>
      <c r="J1200" s="15"/>
    </row>
    <row r="1201">
      <c r="A1201" s="15"/>
      <c r="B1201" s="15"/>
      <c r="C1201" s="15"/>
      <c r="D1201" s="15"/>
      <c r="E1201" s="15"/>
      <c r="F1201" s="15"/>
      <c r="G1201" s="15"/>
      <c r="H1201" s="15"/>
      <c r="I1201" s="15"/>
      <c r="J1201" s="15"/>
    </row>
  </sheetData>
  <drawing r:id="rId1"/>
</worksheet>
</file>

<file path=xl/worksheets/sheet3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95" t="s">
        <v>10386</v>
      </c>
    </row>
    <row r="2">
      <c r="D2" s="9" t="s">
        <v>10387</v>
      </c>
    </row>
    <row r="16">
      <c r="D16" s="13" t="s">
        <v>10388</v>
      </c>
    </row>
    <row r="33">
      <c r="D33" s="13" t="s">
        <v>10389</v>
      </c>
    </row>
    <row r="47">
      <c r="D47" s="13" t="s">
        <v>10390</v>
      </c>
    </row>
    <row r="64">
      <c r="D64" s="13" t="s">
        <v>10391</v>
      </c>
    </row>
    <row r="79">
      <c r="D79" s="13" t="s">
        <v>10392</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4.0"/>
    <col customWidth="1" min="2" max="2" width="33.25"/>
    <col customWidth="1" min="3" max="3" width="47.88"/>
    <col customWidth="1" min="4" max="5" width="22.63"/>
    <col customWidth="1" hidden="1" min="6" max="6" width="22.88"/>
    <col customWidth="1" hidden="1" min="7" max="7" width="21.38"/>
    <col hidden="1" min="8" max="8" width="12.63"/>
    <col customWidth="1" hidden="1" min="9" max="9" width="22.13"/>
    <col customWidth="1" min="10" max="10" width="42.13"/>
    <col customWidth="1" min="11" max="11" width="38.63"/>
    <col customWidth="1" min="12" max="12" width="25.13"/>
    <col customWidth="1" min="13" max="13" width="29.88"/>
  </cols>
  <sheetData>
    <row r="1">
      <c r="A1" s="2" t="s">
        <v>5662</v>
      </c>
      <c r="B1" s="66" t="s">
        <v>5663</v>
      </c>
      <c r="C1" s="66" t="s">
        <v>5664</v>
      </c>
      <c r="D1" s="7" t="str">
        <f> "Last Column " &amp; Checks!$D$5</f>
        <v>Last Column D</v>
      </c>
      <c r="E1" s="67"/>
      <c r="F1" s="67" t="s">
        <v>5665</v>
      </c>
      <c r="G1" s="68" t="s">
        <v>5666</v>
      </c>
      <c r="H1" s="68" t="s">
        <v>5667</v>
      </c>
      <c r="I1" s="9" t="s">
        <v>5668</v>
      </c>
      <c r="J1" s="69"/>
      <c r="K1" s="9"/>
      <c r="L1" s="70"/>
      <c r="M1" s="70"/>
      <c r="N1" s="70"/>
      <c r="O1" s="70"/>
      <c r="P1" s="70"/>
      <c r="Q1" s="70"/>
      <c r="R1" s="70"/>
      <c r="S1" s="70"/>
      <c r="T1" s="70"/>
      <c r="U1" s="70"/>
      <c r="V1" s="70"/>
      <c r="W1" s="70"/>
      <c r="X1" s="70"/>
      <c r="Y1" s="70"/>
      <c r="Z1" s="70"/>
      <c r="AA1" s="70"/>
      <c r="AB1" s="70"/>
      <c r="AC1" s="70"/>
      <c r="AD1" s="70"/>
    </row>
    <row r="2">
      <c r="A2" s="11" t="s">
        <v>5669</v>
      </c>
      <c r="B2" s="71" t="s">
        <v>5670</v>
      </c>
      <c r="C2" s="13" t="s">
        <v>5671</v>
      </c>
      <c r="D2" s="15"/>
      <c r="E2" s="15"/>
      <c r="F2" s="15" t="s">
        <v>5672</v>
      </c>
      <c r="G2" s="72" t="s">
        <v>5673</v>
      </c>
      <c r="H2" s="50"/>
      <c r="I2" s="42" t="s">
        <v>5674</v>
      </c>
      <c r="J2" s="50"/>
      <c r="L2" s="73"/>
    </row>
    <row r="3">
      <c r="A3" s="11" t="s">
        <v>5669</v>
      </c>
      <c r="B3" s="71" t="s">
        <v>5675</v>
      </c>
      <c r="C3" s="13" t="s">
        <v>5676</v>
      </c>
      <c r="D3" s="15"/>
      <c r="E3" s="15"/>
      <c r="F3" s="15" t="s">
        <v>5672</v>
      </c>
      <c r="G3" s="72" t="s">
        <v>5673</v>
      </c>
      <c r="H3" s="50"/>
      <c r="I3" s="42" t="s">
        <v>5674</v>
      </c>
      <c r="J3" s="50"/>
      <c r="L3" s="73"/>
    </row>
    <row r="4">
      <c r="A4" s="11" t="s">
        <v>5669</v>
      </c>
      <c r="B4" s="71" t="s">
        <v>5677</v>
      </c>
      <c r="C4" s="13" t="s">
        <v>5678</v>
      </c>
      <c r="D4" s="15"/>
      <c r="E4" s="15"/>
      <c r="F4" s="15" t="s">
        <v>5672</v>
      </c>
      <c r="G4" s="72" t="s">
        <v>5673</v>
      </c>
      <c r="H4" s="50"/>
      <c r="I4" s="42" t="s">
        <v>5674</v>
      </c>
      <c r="J4" s="50"/>
      <c r="L4" s="73"/>
    </row>
    <row r="5">
      <c r="A5" s="11" t="s">
        <v>5669</v>
      </c>
      <c r="B5" s="71" t="s">
        <v>5679</v>
      </c>
      <c r="C5" s="13" t="s">
        <v>5680</v>
      </c>
      <c r="D5" s="15"/>
      <c r="E5" s="15"/>
      <c r="F5" s="15" t="s">
        <v>5672</v>
      </c>
      <c r="G5" s="72" t="s">
        <v>5673</v>
      </c>
      <c r="H5" s="50"/>
      <c r="I5" s="42" t="s">
        <v>5674</v>
      </c>
      <c r="J5" s="50"/>
      <c r="L5" s="73"/>
    </row>
    <row r="6">
      <c r="A6" s="11" t="s">
        <v>5669</v>
      </c>
      <c r="B6" s="71" t="s">
        <v>5681</v>
      </c>
      <c r="C6" s="13" t="s">
        <v>5682</v>
      </c>
      <c r="D6" s="15"/>
      <c r="E6" s="15"/>
      <c r="F6" s="15" t="s">
        <v>5672</v>
      </c>
      <c r="G6" s="72" t="s">
        <v>5673</v>
      </c>
      <c r="H6" s="50"/>
      <c r="I6" s="42" t="s">
        <v>5674</v>
      </c>
      <c r="J6" s="50"/>
      <c r="L6" s="73"/>
    </row>
    <row r="7">
      <c r="A7" s="11" t="s">
        <v>5669</v>
      </c>
      <c r="B7" s="71" t="s">
        <v>5683</v>
      </c>
      <c r="C7" s="13" t="s">
        <v>5684</v>
      </c>
      <c r="D7" s="15"/>
      <c r="E7" s="15"/>
      <c r="F7" s="15" t="s">
        <v>5672</v>
      </c>
      <c r="G7" s="72" t="s">
        <v>5673</v>
      </c>
      <c r="H7" s="50"/>
      <c r="I7" s="42" t="s">
        <v>5674</v>
      </c>
      <c r="J7" s="50"/>
      <c r="L7" s="73"/>
    </row>
    <row r="8">
      <c r="A8" s="11" t="s">
        <v>5669</v>
      </c>
      <c r="B8" s="71" t="s">
        <v>5685</v>
      </c>
      <c r="C8" s="13" t="s">
        <v>5686</v>
      </c>
      <c r="D8" s="15"/>
      <c r="E8" s="15"/>
      <c r="F8" s="15" t="s">
        <v>5672</v>
      </c>
      <c r="G8" s="72" t="s">
        <v>5673</v>
      </c>
      <c r="H8" s="50"/>
      <c r="I8" s="42" t="s">
        <v>5674</v>
      </c>
      <c r="J8" s="50"/>
      <c r="L8" s="73"/>
    </row>
    <row r="9">
      <c r="A9" s="11" t="s">
        <v>5669</v>
      </c>
      <c r="B9" s="71" t="s">
        <v>5687</v>
      </c>
      <c r="C9" s="13" t="s">
        <v>5688</v>
      </c>
      <c r="D9" s="15"/>
      <c r="E9" s="15"/>
      <c r="F9" s="15" t="s">
        <v>5672</v>
      </c>
      <c r="G9" s="72" t="s">
        <v>5673</v>
      </c>
      <c r="H9" s="50"/>
      <c r="I9" s="42" t="s">
        <v>5674</v>
      </c>
      <c r="J9" s="50"/>
      <c r="L9" s="73"/>
    </row>
    <row r="10">
      <c r="A10" s="11" t="s">
        <v>5669</v>
      </c>
      <c r="B10" s="71" t="s">
        <v>5689</v>
      </c>
      <c r="C10" s="13" t="s">
        <v>5690</v>
      </c>
      <c r="D10" s="15"/>
      <c r="E10" s="15"/>
      <c r="F10" s="15" t="s">
        <v>5672</v>
      </c>
      <c r="G10" s="72" t="s">
        <v>5673</v>
      </c>
      <c r="H10" s="50"/>
      <c r="I10" s="42" t="s">
        <v>5674</v>
      </c>
      <c r="J10" s="50"/>
      <c r="L10" s="73"/>
    </row>
    <row r="11">
      <c r="A11" s="11" t="s">
        <v>5669</v>
      </c>
      <c r="B11" s="71" t="s">
        <v>5691</v>
      </c>
      <c r="C11" s="13" t="s">
        <v>5692</v>
      </c>
      <c r="D11" s="15"/>
      <c r="E11" s="15"/>
      <c r="F11" s="15" t="s">
        <v>5672</v>
      </c>
      <c r="G11" s="72" t="s">
        <v>5673</v>
      </c>
      <c r="H11" s="50"/>
      <c r="I11" s="42" t="s">
        <v>5674</v>
      </c>
      <c r="J11" s="50"/>
      <c r="L11" s="73"/>
    </row>
    <row r="12">
      <c r="A12" s="11" t="s">
        <v>5669</v>
      </c>
      <c r="B12" s="71" t="s">
        <v>5693</v>
      </c>
      <c r="C12" s="13" t="s">
        <v>5694</v>
      </c>
      <c r="D12" s="15"/>
      <c r="E12" s="15"/>
      <c r="F12" s="15" t="s">
        <v>5672</v>
      </c>
      <c r="G12" s="72" t="s">
        <v>5673</v>
      </c>
      <c r="H12" s="50"/>
      <c r="I12" s="42" t="s">
        <v>5674</v>
      </c>
      <c r="J12" s="50"/>
      <c r="L12" s="73"/>
    </row>
    <row r="13">
      <c r="A13" s="11" t="s">
        <v>5669</v>
      </c>
      <c r="B13" s="71" t="s">
        <v>5695</v>
      </c>
      <c r="C13" s="13" t="s">
        <v>5696</v>
      </c>
      <c r="D13" s="15"/>
      <c r="E13" s="15"/>
      <c r="F13" s="15" t="s">
        <v>5672</v>
      </c>
      <c r="G13" s="72" t="s">
        <v>5673</v>
      </c>
      <c r="H13" s="50"/>
      <c r="I13" s="42" t="s">
        <v>5674</v>
      </c>
      <c r="J13" s="50"/>
      <c r="L13" s="73"/>
    </row>
    <row r="14">
      <c r="A14" s="11" t="s">
        <v>5669</v>
      </c>
      <c r="B14" s="71" t="s">
        <v>5697</v>
      </c>
      <c r="C14" s="13" t="s">
        <v>5698</v>
      </c>
      <c r="D14" s="15"/>
      <c r="E14" s="15"/>
      <c r="F14" s="15" t="s">
        <v>5672</v>
      </c>
      <c r="G14" s="72" t="s">
        <v>5673</v>
      </c>
      <c r="H14" s="50"/>
      <c r="I14" s="42" t="s">
        <v>5674</v>
      </c>
      <c r="J14" s="50"/>
      <c r="L14" s="73"/>
    </row>
    <row r="15">
      <c r="A15" s="11" t="s">
        <v>5669</v>
      </c>
      <c r="B15" s="71" t="s">
        <v>5699</v>
      </c>
      <c r="C15" s="13" t="s">
        <v>5700</v>
      </c>
      <c r="D15" s="15"/>
      <c r="E15" s="15"/>
      <c r="F15" s="15" t="s">
        <v>5672</v>
      </c>
      <c r="G15" s="72" t="s">
        <v>5673</v>
      </c>
      <c r="H15" s="50"/>
      <c r="I15" s="42" t="s">
        <v>5674</v>
      </c>
      <c r="J15" s="50"/>
      <c r="L15" s="73"/>
    </row>
    <row r="16">
      <c r="A16" s="11" t="s">
        <v>5669</v>
      </c>
      <c r="B16" s="71" t="s">
        <v>5701</v>
      </c>
      <c r="C16" s="13" t="s">
        <v>5702</v>
      </c>
      <c r="D16" s="15"/>
      <c r="E16" s="15"/>
      <c r="F16" s="15" t="s">
        <v>5672</v>
      </c>
      <c r="G16" s="72" t="s">
        <v>5673</v>
      </c>
      <c r="H16" s="50"/>
      <c r="I16" s="42" t="s">
        <v>5674</v>
      </c>
      <c r="J16" s="50"/>
      <c r="L16" s="73"/>
    </row>
    <row r="17">
      <c r="A17" s="11" t="s">
        <v>5669</v>
      </c>
      <c r="B17" s="71" t="s">
        <v>5703</v>
      </c>
      <c r="C17" s="13" t="s">
        <v>5704</v>
      </c>
      <c r="D17" s="15"/>
      <c r="E17" s="15"/>
      <c r="F17" s="15" t="s">
        <v>5672</v>
      </c>
      <c r="G17" s="72" t="s">
        <v>5673</v>
      </c>
      <c r="H17" s="50"/>
      <c r="I17" s="42" t="s">
        <v>5674</v>
      </c>
      <c r="J17" s="50"/>
      <c r="L17" s="73"/>
    </row>
    <row r="18">
      <c r="A18" s="11" t="s">
        <v>5669</v>
      </c>
      <c r="B18" s="71" t="s">
        <v>5705</v>
      </c>
      <c r="C18" s="13" t="s">
        <v>5706</v>
      </c>
      <c r="D18" s="15"/>
      <c r="E18" s="15"/>
      <c r="F18" s="15" t="s">
        <v>5672</v>
      </c>
      <c r="G18" s="72" t="s">
        <v>5673</v>
      </c>
      <c r="H18" s="50"/>
      <c r="I18" s="42" t="s">
        <v>5674</v>
      </c>
      <c r="J18" s="50"/>
      <c r="L18" s="73"/>
    </row>
    <row r="19">
      <c r="A19" s="11" t="s">
        <v>5669</v>
      </c>
      <c r="B19" s="71" t="s">
        <v>5707</v>
      </c>
      <c r="C19" s="13" t="s">
        <v>5708</v>
      </c>
      <c r="D19" s="15"/>
      <c r="E19" s="15"/>
      <c r="F19" s="15" t="s">
        <v>5672</v>
      </c>
      <c r="G19" s="72" t="s">
        <v>5673</v>
      </c>
      <c r="H19" s="50"/>
      <c r="I19" s="42" t="s">
        <v>5674</v>
      </c>
      <c r="J19" s="50"/>
      <c r="L19" s="73"/>
    </row>
    <row r="20">
      <c r="A20" s="11" t="s">
        <v>5669</v>
      </c>
      <c r="B20" s="71" t="s">
        <v>5709</v>
      </c>
      <c r="C20" s="13" t="s">
        <v>5710</v>
      </c>
      <c r="D20" s="15"/>
      <c r="E20" s="15"/>
      <c r="F20" s="15" t="s">
        <v>5672</v>
      </c>
      <c r="G20" s="72" t="s">
        <v>5673</v>
      </c>
      <c r="H20" s="50"/>
      <c r="I20" s="42" t="s">
        <v>5674</v>
      </c>
      <c r="J20" s="50"/>
      <c r="L20" s="73"/>
    </row>
    <row r="21">
      <c r="A21" s="11" t="s">
        <v>5669</v>
      </c>
      <c r="B21" s="71" t="s">
        <v>5711</v>
      </c>
      <c r="C21" s="13" t="s">
        <v>5712</v>
      </c>
      <c r="D21" s="15"/>
      <c r="E21" s="15"/>
      <c r="F21" s="15" t="s">
        <v>5672</v>
      </c>
      <c r="G21" s="72" t="s">
        <v>5673</v>
      </c>
      <c r="H21" s="50"/>
      <c r="I21" s="42" t="s">
        <v>5674</v>
      </c>
      <c r="J21" s="50"/>
      <c r="L21" s="73"/>
    </row>
    <row r="22">
      <c r="A22" s="11" t="s">
        <v>5669</v>
      </c>
      <c r="B22" s="71" t="s">
        <v>5713</v>
      </c>
      <c r="C22" s="13" t="s">
        <v>5714</v>
      </c>
      <c r="D22" s="15"/>
      <c r="E22" s="15"/>
      <c r="F22" s="15" t="s">
        <v>5672</v>
      </c>
      <c r="G22" s="72" t="s">
        <v>5673</v>
      </c>
      <c r="H22" s="50"/>
      <c r="I22" s="42" t="s">
        <v>5674</v>
      </c>
      <c r="J22" s="50"/>
      <c r="L22" s="73"/>
    </row>
    <row r="23">
      <c r="A23" s="11" t="s">
        <v>5669</v>
      </c>
      <c r="B23" s="71" t="s">
        <v>5715</v>
      </c>
      <c r="C23" s="13" t="s">
        <v>5716</v>
      </c>
      <c r="D23" s="15"/>
      <c r="E23" s="15"/>
      <c r="F23" s="15" t="s">
        <v>5672</v>
      </c>
      <c r="G23" s="72" t="s">
        <v>5673</v>
      </c>
      <c r="H23" s="50"/>
      <c r="I23" s="42" t="s">
        <v>5674</v>
      </c>
      <c r="J23" s="50"/>
      <c r="L23" s="73"/>
    </row>
    <row r="24">
      <c r="A24" s="11" t="s">
        <v>5669</v>
      </c>
      <c r="B24" s="71" t="s">
        <v>5717</v>
      </c>
      <c r="C24" s="13" t="s">
        <v>5718</v>
      </c>
      <c r="D24" s="15"/>
      <c r="E24" s="15"/>
      <c r="F24" s="15" t="s">
        <v>5672</v>
      </c>
      <c r="G24" s="72" t="s">
        <v>5673</v>
      </c>
      <c r="H24" s="50"/>
      <c r="I24" s="42" t="s">
        <v>5674</v>
      </c>
      <c r="J24" s="50"/>
      <c r="L24" s="73"/>
    </row>
    <row r="25">
      <c r="A25" s="11" t="s">
        <v>5669</v>
      </c>
      <c r="B25" s="71" t="s">
        <v>5719</v>
      </c>
      <c r="C25" s="13" t="s">
        <v>5720</v>
      </c>
      <c r="D25" s="15"/>
      <c r="E25" s="15"/>
      <c r="F25" s="15" t="s">
        <v>5672</v>
      </c>
      <c r="G25" s="72" t="s">
        <v>5673</v>
      </c>
      <c r="H25" s="50"/>
      <c r="I25" s="42" t="s">
        <v>5674</v>
      </c>
      <c r="J25" s="50"/>
      <c r="L25" s="73"/>
    </row>
    <row r="26">
      <c r="A26" s="11" t="s">
        <v>5669</v>
      </c>
      <c r="B26" s="71" t="s">
        <v>5721</v>
      </c>
      <c r="C26" s="13" t="s">
        <v>5722</v>
      </c>
      <c r="D26" s="15"/>
      <c r="E26" s="15"/>
      <c r="F26" s="15" t="s">
        <v>5672</v>
      </c>
      <c r="G26" s="72" t="s">
        <v>5673</v>
      </c>
      <c r="H26" s="50"/>
      <c r="I26" s="42" t="s">
        <v>5674</v>
      </c>
      <c r="J26" s="50"/>
      <c r="L26" s="73"/>
    </row>
    <row r="27">
      <c r="A27" s="11" t="s">
        <v>5669</v>
      </c>
      <c r="B27" s="71" t="s">
        <v>5723</v>
      </c>
      <c r="C27" s="13" t="s">
        <v>5724</v>
      </c>
      <c r="D27" s="15"/>
      <c r="E27" s="15"/>
      <c r="F27" s="15" t="s">
        <v>5672</v>
      </c>
      <c r="G27" s="72" t="s">
        <v>5673</v>
      </c>
      <c r="H27" s="50"/>
      <c r="I27" s="42" t="s">
        <v>5674</v>
      </c>
      <c r="J27" s="50"/>
      <c r="L27" s="73"/>
    </row>
    <row r="28">
      <c r="A28" s="11" t="s">
        <v>5669</v>
      </c>
      <c r="B28" s="71" t="s">
        <v>5725</v>
      </c>
      <c r="C28" s="13" t="s">
        <v>5726</v>
      </c>
      <c r="D28" s="15"/>
      <c r="E28" s="15"/>
      <c r="F28" s="15" t="s">
        <v>5672</v>
      </c>
      <c r="G28" s="72" t="s">
        <v>5673</v>
      </c>
      <c r="H28" s="50"/>
      <c r="I28" s="42" t="s">
        <v>5674</v>
      </c>
      <c r="J28" s="50"/>
      <c r="L28" s="73"/>
    </row>
    <row r="29">
      <c r="A29" s="11" t="s">
        <v>5669</v>
      </c>
      <c r="B29" s="71" t="s">
        <v>5727</v>
      </c>
      <c r="C29" s="13" t="s">
        <v>5728</v>
      </c>
      <c r="D29" s="15"/>
      <c r="E29" s="15"/>
      <c r="F29" s="15" t="s">
        <v>5672</v>
      </c>
      <c r="G29" s="72" t="s">
        <v>5673</v>
      </c>
      <c r="H29" s="50"/>
      <c r="I29" s="42" t="s">
        <v>5674</v>
      </c>
      <c r="J29" s="50"/>
      <c r="L29" s="73"/>
    </row>
    <row r="30">
      <c r="A30" s="11" t="s">
        <v>5669</v>
      </c>
      <c r="B30" s="71" t="s">
        <v>5729</v>
      </c>
      <c r="C30" s="13" t="s">
        <v>5730</v>
      </c>
      <c r="D30" s="15"/>
      <c r="E30" s="15"/>
      <c r="F30" s="15" t="s">
        <v>5672</v>
      </c>
      <c r="G30" s="72" t="s">
        <v>5673</v>
      </c>
      <c r="H30" s="50"/>
      <c r="I30" s="42" t="s">
        <v>5674</v>
      </c>
      <c r="J30" s="50"/>
      <c r="L30" s="73"/>
    </row>
    <row r="31">
      <c r="A31" s="11" t="s">
        <v>5731</v>
      </c>
      <c r="B31" s="71" t="s">
        <v>5732</v>
      </c>
      <c r="C31" s="13" t="s">
        <v>5733</v>
      </c>
      <c r="D31" s="10"/>
      <c r="E31" s="10"/>
      <c r="F31" s="10"/>
      <c r="G31" s="72"/>
      <c r="H31" s="50"/>
      <c r="I31" s="42"/>
      <c r="J31" s="50"/>
      <c r="L31" s="73"/>
    </row>
    <row r="32">
      <c r="A32" s="11" t="s">
        <v>5734</v>
      </c>
      <c r="B32" s="74" t="s">
        <v>5735</v>
      </c>
      <c r="C32" s="13" t="s">
        <v>5736</v>
      </c>
      <c r="D32" s="10"/>
      <c r="E32" s="10"/>
      <c r="F32" s="10" t="s">
        <v>5737</v>
      </c>
      <c r="G32" s="72" t="s">
        <v>5673</v>
      </c>
      <c r="H32" s="50"/>
      <c r="I32" s="42" t="s">
        <v>5674</v>
      </c>
      <c r="J32" s="50"/>
      <c r="L32" s="73"/>
    </row>
    <row r="33">
      <c r="A33" s="11" t="s">
        <v>5734</v>
      </c>
      <c r="B33" s="74" t="s">
        <v>5738</v>
      </c>
      <c r="C33" s="13" t="s">
        <v>5739</v>
      </c>
      <c r="D33" s="10"/>
      <c r="E33" s="10"/>
      <c r="F33" s="10" t="s">
        <v>5737</v>
      </c>
      <c r="G33" s="72" t="s">
        <v>5673</v>
      </c>
      <c r="H33" s="50"/>
      <c r="I33" s="42" t="s">
        <v>5674</v>
      </c>
      <c r="J33" s="50"/>
      <c r="L33" s="73"/>
    </row>
    <row r="34">
      <c r="A34" s="11" t="s">
        <v>5734</v>
      </c>
      <c r="B34" s="74" t="s">
        <v>5740</v>
      </c>
      <c r="C34" s="13" t="s">
        <v>5741</v>
      </c>
      <c r="D34" s="10"/>
      <c r="E34" s="10"/>
      <c r="F34" s="10" t="s">
        <v>5737</v>
      </c>
      <c r="G34" s="72" t="s">
        <v>5673</v>
      </c>
      <c r="H34" s="50"/>
      <c r="I34" s="42" t="s">
        <v>5674</v>
      </c>
      <c r="J34" s="50"/>
      <c r="L34" s="73"/>
    </row>
    <row r="35">
      <c r="A35" s="11" t="s">
        <v>5734</v>
      </c>
      <c r="B35" s="74" t="s">
        <v>5742</v>
      </c>
      <c r="C35" s="13" t="s">
        <v>5743</v>
      </c>
      <c r="D35" s="10"/>
      <c r="E35" s="10"/>
      <c r="F35" s="10" t="s">
        <v>5737</v>
      </c>
      <c r="G35" s="72" t="s">
        <v>5673</v>
      </c>
      <c r="H35" s="50"/>
      <c r="I35" s="42" t="s">
        <v>5674</v>
      </c>
      <c r="J35" s="50"/>
      <c r="L35" s="73"/>
    </row>
    <row r="36">
      <c r="A36" s="11" t="s">
        <v>5734</v>
      </c>
      <c r="B36" s="74" t="s">
        <v>5744</v>
      </c>
      <c r="C36" s="13" t="s">
        <v>5745</v>
      </c>
      <c r="D36" s="10"/>
      <c r="E36" s="10"/>
      <c r="F36" s="10" t="s">
        <v>5737</v>
      </c>
      <c r="G36" s="72" t="s">
        <v>5673</v>
      </c>
      <c r="H36" s="50"/>
      <c r="I36" s="42" t="s">
        <v>5674</v>
      </c>
      <c r="J36" s="50"/>
      <c r="L36" s="73"/>
    </row>
    <row r="37">
      <c r="A37" s="11" t="s">
        <v>5734</v>
      </c>
      <c r="B37" s="74" t="s">
        <v>5746</v>
      </c>
      <c r="C37" s="13" t="s">
        <v>5747</v>
      </c>
      <c r="D37" s="10"/>
      <c r="E37" s="10"/>
      <c r="F37" s="10" t="s">
        <v>5737</v>
      </c>
      <c r="G37" s="72" t="s">
        <v>5673</v>
      </c>
      <c r="H37" s="50"/>
      <c r="I37" s="42" t="s">
        <v>5674</v>
      </c>
      <c r="J37" s="50"/>
      <c r="L37" s="73"/>
    </row>
    <row r="38">
      <c r="A38" s="11" t="s">
        <v>5734</v>
      </c>
      <c r="B38" s="74" t="s">
        <v>5748</v>
      </c>
      <c r="C38" s="13" t="s">
        <v>5749</v>
      </c>
      <c r="D38" s="10"/>
      <c r="E38" s="10"/>
      <c r="F38" s="10" t="s">
        <v>5737</v>
      </c>
      <c r="G38" s="72" t="s">
        <v>5673</v>
      </c>
      <c r="H38" s="50"/>
      <c r="I38" s="42" t="s">
        <v>5674</v>
      </c>
      <c r="J38" s="50"/>
      <c r="L38" s="73"/>
    </row>
    <row r="39">
      <c r="A39" s="11" t="s">
        <v>5734</v>
      </c>
      <c r="B39" s="74" t="s">
        <v>5750</v>
      </c>
      <c r="C39" s="13" t="s">
        <v>5751</v>
      </c>
      <c r="D39" s="10"/>
      <c r="E39" s="10"/>
      <c r="F39" s="10" t="s">
        <v>5737</v>
      </c>
      <c r="G39" s="72" t="s">
        <v>5673</v>
      </c>
      <c r="H39" s="50"/>
      <c r="I39" s="42" t="s">
        <v>5674</v>
      </c>
      <c r="J39" s="50"/>
      <c r="L39" s="73"/>
    </row>
    <row r="40">
      <c r="A40" s="11" t="s">
        <v>5752</v>
      </c>
      <c r="B40" s="75" t="s">
        <v>5753</v>
      </c>
      <c r="C40" s="13" t="s">
        <v>5754</v>
      </c>
      <c r="D40" s="15"/>
      <c r="E40" s="15"/>
      <c r="F40" s="15" t="s">
        <v>5672</v>
      </c>
      <c r="G40" s="72" t="s">
        <v>5673</v>
      </c>
      <c r="H40" s="50"/>
      <c r="I40" s="42" t="s">
        <v>5674</v>
      </c>
      <c r="J40" s="50"/>
      <c r="L40" s="73"/>
    </row>
    <row r="41">
      <c r="A41" s="11" t="s">
        <v>5752</v>
      </c>
      <c r="B41" s="75" t="s">
        <v>5755</v>
      </c>
      <c r="C41" s="13" t="s">
        <v>5756</v>
      </c>
      <c r="D41" s="15"/>
      <c r="E41" s="15"/>
      <c r="F41" s="15" t="s">
        <v>5672</v>
      </c>
      <c r="G41" s="72" t="s">
        <v>5673</v>
      </c>
      <c r="H41" s="50"/>
      <c r="I41" s="42" t="s">
        <v>5674</v>
      </c>
      <c r="J41" s="50"/>
      <c r="L41" s="73"/>
    </row>
    <row r="42">
      <c r="A42" s="11" t="s">
        <v>5752</v>
      </c>
      <c r="B42" s="74" t="s">
        <v>5757</v>
      </c>
      <c r="C42" s="13" t="s">
        <v>5758</v>
      </c>
      <c r="D42" s="15"/>
      <c r="E42" s="15"/>
      <c r="F42" s="15" t="s">
        <v>5672</v>
      </c>
      <c r="G42" s="72" t="s">
        <v>5673</v>
      </c>
      <c r="H42" s="50"/>
      <c r="I42" s="42" t="s">
        <v>5674</v>
      </c>
      <c r="J42" s="50"/>
      <c r="L42" s="73"/>
    </row>
    <row r="43">
      <c r="A43" s="11" t="s">
        <v>5752</v>
      </c>
      <c r="B43" s="75" t="s">
        <v>5759</v>
      </c>
      <c r="C43" s="13" t="s">
        <v>5760</v>
      </c>
      <c r="D43" s="15"/>
      <c r="E43" s="15"/>
      <c r="F43" s="15" t="s">
        <v>5672</v>
      </c>
      <c r="G43" s="72" t="s">
        <v>5673</v>
      </c>
      <c r="H43" s="50"/>
      <c r="I43" s="42" t="s">
        <v>5674</v>
      </c>
      <c r="J43" s="50"/>
      <c r="L43" s="73"/>
    </row>
    <row r="44">
      <c r="A44" s="11" t="s">
        <v>5761</v>
      </c>
      <c r="B44" s="74" t="s">
        <v>5762</v>
      </c>
      <c r="C44" s="13" t="s">
        <v>5763</v>
      </c>
      <c r="D44" s="15"/>
      <c r="E44" s="15"/>
      <c r="F44" s="15" t="s">
        <v>5764</v>
      </c>
      <c r="G44" s="72" t="s">
        <v>5673</v>
      </c>
      <c r="H44" s="50"/>
      <c r="I44" s="42" t="s">
        <v>5674</v>
      </c>
      <c r="J44" s="50"/>
      <c r="L44" s="73"/>
    </row>
    <row r="45">
      <c r="A45" s="11" t="s">
        <v>5761</v>
      </c>
      <c r="B45" s="74" t="s">
        <v>5765</v>
      </c>
      <c r="C45" s="13" t="s">
        <v>5766</v>
      </c>
      <c r="D45" s="15"/>
      <c r="E45" s="15"/>
      <c r="F45" s="15" t="s">
        <v>5764</v>
      </c>
      <c r="G45" s="72" t="s">
        <v>5673</v>
      </c>
      <c r="H45" s="50"/>
      <c r="I45" s="42" t="s">
        <v>5674</v>
      </c>
      <c r="J45" s="50"/>
      <c r="L45" s="73"/>
    </row>
    <row r="46">
      <c r="A46" s="11" t="s">
        <v>5761</v>
      </c>
      <c r="B46" s="74" t="s">
        <v>5767</v>
      </c>
      <c r="C46" s="13" t="s">
        <v>5768</v>
      </c>
      <c r="D46" s="15"/>
      <c r="E46" s="15"/>
      <c r="F46" s="15" t="s">
        <v>5764</v>
      </c>
      <c r="G46" s="72" t="s">
        <v>5673</v>
      </c>
      <c r="H46" s="50"/>
      <c r="I46" s="42" t="s">
        <v>5674</v>
      </c>
      <c r="J46" s="50"/>
      <c r="L46" s="73"/>
    </row>
    <row r="47">
      <c r="A47" s="11" t="s">
        <v>5761</v>
      </c>
      <c r="B47" s="74" t="s">
        <v>5769</v>
      </c>
      <c r="C47" s="13" t="s">
        <v>5770</v>
      </c>
      <c r="D47" s="15"/>
      <c r="E47" s="15"/>
      <c r="F47" s="15" t="s">
        <v>5764</v>
      </c>
      <c r="G47" s="72" t="s">
        <v>5673</v>
      </c>
      <c r="H47" s="50"/>
      <c r="I47" s="42" t="s">
        <v>5674</v>
      </c>
      <c r="J47" s="50"/>
      <c r="L47" s="73"/>
    </row>
    <row r="48">
      <c r="A48" s="11" t="s">
        <v>5761</v>
      </c>
      <c r="B48" s="74" t="s">
        <v>5771</v>
      </c>
      <c r="C48" s="13" t="s">
        <v>5772</v>
      </c>
      <c r="D48" s="15"/>
      <c r="E48" s="15"/>
      <c r="F48" s="15" t="s">
        <v>5764</v>
      </c>
      <c r="G48" s="72" t="s">
        <v>5673</v>
      </c>
      <c r="H48" s="50"/>
      <c r="I48" s="42" t="s">
        <v>5674</v>
      </c>
      <c r="J48" s="50"/>
      <c r="L48" s="73"/>
    </row>
    <row r="49">
      <c r="A49" s="11" t="s">
        <v>5761</v>
      </c>
      <c r="B49" s="74" t="s">
        <v>5773</v>
      </c>
      <c r="C49" s="13" t="s">
        <v>5774</v>
      </c>
      <c r="D49" s="15"/>
      <c r="E49" s="15"/>
      <c r="F49" s="15" t="s">
        <v>5764</v>
      </c>
      <c r="G49" s="72" t="s">
        <v>5673</v>
      </c>
      <c r="H49" s="50"/>
      <c r="I49" s="42" t="s">
        <v>5674</v>
      </c>
      <c r="J49" s="50"/>
      <c r="L49" s="73"/>
    </row>
    <row r="50">
      <c r="A50" s="11" t="s">
        <v>5761</v>
      </c>
      <c r="B50" s="74" t="s">
        <v>5775</v>
      </c>
      <c r="C50" s="13" t="s">
        <v>5776</v>
      </c>
      <c r="D50" s="15"/>
      <c r="E50" s="15"/>
      <c r="F50" s="15" t="s">
        <v>5764</v>
      </c>
      <c r="G50" s="72" t="s">
        <v>5673</v>
      </c>
      <c r="H50" s="50"/>
      <c r="I50" s="42" t="s">
        <v>5674</v>
      </c>
      <c r="J50" s="50"/>
      <c r="L50" s="73"/>
    </row>
    <row r="51">
      <c r="A51" s="11" t="s">
        <v>5761</v>
      </c>
      <c r="B51" s="74" t="s">
        <v>5777</v>
      </c>
      <c r="C51" s="13" t="s">
        <v>5778</v>
      </c>
      <c r="D51" s="15"/>
      <c r="E51" s="15"/>
      <c r="F51" s="15" t="s">
        <v>5764</v>
      </c>
      <c r="G51" s="72" t="s">
        <v>5673</v>
      </c>
      <c r="H51" s="50"/>
      <c r="I51" s="42" t="s">
        <v>5674</v>
      </c>
      <c r="J51" s="50"/>
      <c r="L51" s="73"/>
    </row>
    <row r="52">
      <c r="A52" s="11" t="s">
        <v>5761</v>
      </c>
      <c r="B52" s="74" t="s">
        <v>5779</v>
      </c>
      <c r="C52" s="13" t="s">
        <v>5780</v>
      </c>
      <c r="D52" s="15"/>
      <c r="E52" s="15"/>
      <c r="F52" s="15" t="s">
        <v>5764</v>
      </c>
      <c r="G52" s="72" t="s">
        <v>5673</v>
      </c>
      <c r="H52" s="50"/>
      <c r="I52" s="42" t="s">
        <v>5674</v>
      </c>
      <c r="J52" s="50"/>
      <c r="L52" s="73"/>
    </row>
    <row r="53">
      <c r="A53" s="11" t="s">
        <v>5761</v>
      </c>
      <c r="B53" s="74" t="s">
        <v>5781</v>
      </c>
      <c r="C53" s="13" t="s">
        <v>5782</v>
      </c>
      <c r="D53" s="15"/>
      <c r="E53" s="15"/>
      <c r="F53" s="15" t="s">
        <v>5764</v>
      </c>
      <c r="G53" s="72" t="s">
        <v>5673</v>
      </c>
      <c r="H53" s="50"/>
      <c r="I53" s="42" t="s">
        <v>5674</v>
      </c>
      <c r="J53" s="50"/>
      <c r="L53" s="73"/>
    </row>
    <row r="54">
      <c r="A54" s="11" t="s">
        <v>5761</v>
      </c>
      <c r="B54" s="74" t="s">
        <v>5783</v>
      </c>
      <c r="C54" s="13" t="s">
        <v>5784</v>
      </c>
      <c r="D54" s="15"/>
      <c r="E54" s="15"/>
      <c r="F54" s="15" t="s">
        <v>5764</v>
      </c>
      <c r="G54" s="72" t="s">
        <v>5673</v>
      </c>
      <c r="H54" s="50"/>
      <c r="I54" s="42" t="s">
        <v>5674</v>
      </c>
      <c r="J54" s="50"/>
      <c r="L54" s="73"/>
    </row>
    <row r="55">
      <c r="A55" s="12" t="s">
        <v>5785</v>
      </c>
      <c r="B55" s="13" t="s">
        <v>5786</v>
      </c>
      <c r="C55" s="76" t="s">
        <v>5787</v>
      </c>
      <c r="D55" s="10"/>
      <c r="E55" s="10"/>
      <c r="F55" s="10" t="s">
        <v>5788</v>
      </c>
      <c r="G55" s="11" t="s">
        <v>5786</v>
      </c>
      <c r="I55" s="13" t="s">
        <v>5674</v>
      </c>
      <c r="L55" s="73"/>
    </row>
    <row r="56">
      <c r="A56" s="12" t="s">
        <v>5789</v>
      </c>
      <c r="B56" s="10" t="s">
        <v>5790</v>
      </c>
      <c r="C56" s="13" t="s">
        <v>5791</v>
      </c>
      <c r="D56" s="10"/>
      <c r="E56" s="10"/>
      <c r="F56" s="10" t="s">
        <v>5792</v>
      </c>
      <c r="G56" s="11" t="s">
        <v>5793</v>
      </c>
      <c r="H56" s="13">
        <v>12884.0</v>
      </c>
      <c r="I56" s="13" t="s">
        <v>5674</v>
      </c>
      <c r="L56" s="73"/>
    </row>
    <row r="57">
      <c r="A57" s="12" t="s">
        <v>5789</v>
      </c>
      <c r="B57" s="10" t="s">
        <v>5794</v>
      </c>
      <c r="C57" s="13" t="s">
        <v>5795</v>
      </c>
      <c r="D57" s="10"/>
      <c r="E57" s="10"/>
      <c r="F57" s="10" t="s">
        <v>5792</v>
      </c>
      <c r="G57" s="11" t="s">
        <v>5793</v>
      </c>
      <c r="H57" s="13">
        <v>411041.0</v>
      </c>
      <c r="I57" s="13" t="s">
        <v>5674</v>
      </c>
      <c r="L57" s="73"/>
    </row>
    <row r="58">
      <c r="A58" s="12" t="s">
        <v>5789</v>
      </c>
      <c r="B58" s="10" t="s">
        <v>5796</v>
      </c>
      <c r="C58" s="13" t="s">
        <v>5797</v>
      </c>
      <c r="D58" s="10"/>
      <c r="E58" s="10"/>
      <c r="F58" s="10" t="s">
        <v>5792</v>
      </c>
      <c r="G58" s="11" t="s">
        <v>5793</v>
      </c>
      <c r="H58" s="13" t="s">
        <v>5798</v>
      </c>
      <c r="I58" s="13" t="s">
        <v>5674</v>
      </c>
      <c r="L58" s="73"/>
    </row>
    <row r="59">
      <c r="A59" s="12" t="s">
        <v>5789</v>
      </c>
      <c r="B59" s="10" t="s">
        <v>5799</v>
      </c>
      <c r="C59" s="13" t="s">
        <v>5800</v>
      </c>
      <c r="D59" s="10"/>
      <c r="E59" s="10"/>
      <c r="F59" s="10" t="s">
        <v>5792</v>
      </c>
      <c r="G59" s="11" t="s">
        <v>5793</v>
      </c>
      <c r="H59" s="13">
        <v>910602.0</v>
      </c>
      <c r="I59" s="13" t="s">
        <v>5674</v>
      </c>
      <c r="L59" s="73"/>
    </row>
    <row r="60">
      <c r="A60" s="12" t="s">
        <v>5789</v>
      </c>
      <c r="B60" s="10" t="s">
        <v>5801</v>
      </c>
      <c r="C60" s="13" t="s">
        <v>5802</v>
      </c>
      <c r="D60" s="10"/>
      <c r="E60" s="10"/>
      <c r="F60" s="10" t="s">
        <v>5792</v>
      </c>
      <c r="G60" s="11" t="s">
        <v>5793</v>
      </c>
      <c r="H60" s="13">
        <v>90462.0</v>
      </c>
      <c r="I60" s="13" t="s">
        <v>5674</v>
      </c>
      <c r="L60" s="73"/>
    </row>
    <row r="61">
      <c r="A61" s="12" t="s">
        <v>5789</v>
      </c>
      <c r="B61" s="10" t="s">
        <v>5803</v>
      </c>
      <c r="C61" s="13" t="s">
        <v>5804</v>
      </c>
      <c r="D61" s="10"/>
      <c r="E61" s="10"/>
      <c r="F61" s="10" t="s">
        <v>5792</v>
      </c>
      <c r="G61" s="11" t="s">
        <v>5793</v>
      </c>
      <c r="H61" s="13">
        <v>910603.0</v>
      </c>
      <c r="I61" s="13" t="s">
        <v>5674</v>
      </c>
      <c r="L61" s="73"/>
    </row>
    <row r="62">
      <c r="A62" s="12" t="s">
        <v>5789</v>
      </c>
      <c r="B62" s="10" t="s">
        <v>5805</v>
      </c>
      <c r="C62" s="13" t="s">
        <v>5806</v>
      </c>
      <c r="D62" s="10"/>
      <c r="E62" s="10"/>
      <c r="F62" s="10" t="s">
        <v>5792</v>
      </c>
      <c r="G62" s="11" t="s">
        <v>5793</v>
      </c>
      <c r="H62" s="13">
        <v>910604.0</v>
      </c>
      <c r="I62" s="13" t="s">
        <v>5674</v>
      </c>
      <c r="L62" s="73"/>
    </row>
    <row r="63">
      <c r="A63" s="12" t="s">
        <v>5789</v>
      </c>
      <c r="B63" s="10" t="s">
        <v>5807</v>
      </c>
      <c r="C63" s="13" t="s">
        <v>5808</v>
      </c>
      <c r="D63" s="10"/>
      <c r="E63" s="10"/>
      <c r="F63" s="10" t="s">
        <v>5792</v>
      </c>
      <c r="G63" s="11" t="s">
        <v>5793</v>
      </c>
      <c r="H63" s="13" t="s">
        <v>5809</v>
      </c>
      <c r="I63" s="13" t="s">
        <v>5674</v>
      </c>
      <c r="L63" s="73"/>
    </row>
    <row r="64">
      <c r="A64" s="12" t="s">
        <v>5789</v>
      </c>
      <c r="B64" s="10" t="s">
        <v>5810</v>
      </c>
      <c r="C64" s="13" t="s">
        <v>5811</v>
      </c>
      <c r="D64" s="10"/>
      <c r="E64" s="10"/>
      <c r="F64" s="10" t="s">
        <v>5792</v>
      </c>
      <c r="G64" s="11" t="s">
        <v>5793</v>
      </c>
      <c r="H64" s="13">
        <v>910606.0</v>
      </c>
      <c r="I64" s="13" t="s">
        <v>5674</v>
      </c>
      <c r="L64" s="73"/>
    </row>
    <row r="65">
      <c r="A65" s="12" t="s">
        <v>5789</v>
      </c>
      <c r="B65" s="10" t="s">
        <v>5812</v>
      </c>
      <c r="C65" s="13" t="s">
        <v>5813</v>
      </c>
      <c r="D65" s="10"/>
      <c r="E65" s="10"/>
      <c r="F65" s="10" t="s">
        <v>5792</v>
      </c>
      <c r="G65" s="11" t="s">
        <v>5793</v>
      </c>
      <c r="H65" s="13">
        <v>85190.0</v>
      </c>
      <c r="I65" s="13" t="s">
        <v>5674</v>
      </c>
      <c r="L65" s="73"/>
    </row>
    <row r="66">
      <c r="A66" s="12" t="s">
        <v>5814</v>
      </c>
      <c r="B66" s="10" t="s">
        <v>5815</v>
      </c>
      <c r="C66" s="13" t="s">
        <v>5816</v>
      </c>
      <c r="D66" s="15"/>
      <c r="E66" s="15"/>
      <c r="F66" s="15" t="s">
        <v>5817</v>
      </c>
      <c r="G66" s="11" t="s">
        <v>5793</v>
      </c>
      <c r="I66" s="13" t="s">
        <v>5674</v>
      </c>
      <c r="L66" s="73"/>
    </row>
    <row r="67">
      <c r="A67" s="12" t="s">
        <v>5814</v>
      </c>
      <c r="B67" s="10" t="s">
        <v>5818</v>
      </c>
      <c r="C67" s="13" t="s">
        <v>5819</v>
      </c>
      <c r="D67" s="15"/>
      <c r="E67" s="15"/>
      <c r="F67" s="15" t="s">
        <v>5817</v>
      </c>
      <c r="G67" s="11" t="s">
        <v>5793</v>
      </c>
      <c r="I67" s="13" t="s">
        <v>5674</v>
      </c>
      <c r="L67" s="73"/>
    </row>
    <row r="68">
      <c r="A68" s="12" t="s">
        <v>5814</v>
      </c>
      <c r="B68" s="10" t="s">
        <v>5820</v>
      </c>
      <c r="C68" s="13" t="s">
        <v>5821</v>
      </c>
      <c r="D68" s="15"/>
      <c r="E68" s="15"/>
      <c r="F68" s="15" t="s">
        <v>5817</v>
      </c>
      <c r="G68" s="11" t="s">
        <v>5793</v>
      </c>
      <c r="I68" s="13" t="s">
        <v>5674</v>
      </c>
      <c r="L68" s="73"/>
    </row>
    <row r="69">
      <c r="A69" s="12" t="s">
        <v>5814</v>
      </c>
      <c r="B69" s="10" t="s">
        <v>5822</v>
      </c>
      <c r="C69" s="13" t="s">
        <v>5823</v>
      </c>
      <c r="D69" s="15"/>
      <c r="E69" s="15"/>
      <c r="F69" s="15" t="s">
        <v>5817</v>
      </c>
      <c r="G69" s="11" t="s">
        <v>5793</v>
      </c>
      <c r="I69" s="13" t="s">
        <v>5674</v>
      </c>
      <c r="L69" s="73"/>
      <c r="M69" s="73"/>
    </row>
    <row r="70">
      <c r="A70" s="12" t="s">
        <v>5814</v>
      </c>
      <c r="B70" s="10" t="s">
        <v>5824</v>
      </c>
      <c r="C70" s="13" t="s">
        <v>5825</v>
      </c>
      <c r="D70" s="15"/>
      <c r="E70" s="15"/>
      <c r="F70" s="15" t="s">
        <v>5817</v>
      </c>
      <c r="G70" s="11" t="s">
        <v>5793</v>
      </c>
      <c r="I70" s="13" t="s">
        <v>5674</v>
      </c>
      <c r="L70" s="73"/>
    </row>
    <row r="71">
      <c r="A71" s="12" t="s">
        <v>5814</v>
      </c>
      <c r="B71" s="10" t="s">
        <v>5826</v>
      </c>
      <c r="C71" s="13" t="s">
        <v>5827</v>
      </c>
      <c r="D71" s="15"/>
      <c r="E71" s="15"/>
      <c r="F71" s="15" t="s">
        <v>5817</v>
      </c>
      <c r="G71" s="11" t="s">
        <v>5793</v>
      </c>
      <c r="I71" s="13" t="s">
        <v>5674</v>
      </c>
      <c r="L71" s="73"/>
    </row>
    <row r="72">
      <c r="A72" s="12" t="s">
        <v>5814</v>
      </c>
      <c r="B72" s="10" t="s">
        <v>5828</v>
      </c>
      <c r="C72" s="13" t="s">
        <v>5829</v>
      </c>
      <c r="D72" s="15"/>
      <c r="E72" s="15"/>
      <c r="F72" s="15" t="s">
        <v>5817</v>
      </c>
      <c r="G72" s="11" t="s">
        <v>5793</v>
      </c>
      <c r="I72" s="13" t="s">
        <v>5674</v>
      </c>
      <c r="L72" s="73"/>
    </row>
    <row r="73">
      <c r="A73" s="12" t="s">
        <v>5814</v>
      </c>
      <c r="B73" s="10" t="s">
        <v>5830</v>
      </c>
      <c r="C73" s="13" t="s">
        <v>5831</v>
      </c>
      <c r="D73" s="15"/>
      <c r="E73" s="15"/>
      <c r="F73" s="15" t="s">
        <v>5817</v>
      </c>
      <c r="G73" s="11" t="s">
        <v>5793</v>
      </c>
      <c r="I73" s="13" t="s">
        <v>5674</v>
      </c>
      <c r="L73" s="73"/>
      <c r="M73" s="73"/>
    </row>
    <row r="74">
      <c r="A74" s="12" t="s">
        <v>5814</v>
      </c>
      <c r="B74" s="10" t="s">
        <v>5832</v>
      </c>
      <c r="C74" s="13" t="s">
        <v>5833</v>
      </c>
      <c r="D74" s="15"/>
      <c r="E74" s="15"/>
      <c r="F74" s="15" t="s">
        <v>5817</v>
      </c>
      <c r="G74" s="11" t="s">
        <v>5793</v>
      </c>
      <c r="I74" s="13" t="s">
        <v>5674</v>
      </c>
      <c r="L74" s="73"/>
    </row>
    <row r="75">
      <c r="A75" s="12" t="s">
        <v>5814</v>
      </c>
      <c r="B75" s="10" t="s">
        <v>5834</v>
      </c>
      <c r="C75" s="13" t="s">
        <v>5835</v>
      </c>
      <c r="D75" s="15"/>
      <c r="E75" s="15"/>
      <c r="F75" s="15" t="s">
        <v>5817</v>
      </c>
      <c r="G75" s="11" t="s">
        <v>5793</v>
      </c>
      <c r="I75" s="13" t="s">
        <v>5674</v>
      </c>
      <c r="L75" s="73"/>
    </row>
    <row r="76">
      <c r="A76" s="12" t="s">
        <v>5814</v>
      </c>
      <c r="B76" s="10" t="s">
        <v>5836</v>
      </c>
      <c r="C76" s="13" t="s">
        <v>5837</v>
      </c>
      <c r="D76" s="15"/>
      <c r="E76" s="15"/>
      <c r="F76" s="15" t="s">
        <v>5817</v>
      </c>
      <c r="G76" s="11" t="s">
        <v>5793</v>
      </c>
      <c r="I76" s="13" t="s">
        <v>5674</v>
      </c>
      <c r="L76" s="73"/>
    </row>
    <row r="77">
      <c r="A77" s="12" t="s">
        <v>5814</v>
      </c>
      <c r="B77" s="10" t="s">
        <v>5838</v>
      </c>
      <c r="C77" s="13" t="s">
        <v>5839</v>
      </c>
      <c r="D77" s="15"/>
      <c r="E77" s="15"/>
      <c r="F77" s="15" t="s">
        <v>5817</v>
      </c>
      <c r="G77" s="11" t="s">
        <v>5793</v>
      </c>
      <c r="I77" s="13" t="s">
        <v>5674</v>
      </c>
      <c r="L77" s="73"/>
      <c r="M77" s="73"/>
    </row>
    <row r="78">
      <c r="A78" s="12" t="s">
        <v>5814</v>
      </c>
      <c r="B78" s="10" t="s">
        <v>5840</v>
      </c>
      <c r="C78" s="13" t="s">
        <v>5841</v>
      </c>
      <c r="D78" s="15"/>
      <c r="E78" s="15"/>
      <c r="F78" s="15" t="s">
        <v>5817</v>
      </c>
      <c r="G78" s="11" t="s">
        <v>5793</v>
      </c>
      <c r="I78" s="13" t="s">
        <v>5674</v>
      </c>
      <c r="L78" s="73"/>
      <c r="M78" s="73"/>
    </row>
    <row r="79">
      <c r="A79" s="12" t="s">
        <v>5814</v>
      </c>
      <c r="B79" s="10" t="s">
        <v>5842</v>
      </c>
      <c r="C79" s="13" t="s">
        <v>5843</v>
      </c>
      <c r="D79" s="15"/>
      <c r="E79" s="15"/>
      <c r="F79" s="15" t="s">
        <v>5817</v>
      </c>
      <c r="G79" s="11" t="s">
        <v>5793</v>
      </c>
      <c r="I79" s="13" t="s">
        <v>5674</v>
      </c>
      <c r="L79" s="73"/>
      <c r="M79" s="73"/>
    </row>
    <row r="80">
      <c r="A80" s="12" t="s">
        <v>5814</v>
      </c>
      <c r="B80" s="10" t="s">
        <v>5844</v>
      </c>
      <c r="C80" s="13" t="s">
        <v>5845</v>
      </c>
      <c r="D80" s="15"/>
      <c r="E80" s="15"/>
      <c r="F80" s="15" t="s">
        <v>5817</v>
      </c>
      <c r="G80" s="11" t="s">
        <v>5793</v>
      </c>
      <c r="I80" s="13" t="s">
        <v>5674</v>
      </c>
      <c r="L80" s="73"/>
      <c r="M80" s="73"/>
    </row>
    <row r="81">
      <c r="A81" s="12" t="s">
        <v>5814</v>
      </c>
      <c r="B81" s="10" t="s">
        <v>5846</v>
      </c>
      <c r="C81" s="13" t="s">
        <v>5847</v>
      </c>
      <c r="D81" s="15"/>
      <c r="E81" s="15"/>
      <c r="F81" s="15" t="s">
        <v>5817</v>
      </c>
      <c r="G81" s="11" t="s">
        <v>5793</v>
      </c>
      <c r="I81" s="13" t="s">
        <v>5674</v>
      </c>
      <c r="L81" s="73"/>
      <c r="M81" s="73"/>
    </row>
    <row r="82">
      <c r="A82" s="12" t="s">
        <v>5814</v>
      </c>
      <c r="B82" s="10" t="s">
        <v>5848</v>
      </c>
      <c r="C82" s="13" t="s">
        <v>5849</v>
      </c>
      <c r="D82" s="15"/>
      <c r="E82" s="15"/>
      <c r="F82" s="15" t="s">
        <v>5817</v>
      </c>
      <c r="G82" s="11" t="s">
        <v>5793</v>
      </c>
      <c r="I82" s="13" t="s">
        <v>5674</v>
      </c>
      <c r="L82" s="73"/>
      <c r="M82" s="73"/>
    </row>
    <row r="83">
      <c r="A83" s="12" t="s">
        <v>5814</v>
      </c>
      <c r="B83" s="10" t="s">
        <v>5850</v>
      </c>
      <c r="C83" s="13" t="s">
        <v>5851</v>
      </c>
      <c r="D83" s="15"/>
      <c r="E83" s="15"/>
      <c r="F83" s="15" t="s">
        <v>5817</v>
      </c>
      <c r="G83" s="11" t="s">
        <v>5793</v>
      </c>
      <c r="I83" s="13" t="s">
        <v>5674</v>
      </c>
      <c r="L83" s="73"/>
      <c r="M83" s="73"/>
    </row>
    <row r="84">
      <c r="A84" s="12" t="s">
        <v>5814</v>
      </c>
      <c r="B84" s="10" t="s">
        <v>5852</v>
      </c>
      <c r="C84" s="13" t="s">
        <v>5853</v>
      </c>
      <c r="D84" s="15"/>
      <c r="E84" s="15"/>
      <c r="F84" s="15" t="s">
        <v>5817</v>
      </c>
      <c r="G84" s="11" t="s">
        <v>5793</v>
      </c>
      <c r="I84" s="13" t="s">
        <v>5674</v>
      </c>
      <c r="L84" s="73"/>
      <c r="M84" s="73"/>
    </row>
    <row r="85">
      <c r="A85" s="12" t="s">
        <v>5814</v>
      </c>
      <c r="B85" s="10" t="s">
        <v>5854</v>
      </c>
      <c r="C85" s="13" t="s">
        <v>5855</v>
      </c>
      <c r="D85" s="15"/>
      <c r="E85" s="15"/>
      <c r="F85" s="15" t="s">
        <v>5817</v>
      </c>
      <c r="G85" s="11" t="s">
        <v>5793</v>
      </c>
      <c r="I85" s="13" t="s">
        <v>5674</v>
      </c>
      <c r="L85" s="73"/>
      <c r="M85" s="73"/>
    </row>
    <row r="86">
      <c r="A86" s="12" t="s">
        <v>5814</v>
      </c>
      <c r="B86" s="10" t="s">
        <v>5856</v>
      </c>
      <c r="C86" s="13" t="s">
        <v>5857</v>
      </c>
      <c r="D86" s="15"/>
      <c r="E86" s="15"/>
      <c r="F86" s="15" t="s">
        <v>5817</v>
      </c>
      <c r="G86" s="11" t="s">
        <v>5793</v>
      </c>
      <c r="I86" s="13" t="s">
        <v>5674</v>
      </c>
      <c r="L86" s="73"/>
      <c r="M86" s="73"/>
    </row>
    <row r="87">
      <c r="A87" s="12" t="s">
        <v>5814</v>
      </c>
      <c r="B87" s="10" t="s">
        <v>5858</v>
      </c>
      <c r="C87" s="13" t="s">
        <v>5859</v>
      </c>
      <c r="D87" s="15"/>
      <c r="E87" s="15"/>
      <c r="F87" s="15" t="s">
        <v>5817</v>
      </c>
      <c r="G87" s="11" t="s">
        <v>5793</v>
      </c>
      <c r="I87" s="13" t="s">
        <v>5674</v>
      </c>
      <c r="L87" s="73"/>
      <c r="M87" s="73"/>
    </row>
    <row r="88">
      <c r="A88" s="12" t="s">
        <v>5814</v>
      </c>
      <c r="B88" s="10" t="s">
        <v>5860</v>
      </c>
      <c r="C88" s="13" t="s">
        <v>5861</v>
      </c>
      <c r="D88" s="15"/>
      <c r="E88" s="15"/>
      <c r="F88" s="15" t="s">
        <v>5817</v>
      </c>
      <c r="G88" s="11" t="s">
        <v>5793</v>
      </c>
      <c r="I88" s="13" t="s">
        <v>5674</v>
      </c>
      <c r="L88" s="73"/>
      <c r="M88" s="73"/>
    </row>
    <row r="89">
      <c r="A89" s="12" t="s">
        <v>5814</v>
      </c>
      <c r="B89" s="10" t="s">
        <v>5862</v>
      </c>
      <c r="C89" s="13" t="s">
        <v>5863</v>
      </c>
      <c r="D89" s="15"/>
      <c r="E89" s="15"/>
      <c r="F89" s="15" t="s">
        <v>5817</v>
      </c>
      <c r="G89" s="11" t="s">
        <v>5793</v>
      </c>
      <c r="I89" s="13" t="s">
        <v>5674</v>
      </c>
      <c r="L89" s="73"/>
      <c r="M89" s="73"/>
    </row>
    <row r="90">
      <c r="A90" s="12" t="s">
        <v>5814</v>
      </c>
      <c r="B90" s="10" t="s">
        <v>5864</v>
      </c>
      <c r="C90" s="13" t="s">
        <v>5865</v>
      </c>
      <c r="D90" s="15"/>
      <c r="E90" s="15"/>
      <c r="F90" s="15" t="s">
        <v>5817</v>
      </c>
      <c r="G90" s="11" t="s">
        <v>5793</v>
      </c>
      <c r="I90" s="13" t="s">
        <v>5674</v>
      </c>
      <c r="L90" s="73"/>
      <c r="M90" s="73"/>
    </row>
    <row r="91">
      <c r="A91" s="12" t="s">
        <v>5814</v>
      </c>
      <c r="B91" s="10" t="s">
        <v>5866</v>
      </c>
      <c r="C91" s="13" t="s">
        <v>5867</v>
      </c>
      <c r="D91" s="15"/>
      <c r="E91" s="15"/>
      <c r="F91" s="15" t="s">
        <v>5817</v>
      </c>
      <c r="G91" s="11" t="s">
        <v>5793</v>
      </c>
      <c r="I91" s="13" t="s">
        <v>5674</v>
      </c>
      <c r="L91" s="73"/>
      <c r="M91" s="73"/>
    </row>
    <row r="92">
      <c r="A92" s="12" t="s">
        <v>5814</v>
      </c>
      <c r="B92" s="10" t="s">
        <v>5868</v>
      </c>
      <c r="C92" s="13" t="s">
        <v>5869</v>
      </c>
      <c r="D92" s="15"/>
      <c r="E92" s="15"/>
      <c r="F92" s="15" t="s">
        <v>5817</v>
      </c>
      <c r="G92" s="11" t="s">
        <v>5793</v>
      </c>
      <c r="I92" s="13" t="s">
        <v>5674</v>
      </c>
      <c r="L92" s="73"/>
      <c r="M92" s="73"/>
    </row>
    <row r="93">
      <c r="A93" s="12" t="s">
        <v>5814</v>
      </c>
      <c r="B93" s="10" t="s">
        <v>5870</v>
      </c>
      <c r="C93" s="13" t="s">
        <v>5871</v>
      </c>
      <c r="D93" s="15"/>
      <c r="E93" s="15"/>
      <c r="F93" s="15" t="s">
        <v>5817</v>
      </c>
      <c r="G93" s="11" t="s">
        <v>5793</v>
      </c>
      <c r="I93" s="13" t="s">
        <v>5674</v>
      </c>
      <c r="L93" s="73"/>
      <c r="M93" s="73"/>
    </row>
    <row r="94">
      <c r="A94" s="12" t="s">
        <v>5814</v>
      </c>
      <c r="B94" s="10" t="s">
        <v>5872</v>
      </c>
      <c r="C94" s="13" t="s">
        <v>5873</v>
      </c>
      <c r="D94" s="15"/>
      <c r="E94" s="15"/>
      <c r="F94" s="15" t="s">
        <v>5817</v>
      </c>
      <c r="G94" s="11" t="s">
        <v>5793</v>
      </c>
      <c r="I94" s="13" t="s">
        <v>5674</v>
      </c>
      <c r="L94" s="73"/>
      <c r="M94" s="73"/>
    </row>
    <row r="95">
      <c r="A95" s="12" t="s">
        <v>5814</v>
      </c>
      <c r="B95" s="10" t="s">
        <v>5874</v>
      </c>
      <c r="C95" s="13" t="s">
        <v>5875</v>
      </c>
      <c r="D95" s="15"/>
      <c r="E95" s="15"/>
      <c r="F95" s="15" t="s">
        <v>5817</v>
      </c>
      <c r="G95" s="11" t="s">
        <v>5793</v>
      </c>
      <c r="I95" s="13" t="s">
        <v>5674</v>
      </c>
      <c r="L95" s="73"/>
      <c r="M95" s="73"/>
    </row>
    <row r="96">
      <c r="A96" s="12" t="s">
        <v>5814</v>
      </c>
      <c r="B96" s="10" t="s">
        <v>5876</v>
      </c>
      <c r="C96" s="13" t="s">
        <v>5877</v>
      </c>
      <c r="D96" s="15"/>
      <c r="E96" s="15"/>
      <c r="F96" s="15" t="s">
        <v>5817</v>
      </c>
      <c r="G96" s="11" t="s">
        <v>5793</v>
      </c>
      <c r="I96" s="13" t="s">
        <v>5674</v>
      </c>
      <c r="L96" s="73"/>
      <c r="M96" s="73"/>
    </row>
    <row r="97">
      <c r="A97" s="12" t="s">
        <v>5814</v>
      </c>
      <c r="B97" s="10" t="s">
        <v>5878</v>
      </c>
      <c r="C97" s="13" t="s">
        <v>5879</v>
      </c>
      <c r="D97" s="15"/>
      <c r="E97" s="15"/>
      <c r="F97" s="15" t="s">
        <v>5817</v>
      </c>
      <c r="G97" s="11" t="s">
        <v>5793</v>
      </c>
      <c r="I97" s="13" t="s">
        <v>5674</v>
      </c>
      <c r="L97" s="73"/>
      <c r="M97" s="73"/>
    </row>
    <row r="98">
      <c r="A98" s="12" t="s">
        <v>5814</v>
      </c>
      <c r="B98" s="10" t="s">
        <v>5880</v>
      </c>
      <c r="C98" s="13" t="s">
        <v>5881</v>
      </c>
      <c r="D98" s="15"/>
      <c r="E98" s="15"/>
      <c r="F98" s="15" t="s">
        <v>5817</v>
      </c>
      <c r="G98" s="11" t="s">
        <v>5793</v>
      </c>
      <c r="I98" s="13" t="s">
        <v>5674</v>
      </c>
      <c r="L98" s="73"/>
      <c r="M98" s="73"/>
    </row>
    <row r="99">
      <c r="A99" s="12" t="s">
        <v>5814</v>
      </c>
      <c r="B99" s="10" t="s">
        <v>5882</v>
      </c>
      <c r="C99" s="13" t="s">
        <v>5883</v>
      </c>
      <c r="D99" s="15"/>
      <c r="E99" s="15"/>
      <c r="F99" s="15" t="s">
        <v>5817</v>
      </c>
      <c r="G99" s="11" t="s">
        <v>5793</v>
      </c>
      <c r="I99" s="13" t="s">
        <v>5674</v>
      </c>
      <c r="L99" s="73"/>
      <c r="M99" s="73"/>
    </row>
    <row r="100">
      <c r="A100" s="12" t="s">
        <v>5814</v>
      </c>
      <c r="B100" s="10" t="s">
        <v>5884</v>
      </c>
      <c r="C100" s="13" t="s">
        <v>5885</v>
      </c>
      <c r="D100" s="15"/>
      <c r="E100" s="15"/>
      <c r="F100" s="15" t="s">
        <v>5817</v>
      </c>
      <c r="G100" s="11" t="s">
        <v>5793</v>
      </c>
      <c r="I100" s="13" t="s">
        <v>5674</v>
      </c>
      <c r="L100" s="73"/>
      <c r="M100" s="73"/>
    </row>
    <row r="101">
      <c r="A101" s="12" t="s">
        <v>5814</v>
      </c>
      <c r="B101" s="10" t="s">
        <v>5886</v>
      </c>
      <c r="C101" s="13" t="s">
        <v>5887</v>
      </c>
      <c r="D101" s="15"/>
      <c r="E101" s="15"/>
      <c r="F101" s="15" t="s">
        <v>5817</v>
      </c>
      <c r="G101" s="11" t="s">
        <v>5793</v>
      </c>
      <c r="I101" s="13" t="s">
        <v>5674</v>
      </c>
      <c r="L101" s="73"/>
      <c r="M101" s="73"/>
    </row>
    <row r="102">
      <c r="A102" s="12" t="s">
        <v>5814</v>
      </c>
      <c r="B102" s="10" t="s">
        <v>5888</v>
      </c>
      <c r="C102" s="13" t="s">
        <v>5889</v>
      </c>
      <c r="D102" s="15"/>
      <c r="E102" s="15"/>
      <c r="F102" s="15" t="s">
        <v>5817</v>
      </c>
      <c r="G102" s="11" t="s">
        <v>5793</v>
      </c>
      <c r="I102" s="13" t="s">
        <v>5674</v>
      </c>
      <c r="L102" s="73"/>
      <c r="M102" s="73"/>
    </row>
    <row r="103">
      <c r="A103" s="12" t="s">
        <v>5814</v>
      </c>
      <c r="B103" s="10" t="s">
        <v>5890</v>
      </c>
      <c r="C103" s="13" t="s">
        <v>5891</v>
      </c>
      <c r="D103" s="15"/>
      <c r="E103" s="15"/>
      <c r="F103" s="15" t="s">
        <v>5817</v>
      </c>
      <c r="G103" s="11" t="s">
        <v>5793</v>
      </c>
      <c r="I103" s="13" t="s">
        <v>5674</v>
      </c>
      <c r="L103" s="73"/>
      <c r="M103" s="73"/>
    </row>
    <row r="104">
      <c r="A104" s="12" t="s">
        <v>5814</v>
      </c>
      <c r="B104" s="10" t="s">
        <v>5892</v>
      </c>
      <c r="C104" s="13" t="s">
        <v>5893</v>
      </c>
      <c r="D104" s="15"/>
      <c r="E104" s="15"/>
      <c r="F104" s="15" t="s">
        <v>5817</v>
      </c>
      <c r="G104" s="11" t="s">
        <v>5793</v>
      </c>
      <c r="I104" s="13" t="s">
        <v>5674</v>
      </c>
      <c r="L104" s="73"/>
      <c r="M104" s="73"/>
    </row>
    <row r="105">
      <c r="A105" s="12" t="s">
        <v>5814</v>
      </c>
      <c r="B105" s="10" t="s">
        <v>5894</v>
      </c>
      <c r="C105" s="13" t="s">
        <v>5895</v>
      </c>
      <c r="D105" s="15"/>
      <c r="E105" s="15"/>
      <c r="F105" s="15" t="s">
        <v>5817</v>
      </c>
      <c r="G105" s="11" t="s">
        <v>5793</v>
      </c>
      <c r="I105" s="13" t="s">
        <v>5674</v>
      </c>
      <c r="L105" s="73"/>
      <c r="M105" s="73"/>
    </row>
    <row r="106">
      <c r="A106" s="77" t="s">
        <v>5814</v>
      </c>
      <c r="B106" s="78" t="s">
        <v>5896</v>
      </c>
      <c r="C106" s="79" t="s">
        <v>5897</v>
      </c>
      <c r="D106" s="80"/>
      <c r="E106" s="80"/>
      <c r="F106" s="80" t="s">
        <v>5817</v>
      </c>
      <c r="G106" s="81" t="s">
        <v>5793</v>
      </c>
      <c r="H106" s="82"/>
      <c r="I106" s="79" t="s">
        <v>5674</v>
      </c>
      <c r="J106" s="82"/>
      <c r="K106" s="82"/>
      <c r="L106" s="83"/>
      <c r="M106" s="83"/>
      <c r="N106" s="82"/>
      <c r="O106" s="82"/>
      <c r="P106" s="82"/>
      <c r="Q106" s="82"/>
      <c r="R106" s="82"/>
      <c r="S106" s="82"/>
      <c r="T106" s="82"/>
      <c r="U106" s="82"/>
      <c r="V106" s="82"/>
      <c r="W106" s="82"/>
      <c r="X106" s="82"/>
      <c r="Y106" s="82"/>
      <c r="Z106" s="82"/>
      <c r="AA106" s="82"/>
      <c r="AB106" s="82"/>
      <c r="AC106" s="82"/>
      <c r="AD106" s="82"/>
    </row>
    <row r="107">
      <c r="A107" s="12" t="s">
        <v>5814</v>
      </c>
      <c r="B107" s="10" t="s">
        <v>5898</v>
      </c>
      <c r="C107" s="13" t="s">
        <v>5899</v>
      </c>
      <c r="D107" s="15"/>
      <c r="E107" s="15"/>
      <c r="F107" s="15" t="s">
        <v>5817</v>
      </c>
      <c r="G107" s="11" t="s">
        <v>5793</v>
      </c>
      <c r="I107" s="13" t="s">
        <v>5674</v>
      </c>
      <c r="L107" s="73"/>
      <c r="M107" s="73"/>
    </row>
    <row r="108">
      <c r="A108" s="12" t="s">
        <v>5814</v>
      </c>
      <c r="B108" s="10" t="s">
        <v>5900</v>
      </c>
      <c r="C108" s="13" t="s">
        <v>5901</v>
      </c>
      <c r="D108" s="15"/>
      <c r="E108" s="15"/>
      <c r="F108" s="15" t="s">
        <v>5817</v>
      </c>
      <c r="G108" s="11" t="s">
        <v>5793</v>
      </c>
      <c r="I108" s="13" t="s">
        <v>5674</v>
      </c>
      <c r="L108" s="73"/>
      <c r="M108" s="73"/>
    </row>
    <row r="109">
      <c r="A109" s="12" t="s">
        <v>5814</v>
      </c>
      <c r="B109" s="10" t="s">
        <v>5902</v>
      </c>
      <c r="C109" s="13" t="s">
        <v>5903</v>
      </c>
      <c r="D109" s="15"/>
      <c r="E109" s="15"/>
      <c r="F109" s="15" t="s">
        <v>5817</v>
      </c>
      <c r="G109" s="11" t="s">
        <v>5793</v>
      </c>
      <c r="I109" s="13" t="s">
        <v>5674</v>
      </c>
      <c r="L109" s="73"/>
    </row>
    <row r="110">
      <c r="A110" s="12" t="s">
        <v>5814</v>
      </c>
      <c r="B110" s="10" t="s">
        <v>5904</v>
      </c>
      <c r="C110" s="13" t="s">
        <v>5905</v>
      </c>
      <c r="D110" s="15"/>
      <c r="E110" s="15"/>
      <c r="F110" s="15" t="s">
        <v>5817</v>
      </c>
      <c r="G110" s="11" t="s">
        <v>5793</v>
      </c>
      <c r="I110" s="13" t="s">
        <v>5674</v>
      </c>
      <c r="L110" s="73"/>
    </row>
    <row r="111">
      <c r="A111" s="12" t="s">
        <v>5814</v>
      </c>
      <c r="B111" s="10" t="s">
        <v>5906</v>
      </c>
      <c r="C111" s="13" t="s">
        <v>5907</v>
      </c>
      <c r="D111" s="15"/>
      <c r="E111" s="15"/>
      <c r="F111" s="15" t="s">
        <v>5817</v>
      </c>
      <c r="G111" s="11" t="s">
        <v>5793</v>
      </c>
      <c r="I111" s="13" t="s">
        <v>5674</v>
      </c>
      <c r="L111" s="73"/>
      <c r="M111" s="73"/>
    </row>
    <row r="112">
      <c r="A112" s="12" t="s">
        <v>5814</v>
      </c>
      <c r="B112" s="10" t="s">
        <v>5908</v>
      </c>
      <c r="C112" s="13" t="s">
        <v>5909</v>
      </c>
      <c r="D112" s="15"/>
      <c r="E112" s="15"/>
      <c r="F112" s="15" t="s">
        <v>5817</v>
      </c>
      <c r="G112" s="11" t="s">
        <v>5793</v>
      </c>
      <c r="I112" s="13" t="s">
        <v>5674</v>
      </c>
      <c r="L112" s="73"/>
    </row>
    <row r="113">
      <c r="A113" s="12" t="s">
        <v>5814</v>
      </c>
      <c r="B113" s="10" t="s">
        <v>5910</v>
      </c>
      <c r="C113" s="13" t="s">
        <v>5911</v>
      </c>
      <c r="D113" s="15"/>
      <c r="E113" s="15"/>
      <c r="F113" s="15" t="s">
        <v>5817</v>
      </c>
      <c r="G113" s="11" t="s">
        <v>5793</v>
      </c>
      <c r="I113" s="13" t="s">
        <v>5674</v>
      </c>
      <c r="L113" s="73"/>
    </row>
    <row r="114">
      <c r="A114" s="12" t="s">
        <v>5814</v>
      </c>
      <c r="B114" s="10" t="s">
        <v>5912</v>
      </c>
      <c r="C114" s="13" t="s">
        <v>5913</v>
      </c>
      <c r="D114" s="15"/>
      <c r="E114" s="15"/>
      <c r="F114" s="15" t="s">
        <v>5817</v>
      </c>
      <c r="G114" s="11" t="s">
        <v>5793</v>
      </c>
      <c r="I114" s="13" t="s">
        <v>5674</v>
      </c>
      <c r="L114" s="73"/>
    </row>
    <row r="115">
      <c r="A115" s="12" t="s">
        <v>5814</v>
      </c>
      <c r="B115" s="10" t="s">
        <v>5914</v>
      </c>
      <c r="C115" s="13" t="s">
        <v>5915</v>
      </c>
      <c r="D115" s="15"/>
      <c r="E115" s="15"/>
      <c r="F115" s="15" t="s">
        <v>5817</v>
      </c>
      <c r="G115" s="11" t="s">
        <v>5793</v>
      </c>
      <c r="I115" s="13" t="s">
        <v>5674</v>
      </c>
      <c r="L115" s="73"/>
      <c r="M115" s="73"/>
    </row>
    <row r="116">
      <c r="A116" s="12" t="s">
        <v>5814</v>
      </c>
      <c r="B116" s="10" t="s">
        <v>5916</v>
      </c>
      <c r="C116" s="13" t="s">
        <v>5917</v>
      </c>
      <c r="D116" s="15"/>
      <c r="E116" s="15"/>
      <c r="F116" s="15" t="s">
        <v>5817</v>
      </c>
      <c r="G116" s="11" t="s">
        <v>5793</v>
      </c>
      <c r="I116" s="13" t="s">
        <v>5674</v>
      </c>
      <c r="L116" s="73"/>
      <c r="M116" s="73"/>
    </row>
    <row r="117">
      <c r="A117" s="12" t="s">
        <v>5814</v>
      </c>
      <c r="B117" s="10" t="s">
        <v>5918</v>
      </c>
      <c r="C117" s="13" t="s">
        <v>5919</v>
      </c>
      <c r="D117" s="15"/>
      <c r="E117" s="15"/>
      <c r="F117" s="15" t="s">
        <v>5817</v>
      </c>
      <c r="G117" s="11" t="s">
        <v>5793</v>
      </c>
      <c r="I117" s="13" t="s">
        <v>5674</v>
      </c>
      <c r="L117" s="73"/>
      <c r="M117" s="73"/>
    </row>
    <row r="118">
      <c r="A118" s="12" t="s">
        <v>5814</v>
      </c>
      <c r="B118" s="10" t="s">
        <v>5920</v>
      </c>
      <c r="C118" s="13" t="s">
        <v>5921</v>
      </c>
      <c r="D118" s="15"/>
      <c r="E118" s="15"/>
      <c r="F118" s="15" t="s">
        <v>5817</v>
      </c>
      <c r="G118" s="11" t="s">
        <v>5793</v>
      </c>
      <c r="I118" s="13" t="s">
        <v>5674</v>
      </c>
      <c r="L118" s="73"/>
      <c r="M118" s="73"/>
    </row>
    <row r="119">
      <c r="A119" s="12" t="s">
        <v>5814</v>
      </c>
      <c r="B119" s="10" t="s">
        <v>5922</v>
      </c>
      <c r="C119" s="13" t="s">
        <v>5923</v>
      </c>
      <c r="D119" s="15"/>
      <c r="E119" s="15"/>
      <c r="F119" s="15" t="s">
        <v>5817</v>
      </c>
      <c r="G119" s="11" t="s">
        <v>5793</v>
      </c>
      <c r="I119" s="13" t="s">
        <v>5674</v>
      </c>
      <c r="L119" s="73"/>
    </row>
    <row r="120">
      <c r="A120" s="12" t="s">
        <v>5814</v>
      </c>
      <c r="B120" s="10" t="s">
        <v>5924</v>
      </c>
      <c r="C120" s="13" t="s">
        <v>5925</v>
      </c>
      <c r="D120" s="15"/>
      <c r="E120" s="15"/>
      <c r="F120" s="15" t="s">
        <v>5817</v>
      </c>
      <c r="G120" s="11" t="s">
        <v>5793</v>
      </c>
      <c r="I120" s="13" t="s">
        <v>5674</v>
      </c>
      <c r="L120" s="73"/>
    </row>
    <row r="121">
      <c r="A121" s="12" t="s">
        <v>5814</v>
      </c>
      <c r="B121" s="10" t="s">
        <v>5926</v>
      </c>
      <c r="C121" s="13" t="s">
        <v>5927</v>
      </c>
      <c r="D121" s="15"/>
      <c r="E121" s="15"/>
      <c r="F121" s="15" t="s">
        <v>5817</v>
      </c>
      <c r="G121" s="11" t="s">
        <v>5793</v>
      </c>
      <c r="I121" s="13" t="s">
        <v>5674</v>
      </c>
      <c r="L121" s="73"/>
    </row>
    <row r="122">
      <c r="A122" s="12" t="s">
        <v>5814</v>
      </c>
      <c r="B122" s="10" t="s">
        <v>5928</v>
      </c>
      <c r="C122" s="13" t="s">
        <v>5929</v>
      </c>
      <c r="D122" s="15"/>
      <c r="E122" s="15"/>
      <c r="F122" s="15" t="s">
        <v>5817</v>
      </c>
      <c r="G122" s="11" t="s">
        <v>5793</v>
      </c>
      <c r="I122" s="13" t="s">
        <v>5674</v>
      </c>
      <c r="L122" s="73"/>
      <c r="M122" s="73"/>
    </row>
    <row r="123">
      <c r="A123" s="12" t="s">
        <v>5814</v>
      </c>
      <c r="B123" s="10" t="s">
        <v>5930</v>
      </c>
      <c r="C123" s="13" t="s">
        <v>5931</v>
      </c>
      <c r="D123" s="15"/>
      <c r="E123" s="15"/>
      <c r="F123" s="15" t="s">
        <v>5817</v>
      </c>
      <c r="G123" s="11" t="s">
        <v>5793</v>
      </c>
      <c r="H123" s="13" t="s">
        <v>5932</v>
      </c>
      <c r="I123" s="13" t="s">
        <v>5674</v>
      </c>
      <c r="L123" s="73"/>
    </row>
    <row r="124">
      <c r="A124" s="12" t="s">
        <v>5814</v>
      </c>
      <c r="B124" s="10" t="s">
        <v>5933</v>
      </c>
      <c r="C124" s="13" t="s">
        <v>5934</v>
      </c>
      <c r="D124" s="15"/>
      <c r="E124" s="15"/>
      <c r="F124" s="15" t="s">
        <v>5817</v>
      </c>
      <c r="G124" s="11" t="s">
        <v>5793</v>
      </c>
      <c r="I124" s="13" t="s">
        <v>5674</v>
      </c>
      <c r="L124" s="73"/>
    </row>
    <row r="125">
      <c r="A125" s="12" t="s">
        <v>5814</v>
      </c>
      <c r="B125" s="10" t="s">
        <v>5935</v>
      </c>
      <c r="C125" s="13" t="s">
        <v>5936</v>
      </c>
      <c r="D125" s="15"/>
      <c r="E125" s="15"/>
      <c r="F125" s="15" t="s">
        <v>5817</v>
      </c>
      <c r="G125" s="11" t="s">
        <v>5793</v>
      </c>
      <c r="I125" s="13" t="s">
        <v>5674</v>
      </c>
      <c r="L125" s="73"/>
      <c r="M125" s="73"/>
    </row>
    <row r="126">
      <c r="A126" s="12" t="s">
        <v>5814</v>
      </c>
      <c r="B126" s="10" t="s">
        <v>5937</v>
      </c>
      <c r="C126" s="13" t="s">
        <v>5938</v>
      </c>
      <c r="D126" s="15"/>
      <c r="E126" s="15"/>
      <c r="F126" s="15" t="s">
        <v>5817</v>
      </c>
      <c r="G126" s="11" t="s">
        <v>5793</v>
      </c>
      <c r="I126" s="13" t="s">
        <v>5674</v>
      </c>
      <c r="L126" s="73"/>
      <c r="M126" s="73"/>
    </row>
    <row r="127">
      <c r="A127" s="12" t="s">
        <v>5814</v>
      </c>
      <c r="B127" s="10" t="s">
        <v>5939</v>
      </c>
      <c r="C127" s="13" t="s">
        <v>5940</v>
      </c>
      <c r="D127" s="15"/>
      <c r="E127" s="15"/>
      <c r="F127" s="15" t="s">
        <v>5817</v>
      </c>
      <c r="G127" s="11" t="s">
        <v>5793</v>
      </c>
      <c r="I127" s="13" t="s">
        <v>5674</v>
      </c>
      <c r="L127" s="73"/>
      <c r="M127" s="73"/>
    </row>
    <row r="128">
      <c r="A128" s="12" t="s">
        <v>5814</v>
      </c>
      <c r="B128" s="10" t="s">
        <v>5941</v>
      </c>
      <c r="C128" s="13" t="s">
        <v>5942</v>
      </c>
      <c r="D128" s="15"/>
      <c r="E128" s="15"/>
      <c r="F128" s="15" t="s">
        <v>5817</v>
      </c>
      <c r="G128" s="11" t="s">
        <v>5793</v>
      </c>
      <c r="I128" s="13" t="s">
        <v>5674</v>
      </c>
      <c r="L128" s="73"/>
    </row>
    <row r="129">
      <c r="A129" s="12" t="s">
        <v>5814</v>
      </c>
      <c r="B129" s="10" t="s">
        <v>5943</v>
      </c>
      <c r="C129" s="13" t="s">
        <v>5944</v>
      </c>
      <c r="D129" s="15"/>
      <c r="E129" s="15"/>
      <c r="F129" s="15" t="s">
        <v>5817</v>
      </c>
      <c r="G129" s="11" t="s">
        <v>5793</v>
      </c>
      <c r="I129" s="13" t="s">
        <v>5674</v>
      </c>
      <c r="L129" s="73"/>
      <c r="M129" s="73"/>
    </row>
    <row r="130">
      <c r="A130" s="12" t="s">
        <v>5814</v>
      </c>
      <c r="B130" s="10" t="s">
        <v>5945</v>
      </c>
      <c r="C130" s="13" t="s">
        <v>5946</v>
      </c>
      <c r="D130" s="15"/>
      <c r="E130" s="15"/>
      <c r="F130" s="15" t="s">
        <v>5817</v>
      </c>
      <c r="G130" s="11" t="s">
        <v>5793</v>
      </c>
      <c r="I130" s="13" t="s">
        <v>5674</v>
      </c>
      <c r="L130" s="73"/>
      <c r="M130" s="73"/>
    </row>
    <row r="131">
      <c r="A131" s="12" t="s">
        <v>5814</v>
      </c>
      <c r="B131" s="10" t="s">
        <v>5947</v>
      </c>
      <c r="C131" s="13" t="s">
        <v>5948</v>
      </c>
      <c r="D131" s="15"/>
      <c r="E131" s="15"/>
      <c r="F131" s="15" t="s">
        <v>5817</v>
      </c>
      <c r="G131" s="11" t="s">
        <v>5793</v>
      </c>
      <c r="I131" s="13" t="s">
        <v>5674</v>
      </c>
      <c r="L131" s="73"/>
      <c r="M131" s="73"/>
    </row>
    <row r="132">
      <c r="A132" s="12" t="s">
        <v>5814</v>
      </c>
      <c r="B132" s="10" t="s">
        <v>5949</v>
      </c>
      <c r="C132" s="13" t="s">
        <v>5950</v>
      </c>
      <c r="D132" s="15"/>
      <c r="E132" s="15"/>
      <c r="F132" s="15" t="s">
        <v>5817</v>
      </c>
      <c r="G132" s="11" t="s">
        <v>5793</v>
      </c>
      <c r="I132" s="13" t="s">
        <v>5674</v>
      </c>
      <c r="L132" s="73"/>
      <c r="M132" s="73"/>
    </row>
    <row r="133">
      <c r="A133" s="12" t="s">
        <v>5814</v>
      </c>
      <c r="B133" s="10" t="s">
        <v>5951</v>
      </c>
      <c r="C133" s="13" t="s">
        <v>5952</v>
      </c>
      <c r="D133" s="15"/>
      <c r="E133" s="15"/>
      <c r="F133" s="15" t="s">
        <v>5817</v>
      </c>
      <c r="G133" s="11" t="s">
        <v>5793</v>
      </c>
      <c r="I133" s="13" t="s">
        <v>5674</v>
      </c>
      <c r="L133" s="73"/>
    </row>
    <row r="134">
      <c r="A134" s="12" t="s">
        <v>5814</v>
      </c>
      <c r="B134" s="10" t="s">
        <v>5953</v>
      </c>
      <c r="C134" s="13" t="s">
        <v>5954</v>
      </c>
      <c r="D134" s="15"/>
      <c r="E134" s="15"/>
      <c r="F134" s="15" t="s">
        <v>5817</v>
      </c>
      <c r="G134" s="11" t="s">
        <v>5793</v>
      </c>
      <c r="I134" s="13" t="s">
        <v>5674</v>
      </c>
      <c r="L134" s="73"/>
    </row>
    <row r="135">
      <c r="A135" s="12" t="s">
        <v>5814</v>
      </c>
      <c r="B135" s="10" t="s">
        <v>5955</v>
      </c>
      <c r="C135" s="13" t="s">
        <v>5956</v>
      </c>
      <c r="D135" s="15"/>
      <c r="E135" s="15"/>
      <c r="F135" s="15" t="s">
        <v>5817</v>
      </c>
      <c r="G135" s="11" t="s">
        <v>5793</v>
      </c>
      <c r="I135" s="13" t="s">
        <v>5674</v>
      </c>
      <c r="L135" s="73"/>
    </row>
    <row r="136">
      <c r="A136" s="12" t="s">
        <v>5957</v>
      </c>
      <c r="B136" s="10" t="s">
        <v>5958</v>
      </c>
      <c r="C136" s="13" t="s">
        <v>5959</v>
      </c>
      <c r="D136" s="10"/>
      <c r="E136" s="10"/>
      <c r="F136" s="10" t="s">
        <v>5960</v>
      </c>
      <c r="G136" s="11" t="s">
        <v>5793</v>
      </c>
      <c r="H136" s="13" t="s">
        <v>5932</v>
      </c>
      <c r="I136" s="13" t="s">
        <v>5674</v>
      </c>
      <c r="L136" s="73"/>
    </row>
    <row r="137">
      <c r="A137" s="12" t="s">
        <v>5957</v>
      </c>
      <c r="B137" s="10" t="s">
        <v>5961</v>
      </c>
      <c r="C137" s="13" t="s">
        <v>5962</v>
      </c>
      <c r="D137" s="10"/>
      <c r="E137" s="10"/>
      <c r="F137" s="10" t="s">
        <v>5960</v>
      </c>
      <c r="G137" s="11" t="s">
        <v>5793</v>
      </c>
      <c r="I137" s="13" t="s">
        <v>5674</v>
      </c>
      <c r="L137" s="73"/>
    </row>
    <row r="138">
      <c r="A138" s="12" t="s">
        <v>5963</v>
      </c>
      <c r="B138" s="10" t="s">
        <v>5964</v>
      </c>
      <c r="C138" s="13" t="s">
        <v>5965</v>
      </c>
      <c r="D138" s="15"/>
      <c r="E138" s="15"/>
      <c r="F138" s="15" t="s">
        <v>5966</v>
      </c>
      <c r="G138" s="11" t="s">
        <v>5793</v>
      </c>
      <c r="I138" s="13" t="s">
        <v>5674</v>
      </c>
      <c r="L138" s="73"/>
      <c r="M138" s="73"/>
    </row>
    <row r="139">
      <c r="A139" s="12" t="s">
        <v>5963</v>
      </c>
      <c r="B139" s="10" t="s">
        <v>5967</v>
      </c>
      <c r="C139" s="13" t="s">
        <v>5968</v>
      </c>
      <c r="D139" s="15"/>
      <c r="E139" s="15"/>
      <c r="F139" s="15" t="s">
        <v>5966</v>
      </c>
      <c r="G139" s="11" t="s">
        <v>5793</v>
      </c>
      <c r="I139" s="13" t="s">
        <v>5674</v>
      </c>
      <c r="L139" s="73"/>
      <c r="M139" s="73"/>
    </row>
    <row r="140">
      <c r="A140" s="12" t="s">
        <v>5963</v>
      </c>
      <c r="B140" s="10" t="s">
        <v>5969</v>
      </c>
      <c r="C140" s="13" t="s">
        <v>5970</v>
      </c>
      <c r="D140" s="15"/>
      <c r="E140" s="15"/>
      <c r="F140" s="15" t="s">
        <v>5966</v>
      </c>
      <c r="G140" s="11" t="s">
        <v>5793</v>
      </c>
      <c r="I140" s="13" t="s">
        <v>5674</v>
      </c>
      <c r="L140" s="73"/>
      <c r="M140" s="73"/>
    </row>
    <row r="141">
      <c r="A141" s="12" t="s">
        <v>5963</v>
      </c>
      <c r="B141" s="10" t="s">
        <v>5971</v>
      </c>
      <c r="C141" s="13" t="s">
        <v>5972</v>
      </c>
      <c r="D141" s="15"/>
      <c r="E141" s="15"/>
      <c r="F141" s="15" t="s">
        <v>5966</v>
      </c>
      <c r="G141" s="11" t="s">
        <v>5793</v>
      </c>
      <c r="H141" s="13" t="s">
        <v>5932</v>
      </c>
      <c r="I141" s="13" t="s">
        <v>5674</v>
      </c>
      <c r="L141" s="73"/>
      <c r="M141" s="73"/>
    </row>
    <row r="142">
      <c r="A142" s="12" t="s">
        <v>5963</v>
      </c>
      <c r="B142" s="10" t="s">
        <v>5973</v>
      </c>
      <c r="C142" s="13" t="s">
        <v>5974</v>
      </c>
      <c r="D142" s="15"/>
      <c r="E142" s="15"/>
      <c r="F142" s="15" t="s">
        <v>5966</v>
      </c>
      <c r="G142" s="11" t="s">
        <v>5793</v>
      </c>
      <c r="I142" s="13" t="s">
        <v>5674</v>
      </c>
      <c r="L142" s="73"/>
      <c r="M142" s="73"/>
    </row>
    <row r="143">
      <c r="A143" s="12" t="s">
        <v>5963</v>
      </c>
      <c r="B143" s="10" t="s">
        <v>5975</v>
      </c>
      <c r="C143" s="13" t="s">
        <v>5976</v>
      </c>
      <c r="D143" s="15"/>
      <c r="E143" s="15"/>
      <c r="F143" s="15" t="s">
        <v>5966</v>
      </c>
      <c r="G143" s="11" t="s">
        <v>5793</v>
      </c>
      <c r="I143" s="13" t="s">
        <v>5674</v>
      </c>
      <c r="L143" s="73"/>
      <c r="M143" s="73"/>
    </row>
    <row r="144">
      <c r="A144" s="12" t="s">
        <v>5963</v>
      </c>
      <c r="B144" s="10" t="s">
        <v>5977</v>
      </c>
      <c r="C144" s="13" t="s">
        <v>5978</v>
      </c>
      <c r="D144" s="15"/>
      <c r="E144" s="15"/>
      <c r="F144" s="15" t="s">
        <v>5966</v>
      </c>
      <c r="G144" s="11" t="s">
        <v>5793</v>
      </c>
      <c r="I144" s="13" t="s">
        <v>5674</v>
      </c>
      <c r="L144" s="73"/>
      <c r="M144" s="73"/>
    </row>
    <row r="145">
      <c r="A145" s="12" t="s">
        <v>5963</v>
      </c>
      <c r="B145" s="10" t="s">
        <v>5979</v>
      </c>
      <c r="C145" s="13" t="s">
        <v>5980</v>
      </c>
      <c r="D145" s="15"/>
      <c r="E145" s="15"/>
      <c r="F145" s="15" t="s">
        <v>5966</v>
      </c>
      <c r="G145" s="11" t="s">
        <v>5793</v>
      </c>
      <c r="H145" s="13" t="s">
        <v>5932</v>
      </c>
      <c r="I145" s="13" t="s">
        <v>5674</v>
      </c>
      <c r="L145" s="73"/>
      <c r="M145" s="73"/>
    </row>
    <row r="146">
      <c r="A146" s="12" t="s">
        <v>5963</v>
      </c>
      <c r="B146" s="10" t="s">
        <v>5981</v>
      </c>
      <c r="C146" s="13" t="s">
        <v>5982</v>
      </c>
      <c r="D146" s="15"/>
      <c r="E146" s="15"/>
      <c r="F146" s="15" t="s">
        <v>5966</v>
      </c>
      <c r="G146" s="11" t="s">
        <v>5793</v>
      </c>
      <c r="H146" s="13" t="s">
        <v>5932</v>
      </c>
      <c r="I146" s="13" t="s">
        <v>5674</v>
      </c>
      <c r="L146" s="73"/>
      <c r="M146" s="73"/>
    </row>
    <row r="147">
      <c r="A147" s="12" t="s">
        <v>5983</v>
      </c>
      <c r="B147" s="10" t="s">
        <v>5984</v>
      </c>
      <c r="C147" s="13" t="s">
        <v>5985</v>
      </c>
      <c r="D147" s="10"/>
      <c r="E147" s="10"/>
      <c r="F147" s="10" t="s">
        <v>5986</v>
      </c>
      <c r="G147" s="11" t="s">
        <v>5793</v>
      </c>
      <c r="H147" s="13" t="s">
        <v>5932</v>
      </c>
      <c r="I147" s="13" t="s">
        <v>5674</v>
      </c>
      <c r="L147" s="73"/>
      <c r="M147" s="73"/>
    </row>
    <row r="148">
      <c r="A148" s="12" t="s">
        <v>5983</v>
      </c>
      <c r="B148" s="10" t="s">
        <v>5987</v>
      </c>
      <c r="C148" s="13" t="str">
        <f t="shared" ref="C148:C151" si="1">CONCATENATE("fabric-group-b-ltd#",B148,".webp")</f>
        <v>fabric-group-b-ltd#La La Land.webp</v>
      </c>
      <c r="D148" s="10"/>
      <c r="E148" s="10"/>
      <c r="F148" s="10" t="s">
        <v>5986</v>
      </c>
      <c r="G148" s="11" t="s">
        <v>5793</v>
      </c>
      <c r="I148" s="13" t="s">
        <v>5674</v>
      </c>
      <c r="L148" s="73"/>
      <c r="M148" s="73"/>
    </row>
    <row r="149">
      <c r="A149" s="12" t="s">
        <v>5983</v>
      </c>
      <c r="B149" s="10" t="s">
        <v>5988</v>
      </c>
      <c r="C149" s="13" t="str">
        <f t="shared" si="1"/>
        <v>fabric-group-b-ltd#Palm Springs Navy.webp</v>
      </c>
      <c r="D149" s="10"/>
      <c r="E149" s="10"/>
      <c r="F149" s="10" t="s">
        <v>5986</v>
      </c>
      <c r="G149" s="11" t="s">
        <v>5793</v>
      </c>
      <c r="I149" s="13" t="s">
        <v>5674</v>
      </c>
      <c r="L149" s="73"/>
      <c r="M149" s="73"/>
    </row>
    <row r="150">
      <c r="A150" s="12" t="s">
        <v>5983</v>
      </c>
      <c r="B150" s="10" t="s">
        <v>5989</v>
      </c>
      <c r="C150" s="13" t="str">
        <f t="shared" si="1"/>
        <v>fabric-group-b-ltd#Palm Springs Sand.webp</v>
      </c>
      <c r="D150" s="10"/>
      <c r="E150" s="10"/>
      <c r="F150" s="10" t="s">
        <v>5986</v>
      </c>
      <c r="G150" s="11" t="s">
        <v>5793</v>
      </c>
      <c r="I150" s="13" t="s">
        <v>5674</v>
      </c>
      <c r="L150" s="73"/>
      <c r="M150" s="73"/>
    </row>
    <row r="151">
      <c r="A151" s="12" t="s">
        <v>5983</v>
      </c>
      <c r="B151" s="10" t="s">
        <v>5990</v>
      </c>
      <c r="C151" s="13" t="str">
        <f t="shared" si="1"/>
        <v>fabric-group-b-ltd#Ponder Spa.webp</v>
      </c>
      <c r="D151" s="10"/>
      <c r="E151" s="10"/>
      <c r="F151" s="10" t="s">
        <v>5986</v>
      </c>
      <c r="G151" s="11" t="s">
        <v>5793</v>
      </c>
      <c r="I151" s="13" t="s">
        <v>5674</v>
      </c>
      <c r="L151" s="73"/>
      <c r="M151" s="73"/>
    </row>
    <row r="152">
      <c r="A152" s="12" t="s">
        <v>5991</v>
      </c>
      <c r="B152" s="10" t="s">
        <v>5992</v>
      </c>
      <c r="C152" s="13" t="s">
        <v>5993</v>
      </c>
      <c r="D152" s="15"/>
      <c r="E152" s="15"/>
      <c r="F152" s="15" t="s">
        <v>5994</v>
      </c>
      <c r="G152" s="11" t="s">
        <v>5793</v>
      </c>
      <c r="H152" s="13" t="s">
        <v>5932</v>
      </c>
      <c r="I152" s="13" t="s">
        <v>5674</v>
      </c>
      <c r="L152" s="73"/>
      <c r="M152" s="73"/>
    </row>
    <row r="153">
      <c r="A153" s="12" t="s">
        <v>5991</v>
      </c>
      <c r="B153" s="10" t="s">
        <v>5995</v>
      </c>
      <c r="C153" s="13" t="str">
        <f>CONCATENATE("fabric-group-c#",B153,".webp")</f>
        <v>fabric-group-c#Heritage Ashe.webp</v>
      </c>
      <c r="D153" s="15"/>
      <c r="E153" s="15"/>
      <c r="F153" s="15" t="s">
        <v>5994</v>
      </c>
      <c r="G153" s="11" t="s">
        <v>5793</v>
      </c>
      <c r="I153" s="13" t="s">
        <v>5674</v>
      </c>
      <c r="L153" s="73"/>
      <c r="M153" s="73"/>
    </row>
    <row r="154">
      <c r="A154" s="12" t="s">
        <v>5991</v>
      </c>
      <c r="B154" s="10" t="s">
        <v>5996</v>
      </c>
      <c r="C154" s="13" t="s">
        <v>5997</v>
      </c>
      <c r="D154" s="15"/>
      <c r="E154" s="15"/>
      <c r="F154" s="15" t="s">
        <v>5994</v>
      </c>
      <c r="G154" s="11" t="s">
        <v>5793</v>
      </c>
      <c r="I154" s="13" t="s">
        <v>5674</v>
      </c>
      <c r="L154" s="73"/>
      <c r="M154" s="73"/>
    </row>
    <row r="155">
      <c r="A155" s="12" t="s">
        <v>5991</v>
      </c>
      <c r="B155" s="10" t="s">
        <v>5998</v>
      </c>
      <c r="C155" s="13" t="str">
        <f>CONCATENATE("fabric-group-c#",B155,".webp")</f>
        <v>fabric-group-c#Heritage Leaf.webp</v>
      </c>
      <c r="D155" s="15"/>
      <c r="E155" s="15"/>
      <c r="F155" s="15" t="s">
        <v>5994</v>
      </c>
      <c r="G155" s="11" t="s">
        <v>5793</v>
      </c>
      <c r="I155" s="13" t="s">
        <v>5674</v>
      </c>
      <c r="L155" s="73"/>
      <c r="M155" s="73"/>
    </row>
    <row r="156">
      <c r="A156" s="12" t="s">
        <v>5999</v>
      </c>
      <c r="B156" s="10" t="s">
        <v>6000</v>
      </c>
      <c r="C156" s="13" t="str">
        <f t="shared" ref="C156:C158" si="2">CONCATENATE("fabric-group-c-ltd#",B156,".webp")</f>
        <v>fabric-group-c-ltd#Sebastian Charcoal.webp</v>
      </c>
      <c r="D156" s="10"/>
      <c r="E156" s="10"/>
      <c r="F156" s="10" t="s">
        <v>6001</v>
      </c>
      <c r="G156" s="11" t="s">
        <v>5793</v>
      </c>
      <c r="H156" s="13" t="s">
        <v>5932</v>
      </c>
      <c r="I156" s="13" t="s">
        <v>5674</v>
      </c>
      <c r="L156" s="73"/>
      <c r="M156" s="73"/>
    </row>
    <row r="157">
      <c r="A157" s="12" t="s">
        <v>5999</v>
      </c>
      <c r="B157" s="10" t="s">
        <v>6002</v>
      </c>
      <c r="C157" s="13" t="str">
        <f t="shared" si="2"/>
        <v>fabric-group-c-ltd#Sebastian Navy.webp</v>
      </c>
      <c r="D157" s="10"/>
      <c r="E157" s="10"/>
      <c r="F157" s="10" t="s">
        <v>6001</v>
      </c>
      <c r="G157" s="11" t="s">
        <v>5793</v>
      </c>
      <c r="I157" s="13" t="s">
        <v>5674</v>
      </c>
      <c r="L157" s="73"/>
      <c r="M157" s="73"/>
    </row>
    <row r="158">
      <c r="A158" s="12" t="s">
        <v>5999</v>
      </c>
      <c r="B158" s="10" t="s">
        <v>6003</v>
      </c>
      <c r="C158" s="13" t="str">
        <f t="shared" si="2"/>
        <v>fabric-group-c-ltd#Sebastian Sand.webp</v>
      </c>
      <c r="D158" s="10"/>
      <c r="E158" s="10"/>
      <c r="F158" s="10" t="s">
        <v>6001</v>
      </c>
      <c r="G158" s="11" t="s">
        <v>5793</v>
      </c>
      <c r="I158" s="13" t="s">
        <v>5674</v>
      </c>
      <c r="L158" s="73"/>
      <c r="M158" s="73"/>
    </row>
    <row r="159">
      <c r="A159" s="12" t="s">
        <v>6004</v>
      </c>
      <c r="B159" s="10" t="s">
        <v>6005</v>
      </c>
      <c r="C159" s="84" t="s">
        <v>6006</v>
      </c>
      <c r="D159" s="10"/>
      <c r="E159" s="10"/>
      <c r="F159" s="10" t="s">
        <v>6007</v>
      </c>
      <c r="G159" s="11" t="s">
        <v>5793</v>
      </c>
      <c r="H159" s="13" t="s">
        <v>6008</v>
      </c>
      <c r="I159" s="13" t="s">
        <v>5674</v>
      </c>
      <c r="L159" s="73"/>
    </row>
    <row r="160">
      <c r="A160" s="12" t="s">
        <v>6004</v>
      </c>
      <c r="B160" s="10" t="s">
        <v>6009</v>
      </c>
      <c r="C160" s="84" t="s">
        <v>6010</v>
      </c>
      <c r="D160" s="10"/>
      <c r="E160" s="10"/>
      <c r="F160" s="10" t="s">
        <v>6007</v>
      </c>
      <c r="G160" s="11" t="s">
        <v>5793</v>
      </c>
      <c r="H160" s="13" t="s">
        <v>6008</v>
      </c>
      <c r="I160" s="13" t="s">
        <v>5674</v>
      </c>
      <c r="L160" s="73"/>
    </row>
    <row r="161">
      <c r="A161" s="12" t="s">
        <v>6004</v>
      </c>
      <c r="B161" s="10" t="s">
        <v>6011</v>
      </c>
      <c r="C161" s="13" t="s">
        <v>6012</v>
      </c>
      <c r="D161" s="10"/>
      <c r="E161" s="10"/>
      <c r="F161" s="10" t="s">
        <v>6007</v>
      </c>
      <c r="G161" s="11" t="s">
        <v>5793</v>
      </c>
      <c r="H161" s="13" t="s">
        <v>6008</v>
      </c>
      <c r="I161" s="13" t="s">
        <v>5674</v>
      </c>
      <c r="L161" s="73"/>
    </row>
    <row r="162">
      <c r="A162" s="12" t="s">
        <v>6013</v>
      </c>
      <c r="B162" s="13" t="s">
        <v>6014</v>
      </c>
      <c r="C162" s="13" t="str">
        <f t="shared" ref="C162:C163" si="3">CONCATENATE("fabric-group-d#",B162,".webp")</f>
        <v>fabric-group-d#Improve Dune.webp</v>
      </c>
      <c r="D162" s="15"/>
      <c r="E162" s="15"/>
      <c r="F162" s="15" t="s">
        <v>6015</v>
      </c>
      <c r="G162" s="11" t="s">
        <v>5793</v>
      </c>
      <c r="I162" s="13" t="s">
        <v>5674</v>
      </c>
      <c r="L162" s="73"/>
    </row>
    <row r="163">
      <c r="A163" s="12" t="s">
        <v>6013</v>
      </c>
      <c r="B163" s="13" t="s">
        <v>6016</v>
      </c>
      <c r="C163" s="13" t="str">
        <f t="shared" si="3"/>
        <v>fabric-group-d#Improve White.webp</v>
      </c>
      <c r="D163" s="25"/>
      <c r="E163" s="25"/>
      <c r="F163" s="25" t="s">
        <v>6015</v>
      </c>
      <c r="G163" s="11" t="s">
        <v>5793</v>
      </c>
      <c r="I163" s="13" t="s">
        <v>5674</v>
      </c>
      <c r="L163" s="73"/>
    </row>
    <row r="164">
      <c r="A164" s="12" t="s">
        <v>6017</v>
      </c>
      <c r="B164" s="10" t="s">
        <v>6018</v>
      </c>
      <c r="C164" s="84" t="s">
        <v>6019</v>
      </c>
      <c r="D164" s="10"/>
      <c r="E164" s="10"/>
      <c r="F164" s="10" t="s">
        <v>6020</v>
      </c>
      <c r="G164" s="11" t="s">
        <v>5793</v>
      </c>
      <c r="H164" s="13" t="s">
        <v>6008</v>
      </c>
      <c r="I164" s="13" t="s">
        <v>5674</v>
      </c>
      <c r="L164" s="73"/>
      <c r="M164" s="73"/>
    </row>
    <row r="165">
      <c r="A165" s="12" t="s">
        <v>6017</v>
      </c>
      <c r="B165" s="10" t="s">
        <v>6021</v>
      </c>
      <c r="C165" s="84" t="s">
        <v>6022</v>
      </c>
      <c r="D165" s="10"/>
      <c r="E165" s="10"/>
      <c r="F165" s="10" t="s">
        <v>6020</v>
      </c>
      <c r="G165" s="11" t="s">
        <v>5793</v>
      </c>
      <c r="H165" s="13" t="s">
        <v>6008</v>
      </c>
      <c r="I165" s="13" t="s">
        <v>5674</v>
      </c>
      <c r="L165" s="73"/>
    </row>
    <row r="166">
      <c r="A166" s="12" t="s">
        <v>6017</v>
      </c>
      <c r="B166" s="10" t="s">
        <v>6023</v>
      </c>
      <c r="C166" s="84" t="s">
        <v>6024</v>
      </c>
      <c r="D166" s="10"/>
      <c r="E166" s="10"/>
      <c r="F166" s="10" t="s">
        <v>6020</v>
      </c>
      <c r="G166" s="11" t="s">
        <v>5793</v>
      </c>
      <c r="H166" s="13" t="s">
        <v>6008</v>
      </c>
      <c r="I166" s="13" t="s">
        <v>5674</v>
      </c>
      <c r="L166" s="73"/>
    </row>
    <row r="167">
      <c r="A167" s="12" t="s">
        <v>6025</v>
      </c>
      <c r="B167" s="13" t="s">
        <v>6026</v>
      </c>
      <c r="C167" s="76" t="s">
        <v>6027</v>
      </c>
      <c r="D167" s="10"/>
      <c r="E167" s="10"/>
      <c r="F167" s="10" t="s">
        <v>6028</v>
      </c>
      <c r="G167" s="11" t="s">
        <v>5793</v>
      </c>
      <c r="I167" s="13" t="s">
        <v>5674</v>
      </c>
      <c r="L167" s="73"/>
    </row>
    <row r="168">
      <c r="A168" s="12" t="s">
        <v>6025</v>
      </c>
      <c r="B168" s="13" t="s">
        <v>6029</v>
      </c>
      <c r="C168" s="76" t="s">
        <v>6030</v>
      </c>
      <c r="D168" s="10"/>
      <c r="E168" s="10"/>
      <c r="F168" s="10" t="s">
        <v>6028</v>
      </c>
      <c r="G168" s="11" t="s">
        <v>5793</v>
      </c>
      <c r="I168" s="13" t="s">
        <v>5674</v>
      </c>
      <c r="L168" s="73"/>
    </row>
    <row r="169">
      <c r="A169" s="12" t="s">
        <v>6025</v>
      </c>
      <c r="B169" s="13" t="s">
        <v>6031</v>
      </c>
      <c r="C169" s="76" t="s">
        <v>6032</v>
      </c>
      <c r="D169" s="10"/>
      <c r="E169" s="10"/>
      <c r="F169" s="10" t="s">
        <v>6028</v>
      </c>
      <c r="G169" s="11" t="s">
        <v>5793</v>
      </c>
      <c r="I169" s="13" t="s">
        <v>5674</v>
      </c>
      <c r="L169" s="73"/>
    </row>
    <row r="170">
      <c r="A170" s="12" t="s">
        <v>6033</v>
      </c>
      <c r="B170" s="13" t="s">
        <v>6034</v>
      </c>
      <c r="C170" s="76" t="s">
        <v>6035</v>
      </c>
      <c r="D170" s="15"/>
      <c r="E170" s="15"/>
      <c r="F170" s="15" t="s">
        <v>6036</v>
      </c>
      <c r="G170" s="11" t="s">
        <v>5793</v>
      </c>
      <c r="I170" s="13" t="s">
        <v>5674</v>
      </c>
      <c r="L170" s="73"/>
    </row>
    <row r="171">
      <c r="A171" s="12" t="s">
        <v>6033</v>
      </c>
      <c r="B171" s="13" t="s">
        <v>6037</v>
      </c>
      <c r="C171" s="76" t="s">
        <v>6038</v>
      </c>
      <c r="D171" s="15"/>
      <c r="E171" s="15"/>
      <c r="F171" s="15" t="s">
        <v>6036</v>
      </c>
      <c r="G171" s="11" t="s">
        <v>5793</v>
      </c>
      <c r="I171" s="13" t="s">
        <v>5674</v>
      </c>
      <c r="L171" s="73"/>
    </row>
    <row r="172" ht="18.0" customHeight="1">
      <c r="A172" s="12" t="s">
        <v>6033</v>
      </c>
      <c r="B172" s="13" t="s">
        <v>6039</v>
      </c>
      <c r="C172" s="76" t="s">
        <v>6040</v>
      </c>
      <c r="D172" s="15"/>
      <c r="E172" s="15"/>
      <c r="F172" s="15" t="s">
        <v>6036</v>
      </c>
      <c r="G172" s="11" t="s">
        <v>5793</v>
      </c>
      <c r="I172" s="13" t="s">
        <v>5674</v>
      </c>
      <c r="L172" s="73"/>
    </row>
    <row r="173" ht="18.0" customHeight="1">
      <c r="A173" s="12" t="s">
        <v>6033</v>
      </c>
      <c r="B173" s="13" t="s">
        <v>6041</v>
      </c>
      <c r="C173" s="76" t="s">
        <v>6042</v>
      </c>
      <c r="D173" s="15"/>
      <c r="E173" s="15"/>
      <c r="F173" s="15" t="s">
        <v>6036</v>
      </c>
      <c r="G173" s="11" t="s">
        <v>5793</v>
      </c>
      <c r="I173" s="13" t="s">
        <v>5674</v>
      </c>
      <c r="L173" s="73"/>
    </row>
    <row r="174">
      <c r="A174" s="12" t="s">
        <v>6033</v>
      </c>
      <c r="B174" s="13" t="s">
        <v>6043</v>
      </c>
      <c r="C174" s="76" t="s">
        <v>6044</v>
      </c>
      <c r="D174" s="15"/>
      <c r="E174" s="15"/>
      <c r="F174" s="15" t="s">
        <v>6036</v>
      </c>
      <c r="G174" s="11" t="s">
        <v>5793</v>
      </c>
      <c r="I174" s="13" t="s">
        <v>5674</v>
      </c>
      <c r="L174" s="73"/>
    </row>
    <row r="175">
      <c r="A175" s="12" t="s">
        <v>6033</v>
      </c>
      <c r="B175" s="13" t="s">
        <v>6045</v>
      </c>
      <c r="C175" s="76" t="s">
        <v>6046</v>
      </c>
      <c r="D175" s="15"/>
      <c r="E175" s="15"/>
      <c r="F175" s="15" t="s">
        <v>6036</v>
      </c>
      <c r="G175" s="11" t="s">
        <v>5793</v>
      </c>
      <c r="I175" s="13" t="s">
        <v>5674</v>
      </c>
      <c r="L175" s="73"/>
    </row>
    <row r="176">
      <c r="A176" s="12" t="s">
        <v>6033</v>
      </c>
      <c r="B176" s="13" t="s">
        <v>6047</v>
      </c>
      <c r="C176" s="76" t="s">
        <v>6048</v>
      </c>
      <c r="D176" s="15"/>
      <c r="E176" s="15"/>
      <c r="F176" s="15" t="s">
        <v>6036</v>
      </c>
      <c r="G176" s="11" t="s">
        <v>5793</v>
      </c>
      <c r="I176" s="13" t="s">
        <v>5674</v>
      </c>
      <c r="L176" s="73"/>
    </row>
    <row r="177">
      <c r="A177" s="12" t="s">
        <v>6033</v>
      </c>
      <c r="B177" s="13" t="s">
        <v>6049</v>
      </c>
      <c r="C177" s="76" t="s">
        <v>6050</v>
      </c>
      <c r="D177" s="15"/>
      <c r="E177" s="15"/>
      <c r="F177" s="15" t="s">
        <v>6036</v>
      </c>
      <c r="G177" s="11" t="s">
        <v>5793</v>
      </c>
      <c r="I177" s="13" t="s">
        <v>5674</v>
      </c>
      <c r="L177" s="73"/>
    </row>
    <row r="178">
      <c r="A178" s="12" t="s">
        <v>6033</v>
      </c>
      <c r="B178" s="13" t="s">
        <v>6051</v>
      </c>
      <c r="C178" s="76" t="s">
        <v>6052</v>
      </c>
      <c r="D178" s="15"/>
      <c r="E178" s="15"/>
      <c r="F178" s="15" t="s">
        <v>6036</v>
      </c>
      <c r="G178" s="11" t="s">
        <v>5793</v>
      </c>
      <c r="I178" s="13" t="s">
        <v>5674</v>
      </c>
      <c r="L178" s="73"/>
    </row>
    <row r="179">
      <c r="A179" s="12" t="s">
        <v>6053</v>
      </c>
      <c r="B179" s="13" t="s">
        <v>6054</v>
      </c>
      <c r="C179" s="76" t="s">
        <v>6055</v>
      </c>
      <c r="D179" s="15"/>
      <c r="E179" s="15"/>
      <c r="F179" s="15" t="s">
        <v>6056</v>
      </c>
      <c r="G179" s="11" t="s">
        <v>5793</v>
      </c>
      <c r="I179" s="13" t="s">
        <v>5674</v>
      </c>
      <c r="L179" s="73"/>
    </row>
    <row r="180">
      <c r="A180" s="12" t="s">
        <v>6053</v>
      </c>
      <c r="B180" s="13" t="s">
        <v>6057</v>
      </c>
      <c r="C180" s="76" t="s">
        <v>6058</v>
      </c>
      <c r="D180" s="15"/>
      <c r="E180" s="15"/>
      <c r="F180" s="15" t="s">
        <v>6056</v>
      </c>
      <c r="G180" s="11" t="s">
        <v>5793</v>
      </c>
      <c r="I180" s="13" t="s">
        <v>5674</v>
      </c>
      <c r="L180" s="73"/>
    </row>
    <row r="181">
      <c r="A181" s="12" t="s">
        <v>6053</v>
      </c>
      <c r="B181" s="13" t="s">
        <v>6059</v>
      </c>
      <c r="C181" s="76" t="s">
        <v>6060</v>
      </c>
      <c r="D181" s="15"/>
      <c r="E181" s="15"/>
      <c r="F181" s="15" t="s">
        <v>6056</v>
      </c>
      <c r="G181" s="11" t="s">
        <v>5793</v>
      </c>
      <c r="I181" s="13" t="s">
        <v>5674</v>
      </c>
      <c r="L181" s="73"/>
    </row>
    <row r="182">
      <c r="A182" s="12" t="s">
        <v>6053</v>
      </c>
      <c r="B182" s="13" t="s">
        <v>6061</v>
      </c>
      <c r="C182" s="76" t="s">
        <v>6062</v>
      </c>
      <c r="D182" s="15"/>
      <c r="E182" s="15"/>
      <c r="F182" s="15" t="s">
        <v>6056</v>
      </c>
      <c r="G182" s="11" t="s">
        <v>5793</v>
      </c>
      <c r="I182" s="13" t="s">
        <v>5674</v>
      </c>
      <c r="L182" s="73"/>
    </row>
    <row r="183">
      <c r="A183" s="12" t="s">
        <v>6053</v>
      </c>
      <c r="B183" s="13" t="s">
        <v>6063</v>
      </c>
      <c r="C183" s="76" t="s">
        <v>6064</v>
      </c>
      <c r="D183" s="15"/>
      <c r="E183" s="15"/>
      <c r="F183" s="15" t="s">
        <v>6056</v>
      </c>
      <c r="G183" s="11" t="s">
        <v>5793</v>
      </c>
      <c r="I183" s="13" t="s">
        <v>5674</v>
      </c>
      <c r="L183" s="73"/>
    </row>
    <row r="184">
      <c r="A184" s="12" t="s">
        <v>6053</v>
      </c>
      <c r="B184" s="13" t="s">
        <v>6065</v>
      </c>
      <c r="C184" s="76" t="s">
        <v>6066</v>
      </c>
      <c r="D184" s="15"/>
      <c r="E184" s="15"/>
      <c r="F184" s="15" t="s">
        <v>6056</v>
      </c>
      <c r="G184" s="11" t="s">
        <v>5793</v>
      </c>
      <c r="I184" s="13" t="s">
        <v>5674</v>
      </c>
      <c r="L184" s="73"/>
    </row>
    <row r="185">
      <c r="A185" s="12" t="s">
        <v>6067</v>
      </c>
      <c r="B185" s="10" t="s">
        <v>6068</v>
      </c>
      <c r="C185" s="13" t="s">
        <v>6069</v>
      </c>
      <c r="D185" s="15"/>
      <c r="E185" s="15"/>
      <c r="F185" s="15" t="s">
        <v>6070</v>
      </c>
      <c r="G185" s="11" t="s">
        <v>5793</v>
      </c>
      <c r="H185" s="13"/>
      <c r="I185" s="13" t="s">
        <v>5674</v>
      </c>
      <c r="L185" s="73"/>
    </row>
    <row r="186">
      <c r="A186" s="12" t="s">
        <v>6067</v>
      </c>
      <c r="B186" s="10" t="s">
        <v>6071</v>
      </c>
      <c r="C186" s="13" t="s">
        <v>6072</v>
      </c>
      <c r="D186" s="15"/>
      <c r="E186" s="15"/>
      <c r="F186" s="15" t="s">
        <v>6070</v>
      </c>
      <c r="G186" s="11" t="s">
        <v>5793</v>
      </c>
      <c r="H186" s="13"/>
      <c r="I186" s="13" t="s">
        <v>5674</v>
      </c>
      <c r="L186" s="73"/>
    </row>
    <row r="187">
      <c r="A187" s="12" t="s">
        <v>6067</v>
      </c>
      <c r="B187" s="10" t="s">
        <v>6073</v>
      </c>
      <c r="C187" s="13" t="s">
        <v>6074</v>
      </c>
      <c r="D187" s="15"/>
      <c r="E187" s="15"/>
      <c r="F187" s="15" t="s">
        <v>6070</v>
      </c>
      <c r="G187" s="11" t="s">
        <v>5793</v>
      </c>
      <c r="H187" s="13"/>
      <c r="I187" s="13" t="s">
        <v>5674</v>
      </c>
      <c r="L187" s="73"/>
    </row>
    <row r="188">
      <c r="A188" s="12" t="s">
        <v>6067</v>
      </c>
      <c r="B188" s="10" t="s">
        <v>6075</v>
      </c>
      <c r="C188" s="13" t="s">
        <v>6076</v>
      </c>
      <c r="D188" s="15"/>
      <c r="E188" s="15"/>
      <c r="F188" s="15" t="s">
        <v>6070</v>
      </c>
      <c r="G188" s="11" t="s">
        <v>5793</v>
      </c>
      <c r="H188" s="13"/>
      <c r="I188" s="13" t="s">
        <v>5674</v>
      </c>
      <c r="L188" s="73"/>
    </row>
    <row r="189">
      <c r="A189" s="12" t="s">
        <v>6067</v>
      </c>
      <c r="B189" s="10" t="s">
        <v>6077</v>
      </c>
      <c r="C189" s="13" t="s">
        <v>6078</v>
      </c>
      <c r="D189" s="15"/>
      <c r="E189" s="15"/>
      <c r="F189" s="15" t="s">
        <v>6070</v>
      </c>
      <c r="G189" s="11" t="s">
        <v>5793</v>
      </c>
      <c r="H189" s="13"/>
      <c r="I189" s="13" t="s">
        <v>5674</v>
      </c>
      <c r="L189" s="73"/>
    </row>
    <row r="190">
      <c r="A190" s="12" t="s">
        <v>6067</v>
      </c>
      <c r="B190" s="10" t="s">
        <v>6079</v>
      </c>
      <c r="C190" s="13" t="s">
        <v>6080</v>
      </c>
      <c r="D190" s="15"/>
      <c r="E190" s="15"/>
      <c r="F190" s="15" t="s">
        <v>6070</v>
      </c>
      <c r="G190" s="11" t="s">
        <v>5793</v>
      </c>
      <c r="H190" s="13"/>
      <c r="I190" s="13" t="s">
        <v>5674</v>
      </c>
      <c r="L190" s="73"/>
    </row>
    <row r="191">
      <c r="A191" s="12" t="s">
        <v>6067</v>
      </c>
      <c r="B191" s="10" t="s">
        <v>6081</v>
      </c>
      <c r="C191" s="13" t="s">
        <v>6082</v>
      </c>
      <c r="D191" s="15"/>
      <c r="E191" s="15"/>
      <c r="F191" s="15" t="s">
        <v>6070</v>
      </c>
      <c r="G191" s="11" t="s">
        <v>5793</v>
      </c>
      <c r="H191" s="13"/>
      <c r="I191" s="13" t="s">
        <v>5674</v>
      </c>
      <c r="L191" s="73"/>
    </row>
    <row r="192">
      <c r="A192" s="12" t="s">
        <v>6083</v>
      </c>
      <c r="B192" s="10" t="s">
        <v>6084</v>
      </c>
      <c r="C192" s="13" t="s">
        <v>6085</v>
      </c>
      <c r="D192" s="15"/>
      <c r="E192" s="15"/>
      <c r="F192" s="15" t="s">
        <v>6086</v>
      </c>
      <c r="G192" s="11" t="s">
        <v>5793</v>
      </c>
      <c r="H192" s="13"/>
      <c r="I192" s="13" t="s">
        <v>5674</v>
      </c>
      <c r="L192" s="73"/>
    </row>
    <row r="193">
      <c r="A193" s="12" t="s">
        <v>6083</v>
      </c>
      <c r="B193" s="10" t="s">
        <v>6087</v>
      </c>
      <c r="C193" s="13" t="s">
        <v>6088</v>
      </c>
      <c r="D193" s="15"/>
      <c r="E193" s="15"/>
      <c r="F193" s="15" t="s">
        <v>6086</v>
      </c>
      <c r="G193" s="11" t="s">
        <v>5793</v>
      </c>
      <c r="H193" s="13"/>
      <c r="I193" s="13" t="s">
        <v>5674</v>
      </c>
      <c r="L193" s="73"/>
    </row>
    <row r="194">
      <c r="A194" s="12" t="s">
        <v>6083</v>
      </c>
      <c r="B194" s="10" t="s">
        <v>6089</v>
      </c>
      <c r="C194" s="13" t="s">
        <v>6090</v>
      </c>
      <c r="D194" s="15"/>
      <c r="E194" s="15"/>
      <c r="F194" s="15" t="s">
        <v>6086</v>
      </c>
      <c r="G194" s="11" t="s">
        <v>5793</v>
      </c>
      <c r="H194" s="13"/>
      <c r="I194" s="13" t="s">
        <v>5674</v>
      </c>
      <c r="L194" s="73"/>
    </row>
    <row r="195">
      <c r="A195" s="12" t="s">
        <v>6083</v>
      </c>
      <c r="B195" s="10" t="s">
        <v>6091</v>
      </c>
      <c r="C195" s="13" t="s">
        <v>6092</v>
      </c>
      <c r="D195" s="15"/>
      <c r="E195" s="15"/>
      <c r="F195" s="15" t="s">
        <v>6086</v>
      </c>
      <c r="G195" s="11" t="s">
        <v>5793</v>
      </c>
      <c r="H195" s="13"/>
      <c r="I195" s="13" t="s">
        <v>5674</v>
      </c>
      <c r="L195" s="73"/>
    </row>
    <row r="196">
      <c r="A196" s="12" t="s">
        <v>6083</v>
      </c>
      <c r="B196" s="10" t="s">
        <v>6093</v>
      </c>
      <c r="C196" s="13" t="s">
        <v>6094</v>
      </c>
      <c r="D196" s="15"/>
      <c r="E196" s="15"/>
      <c r="F196" s="15" t="s">
        <v>6086</v>
      </c>
      <c r="G196" s="11" t="s">
        <v>5793</v>
      </c>
      <c r="H196" s="13"/>
      <c r="I196" s="13" t="s">
        <v>5674</v>
      </c>
      <c r="L196" s="73"/>
    </row>
    <row r="197">
      <c r="A197" s="12" t="s">
        <v>6083</v>
      </c>
      <c r="B197" s="10" t="s">
        <v>6095</v>
      </c>
      <c r="C197" s="13" t="s">
        <v>6096</v>
      </c>
      <c r="D197" s="15"/>
      <c r="E197" s="15"/>
      <c r="F197" s="15" t="s">
        <v>6086</v>
      </c>
      <c r="G197" s="11" t="s">
        <v>5793</v>
      </c>
      <c r="H197" s="13"/>
      <c r="I197" s="13" t="s">
        <v>5674</v>
      </c>
      <c r="L197" s="73"/>
    </row>
    <row r="198">
      <c r="A198" s="12" t="s">
        <v>6083</v>
      </c>
      <c r="B198" s="10" t="s">
        <v>6097</v>
      </c>
      <c r="C198" s="13" t="s">
        <v>6098</v>
      </c>
      <c r="D198" s="15"/>
      <c r="E198" s="15"/>
      <c r="F198" s="15" t="s">
        <v>6086</v>
      </c>
      <c r="G198" s="11" t="s">
        <v>5793</v>
      </c>
      <c r="H198" s="13"/>
      <c r="I198" s="13" t="s">
        <v>5674</v>
      </c>
      <c r="L198" s="73"/>
    </row>
    <row r="199">
      <c r="A199" s="12" t="s">
        <v>6083</v>
      </c>
      <c r="B199" s="10" t="s">
        <v>6099</v>
      </c>
      <c r="C199" s="13" t="s">
        <v>6100</v>
      </c>
      <c r="D199" s="15"/>
      <c r="E199" s="15"/>
      <c r="F199" s="15" t="s">
        <v>6086</v>
      </c>
      <c r="G199" s="11" t="s">
        <v>5793</v>
      </c>
      <c r="H199" s="13"/>
      <c r="I199" s="13" t="s">
        <v>5674</v>
      </c>
      <c r="L199" s="73"/>
    </row>
    <row r="200">
      <c r="A200" s="12" t="s">
        <v>6083</v>
      </c>
      <c r="B200" s="10" t="s">
        <v>6101</v>
      </c>
      <c r="C200" s="13" t="s">
        <v>6102</v>
      </c>
      <c r="D200" s="15"/>
      <c r="E200" s="15"/>
      <c r="F200" s="15" t="s">
        <v>6086</v>
      </c>
      <c r="G200" s="11" t="s">
        <v>5793</v>
      </c>
      <c r="H200" s="13"/>
      <c r="I200" s="13" t="s">
        <v>5674</v>
      </c>
      <c r="L200" s="73"/>
    </row>
    <row r="201">
      <c r="A201" s="12" t="s">
        <v>6083</v>
      </c>
      <c r="B201" s="10" t="s">
        <v>6103</v>
      </c>
      <c r="C201" s="13" t="s">
        <v>6104</v>
      </c>
      <c r="D201" s="15"/>
      <c r="E201" s="15"/>
      <c r="F201" s="15" t="s">
        <v>6086</v>
      </c>
      <c r="G201" s="11" t="s">
        <v>5793</v>
      </c>
      <c r="H201" s="13"/>
      <c r="I201" s="13" t="s">
        <v>5674</v>
      </c>
      <c r="L201" s="73"/>
    </row>
    <row r="202">
      <c r="A202" s="12" t="s">
        <v>6083</v>
      </c>
      <c r="B202" s="10" t="s">
        <v>6105</v>
      </c>
      <c r="C202" s="13" t="s">
        <v>6106</v>
      </c>
      <c r="D202" s="15"/>
      <c r="E202" s="15"/>
      <c r="F202" s="15" t="s">
        <v>6086</v>
      </c>
      <c r="G202" s="11" t="s">
        <v>5793</v>
      </c>
      <c r="H202" s="13"/>
      <c r="I202" s="13" t="s">
        <v>5674</v>
      </c>
      <c r="L202" s="73"/>
    </row>
    <row r="203">
      <c r="A203" s="12" t="s">
        <v>6083</v>
      </c>
      <c r="B203" s="10" t="s">
        <v>6107</v>
      </c>
      <c r="C203" s="13" t="s">
        <v>6108</v>
      </c>
      <c r="D203" s="15"/>
      <c r="E203" s="15"/>
      <c r="F203" s="15" t="s">
        <v>6086</v>
      </c>
      <c r="G203" s="11" t="s">
        <v>5793</v>
      </c>
      <c r="H203" s="13"/>
      <c r="I203" s="13" t="s">
        <v>5674</v>
      </c>
      <c r="L203" s="73"/>
    </row>
    <row r="204">
      <c r="A204" s="12" t="s">
        <v>6083</v>
      </c>
      <c r="B204" s="10" t="s">
        <v>6109</v>
      </c>
      <c r="C204" s="13" t="s">
        <v>6110</v>
      </c>
      <c r="D204" s="15"/>
      <c r="E204" s="15"/>
      <c r="F204" s="15" t="s">
        <v>6086</v>
      </c>
      <c r="G204" s="11" t="s">
        <v>5793</v>
      </c>
      <c r="H204" s="13"/>
      <c r="I204" s="13" t="s">
        <v>5674</v>
      </c>
      <c r="L204" s="73"/>
    </row>
    <row r="205">
      <c r="A205" s="12" t="s">
        <v>6111</v>
      </c>
      <c r="B205" s="13" t="s">
        <v>5790</v>
      </c>
      <c r="C205" s="76" t="s">
        <v>6112</v>
      </c>
      <c r="D205" s="15"/>
      <c r="E205" s="15"/>
      <c r="F205" s="15" t="s">
        <v>6113</v>
      </c>
      <c r="G205" s="11" t="s">
        <v>5793</v>
      </c>
      <c r="I205" s="13" t="s">
        <v>5674</v>
      </c>
      <c r="L205" s="73"/>
    </row>
    <row r="206">
      <c r="A206" s="12" t="s">
        <v>6111</v>
      </c>
      <c r="B206" s="13" t="s">
        <v>6114</v>
      </c>
      <c r="C206" s="76" t="s">
        <v>6115</v>
      </c>
      <c r="D206" s="15"/>
      <c r="E206" s="15"/>
      <c r="F206" s="15" t="s">
        <v>6113</v>
      </c>
      <c r="G206" s="11" t="s">
        <v>5793</v>
      </c>
      <c r="I206" s="13" t="s">
        <v>5674</v>
      </c>
      <c r="L206" s="73"/>
    </row>
    <row r="207">
      <c r="A207" s="12" t="s">
        <v>6111</v>
      </c>
      <c r="B207" s="13" t="s">
        <v>6116</v>
      </c>
      <c r="C207" s="76" t="s">
        <v>6117</v>
      </c>
      <c r="D207" s="15"/>
      <c r="E207" s="15"/>
      <c r="F207" s="15" t="s">
        <v>6113</v>
      </c>
      <c r="G207" s="11" t="s">
        <v>5793</v>
      </c>
      <c r="I207" s="13" t="s">
        <v>5674</v>
      </c>
      <c r="L207" s="73"/>
    </row>
    <row r="208">
      <c r="A208" s="12" t="s">
        <v>6111</v>
      </c>
      <c r="B208" s="13" t="s">
        <v>6118</v>
      </c>
      <c r="C208" s="76" t="s">
        <v>6119</v>
      </c>
      <c r="D208" s="15"/>
      <c r="E208" s="15"/>
      <c r="F208" s="15" t="s">
        <v>6113</v>
      </c>
      <c r="G208" s="11" t="s">
        <v>5793</v>
      </c>
      <c r="I208" s="13" t="s">
        <v>5674</v>
      </c>
      <c r="L208" s="73"/>
    </row>
    <row r="209">
      <c r="A209" s="12" t="s">
        <v>6111</v>
      </c>
      <c r="B209" s="13" t="s">
        <v>6120</v>
      </c>
      <c r="C209" s="76" t="s">
        <v>6121</v>
      </c>
      <c r="D209" s="15"/>
      <c r="E209" s="15"/>
      <c r="F209" s="15" t="s">
        <v>6113</v>
      </c>
      <c r="G209" s="11" t="s">
        <v>5793</v>
      </c>
      <c r="I209" s="13" t="s">
        <v>5674</v>
      </c>
      <c r="L209" s="73"/>
    </row>
    <row r="210">
      <c r="A210" s="12" t="s">
        <v>6111</v>
      </c>
      <c r="B210" s="13" t="s">
        <v>6122</v>
      </c>
      <c r="C210" s="76" t="s">
        <v>6123</v>
      </c>
      <c r="D210" s="15"/>
      <c r="E210" s="15"/>
      <c r="F210" s="15" t="s">
        <v>6113</v>
      </c>
      <c r="G210" s="11" t="s">
        <v>5793</v>
      </c>
      <c r="I210" s="13" t="s">
        <v>5674</v>
      </c>
      <c r="L210" s="73"/>
    </row>
    <row r="211">
      <c r="A211" s="12" t="s">
        <v>6111</v>
      </c>
      <c r="B211" s="13" t="s">
        <v>6124</v>
      </c>
      <c r="C211" s="76" t="s">
        <v>6125</v>
      </c>
      <c r="D211" s="15"/>
      <c r="E211" s="15"/>
      <c r="F211" s="15" t="s">
        <v>6113</v>
      </c>
      <c r="G211" s="11" t="s">
        <v>5793</v>
      </c>
      <c r="I211" s="13" t="s">
        <v>5674</v>
      </c>
      <c r="L211" s="73"/>
    </row>
    <row r="212">
      <c r="A212" s="12" t="s">
        <v>6111</v>
      </c>
      <c r="B212" s="10" t="s">
        <v>5812</v>
      </c>
      <c r="C212" s="76" t="s">
        <v>6126</v>
      </c>
      <c r="D212" s="15"/>
      <c r="E212" s="15"/>
      <c r="F212" s="15" t="s">
        <v>6113</v>
      </c>
      <c r="G212" s="11" t="s">
        <v>5793</v>
      </c>
      <c r="I212" s="13" t="s">
        <v>5674</v>
      </c>
      <c r="L212" s="73"/>
    </row>
    <row r="213">
      <c r="A213" s="85" t="s">
        <v>6127</v>
      </c>
      <c r="B213" s="86"/>
      <c r="C213" s="86"/>
      <c r="D213" s="22"/>
      <c r="E213" s="22"/>
      <c r="F213" s="22" t="s">
        <v>6128</v>
      </c>
      <c r="G213" s="85" t="s">
        <v>5793</v>
      </c>
      <c r="H213" s="58"/>
      <c r="I213" s="59"/>
      <c r="J213" s="58"/>
      <c r="L213" s="73"/>
    </row>
    <row r="214">
      <c r="A214" s="12" t="s">
        <v>6129</v>
      </c>
      <c r="B214" s="13" t="s">
        <v>6130</v>
      </c>
      <c r="C214" s="76" t="s">
        <v>6131</v>
      </c>
      <c r="D214" s="10"/>
      <c r="E214" s="10"/>
      <c r="F214" s="10" t="s">
        <v>6132</v>
      </c>
      <c r="G214" s="11" t="s">
        <v>5793</v>
      </c>
      <c r="I214" s="13" t="s">
        <v>5674</v>
      </c>
      <c r="L214" s="73"/>
    </row>
    <row r="215">
      <c r="A215" s="12" t="s">
        <v>6129</v>
      </c>
      <c r="B215" s="13" t="s">
        <v>6133</v>
      </c>
      <c r="C215" s="76" t="s">
        <v>6134</v>
      </c>
      <c r="D215" s="10"/>
      <c r="E215" s="10"/>
      <c r="F215" s="10" t="s">
        <v>6132</v>
      </c>
      <c r="G215" s="11" t="s">
        <v>5793</v>
      </c>
      <c r="I215" s="13" t="s">
        <v>5674</v>
      </c>
      <c r="L215" s="73"/>
    </row>
    <row r="216">
      <c r="A216" s="12" t="s">
        <v>6129</v>
      </c>
      <c r="B216" s="13" t="s">
        <v>6135</v>
      </c>
      <c r="C216" s="76" t="s">
        <v>6136</v>
      </c>
      <c r="D216" s="10"/>
      <c r="E216" s="10"/>
      <c r="F216" s="10" t="s">
        <v>6132</v>
      </c>
      <c r="G216" s="11" t="s">
        <v>5793</v>
      </c>
      <c r="I216" s="13" t="s">
        <v>5674</v>
      </c>
      <c r="L216" s="73"/>
    </row>
    <row r="217">
      <c r="A217" s="12" t="s">
        <v>6129</v>
      </c>
      <c r="B217" s="13" t="s">
        <v>6137</v>
      </c>
      <c r="C217" s="76" t="s">
        <v>6138</v>
      </c>
      <c r="D217" s="10"/>
      <c r="E217" s="10"/>
      <c r="F217" s="10" t="s">
        <v>6132</v>
      </c>
      <c r="G217" s="11" t="s">
        <v>5793</v>
      </c>
      <c r="I217" s="13" t="s">
        <v>5674</v>
      </c>
      <c r="L217" s="73"/>
    </row>
    <row r="218">
      <c r="A218" s="12" t="s">
        <v>6129</v>
      </c>
      <c r="B218" s="13" t="s">
        <v>6139</v>
      </c>
      <c r="C218" s="76" t="s">
        <v>6140</v>
      </c>
      <c r="D218" s="10"/>
      <c r="E218" s="10"/>
      <c r="F218" s="10" t="s">
        <v>6132</v>
      </c>
      <c r="G218" s="11" t="s">
        <v>5793</v>
      </c>
      <c r="I218" s="13" t="s">
        <v>5674</v>
      </c>
      <c r="L218" s="73"/>
    </row>
    <row r="219">
      <c r="A219" s="12" t="s">
        <v>6129</v>
      </c>
      <c r="B219" s="13" t="s">
        <v>6141</v>
      </c>
      <c r="C219" s="76" t="s">
        <v>6142</v>
      </c>
      <c r="D219" s="10"/>
      <c r="E219" s="10"/>
      <c r="F219" s="10" t="s">
        <v>6132</v>
      </c>
      <c r="G219" s="11" t="s">
        <v>5793</v>
      </c>
      <c r="I219" s="13" t="s">
        <v>5674</v>
      </c>
      <c r="L219" s="73"/>
    </row>
    <row r="220">
      <c r="A220" s="87" t="s">
        <v>6143</v>
      </c>
      <c r="B220" s="75" t="s">
        <v>6144</v>
      </c>
      <c r="C220" s="88" t="s">
        <v>6145</v>
      </c>
      <c r="D220" s="15"/>
      <c r="E220" s="15"/>
      <c r="F220" s="10" t="s">
        <v>6132</v>
      </c>
      <c r="G220" s="11" t="s">
        <v>5793</v>
      </c>
      <c r="I220" s="13" t="s">
        <v>5674</v>
      </c>
      <c r="L220" s="76"/>
      <c r="M220" s="73"/>
    </row>
    <row r="221">
      <c r="A221" s="87" t="s">
        <v>6143</v>
      </c>
      <c r="B221" s="75" t="s">
        <v>6146</v>
      </c>
      <c r="C221" s="88" t="s">
        <v>6147</v>
      </c>
      <c r="D221" s="15"/>
      <c r="E221" s="15"/>
      <c r="F221" s="10" t="s">
        <v>6132</v>
      </c>
      <c r="G221" s="11" t="s">
        <v>5793</v>
      </c>
      <c r="I221" s="13" t="s">
        <v>5674</v>
      </c>
      <c r="L221" s="73"/>
    </row>
    <row r="222">
      <c r="A222" s="87" t="s">
        <v>6143</v>
      </c>
      <c r="B222" s="75" t="s">
        <v>6148</v>
      </c>
      <c r="C222" s="88" t="s">
        <v>6149</v>
      </c>
      <c r="D222" s="15"/>
      <c r="E222" s="15"/>
      <c r="F222" s="10" t="s">
        <v>6132</v>
      </c>
      <c r="G222" s="11" t="s">
        <v>5793</v>
      </c>
      <c r="I222" s="13" t="s">
        <v>5674</v>
      </c>
      <c r="L222" s="73"/>
    </row>
    <row r="223">
      <c r="A223" s="87" t="s">
        <v>6143</v>
      </c>
      <c r="B223" s="75" t="s">
        <v>6150</v>
      </c>
      <c r="C223" s="88" t="s">
        <v>6151</v>
      </c>
      <c r="D223" s="15"/>
      <c r="E223" s="15"/>
      <c r="F223" s="10" t="s">
        <v>6132</v>
      </c>
      <c r="G223" s="11" t="s">
        <v>5793</v>
      </c>
      <c r="I223" s="13" t="s">
        <v>5674</v>
      </c>
      <c r="L223" s="73"/>
    </row>
    <row r="224">
      <c r="A224" s="87" t="s">
        <v>6143</v>
      </c>
      <c r="B224" s="75" t="s">
        <v>6152</v>
      </c>
      <c r="C224" s="88" t="s">
        <v>6153</v>
      </c>
      <c r="D224" s="15"/>
      <c r="E224" s="15"/>
      <c r="F224" s="10" t="s">
        <v>6132</v>
      </c>
      <c r="G224" s="11" t="s">
        <v>5793</v>
      </c>
      <c r="I224" s="13" t="s">
        <v>5674</v>
      </c>
      <c r="L224" s="73"/>
    </row>
    <row r="225">
      <c r="A225" s="87" t="s">
        <v>6143</v>
      </c>
      <c r="B225" s="75" t="s">
        <v>6154</v>
      </c>
      <c r="C225" s="88" t="s">
        <v>6155</v>
      </c>
      <c r="D225" s="15"/>
      <c r="E225" s="15"/>
      <c r="F225" s="10" t="s">
        <v>6132</v>
      </c>
      <c r="G225" s="11" t="s">
        <v>5793</v>
      </c>
      <c r="I225" s="13" t="s">
        <v>5674</v>
      </c>
      <c r="L225" s="73"/>
    </row>
    <row r="226">
      <c r="A226" s="87" t="s">
        <v>6143</v>
      </c>
      <c r="B226" s="75" t="s">
        <v>6156</v>
      </c>
      <c r="C226" s="88" t="s">
        <v>6157</v>
      </c>
      <c r="D226" s="15"/>
      <c r="E226" s="15"/>
      <c r="F226" s="10" t="s">
        <v>6132</v>
      </c>
      <c r="G226" s="11" t="s">
        <v>5793</v>
      </c>
      <c r="I226" s="13" t="s">
        <v>5674</v>
      </c>
      <c r="L226" s="73"/>
    </row>
    <row r="227">
      <c r="A227" s="87" t="s">
        <v>6143</v>
      </c>
      <c r="B227" s="75" t="s">
        <v>6158</v>
      </c>
      <c r="C227" s="88" t="s">
        <v>6159</v>
      </c>
      <c r="D227" s="15"/>
      <c r="E227" s="15"/>
      <c r="F227" s="10" t="s">
        <v>6132</v>
      </c>
      <c r="G227" s="11" t="s">
        <v>5793</v>
      </c>
      <c r="I227" s="13" t="s">
        <v>5674</v>
      </c>
      <c r="L227" s="73"/>
    </row>
    <row r="228">
      <c r="A228" s="87" t="s">
        <v>6143</v>
      </c>
      <c r="B228" s="75" t="s">
        <v>6160</v>
      </c>
      <c r="C228" s="88" t="s">
        <v>6161</v>
      </c>
      <c r="D228" s="15"/>
      <c r="E228" s="15"/>
      <c r="F228" s="10" t="s">
        <v>6132</v>
      </c>
      <c r="G228" s="11" t="s">
        <v>5793</v>
      </c>
      <c r="I228" s="13" t="s">
        <v>5674</v>
      </c>
      <c r="L228" s="73"/>
    </row>
    <row r="229">
      <c r="A229" s="87" t="s">
        <v>6143</v>
      </c>
      <c r="B229" s="75" t="s">
        <v>6162</v>
      </c>
      <c r="C229" s="88" t="s">
        <v>6163</v>
      </c>
      <c r="D229" s="15"/>
      <c r="E229" s="15"/>
      <c r="F229" s="10" t="s">
        <v>6132</v>
      </c>
      <c r="G229" s="11" t="s">
        <v>5793</v>
      </c>
      <c r="I229" s="13" t="s">
        <v>5674</v>
      </c>
      <c r="L229" s="73"/>
    </row>
    <row r="230">
      <c r="A230" s="87" t="s">
        <v>6143</v>
      </c>
      <c r="B230" s="75" t="s">
        <v>6164</v>
      </c>
      <c r="C230" s="88" t="s">
        <v>6165</v>
      </c>
      <c r="D230" s="15"/>
      <c r="E230" s="15"/>
      <c r="F230" s="10" t="s">
        <v>6132</v>
      </c>
      <c r="G230" s="11" t="s">
        <v>5793</v>
      </c>
      <c r="I230" s="13" t="s">
        <v>5674</v>
      </c>
      <c r="L230" s="73"/>
    </row>
    <row r="231">
      <c r="A231" s="87" t="s">
        <v>6143</v>
      </c>
      <c r="B231" s="75" t="s">
        <v>6166</v>
      </c>
      <c r="C231" s="88" t="s">
        <v>6167</v>
      </c>
      <c r="D231" s="15"/>
      <c r="E231" s="15"/>
      <c r="F231" s="10" t="s">
        <v>6132</v>
      </c>
      <c r="G231" s="11" t="s">
        <v>5793</v>
      </c>
      <c r="I231" s="13" t="s">
        <v>5674</v>
      </c>
      <c r="L231" s="73"/>
    </row>
    <row r="232">
      <c r="A232" s="87" t="s">
        <v>6143</v>
      </c>
      <c r="B232" s="75" t="s">
        <v>6168</v>
      </c>
      <c r="C232" s="88" t="s">
        <v>6169</v>
      </c>
      <c r="D232" s="15"/>
      <c r="E232" s="15"/>
      <c r="F232" s="10" t="s">
        <v>6132</v>
      </c>
      <c r="G232" s="11" t="s">
        <v>5793</v>
      </c>
      <c r="I232" s="13" t="s">
        <v>5674</v>
      </c>
      <c r="L232" s="73"/>
    </row>
    <row r="233">
      <c r="A233" s="87" t="s">
        <v>6143</v>
      </c>
      <c r="B233" s="75" t="s">
        <v>6170</v>
      </c>
      <c r="C233" s="88" t="s">
        <v>6171</v>
      </c>
      <c r="D233" s="15"/>
      <c r="E233" s="15"/>
      <c r="F233" s="10" t="s">
        <v>6132</v>
      </c>
      <c r="G233" s="11" t="s">
        <v>5793</v>
      </c>
      <c r="I233" s="13" t="s">
        <v>5674</v>
      </c>
      <c r="L233" s="73"/>
    </row>
    <row r="234">
      <c r="A234" s="87" t="s">
        <v>6143</v>
      </c>
      <c r="B234" s="75" t="s">
        <v>6172</v>
      </c>
      <c r="C234" s="88" t="s">
        <v>6173</v>
      </c>
      <c r="D234" s="15"/>
      <c r="E234" s="15"/>
      <c r="F234" s="10" t="s">
        <v>6132</v>
      </c>
      <c r="G234" s="11" t="s">
        <v>5793</v>
      </c>
      <c r="I234" s="13" t="s">
        <v>5674</v>
      </c>
      <c r="L234" s="73"/>
    </row>
    <row r="235">
      <c r="A235" s="87" t="s">
        <v>6143</v>
      </c>
      <c r="B235" s="75" t="s">
        <v>6174</v>
      </c>
      <c r="C235" s="88" t="s">
        <v>6175</v>
      </c>
      <c r="D235" s="15"/>
      <c r="E235" s="15"/>
      <c r="F235" s="10" t="s">
        <v>6132</v>
      </c>
      <c r="G235" s="11" t="s">
        <v>5793</v>
      </c>
      <c r="I235" s="13" t="s">
        <v>5674</v>
      </c>
      <c r="L235" s="73"/>
    </row>
    <row r="236">
      <c r="A236" s="87" t="s">
        <v>6143</v>
      </c>
      <c r="B236" s="75" t="s">
        <v>6176</v>
      </c>
      <c r="C236" s="88" t="s">
        <v>6177</v>
      </c>
      <c r="D236" s="15"/>
      <c r="E236" s="15"/>
      <c r="F236" s="10" t="s">
        <v>6132</v>
      </c>
      <c r="G236" s="11" t="s">
        <v>5793</v>
      </c>
      <c r="I236" s="13" t="s">
        <v>5674</v>
      </c>
      <c r="L236" s="73"/>
    </row>
    <row r="237">
      <c r="A237" s="87" t="s">
        <v>6143</v>
      </c>
      <c r="B237" s="75" t="s">
        <v>6178</v>
      </c>
      <c r="C237" s="88" t="s">
        <v>6179</v>
      </c>
      <c r="D237" s="15"/>
      <c r="E237" s="15"/>
      <c r="F237" s="10" t="s">
        <v>6132</v>
      </c>
      <c r="G237" s="11" t="s">
        <v>5793</v>
      </c>
      <c r="I237" s="13" t="s">
        <v>5674</v>
      </c>
      <c r="L237" s="73"/>
    </row>
    <row r="238">
      <c r="A238" s="87" t="s">
        <v>6143</v>
      </c>
      <c r="B238" s="75" t="s">
        <v>6180</v>
      </c>
      <c r="C238" s="88" t="s">
        <v>6181</v>
      </c>
      <c r="D238" s="15"/>
      <c r="E238" s="15"/>
      <c r="F238" s="10" t="s">
        <v>6132</v>
      </c>
      <c r="G238" s="11" t="s">
        <v>5793</v>
      </c>
      <c r="I238" s="13" t="s">
        <v>5674</v>
      </c>
      <c r="L238" s="73"/>
    </row>
    <row r="239">
      <c r="A239" s="87" t="s">
        <v>6143</v>
      </c>
      <c r="B239" s="75" t="s">
        <v>6182</v>
      </c>
      <c r="C239" s="88" t="s">
        <v>6183</v>
      </c>
      <c r="D239" s="15"/>
      <c r="E239" s="15"/>
      <c r="F239" s="10" t="s">
        <v>6132</v>
      </c>
      <c r="G239" s="11" t="s">
        <v>5793</v>
      </c>
      <c r="I239" s="13" t="s">
        <v>5674</v>
      </c>
      <c r="L239" s="73"/>
    </row>
    <row r="240">
      <c r="A240" s="87" t="s">
        <v>6143</v>
      </c>
      <c r="B240" s="75" t="s">
        <v>6184</v>
      </c>
      <c r="C240" s="88" t="s">
        <v>6185</v>
      </c>
      <c r="D240" s="15"/>
      <c r="E240" s="15"/>
      <c r="F240" s="10" t="s">
        <v>6132</v>
      </c>
      <c r="G240" s="11" t="s">
        <v>5793</v>
      </c>
      <c r="I240" s="13" t="s">
        <v>5674</v>
      </c>
      <c r="L240" s="73"/>
    </row>
    <row r="241">
      <c r="A241" s="87" t="s">
        <v>6143</v>
      </c>
      <c r="B241" s="75" t="s">
        <v>6186</v>
      </c>
      <c r="C241" s="88" t="s">
        <v>6187</v>
      </c>
      <c r="D241" s="15"/>
      <c r="E241" s="15"/>
      <c r="F241" s="10" t="s">
        <v>6132</v>
      </c>
      <c r="G241" s="11" t="s">
        <v>5793</v>
      </c>
      <c r="I241" s="13" t="s">
        <v>5674</v>
      </c>
      <c r="L241" s="73"/>
    </row>
    <row r="242">
      <c r="A242" s="87" t="s">
        <v>6143</v>
      </c>
      <c r="B242" s="75" t="s">
        <v>6188</v>
      </c>
      <c r="C242" s="88" t="s">
        <v>6189</v>
      </c>
      <c r="D242" s="15"/>
      <c r="E242" s="15"/>
      <c r="F242" s="10" t="s">
        <v>6132</v>
      </c>
      <c r="G242" s="11" t="s">
        <v>5793</v>
      </c>
      <c r="I242" s="13" t="s">
        <v>5674</v>
      </c>
      <c r="L242" s="73"/>
    </row>
    <row r="243">
      <c r="A243" s="87" t="s">
        <v>6143</v>
      </c>
      <c r="B243" s="75" t="s">
        <v>6190</v>
      </c>
      <c r="C243" s="88" t="s">
        <v>6191</v>
      </c>
      <c r="D243" s="15"/>
      <c r="E243" s="15"/>
      <c r="F243" s="10" t="s">
        <v>6132</v>
      </c>
      <c r="G243" s="11" t="s">
        <v>5793</v>
      </c>
      <c r="I243" s="13" t="s">
        <v>5674</v>
      </c>
      <c r="L243" s="73"/>
    </row>
    <row r="244">
      <c r="A244" s="87" t="s">
        <v>6143</v>
      </c>
      <c r="B244" s="75" t="s">
        <v>6192</v>
      </c>
      <c r="C244" s="88" t="s">
        <v>6193</v>
      </c>
      <c r="D244" s="15"/>
      <c r="E244" s="15"/>
      <c r="F244" s="10" t="s">
        <v>6132</v>
      </c>
      <c r="G244" s="11" t="s">
        <v>5793</v>
      </c>
      <c r="I244" s="13" t="s">
        <v>5674</v>
      </c>
      <c r="L244" s="73"/>
    </row>
    <row r="245">
      <c r="A245" s="87" t="s">
        <v>6143</v>
      </c>
      <c r="B245" s="75" t="s">
        <v>6194</v>
      </c>
      <c r="C245" s="88" t="s">
        <v>6195</v>
      </c>
      <c r="D245" s="15"/>
      <c r="E245" s="15"/>
      <c r="F245" s="10" t="s">
        <v>6132</v>
      </c>
      <c r="G245" s="11" t="s">
        <v>5793</v>
      </c>
      <c r="I245" s="13" t="s">
        <v>5674</v>
      </c>
      <c r="L245" s="73"/>
    </row>
    <row r="246">
      <c r="A246" s="87" t="s">
        <v>6143</v>
      </c>
      <c r="B246" s="88" t="s">
        <v>6196</v>
      </c>
      <c r="C246" s="88" t="s">
        <v>6197</v>
      </c>
      <c r="D246" s="10"/>
      <c r="E246" s="10"/>
      <c r="F246" s="10" t="s">
        <v>6132</v>
      </c>
      <c r="G246" s="11" t="s">
        <v>5793</v>
      </c>
      <c r="I246" s="13" t="s">
        <v>5674</v>
      </c>
      <c r="L246" s="73"/>
    </row>
    <row r="247">
      <c r="A247" s="87" t="s">
        <v>6143</v>
      </c>
      <c r="B247" s="75" t="s">
        <v>6198</v>
      </c>
      <c r="C247" s="88" t="s">
        <v>6199</v>
      </c>
      <c r="D247" s="15"/>
      <c r="E247" s="15"/>
      <c r="F247" s="10" t="s">
        <v>6132</v>
      </c>
      <c r="G247" s="11" t="s">
        <v>5793</v>
      </c>
      <c r="I247" s="13" t="s">
        <v>5674</v>
      </c>
      <c r="L247" s="73"/>
    </row>
    <row r="248">
      <c r="A248" s="87" t="s">
        <v>6143</v>
      </c>
      <c r="B248" s="75" t="s">
        <v>6200</v>
      </c>
      <c r="C248" s="88" t="s">
        <v>6201</v>
      </c>
      <c r="D248" s="15"/>
      <c r="E248" s="15"/>
      <c r="F248" s="10" t="s">
        <v>6132</v>
      </c>
      <c r="G248" s="11" t="s">
        <v>5793</v>
      </c>
      <c r="I248" s="13" t="s">
        <v>5674</v>
      </c>
      <c r="L248" s="73"/>
    </row>
    <row r="249">
      <c r="A249" s="87" t="s">
        <v>6143</v>
      </c>
      <c r="B249" s="75" t="s">
        <v>6202</v>
      </c>
      <c r="C249" s="88" t="s">
        <v>6203</v>
      </c>
      <c r="D249" s="15"/>
      <c r="E249" s="15"/>
      <c r="F249" s="10" t="s">
        <v>6132</v>
      </c>
      <c r="G249" s="11" t="s">
        <v>5793</v>
      </c>
      <c r="I249" s="13" t="s">
        <v>5674</v>
      </c>
      <c r="L249" s="73"/>
    </row>
    <row r="250">
      <c r="A250" s="87" t="s">
        <v>6143</v>
      </c>
      <c r="B250" s="75" t="s">
        <v>6204</v>
      </c>
      <c r="C250" s="88" t="s">
        <v>6205</v>
      </c>
      <c r="D250" s="15"/>
      <c r="E250" s="15"/>
      <c r="F250" s="10" t="s">
        <v>6132</v>
      </c>
      <c r="G250" s="11" t="s">
        <v>5793</v>
      </c>
      <c r="I250" s="13" t="s">
        <v>5674</v>
      </c>
      <c r="L250" s="73"/>
    </row>
    <row r="251">
      <c r="A251" s="87" t="s">
        <v>6143</v>
      </c>
      <c r="B251" s="75" t="s">
        <v>6206</v>
      </c>
      <c r="C251" s="88" t="s">
        <v>6207</v>
      </c>
      <c r="D251" s="15"/>
      <c r="E251" s="15"/>
      <c r="F251" s="10" t="s">
        <v>6132</v>
      </c>
      <c r="G251" s="11" t="s">
        <v>5793</v>
      </c>
      <c r="I251" s="13" t="s">
        <v>5674</v>
      </c>
      <c r="L251" s="73"/>
    </row>
    <row r="252">
      <c r="A252" s="87" t="s">
        <v>6143</v>
      </c>
      <c r="B252" s="75" t="s">
        <v>6208</v>
      </c>
      <c r="C252" s="88" t="s">
        <v>6209</v>
      </c>
      <c r="D252" s="15"/>
      <c r="E252" s="15"/>
      <c r="F252" s="10" t="s">
        <v>6132</v>
      </c>
      <c r="G252" s="11" t="s">
        <v>5793</v>
      </c>
      <c r="I252" s="13" t="s">
        <v>5674</v>
      </c>
    </row>
    <row r="253" ht="16.5" customHeight="1">
      <c r="A253" s="87" t="s">
        <v>6143</v>
      </c>
      <c r="B253" s="75" t="s">
        <v>6210</v>
      </c>
      <c r="C253" s="88" t="s">
        <v>6211</v>
      </c>
      <c r="D253" s="15"/>
      <c r="E253" s="15"/>
      <c r="F253" s="10" t="s">
        <v>6132</v>
      </c>
      <c r="G253" s="11" t="s">
        <v>5793</v>
      </c>
      <c r="I253" s="13" t="s">
        <v>5674</v>
      </c>
      <c r="L253" s="76"/>
      <c r="M253" s="73"/>
    </row>
    <row r="254">
      <c r="A254" s="87" t="s">
        <v>6143</v>
      </c>
      <c r="B254" s="75" t="s">
        <v>6212</v>
      </c>
      <c r="C254" s="88" t="s">
        <v>6213</v>
      </c>
      <c r="D254" s="15"/>
      <c r="E254" s="15"/>
      <c r="F254" s="10" t="s">
        <v>6132</v>
      </c>
      <c r="G254" s="11" t="s">
        <v>5793</v>
      </c>
      <c r="I254" s="13" t="s">
        <v>5674</v>
      </c>
      <c r="L254" s="76"/>
      <c r="M254" s="73"/>
    </row>
    <row r="255">
      <c r="A255" s="87" t="s">
        <v>6143</v>
      </c>
      <c r="B255" s="75" t="s">
        <v>6214</v>
      </c>
      <c r="C255" s="88" t="s">
        <v>6215</v>
      </c>
      <c r="D255" s="15"/>
      <c r="E255" s="15"/>
      <c r="F255" s="10" t="s">
        <v>6132</v>
      </c>
      <c r="G255" s="11" t="s">
        <v>5793</v>
      </c>
      <c r="I255" s="13" t="s">
        <v>5674</v>
      </c>
      <c r="L255" s="76"/>
      <c r="M255" s="73"/>
    </row>
    <row r="256">
      <c r="A256" s="87" t="s">
        <v>6143</v>
      </c>
      <c r="B256" s="75" t="s">
        <v>6216</v>
      </c>
      <c r="C256" s="88" t="s">
        <v>6217</v>
      </c>
      <c r="D256" s="15"/>
      <c r="E256" s="15"/>
      <c r="F256" s="10" t="s">
        <v>6132</v>
      </c>
      <c r="G256" s="11" t="s">
        <v>5793</v>
      </c>
      <c r="I256" s="13" t="s">
        <v>5674</v>
      </c>
      <c r="L256" s="76"/>
      <c r="M256" s="73"/>
    </row>
    <row r="257">
      <c r="A257" s="87" t="s">
        <v>6143</v>
      </c>
      <c r="B257" s="75" t="s">
        <v>6218</v>
      </c>
      <c r="C257" s="88" t="s">
        <v>6219</v>
      </c>
      <c r="D257" s="15"/>
      <c r="E257" s="15"/>
      <c r="F257" s="10" t="s">
        <v>6132</v>
      </c>
      <c r="G257" s="11" t="s">
        <v>5793</v>
      </c>
      <c r="I257" s="13" t="s">
        <v>5674</v>
      </c>
      <c r="L257" s="76"/>
      <c r="M257" s="73"/>
    </row>
    <row r="258">
      <c r="A258" s="87" t="s">
        <v>6143</v>
      </c>
      <c r="B258" s="75" t="s">
        <v>6220</v>
      </c>
      <c r="C258" s="88" t="s">
        <v>6221</v>
      </c>
      <c r="D258" s="15"/>
      <c r="E258" s="15"/>
      <c r="F258" s="10" t="s">
        <v>6132</v>
      </c>
      <c r="G258" s="11" t="s">
        <v>5793</v>
      </c>
      <c r="I258" s="13" t="s">
        <v>5674</v>
      </c>
      <c r="L258" s="76"/>
      <c r="M258" s="73"/>
    </row>
    <row r="259">
      <c r="A259" s="87" t="s">
        <v>6143</v>
      </c>
      <c r="B259" s="75" t="s">
        <v>6222</v>
      </c>
      <c r="C259" s="88" t="s">
        <v>6223</v>
      </c>
      <c r="D259" s="15"/>
      <c r="E259" s="15"/>
      <c r="F259" s="10" t="s">
        <v>6132</v>
      </c>
      <c r="G259" s="11" t="s">
        <v>5793</v>
      </c>
      <c r="I259" s="13" t="s">
        <v>5674</v>
      </c>
      <c r="L259" s="76"/>
      <c r="M259" s="73"/>
    </row>
    <row r="260">
      <c r="A260" s="87" t="s">
        <v>6143</v>
      </c>
      <c r="B260" s="75" t="s">
        <v>6224</v>
      </c>
      <c r="C260" s="88" t="s">
        <v>6225</v>
      </c>
      <c r="D260" s="15"/>
      <c r="E260" s="15"/>
      <c r="F260" s="10" t="s">
        <v>6132</v>
      </c>
      <c r="G260" s="11" t="s">
        <v>5793</v>
      </c>
      <c r="I260" s="13" t="s">
        <v>5674</v>
      </c>
      <c r="L260" s="76"/>
      <c r="M260" s="73"/>
    </row>
    <row r="261">
      <c r="A261" s="87" t="s">
        <v>6143</v>
      </c>
      <c r="B261" s="75" t="s">
        <v>6226</v>
      </c>
      <c r="C261" s="88" t="s">
        <v>6227</v>
      </c>
      <c r="D261" s="15"/>
      <c r="E261" s="15"/>
      <c r="F261" s="10" t="s">
        <v>6132</v>
      </c>
      <c r="G261" s="11" t="s">
        <v>5793</v>
      </c>
      <c r="I261" s="13" t="s">
        <v>5674</v>
      </c>
      <c r="L261" s="76"/>
      <c r="M261" s="73"/>
    </row>
    <row r="262">
      <c r="A262" s="87" t="s">
        <v>6143</v>
      </c>
      <c r="B262" s="75" t="s">
        <v>6228</v>
      </c>
      <c r="C262" s="88" t="s">
        <v>6229</v>
      </c>
      <c r="D262" s="15"/>
      <c r="E262" s="15"/>
      <c r="F262" s="10" t="s">
        <v>6132</v>
      </c>
      <c r="G262" s="11" t="s">
        <v>5793</v>
      </c>
      <c r="I262" s="13" t="s">
        <v>5674</v>
      </c>
      <c r="L262" s="76"/>
      <c r="M262" s="73"/>
    </row>
    <row r="263">
      <c r="A263" s="87" t="s">
        <v>6143</v>
      </c>
      <c r="B263" s="75" t="s">
        <v>6230</v>
      </c>
      <c r="C263" s="88" t="s">
        <v>6231</v>
      </c>
      <c r="D263" s="15"/>
      <c r="E263" s="15"/>
      <c r="F263" s="10" t="s">
        <v>6132</v>
      </c>
      <c r="G263" s="11" t="s">
        <v>5793</v>
      </c>
      <c r="I263" s="13" t="s">
        <v>5674</v>
      </c>
      <c r="L263" s="76"/>
      <c r="M263" s="73"/>
    </row>
    <row r="264">
      <c r="A264" s="87" t="s">
        <v>6143</v>
      </c>
      <c r="B264" s="75" t="s">
        <v>6232</v>
      </c>
      <c r="C264" s="88" t="s">
        <v>6233</v>
      </c>
      <c r="D264" s="15"/>
      <c r="E264" s="15"/>
      <c r="F264" s="10" t="s">
        <v>6132</v>
      </c>
      <c r="G264" s="11" t="s">
        <v>5793</v>
      </c>
      <c r="I264" s="13" t="s">
        <v>5674</v>
      </c>
      <c r="L264" s="76"/>
      <c r="M264" s="73"/>
    </row>
    <row r="265">
      <c r="A265" s="87" t="s">
        <v>6143</v>
      </c>
      <c r="B265" s="75" t="s">
        <v>6234</v>
      </c>
      <c r="C265" s="88" t="s">
        <v>6235</v>
      </c>
      <c r="D265" s="15"/>
      <c r="E265" s="15"/>
      <c r="F265" s="10" t="s">
        <v>6132</v>
      </c>
      <c r="G265" s="11" t="s">
        <v>5793</v>
      </c>
      <c r="I265" s="13" t="s">
        <v>5674</v>
      </c>
      <c r="L265" s="76"/>
      <c r="M265" s="73"/>
    </row>
    <row r="266">
      <c r="A266" s="87" t="s">
        <v>6143</v>
      </c>
      <c r="B266" s="75" t="s">
        <v>6236</v>
      </c>
      <c r="C266" s="88" t="s">
        <v>6237</v>
      </c>
      <c r="D266" s="15"/>
      <c r="E266" s="15"/>
      <c r="F266" s="10" t="s">
        <v>6132</v>
      </c>
      <c r="G266" s="11" t="s">
        <v>5793</v>
      </c>
      <c r="I266" s="13" t="s">
        <v>5674</v>
      </c>
      <c r="L266" s="76"/>
      <c r="M266" s="73"/>
    </row>
    <row r="267">
      <c r="A267" s="87" t="s">
        <v>6143</v>
      </c>
      <c r="B267" s="75" t="s">
        <v>6238</v>
      </c>
      <c r="C267" s="88" t="s">
        <v>6239</v>
      </c>
      <c r="D267" s="15"/>
      <c r="E267" s="15"/>
      <c r="F267" s="10" t="s">
        <v>6132</v>
      </c>
      <c r="G267" s="11" t="s">
        <v>5793</v>
      </c>
      <c r="I267" s="13" t="s">
        <v>5674</v>
      </c>
      <c r="L267" s="76"/>
      <c r="M267" s="73"/>
    </row>
    <row r="268">
      <c r="A268" s="87" t="s">
        <v>6143</v>
      </c>
      <c r="B268" s="75" t="s">
        <v>6240</v>
      </c>
      <c r="C268" s="88" t="s">
        <v>6241</v>
      </c>
      <c r="D268" s="15"/>
      <c r="E268" s="15"/>
      <c r="F268" s="10" t="s">
        <v>6132</v>
      </c>
      <c r="G268" s="11" t="s">
        <v>5793</v>
      </c>
      <c r="I268" s="13" t="s">
        <v>5674</v>
      </c>
      <c r="L268" s="76"/>
      <c r="M268" s="73"/>
    </row>
    <row r="269">
      <c r="A269" s="87" t="s">
        <v>6143</v>
      </c>
      <c r="B269" s="75" t="s">
        <v>6242</v>
      </c>
      <c r="C269" s="88" t="s">
        <v>6243</v>
      </c>
      <c r="D269" s="15"/>
      <c r="E269" s="15"/>
      <c r="F269" s="10" t="s">
        <v>6132</v>
      </c>
      <c r="G269" s="11" t="s">
        <v>5793</v>
      </c>
      <c r="I269" s="13" t="s">
        <v>5674</v>
      </c>
      <c r="L269" s="76"/>
      <c r="M269" s="73"/>
    </row>
    <row r="270">
      <c r="A270" s="87" t="s">
        <v>6143</v>
      </c>
      <c r="B270" s="75" t="s">
        <v>6244</v>
      </c>
      <c r="C270" s="88" t="s">
        <v>6245</v>
      </c>
      <c r="D270" s="15"/>
      <c r="E270" s="15"/>
      <c r="F270" s="10" t="s">
        <v>6132</v>
      </c>
      <c r="G270" s="11" t="s">
        <v>5793</v>
      </c>
      <c r="I270" s="13" t="s">
        <v>5674</v>
      </c>
      <c r="L270" s="76"/>
      <c r="M270" s="73"/>
    </row>
    <row r="271">
      <c r="A271" s="87" t="s">
        <v>6143</v>
      </c>
      <c r="B271" s="75" t="s">
        <v>6246</v>
      </c>
      <c r="C271" s="88" t="s">
        <v>6247</v>
      </c>
      <c r="D271" s="15"/>
      <c r="E271" s="15"/>
      <c r="F271" s="10" t="s">
        <v>6132</v>
      </c>
      <c r="G271" s="11" t="s">
        <v>5793</v>
      </c>
      <c r="I271" s="13" t="s">
        <v>5674</v>
      </c>
      <c r="L271" s="76"/>
      <c r="M271" s="73"/>
    </row>
    <row r="272">
      <c r="A272" s="87" t="s">
        <v>6143</v>
      </c>
      <c r="B272" s="75" t="s">
        <v>6248</v>
      </c>
      <c r="C272" s="88" t="s">
        <v>6249</v>
      </c>
      <c r="D272" s="15"/>
      <c r="E272" s="15"/>
      <c r="F272" s="10" t="s">
        <v>6132</v>
      </c>
      <c r="G272" s="11" t="s">
        <v>5793</v>
      </c>
      <c r="I272" s="13" t="s">
        <v>5674</v>
      </c>
      <c r="L272" s="76"/>
      <c r="M272" s="73"/>
    </row>
    <row r="273">
      <c r="A273" s="87" t="s">
        <v>6143</v>
      </c>
      <c r="B273" s="75" t="s">
        <v>6250</v>
      </c>
      <c r="C273" s="88" t="s">
        <v>6251</v>
      </c>
      <c r="D273" s="15"/>
      <c r="E273" s="15"/>
      <c r="F273" s="10" t="s">
        <v>6132</v>
      </c>
      <c r="G273" s="11" t="s">
        <v>5793</v>
      </c>
      <c r="I273" s="13" t="s">
        <v>5674</v>
      </c>
      <c r="L273" s="76"/>
      <c r="M273" s="73"/>
    </row>
    <row r="274">
      <c r="A274" s="87" t="s">
        <v>6143</v>
      </c>
      <c r="B274" s="75" t="s">
        <v>6252</v>
      </c>
      <c r="C274" s="88" t="s">
        <v>6253</v>
      </c>
      <c r="D274" s="15"/>
      <c r="E274" s="15"/>
      <c r="F274" s="10" t="s">
        <v>6132</v>
      </c>
      <c r="G274" s="11" t="s">
        <v>5793</v>
      </c>
      <c r="I274" s="13" t="s">
        <v>5674</v>
      </c>
      <c r="L274" s="76"/>
      <c r="M274" s="73"/>
    </row>
    <row r="275">
      <c r="A275" s="87" t="s">
        <v>6143</v>
      </c>
      <c r="B275" s="75" t="s">
        <v>6254</v>
      </c>
      <c r="C275" s="88" t="s">
        <v>6255</v>
      </c>
      <c r="D275" s="15"/>
      <c r="E275" s="15"/>
      <c r="F275" s="10" t="s">
        <v>6132</v>
      </c>
      <c r="G275" s="11" t="s">
        <v>5793</v>
      </c>
      <c r="I275" s="13" t="s">
        <v>5674</v>
      </c>
      <c r="L275" s="76"/>
      <c r="M275" s="73"/>
    </row>
    <row r="276">
      <c r="A276" s="87" t="s">
        <v>6143</v>
      </c>
      <c r="B276" s="75" t="s">
        <v>6256</v>
      </c>
      <c r="C276" s="88" t="s">
        <v>6257</v>
      </c>
      <c r="D276" s="15"/>
      <c r="E276" s="15"/>
      <c r="F276" s="10" t="s">
        <v>6132</v>
      </c>
      <c r="G276" s="11" t="s">
        <v>5793</v>
      </c>
      <c r="I276" s="13" t="s">
        <v>5674</v>
      </c>
      <c r="L276" s="76"/>
      <c r="M276" s="73"/>
    </row>
    <row r="277">
      <c r="A277" s="87" t="s">
        <v>6143</v>
      </c>
      <c r="B277" s="75" t="s">
        <v>6258</v>
      </c>
      <c r="C277" s="88" t="s">
        <v>6259</v>
      </c>
      <c r="D277" s="15"/>
      <c r="E277" s="15"/>
      <c r="F277" s="10" t="s">
        <v>6132</v>
      </c>
      <c r="G277" s="11" t="s">
        <v>5793</v>
      </c>
      <c r="I277" s="13" t="s">
        <v>5674</v>
      </c>
      <c r="L277" s="76"/>
      <c r="M277" s="73"/>
    </row>
    <row r="278">
      <c r="A278" s="87" t="s">
        <v>6143</v>
      </c>
      <c r="B278" s="75" t="s">
        <v>6260</v>
      </c>
      <c r="C278" s="88" t="s">
        <v>6261</v>
      </c>
      <c r="D278" s="15"/>
      <c r="E278" s="15"/>
      <c r="F278" s="10" t="s">
        <v>6132</v>
      </c>
      <c r="G278" s="11" t="s">
        <v>5793</v>
      </c>
      <c r="I278" s="13" t="s">
        <v>5674</v>
      </c>
    </row>
    <row r="279">
      <c r="A279" s="87" t="s">
        <v>6143</v>
      </c>
      <c r="B279" s="75" t="s">
        <v>6262</v>
      </c>
      <c r="C279" s="88" t="s">
        <v>6263</v>
      </c>
      <c r="D279" s="15"/>
      <c r="E279" s="15"/>
      <c r="F279" s="10" t="s">
        <v>6132</v>
      </c>
      <c r="G279" s="11" t="s">
        <v>5793</v>
      </c>
      <c r="I279" s="13" t="s">
        <v>5674</v>
      </c>
    </row>
    <row r="280">
      <c r="A280" s="87" t="s">
        <v>6143</v>
      </c>
      <c r="B280" s="75" t="s">
        <v>6264</v>
      </c>
      <c r="C280" s="88" t="s">
        <v>6265</v>
      </c>
      <c r="D280" s="15"/>
      <c r="E280" s="15"/>
      <c r="F280" s="10" t="s">
        <v>6132</v>
      </c>
      <c r="G280" s="11" t="s">
        <v>5793</v>
      </c>
      <c r="I280" s="13" t="s">
        <v>5674</v>
      </c>
    </row>
    <row r="281">
      <c r="A281" s="87" t="s">
        <v>6143</v>
      </c>
      <c r="B281" s="75" t="s">
        <v>6266</v>
      </c>
      <c r="C281" s="88" t="s">
        <v>6267</v>
      </c>
      <c r="D281" s="15"/>
      <c r="E281" s="15"/>
      <c r="F281" s="10" t="s">
        <v>6132</v>
      </c>
      <c r="G281" s="11" t="s">
        <v>5793</v>
      </c>
      <c r="I281" s="13" t="s">
        <v>5674</v>
      </c>
    </row>
    <row r="282">
      <c r="A282" s="87" t="s">
        <v>6143</v>
      </c>
      <c r="B282" s="75" t="s">
        <v>6268</v>
      </c>
      <c r="C282" s="88" t="s">
        <v>6269</v>
      </c>
      <c r="D282" s="15"/>
      <c r="E282" s="15"/>
      <c r="F282" s="10" t="s">
        <v>6132</v>
      </c>
      <c r="G282" s="11" t="s">
        <v>5793</v>
      </c>
      <c r="I282" s="13" t="s">
        <v>5674</v>
      </c>
    </row>
    <row r="283">
      <c r="A283" s="87" t="s">
        <v>6143</v>
      </c>
      <c r="B283" s="75" t="s">
        <v>6270</v>
      </c>
      <c r="C283" s="88" t="s">
        <v>6271</v>
      </c>
      <c r="D283" s="10"/>
      <c r="E283" s="10"/>
      <c r="F283" s="10" t="s">
        <v>6132</v>
      </c>
      <c r="G283" s="11" t="s">
        <v>5793</v>
      </c>
      <c r="I283" s="13" t="s">
        <v>5674</v>
      </c>
    </row>
    <row r="284">
      <c r="A284" s="87" t="s">
        <v>6143</v>
      </c>
      <c r="B284" s="75" t="s">
        <v>6272</v>
      </c>
      <c r="C284" s="88" t="s">
        <v>6273</v>
      </c>
      <c r="D284" s="10"/>
      <c r="E284" s="10"/>
      <c r="F284" s="10" t="s">
        <v>6132</v>
      </c>
      <c r="G284" s="11" t="s">
        <v>5793</v>
      </c>
      <c r="I284" s="13" t="s">
        <v>5674</v>
      </c>
    </row>
    <row r="285">
      <c r="A285" s="87" t="s">
        <v>6143</v>
      </c>
      <c r="B285" s="75" t="s">
        <v>6274</v>
      </c>
      <c r="C285" s="88" t="s">
        <v>6275</v>
      </c>
      <c r="D285" s="15"/>
      <c r="E285" s="15"/>
      <c r="F285" s="10" t="s">
        <v>6132</v>
      </c>
      <c r="G285" s="11" t="s">
        <v>5793</v>
      </c>
      <c r="I285" s="13" t="s">
        <v>5674</v>
      </c>
    </row>
    <row r="286">
      <c r="A286" s="87" t="s">
        <v>6143</v>
      </c>
      <c r="B286" s="75" t="s">
        <v>6276</v>
      </c>
      <c r="C286" s="88" t="s">
        <v>6277</v>
      </c>
      <c r="D286" s="15"/>
      <c r="E286" s="15"/>
      <c r="F286" s="10" t="s">
        <v>6132</v>
      </c>
      <c r="G286" s="11" t="s">
        <v>5793</v>
      </c>
      <c r="I286" s="13" t="s">
        <v>5674</v>
      </c>
    </row>
    <row r="287">
      <c r="A287" s="87" t="s">
        <v>6143</v>
      </c>
      <c r="B287" s="75" t="s">
        <v>6278</v>
      </c>
      <c r="C287" s="88" t="s">
        <v>6279</v>
      </c>
      <c r="D287" s="15"/>
      <c r="E287" s="15"/>
      <c r="F287" s="10" t="s">
        <v>6132</v>
      </c>
      <c r="G287" s="11" t="s">
        <v>5793</v>
      </c>
      <c r="I287" s="13" t="s">
        <v>5674</v>
      </c>
    </row>
    <row r="288">
      <c r="A288" s="87" t="s">
        <v>6143</v>
      </c>
      <c r="B288" s="75" t="s">
        <v>6280</v>
      </c>
      <c r="C288" s="88" t="s">
        <v>6281</v>
      </c>
      <c r="D288" s="15"/>
      <c r="E288" s="15"/>
      <c r="F288" s="10" t="s">
        <v>6132</v>
      </c>
      <c r="G288" s="11" t="s">
        <v>5793</v>
      </c>
      <c r="I288" s="13" t="s">
        <v>5674</v>
      </c>
    </row>
    <row r="289">
      <c r="A289" s="87" t="s">
        <v>6143</v>
      </c>
      <c r="B289" s="75" t="s">
        <v>6282</v>
      </c>
      <c r="C289" s="88" t="s">
        <v>6283</v>
      </c>
      <c r="D289" s="15"/>
      <c r="E289" s="15"/>
      <c r="F289" s="10" t="s">
        <v>6132</v>
      </c>
      <c r="G289" s="11" t="s">
        <v>5793</v>
      </c>
      <c r="I289" s="13" t="s">
        <v>5674</v>
      </c>
    </row>
    <row r="290">
      <c r="A290" s="87" t="s">
        <v>6143</v>
      </c>
      <c r="B290" s="75" t="s">
        <v>6284</v>
      </c>
      <c r="C290" s="88" t="s">
        <v>6285</v>
      </c>
      <c r="D290" s="15"/>
      <c r="E290" s="15"/>
      <c r="F290" s="10" t="s">
        <v>6132</v>
      </c>
      <c r="G290" s="11" t="s">
        <v>5793</v>
      </c>
      <c r="I290" s="13" t="s">
        <v>5674</v>
      </c>
    </row>
    <row r="291">
      <c r="A291" s="87" t="s">
        <v>6143</v>
      </c>
      <c r="B291" s="75" t="s">
        <v>6286</v>
      </c>
      <c r="C291" s="88" t="s">
        <v>6287</v>
      </c>
      <c r="D291" s="15"/>
      <c r="E291" s="15"/>
      <c r="F291" s="10" t="s">
        <v>6132</v>
      </c>
      <c r="G291" s="11" t="s">
        <v>5793</v>
      </c>
      <c r="I291" s="13" t="s">
        <v>5674</v>
      </c>
    </row>
    <row r="292">
      <c r="A292" s="87" t="s">
        <v>6143</v>
      </c>
      <c r="B292" s="75" t="s">
        <v>6288</v>
      </c>
      <c r="C292" s="88" t="s">
        <v>6289</v>
      </c>
      <c r="D292" s="15"/>
      <c r="E292" s="15"/>
      <c r="F292" s="10" t="s">
        <v>6132</v>
      </c>
      <c r="G292" s="11" t="s">
        <v>5793</v>
      </c>
      <c r="I292" s="13" t="s">
        <v>5674</v>
      </c>
    </row>
    <row r="293">
      <c r="A293" s="87" t="s">
        <v>6143</v>
      </c>
      <c r="B293" s="75" t="s">
        <v>6290</v>
      </c>
      <c r="C293" s="88" t="s">
        <v>6291</v>
      </c>
      <c r="D293" s="15"/>
      <c r="E293" s="15"/>
      <c r="F293" s="10" t="s">
        <v>6132</v>
      </c>
      <c r="G293" s="11" t="s">
        <v>5793</v>
      </c>
      <c r="I293" s="13" t="s">
        <v>5674</v>
      </c>
    </row>
    <row r="294">
      <c r="A294" s="87" t="s">
        <v>6143</v>
      </c>
      <c r="B294" s="75" t="s">
        <v>6292</v>
      </c>
      <c r="C294" s="88" t="s">
        <v>6293</v>
      </c>
      <c r="D294" s="15"/>
      <c r="E294" s="15"/>
      <c r="F294" s="10" t="s">
        <v>6132</v>
      </c>
      <c r="G294" s="11" t="s">
        <v>5793</v>
      </c>
      <c r="I294" s="13" t="s">
        <v>5674</v>
      </c>
    </row>
    <row r="295">
      <c r="A295" s="87" t="s">
        <v>6143</v>
      </c>
      <c r="B295" s="75" t="s">
        <v>6294</v>
      </c>
      <c r="C295" s="88" t="s">
        <v>6295</v>
      </c>
      <c r="D295" s="15"/>
      <c r="E295" s="15"/>
      <c r="F295" s="10" t="s">
        <v>6132</v>
      </c>
      <c r="G295" s="11" t="s">
        <v>5793</v>
      </c>
      <c r="I295" s="13" t="s">
        <v>5674</v>
      </c>
    </row>
    <row r="296">
      <c r="A296" s="87" t="s">
        <v>6143</v>
      </c>
      <c r="B296" s="75" t="s">
        <v>6296</v>
      </c>
      <c r="C296" s="88" t="s">
        <v>6297</v>
      </c>
      <c r="D296" s="15"/>
      <c r="E296" s="15"/>
      <c r="F296" s="10" t="s">
        <v>6132</v>
      </c>
      <c r="G296" s="11" t="s">
        <v>5793</v>
      </c>
      <c r="I296" s="13" t="s">
        <v>5674</v>
      </c>
    </row>
    <row r="297">
      <c r="A297" s="87" t="s">
        <v>6143</v>
      </c>
      <c r="B297" s="75" t="s">
        <v>6298</v>
      </c>
      <c r="C297" s="88" t="s">
        <v>6299</v>
      </c>
      <c r="D297" s="15"/>
      <c r="E297" s="15"/>
      <c r="F297" s="10" t="s">
        <v>6132</v>
      </c>
      <c r="G297" s="11" t="s">
        <v>5793</v>
      </c>
      <c r="I297" s="13" t="s">
        <v>5674</v>
      </c>
    </row>
    <row r="298">
      <c r="A298" s="87" t="s">
        <v>6143</v>
      </c>
      <c r="B298" s="75" t="s">
        <v>6300</v>
      </c>
      <c r="C298" s="88" t="s">
        <v>6301</v>
      </c>
      <c r="D298" s="15"/>
      <c r="E298" s="15"/>
      <c r="F298" s="10" t="s">
        <v>6132</v>
      </c>
      <c r="G298" s="11" t="s">
        <v>5793</v>
      </c>
      <c r="I298" s="13" t="s">
        <v>5674</v>
      </c>
    </row>
    <row r="299">
      <c r="A299" s="87" t="s">
        <v>6143</v>
      </c>
      <c r="B299" s="75" t="s">
        <v>6302</v>
      </c>
      <c r="C299" s="88" t="s">
        <v>6303</v>
      </c>
      <c r="D299" s="15"/>
      <c r="E299" s="15"/>
      <c r="F299" s="10" t="s">
        <v>6132</v>
      </c>
      <c r="G299" s="11" t="s">
        <v>5793</v>
      </c>
      <c r="I299" s="13" t="s">
        <v>5674</v>
      </c>
    </row>
    <row r="300">
      <c r="A300" s="87" t="s">
        <v>6143</v>
      </c>
      <c r="B300" s="75" t="s">
        <v>6304</v>
      </c>
      <c r="C300" s="88" t="s">
        <v>6305</v>
      </c>
      <c r="D300" s="15"/>
      <c r="E300" s="15"/>
      <c r="F300" s="10" t="s">
        <v>6132</v>
      </c>
      <c r="G300" s="11" t="s">
        <v>5793</v>
      </c>
      <c r="I300" s="13" t="s">
        <v>5674</v>
      </c>
    </row>
    <row r="301">
      <c r="A301" s="87" t="s">
        <v>6143</v>
      </c>
      <c r="B301" s="75" t="s">
        <v>6306</v>
      </c>
      <c r="C301" s="88" t="s">
        <v>6307</v>
      </c>
      <c r="D301" s="15"/>
      <c r="E301" s="15"/>
      <c r="F301" s="10" t="s">
        <v>6132</v>
      </c>
      <c r="G301" s="11" t="s">
        <v>5793</v>
      </c>
      <c r="I301" s="13" t="s">
        <v>5674</v>
      </c>
    </row>
    <row r="302">
      <c r="A302" s="87" t="s">
        <v>6143</v>
      </c>
      <c r="B302" s="75" t="s">
        <v>6308</v>
      </c>
      <c r="C302" s="88" t="s">
        <v>6309</v>
      </c>
      <c r="D302" s="15"/>
      <c r="E302" s="15"/>
      <c r="F302" s="10" t="s">
        <v>6132</v>
      </c>
      <c r="G302" s="11" t="s">
        <v>5793</v>
      </c>
      <c r="I302" s="13" t="s">
        <v>5674</v>
      </c>
    </row>
    <row r="303">
      <c r="A303" s="87" t="s">
        <v>6143</v>
      </c>
      <c r="B303" s="75" t="s">
        <v>6310</v>
      </c>
      <c r="C303" s="88" t="s">
        <v>6311</v>
      </c>
      <c r="D303" s="15"/>
      <c r="E303" s="15"/>
      <c r="F303" s="10" t="s">
        <v>6132</v>
      </c>
      <c r="G303" s="11" t="s">
        <v>5793</v>
      </c>
      <c r="I303" s="13" t="s">
        <v>5674</v>
      </c>
    </row>
    <row r="304">
      <c r="A304" s="87" t="s">
        <v>6143</v>
      </c>
      <c r="B304" s="75" t="s">
        <v>6312</v>
      </c>
      <c r="C304" s="88" t="s">
        <v>6313</v>
      </c>
      <c r="D304" s="15"/>
      <c r="E304" s="15"/>
      <c r="F304" s="10" t="s">
        <v>6132</v>
      </c>
      <c r="G304" s="11" t="s">
        <v>5793</v>
      </c>
      <c r="I304" s="13" t="s">
        <v>5674</v>
      </c>
    </row>
    <row r="305">
      <c r="A305" s="87" t="s">
        <v>6143</v>
      </c>
      <c r="B305" s="75" t="s">
        <v>6314</v>
      </c>
      <c r="C305" s="88" t="s">
        <v>6315</v>
      </c>
      <c r="D305" s="15"/>
      <c r="E305" s="15"/>
      <c r="F305" s="10" t="s">
        <v>6132</v>
      </c>
      <c r="G305" s="11" t="s">
        <v>5793</v>
      </c>
      <c r="I305" s="13" t="s">
        <v>5674</v>
      </c>
    </row>
    <row r="306">
      <c r="A306" s="87" t="s">
        <v>6143</v>
      </c>
      <c r="B306" s="75" t="s">
        <v>6316</v>
      </c>
      <c r="C306" s="88" t="s">
        <v>6317</v>
      </c>
      <c r="D306" s="15"/>
      <c r="E306" s="15"/>
      <c r="F306" s="10" t="s">
        <v>6132</v>
      </c>
      <c r="G306" s="11" t="s">
        <v>5793</v>
      </c>
      <c r="I306" s="13" t="s">
        <v>5674</v>
      </c>
    </row>
    <row r="307">
      <c r="A307" s="87" t="s">
        <v>6143</v>
      </c>
      <c r="B307" s="75" t="s">
        <v>6318</v>
      </c>
      <c r="C307" s="88" t="s">
        <v>6319</v>
      </c>
      <c r="D307" s="15"/>
      <c r="E307" s="15"/>
      <c r="F307" s="10" t="s">
        <v>6132</v>
      </c>
      <c r="G307" s="11" t="s">
        <v>5793</v>
      </c>
      <c r="I307" s="13" t="s">
        <v>5674</v>
      </c>
    </row>
    <row r="308">
      <c r="A308" s="87" t="s">
        <v>6143</v>
      </c>
      <c r="B308" s="75" t="s">
        <v>6320</v>
      </c>
      <c r="C308" s="88" t="s">
        <v>6321</v>
      </c>
      <c r="D308" s="15"/>
      <c r="E308" s="15"/>
      <c r="F308" s="10" t="s">
        <v>6132</v>
      </c>
      <c r="G308" s="11" t="s">
        <v>5793</v>
      </c>
      <c r="I308" s="13" t="s">
        <v>5674</v>
      </c>
    </row>
    <row r="309">
      <c r="A309" s="87" t="s">
        <v>6143</v>
      </c>
      <c r="B309" s="75" t="s">
        <v>6322</v>
      </c>
      <c r="C309" s="88" t="s">
        <v>6323</v>
      </c>
      <c r="D309" s="15"/>
      <c r="E309" s="15"/>
      <c r="F309" s="10" t="s">
        <v>6132</v>
      </c>
      <c r="G309" s="11" t="s">
        <v>5793</v>
      </c>
      <c r="I309" s="13" t="s">
        <v>5674</v>
      </c>
    </row>
    <row r="310">
      <c r="A310" s="87" t="s">
        <v>6143</v>
      </c>
      <c r="B310" s="75" t="s">
        <v>6324</v>
      </c>
      <c r="C310" s="88" t="s">
        <v>6325</v>
      </c>
      <c r="D310" s="15"/>
      <c r="E310" s="15"/>
      <c r="F310" s="10" t="s">
        <v>6132</v>
      </c>
      <c r="G310" s="11" t="s">
        <v>5793</v>
      </c>
      <c r="I310" s="13" t="s">
        <v>5674</v>
      </c>
    </row>
    <row r="311">
      <c r="A311" s="87" t="s">
        <v>6143</v>
      </c>
      <c r="B311" s="75" t="s">
        <v>6326</v>
      </c>
      <c r="C311" s="88" t="s">
        <v>6327</v>
      </c>
      <c r="D311" s="15"/>
      <c r="E311" s="15"/>
      <c r="F311" s="10" t="s">
        <v>6132</v>
      </c>
      <c r="G311" s="11" t="s">
        <v>5793</v>
      </c>
      <c r="I311" s="13" t="s">
        <v>5674</v>
      </c>
    </row>
    <row r="312">
      <c r="A312" s="87" t="s">
        <v>6143</v>
      </c>
      <c r="B312" s="75" t="s">
        <v>6328</v>
      </c>
      <c r="C312" s="88" t="s">
        <v>6329</v>
      </c>
      <c r="D312" s="15"/>
      <c r="E312" s="15"/>
      <c r="F312" s="10" t="s">
        <v>6132</v>
      </c>
      <c r="G312" s="11" t="s">
        <v>5793</v>
      </c>
      <c r="I312" s="13" t="s">
        <v>5674</v>
      </c>
    </row>
    <row r="313">
      <c r="A313" s="87" t="s">
        <v>6143</v>
      </c>
      <c r="B313" s="75" t="s">
        <v>6330</v>
      </c>
      <c r="C313" s="88" t="s">
        <v>6331</v>
      </c>
      <c r="D313" s="15"/>
      <c r="E313" s="15"/>
      <c r="F313" s="10" t="s">
        <v>6132</v>
      </c>
      <c r="G313" s="11" t="s">
        <v>5793</v>
      </c>
      <c r="I313" s="13" t="s">
        <v>5674</v>
      </c>
    </row>
    <row r="314">
      <c r="A314" s="87" t="s">
        <v>6143</v>
      </c>
      <c r="B314" s="75" t="s">
        <v>6332</v>
      </c>
      <c r="C314" s="88" t="s">
        <v>6333</v>
      </c>
      <c r="D314" s="15"/>
      <c r="E314" s="15"/>
      <c r="F314" s="10" t="s">
        <v>6132</v>
      </c>
      <c r="G314" s="11" t="s">
        <v>5793</v>
      </c>
      <c r="I314" s="13" t="s">
        <v>5674</v>
      </c>
    </row>
    <row r="315">
      <c r="A315" s="87" t="s">
        <v>6143</v>
      </c>
      <c r="B315" s="75" t="s">
        <v>6334</v>
      </c>
      <c r="C315" s="88" t="s">
        <v>6335</v>
      </c>
      <c r="D315" s="15"/>
      <c r="E315" s="15"/>
      <c r="F315" s="10" t="s">
        <v>6132</v>
      </c>
      <c r="G315" s="11" t="s">
        <v>5793</v>
      </c>
      <c r="I315" s="13" t="s">
        <v>5674</v>
      </c>
    </row>
    <row r="316">
      <c r="A316" s="87" t="s">
        <v>6143</v>
      </c>
      <c r="B316" s="75" t="s">
        <v>6336</v>
      </c>
      <c r="C316" s="88" t="s">
        <v>6337</v>
      </c>
      <c r="D316" s="15"/>
      <c r="E316" s="15"/>
      <c r="F316" s="10" t="s">
        <v>6132</v>
      </c>
      <c r="G316" s="11" t="s">
        <v>5793</v>
      </c>
      <c r="I316" s="13" t="s">
        <v>5674</v>
      </c>
      <c r="L316" s="76"/>
      <c r="M316" s="73"/>
    </row>
    <row r="317">
      <c r="A317" s="87" t="s">
        <v>6143</v>
      </c>
      <c r="B317" s="75" t="s">
        <v>6338</v>
      </c>
      <c r="C317" s="88" t="s">
        <v>6339</v>
      </c>
      <c r="D317" s="15"/>
      <c r="E317" s="15"/>
      <c r="F317" s="10" t="s">
        <v>6132</v>
      </c>
      <c r="G317" s="11" t="s">
        <v>5793</v>
      </c>
      <c r="I317" s="13" t="s">
        <v>5674</v>
      </c>
      <c r="L317" s="76"/>
      <c r="M317" s="73"/>
    </row>
    <row r="318">
      <c r="A318" s="87" t="s">
        <v>6143</v>
      </c>
      <c r="B318" s="75" t="s">
        <v>6340</v>
      </c>
      <c r="C318" s="88" t="s">
        <v>6341</v>
      </c>
      <c r="D318" s="15"/>
      <c r="E318" s="15"/>
      <c r="F318" s="10" t="s">
        <v>6132</v>
      </c>
      <c r="G318" s="11" t="s">
        <v>5793</v>
      </c>
      <c r="I318" s="13" t="s">
        <v>5674</v>
      </c>
      <c r="L318" s="76"/>
      <c r="M318" s="73"/>
    </row>
    <row r="319">
      <c r="A319" s="87" t="s">
        <v>6143</v>
      </c>
      <c r="B319" s="75" t="s">
        <v>6342</v>
      </c>
      <c r="C319" s="88" t="s">
        <v>6343</v>
      </c>
      <c r="D319" s="15"/>
      <c r="E319" s="15"/>
      <c r="F319" s="10" t="s">
        <v>6132</v>
      </c>
      <c r="G319" s="11" t="s">
        <v>5793</v>
      </c>
      <c r="I319" s="13" t="s">
        <v>5674</v>
      </c>
      <c r="L319" s="76"/>
      <c r="M319" s="73"/>
    </row>
    <row r="320">
      <c r="A320" s="87" t="s">
        <v>6143</v>
      </c>
      <c r="B320" s="75" t="s">
        <v>6344</v>
      </c>
      <c r="C320" s="88" t="s">
        <v>6345</v>
      </c>
      <c r="D320" s="15"/>
      <c r="E320" s="15"/>
      <c r="F320" s="10" t="s">
        <v>6132</v>
      </c>
      <c r="G320" s="11" t="s">
        <v>5793</v>
      </c>
      <c r="I320" s="13" t="s">
        <v>5674</v>
      </c>
      <c r="L320" s="76"/>
      <c r="M320" s="73"/>
    </row>
    <row r="321">
      <c r="A321" s="87" t="s">
        <v>6143</v>
      </c>
      <c r="B321" s="75" t="s">
        <v>6346</v>
      </c>
      <c r="C321" s="88" t="s">
        <v>6347</v>
      </c>
      <c r="D321" s="15"/>
      <c r="E321" s="15"/>
      <c r="F321" s="10" t="s">
        <v>6132</v>
      </c>
      <c r="G321" s="11" t="s">
        <v>5793</v>
      </c>
      <c r="I321" s="13" t="s">
        <v>5674</v>
      </c>
      <c r="L321" s="76"/>
      <c r="M321" s="73"/>
    </row>
    <row r="322">
      <c r="A322" s="87" t="s">
        <v>6143</v>
      </c>
      <c r="B322" s="75" t="s">
        <v>6348</v>
      </c>
      <c r="C322" s="88" t="s">
        <v>6349</v>
      </c>
      <c r="D322" s="15"/>
      <c r="E322" s="15"/>
      <c r="F322" s="10" t="s">
        <v>6132</v>
      </c>
      <c r="G322" s="11" t="s">
        <v>5793</v>
      </c>
      <c r="I322" s="13" t="s">
        <v>5674</v>
      </c>
      <c r="L322" s="76"/>
      <c r="M322" s="73"/>
    </row>
    <row r="323">
      <c r="A323" s="87" t="s">
        <v>6143</v>
      </c>
      <c r="B323" s="75" t="s">
        <v>6350</v>
      </c>
      <c r="C323" s="88" t="s">
        <v>6351</v>
      </c>
      <c r="D323" s="15"/>
      <c r="E323" s="15"/>
      <c r="F323" s="10" t="s">
        <v>6132</v>
      </c>
      <c r="G323" s="11" t="s">
        <v>5793</v>
      </c>
      <c r="I323" s="13" t="s">
        <v>5674</v>
      </c>
      <c r="L323" s="76"/>
      <c r="M323" s="73"/>
    </row>
    <row r="324">
      <c r="A324" s="87" t="s">
        <v>6143</v>
      </c>
      <c r="B324" s="75" t="s">
        <v>6352</v>
      </c>
      <c r="C324" s="88" t="s">
        <v>6353</v>
      </c>
      <c r="D324" s="15"/>
      <c r="E324" s="15"/>
      <c r="F324" s="10" t="s">
        <v>6132</v>
      </c>
      <c r="G324" s="11" t="s">
        <v>5793</v>
      </c>
      <c r="I324" s="13" t="s">
        <v>5674</v>
      </c>
      <c r="L324" s="76"/>
      <c r="M324" s="73"/>
    </row>
    <row r="325">
      <c r="A325" s="87" t="s">
        <v>6143</v>
      </c>
      <c r="B325" s="75" t="s">
        <v>6354</v>
      </c>
      <c r="C325" s="88" t="s">
        <v>6355</v>
      </c>
      <c r="D325" s="15"/>
      <c r="E325" s="15"/>
      <c r="F325" s="10" t="s">
        <v>6132</v>
      </c>
      <c r="G325" s="11" t="s">
        <v>5793</v>
      </c>
      <c r="I325" s="13" t="s">
        <v>5674</v>
      </c>
      <c r="L325" s="76"/>
      <c r="M325" s="73"/>
    </row>
    <row r="326">
      <c r="A326" s="87" t="s">
        <v>6143</v>
      </c>
      <c r="B326" s="75" t="s">
        <v>6356</v>
      </c>
      <c r="C326" s="88" t="s">
        <v>6357</v>
      </c>
      <c r="D326" s="15"/>
      <c r="E326" s="15"/>
      <c r="F326" s="10" t="s">
        <v>6132</v>
      </c>
      <c r="G326" s="11" t="s">
        <v>5793</v>
      </c>
      <c r="I326" s="13" t="s">
        <v>5674</v>
      </c>
      <c r="L326" s="76"/>
      <c r="M326" s="73"/>
    </row>
    <row r="327">
      <c r="A327" s="87" t="s">
        <v>6143</v>
      </c>
      <c r="B327" s="75" t="s">
        <v>6358</v>
      </c>
      <c r="C327" s="88" t="s">
        <v>6359</v>
      </c>
      <c r="D327" s="15"/>
      <c r="E327" s="15"/>
      <c r="F327" s="10" t="s">
        <v>6132</v>
      </c>
      <c r="G327" s="11" t="s">
        <v>5793</v>
      </c>
      <c r="I327" s="13" t="s">
        <v>5674</v>
      </c>
      <c r="L327" s="76"/>
      <c r="M327" s="73"/>
    </row>
    <row r="328">
      <c r="A328" s="87" t="s">
        <v>6143</v>
      </c>
      <c r="B328" s="75" t="s">
        <v>6360</v>
      </c>
      <c r="C328" s="88" t="s">
        <v>6361</v>
      </c>
      <c r="D328" s="15"/>
      <c r="E328" s="15"/>
      <c r="F328" s="10" t="s">
        <v>6132</v>
      </c>
      <c r="G328" s="11" t="s">
        <v>5793</v>
      </c>
      <c r="I328" s="13" t="s">
        <v>5674</v>
      </c>
      <c r="L328" s="76"/>
      <c r="M328" s="73"/>
    </row>
    <row r="329">
      <c r="A329" s="87" t="s">
        <v>6143</v>
      </c>
      <c r="B329" s="75" t="s">
        <v>6362</v>
      </c>
      <c r="C329" s="88" t="s">
        <v>6363</v>
      </c>
      <c r="D329" s="15"/>
      <c r="E329" s="15"/>
      <c r="F329" s="10" t="s">
        <v>6132</v>
      </c>
      <c r="G329" s="11" t="s">
        <v>5793</v>
      </c>
      <c r="I329" s="13" t="s">
        <v>5674</v>
      </c>
      <c r="L329" s="76"/>
      <c r="M329" s="73"/>
    </row>
    <row r="330">
      <c r="A330" s="87" t="s">
        <v>6143</v>
      </c>
      <c r="B330" s="75" t="s">
        <v>6364</v>
      </c>
      <c r="C330" s="88" t="s">
        <v>6365</v>
      </c>
      <c r="D330" s="15"/>
      <c r="E330" s="15"/>
      <c r="F330" s="10" t="s">
        <v>6132</v>
      </c>
      <c r="G330" s="11" t="s">
        <v>5793</v>
      </c>
      <c r="I330" s="13" t="s">
        <v>5674</v>
      </c>
      <c r="L330" s="76"/>
      <c r="M330" s="73"/>
    </row>
    <row r="331">
      <c r="A331" s="87" t="s">
        <v>6143</v>
      </c>
      <c r="B331" s="75" t="s">
        <v>6366</v>
      </c>
      <c r="C331" s="88" t="s">
        <v>6367</v>
      </c>
      <c r="D331" s="15"/>
      <c r="E331" s="15"/>
      <c r="F331" s="10" t="s">
        <v>6132</v>
      </c>
      <c r="G331" s="11" t="s">
        <v>5793</v>
      </c>
      <c r="I331" s="13" t="s">
        <v>5674</v>
      </c>
      <c r="L331" s="76"/>
      <c r="M331" s="73"/>
    </row>
    <row r="332">
      <c r="A332" s="87" t="s">
        <v>6143</v>
      </c>
      <c r="B332" s="75" t="s">
        <v>6368</v>
      </c>
      <c r="C332" s="88" t="s">
        <v>6369</v>
      </c>
      <c r="D332" s="15"/>
      <c r="E332" s="15"/>
      <c r="F332" s="10" t="s">
        <v>6132</v>
      </c>
      <c r="G332" s="11" t="s">
        <v>5793</v>
      </c>
      <c r="I332" s="13" t="s">
        <v>5674</v>
      </c>
      <c r="L332" s="76"/>
      <c r="M332" s="73"/>
    </row>
    <row r="333">
      <c r="A333" s="87" t="s">
        <v>6143</v>
      </c>
      <c r="B333" s="75" t="s">
        <v>6370</v>
      </c>
      <c r="C333" s="88" t="s">
        <v>6371</v>
      </c>
      <c r="D333" s="15"/>
      <c r="E333" s="15"/>
      <c r="F333" s="10" t="s">
        <v>6132</v>
      </c>
      <c r="G333" s="11" t="s">
        <v>5793</v>
      </c>
      <c r="I333" s="13" t="s">
        <v>5674</v>
      </c>
      <c r="L333" s="76"/>
      <c r="M333" s="73"/>
    </row>
    <row r="334">
      <c r="A334" s="87" t="s">
        <v>6143</v>
      </c>
      <c r="B334" s="75" t="s">
        <v>6372</v>
      </c>
      <c r="C334" s="88" t="s">
        <v>6373</v>
      </c>
      <c r="D334" s="15"/>
      <c r="E334" s="15"/>
      <c r="F334" s="10" t="s">
        <v>6132</v>
      </c>
      <c r="G334" s="11" t="s">
        <v>5793</v>
      </c>
      <c r="I334" s="13" t="s">
        <v>5674</v>
      </c>
      <c r="L334" s="76"/>
      <c r="M334" s="73"/>
    </row>
    <row r="335">
      <c r="A335" s="87" t="s">
        <v>6143</v>
      </c>
      <c r="B335" s="75" t="s">
        <v>6374</v>
      </c>
      <c r="C335" s="88" t="s">
        <v>6375</v>
      </c>
      <c r="D335" s="15"/>
      <c r="E335" s="15"/>
      <c r="F335" s="10" t="s">
        <v>6132</v>
      </c>
      <c r="G335" s="11" t="s">
        <v>5793</v>
      </c>
      <c r="I335" s="13" t="s">
        <v>5674</v>
      </c>
      <c r="L335" s="76"/>
      <c r="M335" s="73"/>
    </row>
    <row r="336">
      <c r="A336" s="87" t="s">
        <v>6143</v>
      </c>
      <c r="B336" s="75" t="s">
        <v>6376</v>
      </c>
      <c r="C336" s="88" t="s">
        <v>6377</v>
      </c>
      <c r="D336" s="15"/>
      <c r="E336" s="15"/>
      <c r="F336" s="10" t="s">
        <v>6132</v>
      </c>
      <c r="G336" s="11" t="s">
        <v>5793</v>
      </c>
      <c r="I336" s="13" t="s">
        <v>5674</v>
      </c>
      <c r="L336" s="76"/>
      <c r="M336" s="73"/>
    </row>
    <row r="337">
      <c r="A337" s="87" t="s">
        <v>6143</v>
      </c>
      <c r="B337" s="75" t="s">
        <v>6378</v>
      </c>
      <c r="C337" s="88" t="s">
        <v>6379</v>
      </c>
      <c r="D337" s="15"/>
      <c r="E337" s="15"/>
      <c r="F337" s="10" t="s">
        <v>6132</v>
      </c>
      <c r="G337" s="11" t="s">
        <v>5793</v>
      </c>
      <c r="I337" s="13" t="s">
        <v>5674</v>
      </c>
      <c r="L337" s="76"/>
      <c r="M337" s="73"/>
    </row>
    <row r="338">
      <c r="A338" s="87" t="s">
        <v>6143</v>
      </c>
      <c r="B338" s="75" t="s">
        <v>6380</v>
      </c>
      <c r="C338" s="88" t="s">
        <v>6381</v>
      </c>
      <c r="D338" s="15"/>
      <c r="E338" s="15"/>
      <c r="F338" s="10" t="s">
        <v>6132</v>
      </c>
      <c r="G338" s="11" t="s">
        <v>5793</v>
      </c>
      <c r="I338" s="13" t="s">
        <v>5674</v>
      </c>
      <c r="L338" s="76"/>
      <c r="M338" s="73"/>
    </row>
    <row r="339">
      <c r="A339" s="87" t="s">
        <v>6143</v>
      </c>
      <c r="B339" s="75" t="s">
        <v>6382</v>
      </c>
      <c r="C339" s="88" t="s">
        <v>6383</v>
      </c>
      <c r="D339" s="15"/>
      <c r="E339" s="15"/>
      <c r="F339" s="10" t="s">
        <v>6132</v>
      </c>
      <c r="G339" s="11" t="s">
        <v>5793</v>
      </c>
      <c r="I339" s="13" t="s">
        <v>5674</v>
      </c>
      <c r="L339" s="76"/>
      <c r="M339" s="73"/>
    </row>
    <row r="340">
      <c r="A340" s="87" t="s">
        <v>6143</v>
      </c>
      <c r="B340" s="75" t="s">
        <v>6384</v>
      </c>
      <c r="C340" s="88" t="s">
        <v>6385</v>
      </c>
      <c r="D340" s="15"/>
      <c r="E340" s="15"/>
      <c r="F340" s="10" t="s">
        <v>6132</v>
      </c>
      <c r="G340" s="11" t="s">
        <v>5793</v>
      </c>
      <c r="I340" s="13" t="s">
        <v>5674</v>
      </c>
      <c r="L340" s="76"/>
      <c r="M340" s="73"/>
    </row>
    <row r="341">
      <c r="A341" s="87" t="s">
        <v>6143</v>
      </c>
      <c r="B341" s="75" t="s">
        <v>6386</v>
      </c>
      <c r="C341" s="88" t="s">
        <v>6387</v>
      </c>
      <c r="D341" s="15"/>
      <c r="E341" s="15"/>
      <c r="F341" s="10" t="s">
        <v>6132</v>
      </c>
      <c r="G341" s="11" t="s">
        <v>5793</v>
      </c>
      <c r="I341" s="13" t="s">
        <v>5674</v>
      </c>
      <c r="L341" s="76"/>
      <c r="M341" s="73"/>
    </row>
    <row r="342">
      <c r="A342" s="87" t="s">
        <v>6143</v>
      </c>
      <c r="B342" s="75" t="s">
        <v>6388</v>
      </c>
      <c r="C342" s="88" t="s">
        <v>6389</v>
      </c>
      <c r="D342" s="15"/>
      <c r="E342" s="15"/>
      <c r="F342" s="10" t="s">
        <v>6132</v>
      </c>
      <c r="G342" s="11" t="s">
        <v>5793</v>
      </c>
      <c r="I342" s="13" t="s">
        <v>5674</v>
      </c>
      <c r="L342" s="76"/>
      <c r="M342" s="73"/>
    </row>
    <row r="343">
      <c r="A343" s="87" t="s">
        <v>6143</v>
      </c>
      <c r="B343" s="75" t="s">
        <v>6390</v>
      </c>
      <c r="C343" s="88" t="s">
        <v>6391</v>
      </c>
      <c r="D343" s="15"/>
      <c r="E343" s="15"/>
      <c r="F343" s="10" t="s">
        <v>6132</v>
      </c>
      <c r="G343" s="11" t="s">
        <v>5793</v>
      </c>
      <c r="I343" s="13" t="s">
        <v>5674</v>
      </c>
      <c r="L343" s="76"/>
      <c r="M343" s="73"/>
    </row>
    <row r="344">
      <c r="A344" s="87" t="s">
        <v>6143</v>
      </c>
      <c r="B344" s="75" t="s">
        <v>6392</v>
      </c>
      <c r="C344" s="88" t="s">
        <v>6393</v>
      </c>
      <c r="D344" s="15"/>
      <c r="E344" s="15"/>
      <c r="F344" s="10" t="s">
        <v>6132</v>
      </c>
      <c r="G344" s="11" t="s">
        <v>5793</v>
      </c>
      <c r="I344" s="13" t="s">
        <v>5674</v>
      </c>
      <c r="L344" s="76"/>
      <c r="M344" s="73"/>
    </row>
    <row r="345">
      <c r="A345" s="87" t="s">
        <v>6143</v>
      </c>
      <c r="B345" s="75" t="s">
        <v>6394</v>
      </c>
      <c r="C345" s="88" t="s">
        <v>6395</v>
      </c>
      <c r="D345" s="15"/>
      <c r="E345" s="15"/>
      <c r="F345" s="10" t="s">
        <v>6132</v>
      </c>
      <c r="G345" s="11" t="s">
        <v>5793</v>
      </c>
      <c r="I345" s="13" t="s">
        <v>5674</v>
      </c>
      <c r="L345" s="76"/>
      <c r="M345" s="73"/>
    </row>
    <row r="346">
      <c r="A346" s="87" t="s">
        <v>6143</v>
      </c>
      <c r="B346" s="75" t="s">
        <v>6396</v>
      </c>
      <c r="C346" s="88" t="s">
        <v>6397</v>
      </c>
      <c r="D346" s="15"/>
      <c r="E346" s="15"/>
      <c r="F346" s="10" t="s">
        <v>6132</v>
      </c>
      <c r="G346" s="11" t="s">
        <v>5793</v>
      </c>
      <c r="I346" s="13" t="s">
        <v>5674</v>
      </c>
      <c r="L346" s="76"/>
      <c r="M346" s="73"/>
    </row>
    <row r="347">
      <c r="A347" s="87" t="s">
        <v>6143</v>
      </c>
      <c r="B347" s="75" t="s">
        <v>6398</v>
      </c>
      <c r="C347" s="88" t="s">
        <v>6399</v>
      </c>
      <c r="D347" s="15"/>
      <c r="E347" s="15"/>
      <c r="F347" s="10" t="s">
        <v>6132</v>
      </c>
      <c r="G347" s="11" t="s">
        <v>5793</v>
      </c>
      <c r="I347" s="13" t="s">
        <v>5674</v>
      </c>
      <c r="L347" s="76"/>
      <c r="M347" s="73"/>
    </row>
    <row r="348">
      <c r="A348" s="87" t="s">
        <v>6143</v>
      </c>
      <c r="B348" s="75" t="s">
        <v>6400</v>
      </c>
      <c r="C348" s="88" t="s">
        <v>6401</v>
      </c>
      <c r="D348" s="15"/>
      <c r="E348" s="15"/>
      <c r="F348" s="10" t="s">
        <v>6132</v>
      </c>
      <c r="G348" s="11" t="s">
        <v>5793</v>
      </c>
      <c r="I348" s="13" t="s">
        <v>5674</v>
      </c>
      <c r="L348" s="76"/>
      <c r="M348" s="73"/>
    </row>
    <row r="349">
      <c r="A349" s="87" t="s">
        <v>6143</v>
      </c>
      <c r="B349" s="75" t="s">
        <v>6402</v>
      </c>
      <c r="C349" s="88" t="s">
        <v>6403</v>
      </c>
      <c r="D349" s="15"/>
      <c r="E349" s="15"/>
      <c r="F349" s="10" t="s">
        <v>6132</v>
      </c>
      <c r="G349" s="11" t="s">
        <v>5793</v>
      </c>
      <c r="I349" s="13" t="s">
        <v>5674</v>
      </c>
      <c r="L349" s="76"/>
      <c r="M349" s="73"/>
    </row>
    <row r="350">
      <c r="A350" s="87" t="s">
        <v>6143</v>
      </c>
      <c r="B350" s="75" t="s">
        <v>6404</v>
      </c>
      <c r="C350" s="88" t="s">
        <v>6405</v>
      </c>
      <c r="D350" s="15"/>
      <c r="E350" s="15"/>
      <c r="F350" s="10" t="s">
        <v>6132</v>
      </c>
      <c r="G350" s="11" t="s">
        <v>5793</v>
      </c>
      <c r="I350" s="13" t="s">
        <v>5674</v>
      </c>
      <c r="L350" s="76"/>
      <c r="M350" s="73"/>
    </row>
    <row r="351">
      <c r="A351" s="87" t="s">
        <v>6143</v>
      </c>
      <c r="B351" s="75" t="s">
        <v>6406</v>
      </c>
      <c r="C351" s="88" t="s">
        <v>6407</v>
      </c>
      <c r="D351" s="15"/>
      <c r="E351" s="15"/>
      <c r="F351" s="10" t="s">
        <v>6132</v>
      </c>
      <c r="G351" s="11" t="s">
        <v>5793</v>
      </c>
      <c r="I351" s="13" t="s">
        <v>5674</v>
      </c>
      <c r="L351" s="76"/>
      <c r="M351" s="73"/>
    </row>
    <row r="352">
      <c r="A352" s="87" t="s">
        <v>6143</v>
      </c>
      <c r="B352" s="75" t="s">
        <v>6408</v>
      </c>
      <c r="C352" s="88" t="s">
        <v>6409</v>
      </c>
      <c r="D352" s="15"/>
      <c r="E352" s="15"/>
      <c r="F352" s="10" t="s">
        <v>6132</v>
      </c>
      <c r="G352" s="11" t="s">
        <v>5793</v>
      </c>
      <c r="I352" s="13" t="s">
        <v>5674</v>
      </c>
      <c r="L352" s="76"/>
      <c r="M352" s="73"/>
    </row>
    <row r="353">
      <c r="A353" s="87" t="s">
        <v>6143</v>
      </c>
      <c r="B353" s="75" t="s">
        <v>6410</v>
      </c>
      <c r="C353" s="88" t="s">
        <v>6411</v>
      </c>
      <c r="D353" s="15"/>
      <c r="E353" s="15"/>
      <c r="F353" s="10" t="s">
        <v>6132</v>
      </c>
      <c r="G353" s="11" t="s">
        <v>5793</v>
      </c>
      <c r="I353" s="13" t="s">
        <v>5674</v>
      </c>
      <c r="L353" s="76"/>
      <c r="M353" s="73"/>
    </row>
    <row r="354">
      <c r="A354" s="87" t="s">
        <v>6143</v>
      </c>
      <c r="B354" s="75" t="s">
        <v>6412</v>
      </c>
      <c r="C354" s="88" t="s">
        <v>6413</v>
      </c>
      <c r="D354" s="15"/>
      <c r="E354" s="15"/>
      <c r="F354" s="10" t="s">
        <v>6132</v>
      </c>
      <c r="G354" s="11" t="s">
        <v>5793</v>
      </c>
      <c r="I354" s="13" t="s">
        <v>5674</v>
      </c>
      <c r="L354" s="76"/>
      <c r="M354" s="73"/>
    </row>
    <row r="355">
      <c r="A355" s="87" t="s">
        <v>6143</v>
      </c>
      <c r="B355" s="75" t="s">
        <v>6414</v>
      </c>
      <c r="C355" s="88" t="s">
        <v>6415</v>
      </c>
      <c r="D355" s="15"/>
      <c r="E355" s="15"/>
      <c r="F355" s="10" t="s">
        <v>6132</v>
      </c>
      <c r="G355" s="11" t="s">
        <v>5793</v>
      </c>
      <c r="I355" s="13" t="s">
        <v>5674</v>
      </c>
      <c r="L355" s="76"/>
      <c r="M355" s="73"/>
    </row>
    <row r="356">
      <c r="A356" s="87" t="s">
        <v>6143</v>
      </c>
      <c r="B356" s="75" t="s">
        <v>6416</v>
      </c>
      <c r="C356" s="88" t="s">
        <v>6417</v>
      </c>
      <c r="D356" s="15"/>
      <c r="E356" s="15"/>
      <c r="F356" s="10" t="s">
        <v>6132</v>
      </c>
      <c r="G356" s="11" t="s">
        <v>5793</v>
      </c>
      <c r="I356" s="13" t="s">
        <v>5674</v>
      </c>
      <c r="L356" s="76"/>
      <c r="M356" s="73"/>
    </row>
    <row r="357">
      <c r="A357" s="87" t="s">
        <v>6143</v>
      </c>
      <c r="B357" s="75" t="s">
        <v>6418</v>
      </c>
      <c r="C357" s="88" t="s">
        <v>6419</v>
      </c>
      <c r="D357" s="15"/>
      <c r="E357" s="15"/>
      <c r="F357" s="10" t="s">
        <v>6132</v>
      </c>
      <c r="G357" s="11" t="s">
        <v>5793</v>
      </c>
      <c r="I357" s="13" t="s">
        <v>5674</v>
      </c>
      <c r="L357" s="76"/>
      <c r="M357" s="73"/>
    </row>
    <row r="358">
      <c r="A358" s="87" t="s">
        <v>6143</v>
      </c>
      <c r="B358" s="75" t="s">
        <v>6420</v>
      </c>
      <c r="C358" s="88" t="s">
        <v>6421</v>
      </c>
      <c r="D358" s="15"/>
      <c r="E358" s="15"/>
      <c r="F358" s="10" t="s">
        <v>6132</v>
      </c>
      <c r="G358" s="11" t="s">
        <v>5793</v>
      </c>
      <c r="I358" s="13" t="s">
        <v>5674</v>
      </c>
      <c r="L358" s="76"/>
      <c r="M358" s="73"/>
    </row>
    <row r="359">
      <c r="A359" s="87" t="s">
        <v>6143</v>
      </c>
      <c r="B359" s="75" t="s">
        <v>6422</v>
      </c>
      <c r="C359" s="88" t="s">
        <v>6423</v>
      </c>
      <c r="D359" s="15"/>
      <c r="E359" s="15"/>
      <c r="F359" s="10" t="s">
        <v>6132</v>
      </c>
      <c r="G359" s="11" t="s">
        <v>5793</v>
      </c>
      <c r="I359" s="13" t="s">
        <v>5674</v>
      </c>
      <c r="L359" s="76"/>
      <c r="M359" s="73"/>
    </row>
    <row r="360">
      <c r="A360" s="87" t="s">
        <v>6143</v>
      </c>
      <c r="B360" s="75" t="s">
        <v>6424</v>
      </c>
      <c r="C360" s="88" t="s">
        <v>6425</v>
      </c>
      <c r="D360" s="15"/>
      <c r="E360" s="15"/>
      <c r="F360" s="10" t="s">
        <v>6132</v>
      </c>
      <c r="G360" s="11" t="s">
        <v>5793</v>
      </c>
      <c r="I360" s="13" t="s">
        <v>5674</v>
      </c>
      <c r="L360" s="73"/>
    </row>
    <row r="361">
      <c r="A361" s="87" t="s">
        <v>6143</v>
      </c>
      <c r="B361" s="75" t="s">
        <v>6426</v>
      </c>
      <c r="C361" s="88" t="s">
        <v>6427</v>
      </c>
      <c r="D361" s="15"/>
      <c r="E361" s="15"/>
      <c r="F361" s="10" t="s">
        <v>6132</v>
      </c>
      <c r="G361" s="11" t="s">
        <v>5793</v>
      </c>
      <c r="I361" s="13" t="s">
        <v>5674</v>
      </c>
      <c r="L361" s="73"/>
    </row>
    <row r="362">
      <c r="A362" s="87" t="s">
        <v>6143</v>
      </c>
      <c r="B362" s="75" t="s">
        <v>6428</v>
      </c>
      <c r="C362" s="88" t="s">
        <v>6429</v>
      </c>
      <c r="D362" s="15"/>
      <c r="E362" s="15"/>
      <c r="F362" s="10" t="s">
        <v>6132</v>
      </c>
      <c r="G362" s="11" t="s">
        <v>5793</v>
      </c>
      <c r="I362" s="13" t="s">
        <v>5674</v>
      </c>
      <c r="L362" s="73"/>
    </row>
    <row r="363">
      <c r="A363" s="87" t="s">
        <v>6143</v>
      </c>
      <c r="B363" s="75" t="s">
        <v>6430</v>
      </c>
      <c r="C363" s="88" t="s">
        <v>6431</v>
      </c>
      <c r="D363" s="15"/>
      <c r="E363" s="15"/>
      <c r="F363" s="10" t="s">
        <v>6132</v>
      </c>
      <c r="G363" s="11" t="s">
        <v>5793</v>
      </c>
      <c r="I363" s="13" t="s">
        <v>5674</v>
      </c>
      <c r="L363" s="73"/>
    </row>
    <row r="364">
      <c r="A364" s="87" t="s">
        <v>6143</v>
      </c>
      <c r="B364" s="75" t="s">
        <v>6432</v>
      </c>
      <c r="C364" s="88" t="s">
        <v>6433</v>
      </c>
      <c r="D364" s="15"/>
      <c r="E364" s="15"/>
      <c r="F364" s="10" t="s">
        <v>6132</v>
      </c>
      <c r="G364" s="11" t="s">
        <v>5793</v>
      </c>
      <c r="I364" s="13" t="s">
        <v>5674</v>
      </c>
      <c r="L364" s="73"/>
    </row>
    <row r="365">
      <c r="A365" s="87" t="s">
        <v>6143</v>
      </c>
      <c r="B365" s="75" t="s">
        <v>6434</v>
      </c>
      <c r="C365" s="88" t="s">
        <v>6435</v>
      </c>
      <c r="D365" s="15"/>
      <c r="E365" s="15"/>
      <c r="F365" s="10" t="s">
        <v>6132</v>
      </c>
      <c r="G365" s="11" t="s">
        <v>5793</v>
      </c>
      <c r="I365" s="13" t="s">
        <v>5674</v>
      </c>
      <c r="L365" s="73"/>
    </row>
    <row r="366">
      <c r="A366" s="87" t="s">
        <v>6143</v>
      </c>
      <c r="B366" s="75" t="s">
        <v>6436</v>
      </c>
      <c r="C366" s="88" t="s">
        <v>6437</v>
      </c>
      <c r="D366" s="15"/>
      <c r="E366" s="15"/>
      <c r="F366" s="10" t="s">
        <v>6132</v>
      </c>
      <c r="G366" s="11" t="s">
        <v>5793</v>
      </c>
      <c r="I366" s="13" t="s">
        <v>5674</v>
      </c>
      <c r="L366" s="73"/>
    </row>
    <row r="367">
      <c r="A367" s="87" t="s">
        <v>6143</v>
      </c>
      <c r="B367" s="75" t="s">
        <v>6438</v>
      </c>
      <c r="C367" s="88" t="s">
        <v>6439</v>
      </c>
      <c r="D367" s="15"/>
      <c r="E367" s="15"/>
      <c r="F367" s="10" t="s">
        <v>6132</v>
      </c>
      <c r="G367" s="11" t="s">
        <v>5793</v>
      </c>
      <c r="I367" s="13" t="s">
        <v>5674</v>
      </c>
      <c r="L367" s="73"/>
    </row>
    <row r="368">
      <c r="A368" s="87" t="s">
        <v>6143</v>
      </c>
      <c r="B368" s="75" t="s">
        <v>6440</v>
      </c>
      <c r="C368" s="88" t="s">
        <v>6441</v>
      </c>
      <c r="D368" s="15"/>
      <c r="E368" s="15"/>
      <c r="F368" s="10" t="s">
        <v>6132</v>
      </c>
      <c r="G368" s="11" t="s">
        <v>5793</v>
      </c>
      <c r="I368" s="13" t="s">
        <v>5674</v>
      </c>
      <c r="L368" s="73"/>
    </row>
    <row r="369">
      <c r="A369" s="87" t="s">
        <v>6143</v>
      </c>
      <c r="B369" s="75" t="s">
        <v>6442</v>
      </c>
      <c r="C369" s="88" t="s">
        <v>6443</v>
      </c>
      <c r="D369" s="15"/>
      <c r="E369" s="15"/>
      <c r="F369" s="10" t="s">
        <v>6132</v>
      </c>
      <c r="G369" s="11" t="s">
        <v>5793</v>
      </c>
      <c r="I369" s="13" t="s">
        <v>5674</v>
      </c>
      <c r="L369" s="73"/>
    </row>
    <row r="370">
      <c r="A370" s="87" t="s">
        <v>6143</v>
      </c>
      <c r="B370" s="75" t="s">
        <v>6444</v>
      </c>
      <c r="C370" s="88" t="s">
        <v>6445</v>
      </c>
      <c r="D370" s="15"/>
      <c r="E370" s="15"/>
      <c r="F370" s="10" t="s">
        <v>6132</v>
      </c>
      <c r="G370" s="11" t="s">
        <v>5793</v>
      </c>
      <c r="I370" s="13" t="s">
        <v>5674</v>
      </c>
      <c r="L370" s="73"/>
    </row>
    <row r="371">
      <c r="A371" s="87" t="s">
        <v>6143</v>
      </c>
      <c r="B371" s="75" t="s">
        <v>6446</v>
      </c>
      <c r="C371" s="88" t="s">
        <v>6447</v>
      </c>
      <c r="D371" s="15"/>
      <c r="E371" s="15"/>
      <c r="F371" s="10" t="s">
        <v>6132</v>
      </c>
      <c r="G371" s="11" t="s">
        <v>5793</v>
      </c>
      <c r="I371" s="13" t="s">
        <v>5674</v>
      </c>
      <c r="L371" s="73"/>
    </row>
    <row r="372">
      <c r="A372" s="87" t="s">
        <v>6143</v>
      </c>
      <c r="B372" s="75" t="s">
        <v>6448</v>
      </c>
      <c r="C372" s="88" t="s">
        <v>6449</v>
      </c>
      <c r="D372" s="15"/>
      <c r="E372" s="15"/>
      <c r="F372" s="10" t="s">
        <v>6132</v>
      </c>
      <c r="G372" s="11" t="s">
        <v>5793</v>
      </c>
      <c r="I372" s="13" t="s">
        <v>5674</v>
      </c>
      <c r="L372" s="73"/>
    </row>
    <row r="373">
      <c r="A373" s="87" t="s">
        <v>6143</v>
      </c>
      <c r="B373" s="75" t="s">
        <v>6450</v>
      </c>
      <c r="C373" s="88" t="s">
        <v>6451</v>
      </c>
      <c r="D373" s="15"/>
      <c r="E373" s="15"/>
      <c r="F373" s="10" t="s">
        <v>6132</v>
      </c>
      <c r="G373" s="11" t="s">
        <v>5793</v>
      </c>
      <c r="I373" s="13" t="s">
        <v>5674</v>
      </c>
      <c r="L373" s="73"/>
    </row>
    <row r="374">
      <c r="A374" s="87" t="s">
        <v>6452</v>
      </c>
      <c r="B374" s="75" t="s">
        <v>5790</v>
      </c>
      <c r="C374" s="88" t="s">
        <v>6453</v>
      </c>
      <c r="D374" s="10"/>
      <c r="E374" s="10"/>
      <c r="F374" s="10" t="s">
        <v>6132</v>
      </c>
      <c r="G374" s="11" t="s">
        <v>5793</v>
      </c>
      <c r="I374" s="13" t="s">
        <v>5674</v>
      </c>
      <c r="L374" s="73"/>
    </row>
    <row r="375">
      <c r="A375" s="87" t="s">
        <v>6452</v>
      </c>
      <c r="B375" s="75" t="s">
        <v>6454</v>
      </c>
      <c r="C375" s="88" t="s">
        <v>6455</v>
      </c>
      <c r="D375" s="15"/>
      <c r="E375" s="15"/>
      <c r="F375" s="10" t="s">
        <v>6132</v>
      </c>
      <c r="G375" s="11" t="s">
        <v>5793</v>
      </c>
      <c r="I375" s="13" t="s">
        <v>5674</v>
      </c>
      <c r="L375" s="76"/>
      <c r="M375" s="73"/>
    </row>
    <row r="376">
      <c r="A376" s="87" t="s">
        <v>6452</v>
      </c>
      <c r="B376" s="75" t="s">
        <v>6456</v>
      </c>
      <c r="C376" s="88" t="s">
        <v>6457</v>
      </c>
      <c r="D376" s="15"/>
      <c r="E376" s="15"/>
      <c r="F376" s="10" t="s">
        <v>6132</v>
      </c>
      <c r="G376" s="11" t="s">
        <v>5793</v>
      </c>
      <c r="I376" s="13" t="s">
        <v>5674</v>
      </c>
      <c r="L376" s="76"/>
      <c r="M376" s="73"/>
    </row>
    <row r="377">
      <c r="A377" s="87" t="s">
        <v>6452</v>
      </c>
      <c r="B377" s="75" t="s">
        <v>6458</v>
      </c>
      <c r="C377" s="88" t="s">
        <v>6459</v>
      </c>
      <c r="D377" s="15"/>
      <c r="E377" s="15"/>
      <c r="F377" s="10" t="s">
        <v>6132</v>
      </c>
      <c r="G377" s="11" t="s">
        <v>5793</v>
      </c>
      <c r="I377" s="13" t="s">
        <v>5674</v>
      </c>
      <c r="L377" s="76"/>
      <c r="M377" s="73"/>
    </row>
    <row r="378">
      <c r="A378" s="87" t="s">
        <v>6452</v>
      </c>
      <c r="B378" s="75" t="s">
        <v>6460</v>
      </c>
      <c r="C378" s="88" t="s">
        <v>6461</v>
      </c>
      <c r="D378" s="15"/>
      <c r="E378" s="15"/>
      <c r="F378" s="10" t="s">
        <v>6132</v>
      </c>
      <c r="G378" s="11" t="s">
        <v>5793</v>
      </c>
      <c r="I378" s="13" t="s">
        <v>5674</v>
      </c>
      <c r="L378" s="76"/>
      <c r="M378" s="73"/>
    </row>
    <row r="379">
      <c r="A379" s="87" t="s">
        <v>6452</v>
      </c>
      <c r="B379" s="88" t="s">
        <v>6462</v>
      </c>
      <c r="C379" s="88" t="s">
        <v>6463</v>
      </c>
      <c r="D379" s="10"/>
      <c r="E379" s="10"/>
      <c r="F379" s="10" t="s">
        <v>6132</v>
      </c>
      <c r="G379" s="11" t="s">
        <v>5793</v>
      </c>
      <c r="I379" s="13" t="s">
        <v>5674</v>
      </c>
      <c r="L379" s="73"/>
    </row>
    <row r="380">
      <c r="A380" s="87" t="s">
        <v>6452</v>
      </c>
      <c r="B380" s="75" t="s">
        <v>6464</v>
      </c>
      <c r="C380" s="88" t="s">
        <v>6465</v>
      </c>
      <c r="D380" s="15"/>
      <c r="E380" s="15"/>
      <c r="F380" s="10" t="s">
        <v>6132</v>
      </c>
      <c r="G380" s="11" t="s">
        <v>5793</v>
      </c>
      <c r="I380" s="13" t="s">
        <v>5674</v>
      </c>
      <c r="L380" s="76"/>
      <c r="M380" s="73"/>
    </row>
    <row r="381">
      <c r="A381" s="87" t="s">
        <v>6452</v>
      </c>
      <c r="B381" s="75" t="s">
        <v>6466</v>
      </c>
      <c r="C381" s="88" t="s">
        <v>6467</v>
      </c>
      <c r="D381" s="15"/>
      <c r="E381" s="15"/>
      <c r="F381" s="10" t="s">
        <v>6132</v>
      </c>
      <c r="G381" s="11" t="s">
        <v>5793</v>
      </c>
      <c r="I381" s="13" t="s">
        <v>5674</v>
      </c>
      <c r="L381" s="76"/>
      <c r="M381" s="73"/>
    </row>
    <row r="382">
      <c r="A382" s="87" t="s">
        <v>6452</v>
      </c>
      <c r="B382" s="75" t="s">
        <v>6468</v>
      </c>
      <c r="C382" s="88" t="s">
        <v>6469</v>
      </c>
      <c r="D382" s="15"/>
      <c r="E382" s="15"/>
      <c r="F382" s="10" t="s">
        <v>6132</v>
      </c>
      <c r="G382" s="11" t="s">
        <v>5793</v>
      </c>
      <c r="I382" s="13" t="s">
        <v>5674</v>
      </c>
      <c r="L382" s="76"/>
      <c r="M382" s="73"/>
    </row>
    <row r="383">
      <c r="A383" s="87" t="s">
        <v>6452</v>
      </c>
      <c r="B383" s="75" t="s">
        <v>6470</v>
      </c>
      <c r="C383" s="88" t="s">
        <v>6471</v>
      </c>
      <c r="D383" s="15"/>
      <c r="E383" s="15"/>
      <c r="F383" s="10" t="s">
        <v>6132</v>
      </c>
      <c r="G383" s="11" t="s">
        <v>5793</v>
      </c>
      <c r="I383" s="13" t="s">
        <v>5674</v>
      </c>
      <c r="L383" s="76"/>
      <c r="M383" s="73"/>
    </row>
    <row r="384">
      <c r="A384" s="87" t="s">
        <v>6452</v>
      </c>
      <c r="B384" s="75" t="s">
        <v>6472</v>
      </c>
      <c r="C384" s="88" t="s">
        <v>6473</v>
      </c>
      <c r="D384" s="15"/>
      <c r="E384" s="15"/>
      <c r="F384" s="10" t="s">
        <v>6132</v>
      </c>
      <c r="G384" s="11" t="s">
        <v>5793</v>
      </c>
      <c r="I384" s="13" t="s">
        <v>5674</v>
      </c>
      <c r="L384" s="76"/>
      <c r="M384" s="73"/>
    </row>
    <row r="385">
      <c r="A385" s="87" t="s">
        <v>6452</v>
      </c>
      <c r="B385" s="75" t="s">
        <v>6474</v>
      </c>
      <c r="C385" s="88" t="s">
        <v>6475</v>
      </c>
      <c r="D385" s="15"/>
      <c r="E385" s="15"/>
      <c r="F385" s="10" t="s">
        <v>6132</v>
      </c>
      <c r="G385" s="11" t="s">
        <v>5793</v>
      </c>
      <c r="I385" s="13" t="s">
        <v>5674</v>
      </c>
      <c r="L385" s="76"/>
      <c r="M385" s="73"/>
    </row>
    <row r="386">
      <c r="A386" s="87" t="s">
        <v>6452</v>
      </c>
      <c r="B386" s="75" t="s">
        <v>6476</v>
      </c>
      <c r="C386" s="88" t="s">
        <v>6477</v>
      </c>
      <c r="D386" s="15"/>
      <c r="E386" s="15"/>
      <c r="F386" s="10" t="s">
        <v>6132</v>
      </c>
      <c r="G386" s="11" t="s">
        <v>5793</v>
      </c>
      <c r="I386" s="13" t="s">
        <v>5674</v>
      </c>
      <c r="L386" s="76"/>
      <c r="M386" s="73"/>
    </row>
    <row r="387">
      <c r="A387" s="87" t="s">
        <v>6452</v>
      </c>
      <c r="B387" s="75" t="s">
        <v>6478</v>
      </c>
      <c r="C387" s="88" t="s">
        <v>6479</v>
      </c>
      <c r="D387" s="15"/>
      <c r="E387" s="15"/>
      <c r="F387" s="10" t="s">
        <v>6132</v>
      </c>
      <c r="G387" s="11" t="s">
        <v>5793</v>
      </c>
      <c r="I387" s="13" t="s">
        <v>5674</v>
      </c>
      <c r="L387" s="76"/>
      <c r="M387" s="73"/>
    </row>
    <row r="388">
      <c r="A388" s="87" t="s">
        <v>6452</v>
      </c>
      <c r="B388" s="75" t="s">
        <v>6480</v>
      </c>
      <c r="C388" s="88" t="s">
        <v>6481</v>
      </c>
      <c r="D388" s="15"/>
      <c r="E388" s="15"/>
      <c r="F388" s="10" t="s">
        <v>6132</v>
      </c>
      <c r="G388" s="11" t="s">
        <v>5793</v>
      </c>
      <c r="I388" s="13" t="s">
        <v>5674</v>
      </c>
      <c r="L388" s="76"/>
      <c r="M388" s="73"/>
    </row>
    <row r="389">
      <c r="A389" s="87" t="s">
        <v>6452</v>
      </c>
      <c r="B389" s="75" t="s">
        <v>1993</v>
      </c>
      <c r="C389" s="88" t="s">
        <v>6482</v>
      </c>
      <c r="D389" s="15"/>
      <c r="E389" s="15"/>
      <c r="F389" s="10" t="s">
        <v>6132</v>
      </c>
      <c r="G389" s="11" t="s">
        <v>5793</v>
      </c>
      <c r="I389" s="13" t="s">
        <v>5674</v>
      </c>
      <c r="L389" s="76"/>
      <c r="M389" s="73"/>
    </row>
    <row r="390">
      <c r="A390" s="87" t="s">
        <v>6452</v>
      </c>
      <c r="B390" s="75" t="s">
        <v>6483</v>
      </c>
      <c r="C390" s="88" t="s">
        <v>6484</v>
      </c>
      <c r="D390" s="15"/>
      <c r="E390" s="15"/>
      <c r="F390" s="10" t="s">
        <v>6132</v>
      </c>
      <c r="G390" s="11" t="s">
        <v>5793</v>
      </c>
      <c r="I390" s="13" t="s">
        <v>5674</v>
      </c>
      <c r="L390" s="76"/>
      <c r="M390" s="73"/>
    </row>
    <row r="391">
      <c r="A391" s="87" t="s">
        <v>6452</v>
      </c>
      <c r="B391" s="75" t="s">
        <v>6485</v>
      </c>
      <c r="C391" s="88" t="s">
        <v>6486</v>
      </c>
      <c r="D391" s="15"/>
      <c r="E391" s="15"/>
      <c r="F391" s="10" t="s">
        <v>6132</v>
      </c>
      <c r="G391" s="11" t="s">
        <v>5793</v>
      </c>
      <c r="I391" s="13" t="s">
        <v>5674</v>
      </c>
      <c r="L391" s="76"/>
      <c r="M391" s="73"/>
    </row>
    <row r="392">
      <c r="A392" s="87" t="s">
        <v>6452</v>
      </c>
      <c r="B392" s="75" t="s">
        <v>6487</v>
      </c>
      <c r="C392" s="88" t="s">
        <v>6488</v>
      </c>
      <c r="D392" s="15"/>
      <c r="E392" s="15"/>
      <c r="F392" s="10" t="s">
        <v>6132</v>
      </c>
      <c r="G392" s="11" t="s">
        <v>5793</v>
      </c>
      <c r="I392" s="13" t="s">
        <v>5674</v>
      </c>
      <c r="L392" s="76"/>
      <c r="M392" s="73"/>
    </row>
    <row r="393">
      <c r="A393" s="87" t="s">
        <v>6452</v>
      </c>
      <c r="B393" s="75" t="s">
        <v>1997</v>
      </c>
      <c r="C393" s="88" t="s">
        <v>6489</v>
      </c>
      <c r="D393" s="15"/>
      <c r="E393" s="15"/>
      <c r="F393" s="10" t="s">
        <v>6132</v>
      </c>
      <c r="G393" s="11" t="s">
        <v>5793</v>
      </c>
      <c r="I393" s="13" t="s">
        <v>5674</v>
      </c>
      <c r="L393" s="76"/>
      <c r="M393" s="73"/>
    </row>
    <row r="394">
      <c r="A394" s="87" t="s">
        <v>6452</v>
      </c>
      <c r="B394" s="75" t="s">
        <v>6490</v>
      </c>
      <c r="C394" s="88" t="s">
        <v>6491</v>
      </c>
      <c r="D394" s="15"/>
      <c r="E394" s="15"/>
      <c r="F394" s="10" t="s">
        <v>6132</v>
      </c>
      <c r="G394" s="11" t="s">
        <v>5793</v>
      </c>
      <c r="I394" s="13" t="s">
        <v>5674</v>
      </c>
      <c r="L394" s="76"/>
      <c r="M394" s="73"/>
    </row>
    <row r="395">
      <c r="A395" s="87" t="s">
        <v>6492</v>
      </c>
      <c r="B395" s="88" t="s">
        <v>6493</v>
      </c>
      <c r="C395" s="88" t="s">
        <v>6494</v>
      </c>
      <c r="D395" s="15"/>
      <c r="E395" s="15"/>
      <c r="F395" s="10" t="s">
        <v>6132</v>
      </c>
      <c r="G395" s="11" t="s">
        <v>5793</v>
      </c>
      <c r="I395" s="13" t="s">
        <v>5674</v>
      </c>
      <c r="L395" s="73"/>
    </row>
    <row r="396">
      <c r="A396" s="87" t="s">
        <v>6492</v>
      </c>
      <c r="B396" s="88" t="s">
        <v>6495</v>
      </c>
      <c r="C396" s="88" t="s">
        <v>6496</v>
      </c>
      <c r="D396" s="15"/>
      <c r="E396" s="15"/>
      <c r="F396" s="10" t="s">
        <v>6132</v>
      </c>
      <c r="G396" s="11" t="s">
        <v>5793</v>
      </c>
      <c r="I396" s="13" t="s">
        <v>5674</v>
      </c>
      <c r="L396" s="73"/>
    </row>
    <row r="397">
      <c r="A397" s="87" t="s">
        <v>6492</v>
      </c>
      <c r="B397" s="88" t="s">
        <v>6497</v>
      </c>
      <c r="C397" s="88" t="s">
        <v>6498</v>
      </c>
      <c r="D397" s="15"/>
      <c r="E397" s="15"/>
      <c r="F397" s="10" t="s">
        <v>6132</v>
      </c>
      <c r="G397" s="11" t="s">
        <v>5793</v>
      </c>
      <c r="I397" s="13" t="s">
        <v>5674</v>
      </c>
      <c r="L397" s="73"/>
    </row>
    <row r="398">
      <c r="A398" s="87" t="s">
        <v>6492</v>
      </c>
      <c r="B398" s="88" t="s">
        <v>6499</v>
      </c>
      <c r="C398" s="88" t="s">
        <v>6500</v>
      </c>
      <c r="D398" s="15"/>
      <c r="E398" s="15"/>
      <c r="F398" s="10" t="s">
        <v>6132</v>
      </c>
      <c r="G398" s="11" t="s">
        <v>5793</v>
      </c>
      <c r="I398" s="13" t="s">
        <v>5674</v>
      </c>
      <c r="L398" s="73"/>
    </row>
    <row r="399">
      <c r="A399" s="87" t="s">
        <v>6492</v>
      </c>
      <c r="B399" s="88" t="s">
        <v>6501</v>
      </c>
      <c r="C399" s="88" t="s">
        <v>6502</v>
      </c>
      <c r="D399" s="15"/>
      <c r="E399" s="15"/>
      <c r="F399" s="10" t="s">
        <v>6132</v>
      </c>
      <c r="G399" s="11" t="s">
        <v>5793</v>
      </c>
      <c r="I399" s="13" t="s">
        <v>5674</v>
      </c>
      <c r="L399" s="73"/>
    </row>
    <row r="400">
      <c r="A400" s="87" t="s">
        <v>6492</v>
      </c>
      <c r="B400" s="88" t="s">
        <v>6503</v>
      </c>
      <c r="C400" s="88" t="s">
        <v>6504</v>
      </c>
      <c r="D400" s="15"/>
      <c r="E400" s="15"/>
      <c r="F400" s="10" t="s">
        <v>6132</v>
      </c>
      <c r="G400" s="11" t="s">
        <v>5793</v>
      </c>
      <c r="I400" s="13" t="s">
        <v>5674</v>
      </c>
      <c r="L400" s="73"/>
    </row>
    <row r="401">
      <c r="A401" s="87" t="s">
        <v>6492</v>
      </c>
      <c r="B401" s="88" t="s">
        <v>6505</v>
      </c>
      <c r="C401" s="88" t="s">
        <v>6506</v>
      </c>
      <c r="D401" s="15"/>
      <c r="E401" s="15"/>
      <c r="F401" s="10" t="s">
        <v>6132</v>
      </c>
      <c r="G401" s="11" t="s">
        <v>5793</v>
      </c>
      <c r="I401" s="13" t="s">
        <v>5674</v>
      </c>
      <c r="L401" s="73"/>
    </row>
    <row r="402">
      <c r="A402" s="87" t="s">
        <v>6507</v>
      </c>
      <c r="B402" s="88" t="s">
        <v>6508</v>
      </c>
      <c r="C402" s="88" t="s">
        <v>6509</v>
      </c>
      <c r="D402" s="15"/>
      <c r="E402" s="15"/>
      <c r="F402" s="10" t="s">
        <v>6132</v>
      </c>
      <c r="G402" s="11" t="s">
        <v>5793</v>
      </c>
      <c r="I402" s="13" t="s">
        <v>5674</v>
      </c>
      <c r="L402" s="73"/>
    </row>
    <row r="403">
      <c r="A403" s="87" t="s">
        <v>6492</v>
      </c>
      <c r="B403" s="88" t="s">
        <v>6510</v>
      </c>
      <c r="C403" s="88" t="s">
        <v>6511</v>
      </c>
      <c r="D403" s="15"/>
      <c r="E403" s="15"/>
      <c r="F403" s="10" t="s">
        <v>6132</v>
      </c>
      <c r="G403" s="11" t="s">
        <v>5793</v>
      </c>
      <c r="I403" s="13" t="s">
        <v>5674</v>
      </c>
      <c r="L403" s="73"/>
    </row>
    <row r="404">
      <c r="A404" s="87" t="s">
        <v>6492</v>
      </c>
      <c r="B404" s="88" t="s">
        <v>6512</v>
      </c>
      <c r="C404" s="88" t="s">
        <v>6513</v>
      </c>
      <c r="D404" s="15"/>
      <c r="E404" s="15"/>
      <c r="F404" s="10" t="s">
        <v>6132</v>
      </c>
      <c r="G404" s="11" t="s">
        <v>5793</v>
      </c>
      <c r="I404" s="13" t="s">
        <v>5674</v>
      </c>
      <c r="L404" s="73"/>
    </row>
    <row r="405">
      <c r="A405" s="87" t="s">
        <v>6492</v>
      </c>
      <c r="B405" s="88" t="s">
        <v>6514</v>
      </c>
      <c r="C405" s="88" t="s">
        <v>6515</v>
      </c>
      <c r="D405" s="15"/>
      <c r="E405" s="15"/>
      <c r="F405" s="10" t="s">
        <v>6132</v>
      </c>
      <c r="G405" s="11" t="s">
        <v>5793</v>
      </c>
      <c r="I405" s="13" t="s">
        <v>5674</v>
      </c>
      <c r="L405" s="73"/>
    </row>
    <row r="406">
      <c r="A406" s="87" t="s">
        <v>6492</v>
      </c>
      <c r="B406" s="88" t="s">
        <v>6516</v>
      </c>
      <c r="C406" s="88" t="s">
        <v>6517</v>
      </c>
      <c r="D406" s="15"/>
      <c r="E406" s="15"/>
      <c r="F406" s="10" t="s">
        <v>6132</v>
      </c>
      <c r="G406" s="11" t="s">
        <v>5793</v>
      </c>
      <c r="I406" s="13" t="s">
        <v>5674</v>
      </c>
      <c r="L406" s="73"/>
    </row>
    <row r="407">
      <c r="A407" s="87" t="s">
        <v>6492</v>
      </c>
      <c r="B407" s="88" t="s">
        <v>6518</v>
      </c>
      <c r="C407" s="88" t="s">
        <v>6519</v>
      </c>
      <c r="D407" s="15"/>
      <c r="E407" s="15"/>
      <c r="F407" s="10" t="s">
        <v>6132</v>
      </c>
      <c r="G407" s="11" t="s">
        <v>5793</v>
      </c>
      <c r="I407" s="13" t="s">
        <v>5674</v>
      </c>
      <c r="L407" s="73"/>
    </row>
    <row r="408">
      <c r="A408" s="87" t="s">
        <v>6492</v>
      </c>
      <c r="B408" s="88" t="s">
        <v>6520</v>
      </c>
      <c r="C408" s="88" t="s">
        <v>6521</v>
      </c>
      <c r="D408" s="15"/>
      <c r="E408" s="15"/>
      <c r="F408" s="10" t="s">
        <v>6132</v>
      </c>
      <c r="G408" s="11" t="s">
        <v>5793</v>
      </c>
      <c r="I408" s="13" t="s">
        <v>5674</v>
      </c>
      <c r="L408" s="73"/>
    </row>
    <row r="409">
      <c r="A409" s="87" t="s">
        <v>6492</v>
      </c>
      <c r="B409" s="88" t="s">
        <v>6522</v>
      </c>
      <c r="C409" s="88" t="s">
        <v>6523</v>
      </c>
      <c r="D409" s="15"/>
      <c r="E409" s="15"/>
      <c r="F409" s="10" t="s">
        <v>6132</v>
      </c>
      <c r="G409" s="11" t="s">
        <v>5793</v>
      </c>
      <c r="I409" s="13" t="s">
        <v>5674</v>
      </c>
      <c r="L409" s="73"/>
    </row>
    <row r="410">
      <c r="A410" s="87" t="s">
        <v>6492</v>
      </c>
      <c r="B410" s="88" t="s">
        <v>6524</v>
      </c>
      <c r="C410" s="88" t="s">
        <v>6525</v>
      </c>
      <c r="D410" s="15"/>
      <c r="E410" s="15"/>
      <c r="F410" s="10" t="s">
        <v>6132</v>
      </c>
      <c r="G410" s="11" t="s">
        <v>5793</v>
      </c>
      <c r="I410" s="13" t="s">
        <v>5674</v>
      </c>
      <c r="L410" s="73"/>
    </row>
    <row r="411">
      <c r="A411" s="87" t="s">
        <v>6492</v>
      </c>
      <c r="B411" s="88" t="s">
        <v>6526</v>
      </c>
      <c r="C411" s="13" t="s">
        <v>6527</v>
      </c>
      <c r="D411" s="15"/>
      <c r="E411" s="15"/>
      <c r="F411" s="10" t="s">
        <v>6132</v>
      </c>
      <c r="G411" s="11" t="s">
        <v>5793</v>
      </c>
      <c r="I411" s="13" t="s">
        <v>5674</v>
      </c>
      <c r="L411" s="73"/>
    </row>
    <row r="412">
      <c r="A412" s="87" t="s">
        <v>6492</v>
      </c>
      <c r="B412" s="88" t="s">
        <v>6528</v>
      </c>
      <c r="C412" s="13" t="s">
        <v>6529</v>
      </c>
      <c r="D412" s="15"/>
      <c r="E412" s="15"/>
      <c r="F412" s="10" t="s">
        <v>6132</v>
      </c>
      <c r="G412" s="11" t="s">
        <v>5793</v>
      </c>
      <c r="I412" s="13" t="s">
        <v>5674</v>
      </c>
      <c r="L412" s="73"/>
    </row>
    <row r="413">
      <c r="A413" s="87" t="s">
        <v>6507</v>
      </c>
      <c r="B413" s="88" t="s">
        <v>6530</v>
      </c>
      <c r="C413" s="88" t="s">
        <v>6531</v>
      </c>
      <c r="D413" s="15"/>
      <c r="E413" s="15"/>
      <c r="F413" s="10" t="s">
        <v>6132</v>
      </c>
      <c r="G413" s="11" t="s">
        <v>5793</v>
      </c>
      <c r="I413" s="13" t="s">
        <v>5674</v>
      </c>
      <c r="L413" s="73"/>
    </row>
    <row r="414">
      <c r="A414" s="87" t="s">
        <v>6507</v>
      </c>
      <c r="B414" s="88" t="s">
        <v>6532</v>
      </c>
      <c r="C414" s="88" t="s">
        <v>6533</v>
      </c>
      <c r="D414" s="15"/>
      <c r="E414" s="15"/>
      <c r="F414" s="10" t="s">
        <v>6132</v>
      </c>
      <c r="G414" s="11" t="s">
        <v>5793</v>
      </c>
      <c r="I414" s="13" t="s">
        <v>5674</v>
      </c>
      <c r="L414" s="73"/>
    </row>
    <row r="415">
      <c r="A415" s="87" t="s">
        <v>6507</v>
      </c>
      <c r="B415" s="88" t="s">
        <v>6534</v>
      </c>
      <c r="C415" s="88" t="s">
        <v>6535</v>
      </c>
      <c r="D415" s="15"/>
      <c r="E415" s="15"/>
      <c r="F415" s="10" t="s">
        <v>6132</v>
      </c>
      <c r="G415" s="11" t="s">
        <v>5793</v>
      </c>
      <c r="I415" s="13" t="s">
        <v>5674</v>
      </c>
      <c r="L415" s="73"/>
    </row>
    <row r="416">
      <c r="A416" s="87" t="s">
        <v>6507</v>
      </c>
      <c r="B416" s="88" t="s">
        <v>6536</v>
      </c>
      <c r="C416" s="88" t="s">
        <v>6537</v>
      </c>
      <c r="D416" s="15"/>
      <c r="E416" s="15"/>
      <c r="F416" s="10" t="s">
        <v>6132</v>
      </c>
      <c r="G416" s="11" t="s">
        <v>5793</v>
      </c>
      <c r="I416" s="13" t="s">
        <v>5674</v>
      </c>
      <c r="L416" s="73"/>
    </row>
    <row r="417">
      <c r="A417" s="87" t="s">
        <v>6507</v>
      </c>
      <c r="B417" s="88" t="s">
        <v>6538</v>
      </c>
      <c r="C417" s="88" t="s">
        <v>6539</v>
      </c>
      <c r="D417" s="15"/>
      <c r="E417" s="15"/>
      <c r="F417" s="10" t="s">
        <v>6132</v>
      </c>
      <c r="G417" s="11" t="s">
        <v>5793</v>
      </c>
      <c r="I417" s="13" t="s">
        <v>5674</v>
      </c>
      <c r="L417" s="73"/>
    </row>
    <row r="418">
      <c r="A418" s="87" t="s">
        <v>6507</v>
      </c>
      <c r="B418" s="88" t="s">
        <v>6540</v>
      </c>
      <c r="C418" s="88" t="s">
        <v>6541</v>
      </c>
      <c r="D418" s="15"/>
      <c r="E418" s="15"/>
      <c r="F418" s="10" t="s">
        <v>6132</v>
      </c>
      <c r="G418" s="11" t="s">
        <v>5793</v>
      </c>
      <c r="I418" s="13" t="s">
        <v>5674</v>
      </c>
      <c r="L418" s="73"/>
    </row>
    <row r="419">
      <c r="A419" s="87" t="s">
        <v>6507</v>
      </c>
      <c r="B419" s="88" t="s">
        <v>6542</v>
      </c>
      <c r="C419" s="88" t="s">
        <v>6543</v>
      </c>
      <c r="D419" s="15"/>
      <c r="E419" s="15"/>
      <c r="F419" s="10" t="s">
        <v>6132</v>
      </c>
      <c r="G419" s="11" t="s">
        <v>5793</v>
      </c>
      <c r="I419" s="13" t="s">
        <v>5674</v>
      </c>
      <c r="L419" s="73"/>
    </row>
    <row r="420">
      <c r="A420" s="87" t="s">
        <v>6507</v>
      </c>
      <c r="B420" s="88" t="s">
        <v>6544</v>
      </c>
      <c r="C420" s="88" t="s">
        <v>6545</v>
      </c>
      <c r="D420" s="15"/>
      <c r="E420" s="15"/>
      <c r="F420" s="10" t="s">
        <v>6132</v>
      </c>
      <c r="G420" s="11" t="s">
        <v>5793</v>
      </c>
      <c r="I420" s="13" t="s">
        <v>5674</v>
      </c>
      <c r="L420" s="73"/>
    </row>
    <row r="421">
      <c r="A421" s="87" t="s">
        <v>6507</v>
      </c>
      <c r="B421" s="88" t="s">
        <v>6546</v>
      </c>
      <c r="C421" s="88" t="s">
        <v>6547</v>
      </c>
      <c r="D421" s="15"/>
      <c r="E421" s="15"/>
      <c r="F421" s="10" t="s">
        <v>6132</v>
      </c>
      <c r="G421" s="11" t="s">
        <v>5793</v>
      </c>
      <c r="I421" s="13" t="s">
        <v>5674</v>
      </c>
      <c r="L421" s="73"/>
    </row>
    <row r="422">
      <c r="A422" s="87" t="s">
        <v>6507</v>
      </c>
      <c r="B422" s="88" t="s">
        <v>6548</v>
      </c>
      <c r="C422" s="88" t="s">
        <v>6549</v>
      </c>
      <c r="D422" s="15"/>
      <c r="E422" s="15"/>
      <c r="F422" s="10" t="s">
        <v>6132</v>
      </c>
      <c r="G422" s="11" t="s">
        <v>5793</v>
      </c>
      <c r="I422" s="13" t="s">
        <v>5674</v>
      </c>
      <c r="L422" s="73"/>
    </row>
    <row r="423">
      <c r="A423" s="87" t="s">
        <v>6507</v>
      </c>
      <c r="B423" s="88" t="s">
        <v>6550</v>
      </c>
      <c r="C423" s="88" t="s">
        <v>6551</v>
      </c>
      <c r="D423" s="15"/>
      <c r="E423" s="15"/>
      <c r="F423" s="10" t="s">
        <v>6132</v>
      </c>
      <c r="G423" s="11" t="s">
        <v>5793</v>
      </c>
      <c r="I423" s="13" t="s">
        <v>5674</v>
      </c>
      <c r="L423" s="73"/>
    </row>
    <row r="424">
      <c r="A424" s="87" t="s">
        <v>6507</v>
      </c>
      <c r="B424" s="88" t="s">
        <v>6552</v>
      </c>
      <c r="C424" s="88" t="s">
        <v>6553</v>
      </c>
      <c r="D424" s="15"/>
      <c r="E424" s="15"/>
      <c r="F424" s="10" t="s">
        <v>6132</v>
      </c>
      <c r="G424" s="11" t="s">
        <v>5793</v>
      </c>
      <c r="I424" s="13" t="s">
        <v>5674</v>
      </c>
      <c r="L424" s="73"/>
    </row>
    <row r="425">
      <c r="A425" s="87" t="s">
        <v>6507</v>
      </c>
      <c r="B425" s="88" t="s">
        <v>6554</v>
      </c>
      <c r="C425" s="88" t="s">
        <v>6555</v>
      </c>
      <c r="D425" s="15"/>
      <c r="E425" s="15"/>
      <c r="F425" s="10" t="s">
        <v>6132</v>
      </c>
      <c r="G425" s="11" t="s">
        <v>5793</v>
      </c>
      <c r="I425" s="13" t="s">
        <v>5674</v>
      </c>
      <c r="L425" s="73"/>
    </row>
    <row r="426">
      <c r="A426" s="87" t="s">
        <v>6507</v>
      </c>
      <c r="B426" s="88" t="s">
        <v>6556</v>
      </c>
      <c r="C426" s="88" t="s">
        <v>6557</v>
      </c>
      <c r="D426" s="15"/>
      <c r="E426" s="15"/>
      <c r="F426" s="10" t="s">
        <v>6132</v>
      </c>
      <c r="G426" s="11" t="s">
        <v>5793</v>
      </c>
      <c r="I426" s="13" t="s">
        <v>5674</v>
      </c>
      <c r="L426" s="73"/>
    </row>
    <row r="427">
      <c r="A427" s="87" t="s">
        <v>6507</v>
      </c>
      <c r="B427" s="88" t="s">
        <v>6558</v>
      </c>
      <c r="C427" s="88" t="s">
        <v>6559</v>
      </c>
      <c r="D427" s="15"/>
      <c r="E427" s="15"/>
      <c r="F427" s="10" t="s">
        <v>6132</v>
      </c>
      <c r="G427" s="11" t="s">
        <v>5793</v>
      </c>
      <c r="I427" s="13" t="s">
        <v>5674</v>
      </c>
      <c r="L427" s="73"/>
    </row>
    <row r="428">
      <c r="A428" s="87" t="s">
        <v>6507</v>
      </c>
      <c r="B428" s="88" t="s">
        <v>6560</v>
      </c>
      <c r="C428" s="13" t="s">
        <v>6527</v>
      </c>
      <c r="D428" s="15"/>
      <c r="E428" s="15"/>
      <c r="F428" s="10" t="s">
        <v>6132</v>
      </c>
      <c r="G428" s="11" t="s">
        <v>5793</v>
      </c>
      <c r="I428" s="13" t="s">
        <v>5674</v>
      </c>
      <c r="L428" s="73"/>
    </row>
    <row r="429">
      <c r="A429" s="87" t="s">
        <v>6507</v>
      </c>
      <c r="B429" s="88" t="s">
        <v>6561</v>
      </c>
      <c r="C429" s="13" t="s">
        <v>6527</v>
      </c>
      <c r="D429" s="15"/>
      <c r="E429" s="15"/>
      <c r="F429" s="10" t="s">
        <v>6132</v>
      </c>
      <c r="G429" s="11" t="s">
        <v>5793</v>
      </c>
      <c r="I429" s="13" t="s">
        <v>5674</v>
      </c>
      <c r="L429" s="73"/>
    </row>
    <row r="430">
      <c r="A430" s="87" t="s">
        <v>6507</v>
      </c>
      <c r="B430" s="88" t="s">
        <v>6562</v>
      </c>
      <c r="C430" s="13" t="s">
        <v>6527</v>
      </c>
      <c r="D430" s="15"/>
      <c r="E430" s="15"/>
      <c r="F430" s="10" t="s">
        <v>6132</v>
      </c>
      <c r="G430" s="11" t="s">
        <v>5793</v>
      </c>
      <c r="I430" s="13" t="s">
        <v>5674</v>
      </c>
      <c r="L430" s="73"/>
    </row>
    <row r="431">
      <c r="A431" s="87" t="s">
        <v>6563</v>
      </c>
      <c r="B431" s="88" t="s">
        <v>6564</v>
      </c>
      <c r="C431" s="88" t="s">
        <v>6565</v>
      </c>
      <c r="D431" s="10"/>
      <c r="E431" s="10"/>
      <c r="F431" s="10" t="s">
        <v>6132</v>
      </c>
      <c r="G431" s="11" t="s">
        <v>5793</v>
      </c>
      <c r="I431" s="13" t="s">
        <v>5674</v>
      </c>
      <c r="L431" s="73"/>
    </row>
    <row r="432">
      <c r="A432" s="87" t="s">
        <v>6563</v>
      </c>
      <c r="B432" s="88" t="s">
        <v>6566</v>
      </c>
      <c r="C432" s="88" t="s">
        <v>6567</v>
      </c>
      <c r="D432" s="10"/>
      <c r="E432" s="10"/>
      <c r="F432" s="10" t="s">
        <v>6132</v>
      </c>
      <c r="G432" s="11" t="s">
        <v>5793</v>
      </c>
      <c r="I432" s="13" t="s">
        <v>5674</v>
      </c>
      <c r="L432" s="73"/>
    </row>
    <row r="433">
      <c r="A433" s="87" t="s">
        <v>6563</v>
      </c>
      <c r="B433" s="88" t="s">
        <v>6568</v>
      </c>
      <c r="C433" s="88" t="s">
        <v>6569</v>
      </c>
      <c r="D433" s="10"/>
      <c r="E433" s="10"/>
      <c r="F433" s="10" t="s">
        <v>6132</v>
      </c>
      <c r="G433" s="11" t="s">
        <v>5793</v>
      </c>
      <c r="I433" s="13" t="s">
        <v>5674</v>
      </c>
      <c r="L433" s="73"/>
    </row>
    <row r="434">
      <c r="A434" s="87" t="s">
        <v>6563</v>
      </c>
      <c r="B434" s="88" t="s">
        <v>6570</v>
      </c>
      <c r="C434" s="88" t="s">
        <v>6571</v>
      </c>
      <c r="D434" s="10"/>
      <c r="E434" s="10"/>
      <c r="F434" s="10" t="s">
        <v>6132</v>
      </c>
      <c r="G434" s="11" t="s">
        <v>5793</v>
      </c>
      <c r="I434" s="13" t="s">
        <v>5674</v>
      </c>
      <c r="L434" s="73"/>
    </row>
    <row r="435">
      <c r="A435" s="87" t="s">
        <v>6563</v>
      </c>
      <c r="B435" s="88" t="s">
        <v>6572</v>
      </c>
      <c r="C435" s="88" t="s">
        <v>6573</v>
      </c>
      <c r="D435" s="10"/>
      <c r="E435" s="10"/>
      <c r="F435" s="10" t="s">
        <v>6132</v>
      </c>
      <c r="G435" s="11" t="s">
        <v>5793</v>
      </c>
      <c r="I435" s="13" t="s">
        <v>5674</v>
      </c>
      <c r="L435" s="73"/>
    </row>
    <row r="436">
      <c r="A436" s="87" t="s">
        <v>6492</v>
      </c>
      <c r="B436" s="88" t="s">
        <v>6574</v>
      </c>
      <c r="C436" s="88" t="s">
        <v>6575</v>
      </c>
      <c r="D436" s="10"/>
      <c r="E436" s="10"/>
      <c r="F436" s="10" t="s">
        <v>6132</v>
      </c>
      <c r="G436" s="11" t="s">
        <v>5793</v>
      </c>
      <c r="I436" s="13" t="s">
        <v>5674</v>
      </c>
      <c r="L436" s="73"/>
    </row>
    <row r="437">
      <c r="A437" s="87" t="s">
        <v>6563</v>
      </c>
      <c r="B437" s="88" t="s">
        <v>6576</v>
      </c>
      <c r="C437" s="88" t="s">
        <v>6577</v>
      </c>
      <c r="D437" s="10"/>
      <c r="E437" s="10"/>
      <c r="F437" s="10" t="s">
        <v>6132</v>
      </c>
      <c r="G437" s="11" t="s">
        <v>5793</v>
      </c>
      <c r="I437" s="13" t="s">
        <v>5674</v>
      </c>
      <c r="L437" s="73"/>
    </row>
    <row r="438">
      <c r="A438" s="87" t="s">
        <v>6563</v>
      </c>
      <c r="B438" s="88" t="s">
        <v>6578</v>
      </c>
      <c r="C438" s="88" t="s">
        <v>6579</v>
      </c>
      <c r="D438" s="10"/>
      <c r="E438" s="10"/>
      <c r="F438" s="10" t="s">
        <v>6132</v>
      </c>
      <c r="G438" s="11" t="s">
        <v>5793</v>
      </c>
      <c r="I438" s="13" t="s">
        <v>5674</v>
      </c>
      <c r="L438" s="73"/>
    </row>
    <row r="439">
      <c r="A439" s="87" t="s">
        <v>6563</v>
      </c>
      <c r="B439" s="88" t="s">
        <v>6580</v>
      </c>
      <c r="C439" s="88" t="s">
        <v>6581</v>
      </c>
      <c r="D439" s="10"/>
      <c r="E439" s="10"/>
      <c r="F439" s="10" t="s">
        <v>6132</v>
      </c>
      <c r="G439" s="11" t="s">
        <v>5793</v>
      </c>
      <c r="I439" s="13" t="s">
        <v>5674</v>
      </c>
      <c r="L439" s="73"/>
    </row>
    <row r="440">
      <c r="A440" s="87" t="s">
        <v>6563</v>
      </c>
      <c r="B440" s="88" t="s">
        <v>6582</v>
      </c>
      <c r="C440" s="88" t="s">
        <v>6583</v>
      </c>
      <c r="D440" s="10"/>
      <c r="E440" s="10"/>
      <c r="F440" s="10" t="s">
        <v>6132</v>
      </c>
      <c r="G440" s="11" t="s">
        <v>5793</v>
      </c>
      <c r="I440" s="13" t="s">
        <v>5674</v>
      </c>
      <c r="L440" s="73"/>
    </row>
    <row r="441">
      <c r="A441" s="87" t="s">
        <v>6563</v>
      </c>
      <c r="B441" s="88" t="s">
        <v>6584</v>
      </c>
      <c r="C441" s="88" t="s">
        <v>6585</v>
      </c>
      <c r="D441" s="10"/>
      <c r="E441" s="10"/>
      <c r="F441" s="10" t="s">
        <v>6132</v>
      </c>
      <c r="G441" s="11" t="s">
        <v>5793</v>
      </c>
      <c r="I441" s="13" t="s">
        <v>5674</v>
      </c>
      <c r="L441" s="73"/>
    </row>
    <row r="442">
      <c r="A442" s="87" t="s">
        <v>6563</v>
      </c>
      <c r="B442" s="88" t="s">
        <v>6586</v>
      </c>
      <c r="C442" s="88" t="s">
        <v>6587</v>
      </c>
      <c r="D442" s="10"/>
      <c r="E442" s="10"/>
      <c r="F442" s="10" t="s">
        <v>6132</v>
      </c>
      <c r="G442" s="11" t="s">
        <v>5793</v>
      </c>
      <c r="I442" s="13" t="s">
        <v>5674</v>
      </c>
      <c r="L442" s="73"/>
    </row>
    <row r="443">
      <c r="A443" s="87" t="s">
        <v>6563</v>
      </c>
      <c r="B443" s="88" t="s">
        <v>6588</v>
      </c>
      <c r="C443" s="88" t="s">
        <v>6589</v>
      </c>
      <c r="D443" s="10"/>
      <c r="E443" s="10"/>
      <c r="F443" s="10" t="s">
        <v>6132</v>
      </c>
      <c r="G443" s="11" t="s">
        <v>5793</v>
      </c>
      <c r="I443" s="13" t="s">
        <v>5674</v>
      </c>
      <c r="L443" s="73"/>
    </row>
    <row r="444">
      <c r="A444" s="87" t="s">
        <v>6563</v>
      </c>
      <c r="B444" s="88" t="s">
        <v>6514</v>
      </c>
      <c r="C444" s="88" t="s">
        <v>6590</v>
      </c>
      <c r="D444" s="10"/>
      <c r="E444" s="10"/>
      <c r="F444" s="10" t="s">
        <v>6132</v>
      </c>
      <c r="G444" s="11" t="s">
        <v>5793</v>
      </c>
      <c r="I444" s="13" t="s">
        <v>5674</v>
      </c>
      <c r="L444" s="73"/>
    </row>
    <row r="445">
      <c r="A445" s="87" t="s">
        <v>6563</v>
      </c>
      <c r="B445" s="88" t="s">
        <v>6591</v>
      </c>
      <c r="C445" s="88" t="s">
        <v>6592</v>
      </c>
      <c r="D445" s="10"/>
      <c r="E445" s="10"/>
      <c r="F445" s="10" t="s">
        <v>6132</v>
      </c>
      <c r="G445" s="11" t="s">
        <v>5793</v>
      </c>
      <c r="I445" s="13" t="s">
        <v>5674</v>
      </c>
      <c r="L445" s="73"/>
    </row>
    <row r="446">
      <c r="A446" s="87" t="s">
        <v>6563</v>
      </c>
      <c r="B446" s="88" t="s">
        <v>6593</v>
      </c>
      <c r="C446" s="88" t="s">
        <v>6594</v>
      </c>
      <c r="D446" s="10"/>
      <c r="E446" s="10"/>
      <c r="F446" s="10" t="s">
        <v>6132</v>
      </c>
      <c r="G446" s="11" t="s">
        <v>5793</v>
      </c>
      <c r="I446" s="13" t="s">
        <v>5674</v>
      </c>
      <c r="L446" s="73"/>
    </row>
    <row r="447">
      <c r="A447" s="87" t="s">
        <v>6563</v>
      </c>
      <c r="B447" s="88" t="s">
        <v>6595</v>
      </c>
      <c r="C447" s="88" t="s">
        <v>6596</v>
      </c>
      <c r="D447" s="10"/>
      <c r="E447" s="10"/>
      <c r="F447" s="10" t="s">
        <v>6132</v>
      </c>
      <c r="G447" s="11" t="s">
        <v>5793</v>
      </c>
      <c r="I447" s="13" t="s">
        <v>5674</v>
      </c>
      <c r="L447" s="73"/>
    </row>
    <row r="448">
      <c r="A448" s="87" t="s">
        <v>6563</v>
      </c>
      <c r="B448" s="88" t="s">
        <v>6597</v>
      </c>
      <c r="C448" s="88" t="s">
        <v>6598</v>
      </c>
      <c r="D448" s="10"/>
      <c r="E448" s="10"/>
      <c r="F448" s="10" t="s">
        <v>6132</v>
      </c>
      <c r="G448" s="11" t="s">
        <v>5793</v>
      </c>
      <c r="I448" s="13" t="s">
        <v>5674</v>
      </c>
      <c r="L448" s="73"/>
    </row>
    <row r="449">
      <c r="A449" s="87" t="s">
        <v>6563</v>
      </c>
      <c r="B449" s="88" t="s">
        <v>6599</v>
      </c>
      <c r="C449" s="88" t="s">
        <v>6600</v>
      </c>
      <c r="D449" s="10"/>
      <c r="E449" s="10"/>
      <c r="F449" s="10" t="s">
        <v>6132</v>
      </c>
      <c r="G449" s="11" t="s">
        <v>5793</v>
      </c>
      <c r="I449" s="13" t="s">
        <v>5674</v>
      </c>
      <c r="L449" s="73"/>
    </row>
    <row r="450">
      <c r="A450" s="87" t="s">
        <v>6563</v>
      </c>
      <c r="B450" s="88" t="s">
        <v>6601</v>
      </c>
      <c r="C450" s="88" t="s">
        <v>6602</v>
      </c>
      <c r="D450" s="10"/>
      <c r="E450" s="10"/>
      <c r="F450" s="10" t="s">
        <v>6132</v>
      </c>
      <c r="G450" s="11" t="s">
        <v>5793</v>
      </c>
      <c r="I450" s="13" t="s">
        <v>5674</v>
      </c>
      <c r="L450" s="73"/>
    </row>
    <row r="451">
      <c r="A451" s="87" t="s">
        <v>6563</v>
      </c>
      <c r="B451" s="88" t="s">
        <v>6603</v>
      </c>
      <c r="C451" s="88" t="s">
        <v>6604</v>
      </c>
      <c r="D451" s="10"/>
      <c r="E451" s="10"/>
      <c r="F451" s="10" t="s">
        <v>6132</v>
      </c>
      <c r="G451" s="11" t="s">
        <v>5793</v>
      </c>
      <c r="I451" s="13" t="s">
        <v>5674</v>
      </c>
      <c r="L451" s="73"/>
    </row>
    <row r="452">
      <c r="A452" s="87" t="s">
        <v>6563</v>
      </c>
      <c r="B452" s="88" t="s">
        <v>6605</v>
      </c>
      <c r="C452" s="88" t="s">
        <v>6606</v>
      </c>
      <c r="D452" s="10"/>
      <c r="E452" s="10"/>
      <c r="F452" s="10" t="s">
        <v>6132</v>
      </c>
      <c r="G452" s="11" t="s">
        <v>5793</v>
      </c>
      <c r="I452" s="13" t="s">
        <v>5674</v>
      </c>
      <c r="L452" s="73"/>
    </row>
    <row r="453">
      <c r="A453" s="87" t="s">
        <v>6563</v>
      </c>
      <c r="B453" s="88" t="s">
        <v>6607</v>
      </c>
      <c r="C453" s="88" t="s">
        <v>6608</v>
      </c>
      <c r="D453" s="10"/>
      <c r="E453" s="10"/>
      <c r="F453" s="10" t="s">
        <v>6132</v>
      </c>
      <c r="G453" s="11" t="s">
        <v>5793</v>
      </c>
      <c r="I453" s="13" t="s">
        <v>5674</v>
      </c>
      <c r="L453" s="73"/>
    </row>
    <row r="454">
      <c r="A454" s="87" t="s">
        <v>6563</v>
      </c>
      <c r="B454" s="88" t="s">
        <v>6609</v>
      </c>
      <c r="C454" s="88" t="s">
        <v>6610</v>
      </c>
      <c r="D454" s="10"/>
      <c r="E454" s="10"/>
      <c r="F454" s="10" t="s">
        <v>6132</v>
      </c>
      <c r="G454" s="11" t="s">
        <v>5793</v>
      </c>
      <c r="I454" s="13" t="s">
        <v>5674</v>
      </c>
      <c r="L454" s="73"/>
    </row>
    <row r="455">
      <c r="A455" s="87" t="s">
        <v>6563</v>
      </c>
      <c r="B455" s="88" t="s">
        <v>6611</v>
      </c>
      <c r="C455" s="88" t="s">
        <v>6612</v>
      </c>
      <c r="D455" s="10"/>
      <c r="E455" s="10"/>
      <c r="F455" s="10" t="s">
        <v>6132</v>
      </c>
      <c r="G455" s="11" t="s">
        <v>5793</v>
      </c>
      <c r="I455" s="13" t="s">
        <v>5674</v>
      </c>
      <c r="L455" s="73"/>
    </row>
    <row r="456">
      <c r="A456" s="87" t="s">
        <v>6563</v>
      </c>
      <c r="B456" s="88" t="s">
        <v>6613</v>
      </c>
      <c r="C456" s="88" t="s">
        <v>6614</v>
      </c>
      <c r="D456" s="10"/>
      <c r="E456" s="10"/>
      <c r="F456" s="10" t="s">
        <v>6132</v>
      </c>
      <c r="G456" s="11" t="s">
        <v>5793</v>
      </c>
      <c r="I456" s="13" t="s">
        <v>5674</v>
      </c>
      <c r="L456" s="73"/>
    </row>
    <row r="457">
      <c r="A457" s="87" t="s">
        <v>6563</v>
      </c>
      <c r="B457" s="88" t="s">
        <v>6615</v>
      </c>
      <c r="C457" s="88" t="s">
        <v>6616</v>
      </c>
      <c r="D457" s="10"/>
      <c r="E457" s="10"/>
      <c r="F457" s="10" t="s">
        <v>6132</v>
      </c>
      <c r="G457" s="11" t="s">
        <v>5793</v>
      </c>
      <c r="I457" s="13" t="s">
        <v>5674</v>
      </c>
      <c r="L457" s="73"/>
    </row>
    <row r="458">
      <c r="A458" s="87" t="s">
        <v>6563</v>
      </c>
      <c r="B458" s="88" t="s">
        <v>6617</v>
      </c>
      <c r="C458" s="88" t="s">
        <v>6618</v>
      </c>
      <c r="D458" s="10"/>
      <c r="E458" s="10"/>
      <c r="F458" s="10" t="s">
        <v>6132</v>
      </c>
      <c r="G458" s="11" t="s">
        <v>5793</v>
      </c>
      <c r="I458" s="13" t="s">
        <v>5674</v>
      </c>
      <c r="L458" s="73"/>
    </row>
    <row r="459">
      <c r="A459" s="87" t="s">
        <v>6563</v>
      </c>
      <c r="B459" s="88" t="s">
        <v>6619</v>
      </c>
      <c r="C459" s="13" t="s">
        <v>6527</v>
      </c>
      <c r="D459" s="15"/>
      <c r="E459" s="15"/>
      <c r="F459" s="10" t="s">
        <v>6132</v>
      </c>
      <c r="G459" s="11" t="s">
        <v>5793</v>
      </c>
      <c r="I459" s="13" t="s">
        <v>5674</v>
      </c>
      <c r="L459" s="73"/>
    </row>
    <row r="460">
      <c r="A460" s="87" t="s">
        <v>6620</v>
      </c>
      <c r="B460" s="88" t="s">
        <v>6621</v>
      </c>
      <c r="C460" s="88" t="s">
        <v>6622</v>
      </c>
      <c r="D460" s="15"/>
      <c r="E460" s="15"/>
      <c r="F460" s="10" t="s">
        <v>6132</v>
      </c>
      <c r="G460" s="11" t="s">
        <v>5793</v>
      </c>
      <c r="I460" s="13" t="s">
        <v>5674</v>
      </c>
      <c r="L460" s="73"/>
    </row>
    <row r="461">
      <c r="A461" s="87" t="s">
        <v>6620</v>
      </c>
      <c r="B461" s="88" t="s">
        <v>6623</v>
      </c>
      <c r="C461" s="88" t="s">
        <v>6624</v>
      </c>
      <c r="D461" s="15"/>
      <c r="E461" s="15"/>
      <c r="F461" s="10" t="s">
        <v>6132</v>
      </c>
      <c r="G461" s="11" t="s">
        <v>5793</v>
      </c>
      <c r="I461" s="13" t="s">
        <v>5674</v>
      </c>
      <c r="L461" s="73"/>
    </row>
    <row r="462">
      <c r="A462" s="87" t="s">
        <v>6620</v>
      </c>
      <c r="B462" s="88" t="s">
        <v>6625</v>
      </c>
      <c r="C462" s="88" t="s">
        <v>6626</v>
      </c>
      <c r="D462" s="15"/>
      <c r="E462" s="15"/>
      <c r="F462" s="10" t="s">
        <v>6132</v>
      </c>
      <c r="G462" s="11" t="s">
        <v>5793</v>
      </c>
      <c r="I462" s="13" t="s">
        <v>5674</v>
      </c>
      <c r="L462" s="73"/>
    </row>
    <row r="463">
      <c r="A463" s="87" t="s">
        <v>6620</v>
      </c>
      <c r="B463" s="89" t="s">
        <v>6627</v>
      </c>
      <c r="C463" s="88" t="s">
        <v>6628</v>
      </c>
      <c r="D463" s="15"/>
      <c r="E463" s="15"/>
      <c r="F463" s="10" t="s">
        <v>6132</v>
      </c>
      <c r="G463" s="11" t="s">
        <v>5793</v>
      </c>
      <c r="I463" s="13" t="s">
        <v>5674</v>
      </c>
      <c r="L463" s="73"/>
    </row>
    <row r="464">
      <c r="A464" s="87" t="s">
        <v>6620</v>
      </c>
      <c r="B464" s="88" t="s">
        <v>6629</v>
      </c>
      <c r="C464" s="88" t="s">
        <v>6630</v>
      </c>
      <c r="D464" s="15"/>
      <c r="E464" s="15"/>
      <c r="F464" s="10" t="s">
        <v>6132</v>
      </c>
      <c r="G464" s="11" t="s">
        <v>5793</v>
      </c>
      <c r="I464" s="13" t="s">
        <v>5674</v>
      </c>
      <c r="L464" s="73"/>
    </row>
    <row r="465">
      <c r="A465" s="87" t="s">
        <v>6620</v>
      </c>
      <c r="B465" s="88" t="s">
        <v>6631</v>
      </c>
      <c r="C465" s="88" t="s">
        <v>6632</v>
      </c>
      <c r="D465" s="15"/>
      <c r="E465" s="15"/>
      <c r="F465" s="10" t="s">
        <v>6132</v>
      </c>
      <c r="G465" s="11" t="s">
        <v>5793</v>
      </c>
      <c r="I465" s="13" t="s">
        <v>5674</v>
      </c>
      <c r="L465" s="73"/>
    </row>
    <row r="466">
      <c r="A466" s="87" t="s">
        <v>6620</v>
      </c>
      <c r="B466" s="88" t="s">
        <v>6633</v>
      </c>
      <c r="C466" s="88" t="s">
        <v>6634</v>
      </c>
      <c r="D466" s="15"/>
      <c r="E466" s="15"/>
      <c r="F466" s="10" t="s">
        <v>6132</v>
      </c>
      <c r="G466" s="11" t="s">
        <v>5793</v>
      </c>
      <c r="I466" s="13" t="s">
        <v>5674</v>
      </c>
      <c r="L466" s="73"/>
    </row>
    <row r="467">
      <c r="A467" s="87" t="s">
        <v>6620</v>
      </c>
      <c r="B467" s="88" t="s">
        <v>6635</v>
      </c>
      <c r="C467" s="88" t="s">
        <v>6636</v>
      </c>
      <c r="D467" s="15"/>
      <c r="E467" s="15"/>
      <c r="F467" s="10" t="s">
        <v>6132</v>
      </c>
      <c r="G467" s="11" t="s">
        <v>5793</v>
      </c>
      <c r="I467" s="13" t="s">
        <v>5674</v>
      </c>
      <c r="L467" s="73"/>
    </row>
    <row r="468">
      <c r="A468" s="87" t="s">
        <v>6620</v>
      </c>
      <c r="B468" s="88" t="s">
        <v>6637</v>
      </c>
      <c r="C468" s="88" t="s">
        <v>6638</v>
      </c>
      <c r="D468" s="15"/>
      <c r="E468" s="15"/>
      <c r="F468" s="10" t="s">
        <v>6132</v>
      </c>
      <c r="G468" s="11" t="s">
        <v>5793</v>
      </c>
      <c r="I468" s="13" t="s">
        <v>5674</v>
      </c>
      <c r="L468" s="73"/>
    </row>
    <row r="469">
      <c r="A469" s="87" t="s">
        <v>6620</v>
      </c>
      <c r="B469" s="88" t="s">
        <v>6639</v>
      </c>
      <c r="C469" s="88" t="s">
        <v>6640</v>
      </c>
      <c r="D469" s="15"/>
      <c r="E469" s="15"/>
      <c r="F469" s="10" t="s">
        <v>6132</v>
      </c>
      <c r="G469" s="11" t="s">
        <v>5793</v>
      </c>
      <c r="I469" s="13" t="s">
        <v>5674</v>
      </c>
      <c r="L469" s="73"/>
    </row>
    <row r="470">
      <c r="A470" s="87" t="s">
        <v>6620</v>
      </c>
      <c r="B470" s="88" t="s">
        <v>6641</v>
      </c>
      <c r="C470" s="88" t="s">
        <v>6642</v>
      </c>
      <c r="D470" s="15"/>
      <c r="E470" s="15"/>
      <c r="F470" s="10" t="s">
        <v>6132</v>
      </c>
      <c r="G470" s="11" t="s">
        <v>5793</v>
      </c>
      <c r="I470" s="13" t="s">
        <v>5674</v>
      </c>
      <c r="L470" s="73"/>
    </row>
    <row r="471">
      <c r="A471" s="87" t="s">
        <v>6620</v>
      </c>
      <c r="B471" s="88" t="s">
        <v>6643</v>
      </c>
      <c r="C471" s="88" t="s">
        <v>6644</v>
      </c>
      <c r="D471" s="15"/>
      <c r="E471" s="15"/>
      <c r="F471" s="10" t="s">
        <v>6132</v>
      </c>
      <c r="G471" s="11" t="s">
        <v>5793</v>
      </c>
      <c r="I471" s="13" t="s">
        <v>5674</v>
      </c>
      <c r="L471" s="73"/>
    </row>
    <row r="472">
      <c r="A472" s="87" t="s">
        <v>6620</v>
      </c>
      <c r="B472" s="88" t="s">
        <v>6645</v>
      </c>
      <c r="C472" s="88" t="s">
        <v>6646</v>
      </c>
      <c r="D472" s="15"/>
      <c r="E472" s="15"/>
      <c r="F472" s="10" t="s">
        <v>6132</v>
      </c>
      <c r="G472" s="11" t="s">
        <v>5793</v>
      </c>
      <c r="I472" s="13" t="s">
        <v>5674</v>
      </c>
      <c r="L472" s="73"/>
    </row>
    <row r="473">
      <c r="A473" s="87" t="s">
        <v>6620</v>
      </c>
      <c r="B473" s="88" t="s">
        <v>6647</v>
      </c>
      <c r="C473" s="88" t="s">
        <v>6648</v>
      </c>
      <c r="D473" s="15"/>
      <c r="E473" s="15"/>
      <c r="F473" s="10" t="s">
        <v>6132</v>
      </c>
      <c r="G473" s="11" t="s">
        <v>5793</v>
      </c>
      <c r="I473" s="13" t="s">
        <v>5674</v>
      </c>
      <c r="L473" s="73"/>
    </row>
    <row r="474">
      <c r="A474" s="87" t="s">
        <v>6620</v>
      </c>
      <c r="B474" s="88" t="s">
        <v>6649</v>
      </c>
      <c r="C474" s="88" t="s">
        <v>6650</v>
      </c>
      <c r="D474" s="15"/>
      <c r="E474" s="15"/>
      <c r="F474" s="10" t="s">
        <v>6132</v>
      </c>
      <c r="G474" s="11" t="s">
        <v>5793</v>
      </c>
      <c r="I474" s="13" t="s">
        <v>5674</v>
      </c>
      <c r="L474" s="73"/>
    </row>
    <row r="475">
      <c r="A475" s="87" t="s">
        <v>6620</v>
      </c>
      <c r="B475" s="88" t="s">
        <v>6651</v>
      </c>
      <c r="C475" s="88" t="s">
        <v>6652</v>
      </c>
      <c r="D475" s="15"/>
      <c r="E475" s="15"/>
      <c r="F475" s="10" t="s">
        <v>6132</v>
      </c>
      <c r="G475" s="11" t="s">
        <v>5793</v>
      </c>
      <c r="I475" s="13" t="s">
        <v>5674</v>
      </c>
      <c r="L475" s="73"/>
    </row>
    <row r="476">
      <c r="A476" s="87" t="s">
        <v>6620</v>
      </c>
      <c r="B476" s="88" t="s">
        <v>6653</v>
      </c>
      <c r="C476" s="88" t="s">
        <v>6654</v>
      </c>
      <c r="D476" s="15"/>
      <c r="E476" s="15"/>
      <c r="F476" s="10" t="s">
        <v>6132</v>
      </c>
      <c r="G476" s="11" t="s">
        <v>5793</v>
      </c>
      <c r="I476" s="13" t="s">
        <v>5674</v>
      </c>
      <c r="L476" s="73"/>
    </row>
    <row r="477">
      <c r="A477" s="87" t="s">
        <v>6620</v>
      </c>
      <c r="B477" s="88" t="s">
        <v>6655</v>
      </c>
      <c r="C477" s="88" t="s">
        <v>6656</v>
      </c>
      <c r="D477" s="15"/>
      <c r="E477" s="15"/>
      <c r="F477" s="10" t="s">
        <v>6132</v>
      </c>
      <c r="G477" s="11" t="s">
        <v>5793</v>
      </c>
      <c r="I477" s="13" t="s">
        <v>5674</v>
      </c>
      <c r="L477" s="73"/>
    </row>
    <row r="478">
      <c r="A478" s="87" t="s">
        <v>6620</v>
      </c>
      <c r="B478" s="88" t="s">
        <v>6657</v>
      </c>
      <c r="C478" s="88" t="s">
        <v>6658</v>
      </c>
      <c r="D478" s="15"/>
      <c r="E478" s="15"/>
      <c r="F478" s="10" t="s">
        <v>6132</v>
      </c>
      <c r="G478" s="11" t="s">
        <v>5793</v>
      </c>
      <c r="I478" s="13" t="s">
        <v>5674</v>
      </c>
      <c r="L478" s="73"/>
    </row>
    <row r="479">
      <c r="A479" s="87" t="s">
        <v>6620</v>
      </c>
      <c r="B479" s="88" t="s">
        <v>6659</v>
      </c>
      <c r="C479" s="88" t="s">
        <v>6660</v>
      </c>
      <c r="D479" s="15"/>
      <c r="E479" s="15"/>
      <c r="F479" s="10" t="s">
        <v>6132</v>
      </c>
      <c r="G479" s="11" t="s">
        <v>5793</v>
      </c>
      <c r="I479" s="13" t="s">
        <v>5674</v>
      </c>
      <c r="L479" s="73"/>
    </row>
    <row r="480">
      <c r="A480" s="87" t="s">
        <v>6620</v>
      </c>
      <c r="B480" s="88" t="s">
        <v>6661</v>
      </c>
      <c r="C480" s="88" t="s">
        <v>6662</v>
      </c>
      <c r="D480" s="15"/>
      <c r="E480" s="15"/>
      <c r="F480" s="10" t="s">
        <v>6132</v>
      </c>
      <c r="G480" s="11" t="s">
        <v>5793</v>
      </c>
      <c r="I480" s="13" t="s">
        <v>5674</v>
      </c>
      <c r="L480" s="73"/>
    </row>
    <row r="481">
      <c r="A481" s="87" t="s">
        <v>6620</v>
      </c>
      <c r="B481" s="88" t="s">
        <v>6663</v>
      </c>
      <c r="C481" s="88" t="s">
        <v>6664</v>
      </c>
      <c r="D481" s="15"/>
      <c r="E481" s="15"/>
      <c r="F481" s="10" t="s">
        <v>6132</v>
      </c>
      <c r="G481" s="11" t="s">
        <v>5793</v>
      </c>
      <c r="I481" s="13" t="s">
        <v>5674</v>
      </c>
      <c r="L481" s="73"/>
    </row>
    <row r="482">
      <c r="A482" s="87" t="s">
        <v>6620</v>
      </c>
      <c r="B482" s="88" t="s">
        <v>6665</v>
      </c>
      <c r="C482" s="88" t="s">
        <v>6666</v>
      </c>
      <c r="D482" s="15"/>
      <c r="E482" s="15"/>
      <c r="F482" s="10" t="s">
        <v>6132</v>
      </c>
      <c r="G482" s="11" t="s">
        <v>5793</v>
      </c>
      <c r="I482" s="13" t="s">
        <v>5674</v>
      </c>
      <c r="L482" s="73"/>
    </row>
    <row r="483">
      <c r="A483" s="87" t="s">
        <v>6620</v>
      </c>
      <c r="B483" s="88" t="s">
        <v>6667</v>
      </c>
      <c r="C483" s="88" t="s">
        <v>6668</v>
      </c>
      <c r="D483" s="15"/>
      <c r="E483" s="15"/>
      <c r="F483" s="10" t="s">
        <v>6132</v>
      </c>
      <c r="G483" s="11" t="s">
        <v>5793</v>
      </c>
      <c r="I483" s="13" t="s">
        <v>5674</v>
      </c>
      <c r="L483" s="73"/>
    </row>
    <row r="484">
      <c r="A484" s="87" t="s">
        <v>6620</v>
      </c>
      <c r="B484" s="88" t="s">
        <v>6669</v>
      </c>
      <c r="C484" s="88" t="s">
        <v>6670</v>
      </c>
      <c r="D484" s="15"/>
      <c r="E484" s="15"/>
      <c r="F484" s="10" t="s">
        <v>6132</v>
      </c>
      <c r="G484" s="11" t="s">
        <v>5793</v>
      </c>
      <c r="I484" s="13" t="s">
        <v>5674</v>
      </c>
      <c r="L484" s="73"/>
    </row>
    <row r="485">
      <c r="A485" s="87" t="s">
        <v>6620</v>
      </c>
      <c r="B485" s="88" t="s">
        <v>6671</v>
      </c>
      <c r="C485" s="88" t="s">
        <v>6672</v>
      </c>
      <c r="D485" s="15"/>
      <c r="E485" s="15"/>
      <c r="F485" s="10" t="s">
        <v>6132</v>
      </c>
      <c r="G485" s="11" t="s">
        <v>5793</v>
      </c>
      <c r="I485" s="13" t="s">
        <v>5674</v>
      </c>
      <c r="L485" s="73"/>
    </row>
    <row r="486">
      <c r="A486" s="87" t="s">
        <v>6620</v>
      </c>
      <c r="B486" s="88" t="s">
        <v>6673</v>
      </c>
      <c r="C486" s="88" t="s">
        <v>6674</v>
      </c>
      <c r="D486" s="15"/>
      <c r="E486" s="15"/>
      <c r="F486" s="10" t="s">
        <v>6132</v>
      </c>
      <c r="G486" s="11" t="s">
        <v>5793</v>
      </c>
      <c r="I486" s="13" t="s">
        <v>5674</v>
      </c>
      <c r="L486" s="73"/>
    </row>
    <row r="487">
      <c r="A487" s="87" t="s">
        <v>6620</v>
      </c>
      <c r="B487" s="88" t="s">
        <v>6675</v>
      </c>
      <c r="C487" s="88" t="s">
        <v>6676</v>
      </c>
      <c r="D487" s="15"/>
      <c r="E487" s="15"/>
      <c r="F487" s="10" t="s">
        <v>6132</v>
      </c>
      <c r="G487" s="11" t="s">
        <v>5793</v>
      </c>
      <c r="I487" s="13" t="s">
        <v>5674</v>
      </c>
      <c r="L487" s="73"/>
    </row>
    <row r="488">
      <c r="A488" s="87" t="s">
        <v>6620</v>
      </c>
      <c r="B488" s="88" t="s">
        <v>6677</v>
      </c>
      <c r="C488" s="88" t="s">
        <v>6678</v>
      </c>
      <c r="D488" s="15"/>
      <c r="E488" s="15"/>
      <c r="F488" s="10" t="s">
        <v>6132</v>
      </c>
      <c r="G488" s="11" t="s">
        <v>5793</v>
      </c>
      <c r="I488" s="13" t="s">
        <v>5674</v>
      </c>
      <c r="L488" s="73"/>
    </row>
    <row r="489">
      <c r="A489" s="87" t="s">
        <v>6620</v>
      </c>
      <c r="B489" s="88" t="s">
        <v>6679</v>
      </c>
      <c r="C489" s="88" t="s">
        <v>6680</v>
      </c>
      <c r="D489" s="15"/>
      <c r="E489" s="15"/>
      <c r="F489" s="10" t="s">
        <v>6132</v>
      </c>
      <c r="G489" s="11" t="s">
        <v>5793</v>
      </c>
      <c r="I489" s="13" t="s">
        <v>5674</v>
      </c>
      <c r="L489" s="73"/>
    </row>
    <row r="490">
      <c r="A490" s="87" t="s">
        <v>6620</v>
      </c>
      <c r="B490" s="88" t="s">
        <v>6681</v>
      </c>
      <c r="C490" s="88" t="s">
        <v>6682</v>
      </c>
      <c r="D490" s="15"/>
      <c r="E490" s="15"/>
      <c r="F490" s="10" t="s">
        <v>6132</v>
      </c>
      <c r="G490" s="11" t="s">
        <v>5793</v>
      </c>
      <c r="I490" s="13" t="s">
        <v>5674</v>
      </c>
      <c r="L490" s="73"/>
    </row>
    <row r="491">
      <c r="A491" s="87" t="s">
        <v>6620</v>
      </c>
      <c r="B491" s="88" t="s">
        <v>6683</v>
      </c>
      <c r="C491" s="13" t="s">
        <v>6527</v>
      </c>
      <c r="D491" s="15"/>
      <c r="E491" s="15"/>
      <c r="F491" s="10"/>
      <c r="G491" s="11"/>
      <c r="I491" s="13"/>
      <c r="L491" s="73"/>
    </row>
    <row r="492">
      <c r="A492" s="87" t="s">
        <v>6684</v>
      </c>
      <c r="B492" s="88" t="s">
        <v>6685</v>
      </c>
      <c r="C492" s="88" t="s">
        <v>6686</v>
      </c>
      <c r="D492" s="15"/>
      <c r="E492" s="15"/>
      <c r="F492" s="10" t="s">
        <v>6132</v>
      </c>
      <c r="G492" s="11" t="s">
        <v>5793</v>
      </c>
      <c r="I492" s="13" t="s">
        <v>5674</v>
      </c>
      <c r="L492" s="73"/>
    </row>
    <row r="493">
      <c r="A493" s="87" t="s">
        <v>6684</v>
      </c>
      <c r="B493" s="88" t="s">
        <v>6687</v>
      </c>
      <c r="C493" s="88" t="s">
        <v>6688</v>
      </c>
      <c r="D493" s="15"/>
      <c r="E493" s="15"/>
      <c r="F493" s="10" t="s">
        <v>6132</v>
      </c>
      <c r="G493" s="11" t="s">
        <v>5793</v>
      </c>
      <c r="I493" s="13" t="s">
        <v>5674</v>
      </c>
      <c r="L493" s="73"/>
    </row>
    <row r="494">
      <c r="A494" s="87" t="s">
        <v>6684</v>
      </c>
      <c r="B494" s="88" t="s">
        <v>6689</v>
      </c>
      <c r="C494" s="88" t="s">
        <v>6690</v>
      </c>
      <c r="D494" s="15"/>
      <c r="E494" s="15"/>
      <c r="F494" s="10" t="s">
        <v>6132</v>
      </c>
      <c r="G494" s="11" t="s">
        <v>5793</v>
      </c>
      <c r="I494" s="13" t="s">
        <v>5674</v>
      </c>
      <c r="L494" s="73"/>
    </row>
    <row r="495">
      <c r="A495" s="87" t="s">
        <v>6684</v>
      </c>
      <c r="B495" s="88" t="s">
        <v>6691</v>
      </c>
      <c r="C495" s="88" t="s">
        <v>6692</v>
      </c>
      <c r="D495" s="15"/>
      <c r="E495" s="15"/>
      <c r="F495" s="10" t="s">
        <v>6132</v>
      </c>
      <c r="G495" s="11" t="s">
        <v>5793</v>
      </c>
      <c r="I495" s="13" t="s">
        <v>5674</v>
      </c>
      <c r="L495" s="73"/>
    </row>
    <row r="496">
      <c r="A496" s="87" t="s">
        <v>6684</v>
      </c>
      <c r="B496" s="88" t="s">
        <v>6693</v>
      </c>
      <c r="C496" s="88" t="s">
        <v>6694</v>
      </c>
      <c r="D496" s="15"/>
      <c r="E496" s="15"/>
      <c r="F496" s="10" t="s">
        <v>6132</v>
      </c>
      <c r="G496" s="11" t="s">
        <v>5793</v>
      </c>
      <c r="I496" s="13" t="s">
        <v>5674</v>
      </c>
      <c r="L496" s="73"/>
    </row>
    <row r="497">
      <c r="A497" s="87" t="s">
        <v>6684</v>
      </c>
      <c r="B497" s="88" t="s">
        <v>6695</v>
      </c>
      <c r="C497" s="88" t="s">
        <v>6696</v>
      </c>
      <c r="D497" s="15"/>
      <c r="E497" s="15"/>
      <c r="F497" s="10" t="s">
        <v>6132</v>
      </c>
      <c r="G497" s="11" t="s">
        <v>5793</v>
      </c>
      <c r="I497" s="13" t="s">
        <v>5674</v>
      </c>
      <c r="L497" s="73"/>
    </row>
    <row r="498">
      <c r="A498" s="87" t="s">
        <v>6684</v>
      </c>
      <c r="B498" s="88" t="s">
        <v>6697</v>
      </c>
      <c r="C498" s="88" t="s">
        <v>6698</v>
      </c>
      <c r="D498" s="15"/>
      <c r="E498" s="15"/>
      <c r="F498" s="10" t="s">
        <v>6132</v>
      </c>
      <c r="G498" s="11" t="s">
        <v>5793</v>
      </c>
      <c r="I498" s="13" t="s">
        <v>5674</v>
      </c>
      <c r="L498" s="73"/>
    </row>
    <row r="499">
      <c r="A499" s="87" t="s">
        <v>6684</v>
      </c>
      <c r="B499" s="88" t="s">
        <v>6699</v>
      </c>
      <c r="C499" s="88" t="s">
        <v>6700</v>
      </c>
      <c r="D499" s="15"/>
      <c r="E499" s="15"/>
      <c r="F499" s="10" t="s">
        <v>6132</v>
      </c>
      <c r="G499" s="11" t="s">
        <v>5793</v>
      </c>
      <c r="I499" s="13" t="s">
        <v>5674</v>
      </c>
      <c r="L499" s="73"/>
    </row>
    <row r="500">
      <c r="A500" s="87" t="s">
        <v>6701</v>
      </c>
      <c r="B500" s="88" t="s">
        <v>6702</v>
      </c>
      <c r="C500" s="88" t="s">
        <v>6703</v>
      </c>
      <c r="D500" s="15"/>
      <c r="E500" s="15"/>
      <c r="F500" s="10" t="s">
        <v>6132</v>
      </c>
      <c r="G500" s="11" t="s">
        <v>5793</v>
      </c>
      <c r="I500" s="13" t="s">
        <v>5674</v>
      </c>
      <c r="L500" s="73"/>
    </row>
    <row r="501">
      <c r="A501" s="87" t="s">
        <v>6701</v>
      </c>
      <c r="B501" s="88" t="s">
        <v>6704</v>
      </c>
      <c r="C501" s="88" t="s">
        <v>6705</v>
      </c>
      <c r="D501" s="15"/>
      <c r="E501" s="15"/>
      <c r="F501" s="10" t="s">
        <v>6132</v>
      </c>
      <c r="G501" s="11" t="s">
        <v>5793</v>
      </c>
      <c r="I501" s="13" t="s">
        <v>5674</v>
      </c>
      <c r="L501" s="73"/>
    </row>
    <row r="502">
      <c r="A502" s="87" t="s">
        <v>6701</v>
      </c>
      <c r="B502" s="88" t="s">
        <v>6706</v>
      </c>
      <c r="C502" s="88" t="s">
        <v>6707</v>
      </c>
      <c r="D502" s="15"/>
      <c r="E502" s="15"/>
      <c r="F502" s="10" t="s">
        <v>6132</v>
      </c>
      <c r="G502" s="11" t="s">
        <v>5793</v>
      </c>
      <c r="I502" s="13" t="s">
        <v>5674</v>
      </c>
      <c r="L502" s="73"/>
    </row>
    <row r="503">
      <c r="A503" s="87" t="s">
        <v>6701</v>
      </c>
      <c r="B503" s="88" t="s">
        <v>6708</v>
      </c>
      <c r="C503" s="88" t="s">
        <v>6709</v>
      </c>
      <c r="D503" s="15"/>
      <c r="E503" s="15"/>
      <c r="F503" s="10" t="s">
        <v>6132</v>
      </c>
      <c r="G503" s="11" t="s">
        <v>5793</v>
      </c>
      <c r="I503" s="13" t="s">
        <v>5674</v>
      </c>
      <c r="L503" s="73"/>
    </row>
    <row r="504">
      <c r="A504" s="87" t="s">
        <v>6701</v>
      </c>
      <c r="B504" s="88" t="s">
        <v>6710</v>
      </c>
      <c r="C504" s="88" t="s">
        <v>6711</v>
      </c>
      <c r="D504" s="15"/>
      <c r="E504" s="15"/>
      <c r="F504" s="10" t="s">
        <v>6132</v>
      </c>
      <c r="G504" s="11" t="s">
        <v>5793</v>
      </c>
      <c r="I504" s="13" t="s">
        <v>5674</v>
      </c>
      <c r="L504" s="73"/>
    </row>
    <row r="505">
      <c r="A505" s="87" t="s">
        <v>6701</v>
      </c>
      <c r="B505" s="88" t="s">
        <v>6712</v>
      </c>
      <c r="C505" s="88" t="s">
        <v>6713</v>
      </c>
      <c r="D505" s="15"/>
      <c r="E505" s="15"/>
      <c r="F505" s="10" t="s">
        <v>6132</v>
      </c>
      <c r="G505" s="11" t="s">
        <v>5793</v>
      </c>
      <c r="I505" s="13" t="s">
        <v>5674</v>
      </c>
      <c r="L505" s="73"/>
    </row>
    <row r="506">
      <c r="A506" s="87" t="s">
        <v>6701</v>
      </c>
      <c r="B506" s="88" t="s">
        <v>6714</v>
      </c>
      <c r="C506" s="88" t="s">
        <v>6715</v>
      </c>
      <c r="D506" s="15"/>
      <c r="E506" s="15"/>
      <c r="F506" s="10" t="s">
        <v>6132</v>
      </c>
      <c r="G506" s="11" t="s">
        <v>5793</v>
      </c>
      <c r="I506" s="13" t="s">
        <v>5674</v>
      </c>
      <c r="L506" s="73"/>
    </row>
    <row r="507">
      <c r="A507" s="87" t="s">
        <v>6701</v>
      </c>
      <c r="B507" s="88" t="s">
        <v>6716</v>
      </c>
      <c r="C507" s="88" t="s">
        <v>6717</v>
      </c>
      <c r="D507" s="15"/>
      <c r="E507" s="15"/>
      <c r="F507" s="10" t="s">
        <v>6132</v>
      </c>
      <c r="G507" s="11" t="s">
        <v>5793</v>
      </c>
      <c r="I507" s="13" t="s">
        <v>5674</v>
      </c>
      <c r="L507" s="73"/>
    </row>
    <row r="508">
      <c r="A508" s="87" t="s">
        <v>6701</v>
      </c>
      <c r="B508" s="88" t="s">
        <v>6718</v>
      </c>
      <c r="C508" s="88" t="s">
        <v>6719</v>
      </c>
      <c r="D508" s="15"/>
      <c r="E508" s="15"/>
      <c r="F508" s="10" t="s">
        <v>6132</v>
      </c>
      <c r="G508" s="11" t="s">
        <v>5793</v>
      </c>
      <c r="I508" s="13" t="s">
        <v>5674</v>
      </c>
      <c r="L508" s="73"/>
    </row>
    <row r="509">
      <c r="A509" s="87" t="s">
        <v>6701</v>
      </c>
      <c r="B509" s="88" t="s">
        <v>6720</v>
      </c>
      <c r="C509" s="88" t="s">
        <v>6721</v>
      </c>
      <c r="D509" s="15"/>
      <c r="E509" s="15"/>
      <c r="F509" s="10" t="s">
        <v>6132</v>
      </c>
      <c r="G509" s="11" t="s">
        <v>5793</v>
      </c>
      <c r="I509" s="13" t="s">
        <v>5674</v>
      </c>
      <c r="L509" s="73"/>
    </row>
    <row r="510">
      <c r="A510" s="87" t="s">
        <v>6701</v>
      </c>
      <c r="B510" s="88" t="s">
        <v>6722</v>
      </c>
      <c r="C510" s="88" t="s">
        <v>6723</v>
      </c>
      <c r="D510" s="15"/>
      <c r="E510" s="15"/>
      <c r="F510" s="10" t="s">
        <v>6132</v>
      </c>
      <c r="G510" s="11" t="s">
        <v>5793</v>
      </c>
      <c r="I510" s="13" t="s">
        <v>5674</v>
      </c>
      <c r="L510" s="73"/>
    </row>
    <row r="511">
      <c r="A511" s="87" t="s">
        <v>6701</v>
      </c>
      <c r="B511" s="88" t="s">
        <v>6724</v>
      </c>
      <c r="C511" s="88" t="s">
        <v>6725</v>
      </c>
      <c r="D511" s="15"/>
      <c r="E511" s="15"/>
      <c r="F511" s="10" t="s">
        <v>6132</v>
      </c>
      <c r="G511" s="11" t="s">
        <v>5793</v>
      </c>
      <c r="I511" s="13" t="s">
        <v>5674</v>
      </c>
      <c r="L511" s="73"/>
    </row>
    <row r="512">
      <c r="A512" s="11" t="s">
        <v>6726</v>
      </c>
      <c r="B512" s="10" t="s">
        <v>6727</v>
      </c>
      <c r="C512" s="13" t="s">
        <v>6728</v>
      </c>
      <c r="D512" s="15"/>
      <c r="E512" s="15"/>
      <c r="F512" s="10" t="s">
        <v>6132</v>
      </c>
      <c r="G512" s="11" t="s">
        <v>5793</v>
      </c>
      <c r="I512" s="13" t="s">
        <v>5674</v>
      </c>
      <c r="L512" s="73"/>
    </row>
    <row r="513">
      <c r="A513" s="11" t="s">
        <v>6726</v>
      </c>
      <c r="B513" s="10" t="s">
        <v>6729</v>
      </c>
      <c r="C513" s="13" t="s">
        <v>6730</v>
      </c>
      <c r="D513" s="15"/>
      <c r="E513" s="15"/>
      <c r="F513" s="10" t="s">
        <v>6132</v>
      </c>
      <c r="G513" s="11" t="s">
        <v>5793</v>
      </c>
      <c r="I513" s="13" t="s">
        <v>5674</v>
      </c>
      <c r="L513" s="73"/>
    </row>
    <row r="514">
      <c r="A514" s="11" t="s">
        <v>6726</v>
      </c>
      <c r="B514" s="10" t="s">
        <v>6731</v>
      </c>
      <c r="C514" s="13" t="s">
        <v>6732</v>
      </c>
      <c r="D514" s="15"/>
      <c r="E514" s="15"/>
      <c r="F514" s="10" t="s">
        <v>6132</v>
      </c>
      <c r="G514" s="11" t="s">
        <v>5793</v>
      </c>
      <c r="I514" s="13" t="s">
        <v>5674</v>
      </c>
      <c r="L514" s="73"/>
    </row>
    <row r="515">
      <c r="A515" s="11" t="s">
        <v>6726</v>
      </c>
      <c r="B515" s="10" t="s">
        <v>6733</v>
      </c>
      <c r="C515" s="13" t="s">
        <v>6734</v>
      </c>
      <c r="D515" s="15"/>
      <c r="E515" s="15"/>
      <c r="F515" s="10" t="s">
        <v>6132</v>
      </c>
      <c r="G515" s="11" t="s">
        <v>5793</v>
      </c>
      <c r="I515" s="13" t="s">
        <v>5674</v>
      </c>
      <c r="L515" s="73"/>
    </row>
    <row r="516">
      <c r="A516" s="11" t="s">
        <v>6726</v>
      </c>
      <c r="B516" s="10" t="s">
        <v>6735</v>
      </c>
      <c r="C516" s="13" t="s">
        <v>6736</v>
      </c>
      <c r="D516" s="15"/>
      <c r="E516" s="15"/>
      <c r="F516" s="10" t="s">
        <v>6132</v>
      </c>
      <c r="G516" s="11" t="s">
        <v>5793</v>
      </c>
      <c r="I516" s="13" t="s">
        <v>5674</v>
      </c>
      <c r="L516" s="73"/>
    </row>
    <row r="517">
      <c r="A517" s="11" t="s">
        <v>6726</v>
      </c>
      <c r="B517" s="10" t="s">
        <v>6737</v>
      </c>
      <c r="C517" s="13" t="s">
        <v>6738</v>
      </c>
      <c r="D517" s="15"/>
      <c r="E517" s="15"/>
      <c r="F517" s="10" t="s">
        <v>6132</v>
      </c>
      <c r="G517" s="11" t="s">
        <v>5793</v>
      </c>
      <c r="I517" s="13" t="s">
        <v>5674</v>
      </c>
      <c r="L517" s="73"/>
    </row>
    <row r="518">
      <c r="A518" s="11" t="s">
        <v>6726</v>
      </c>
      <c r="B518" s="10" t="s">
        <v>6739</v>
      </c>
      <c r="C518" s="13" t="s">
        <v>6740</v>
      </c>
      <c r="D518" s="15"/>
      <c r="E518" s="15"/>
      <c r="F518" s="10" t="s">
        <v>6132</v>
      </c>
      <c r="G518" s="11" t="s">
        <v>5793</v>
      </c>
      <c r="I518" s="13" t="s">
        <v>5674</v>
      </c>
      <c r="L518" s="73"/>
    </row>
    <row r="519">
      <c r="A519" s="11" t="s">
        <v>6726</v>
      </c>
      <c r="B519" s="10" t="s">
        <v>6741</v>
      </c>
      <c r="C519" s="13" t="s">
        <v>6742</v>
      </c>
      <c r="D519" s="15"/>
      <c r="E519" s="15"/>
      <c r="F519" s="10" t="s">
        <v>6132</v>
      </c>
      <c r="G519" s="11" t="s">
        <v>5793</v>
      </c>
      <c r="I519" s="13" t="s">
        <v>5674</v>
      </c>
      <c r="L519" s="73"/>
    </row>
    <row r="520">
      <c r="A520" s="11" t="s">
        <v>6726</v>
      </c>
      <c r="B520" s="10" t="s">
        <v>6743</v>
      </c>
      <c r="C520" s="13" t="s">
        <v>6744</v>
      </c>
      <c r="D520" s="15"/>
      <c r="E520" s="15"/>
      <c r="F520" s="10" t="s">
        <v>6132</v>
      </c>
      <c r="G520" s="11" t="s">
        <v>5793</v>
      </c>
      <c r="I520" s="13" t="s">
        <v>5674</v>
      </c>
      <c r="L520" s="73"/>
    </row>
    <row r="521">
      <c r="A521" s="11" t="s">
        <v>6726</v>
      </c>
      <c r="B521" s="10" t="s">
        <v>6745</v>
      </c>
      <c r="C521" s="13" t="s">
        <v>6746</v>
      </c>
      <c r="D521" s="15"/>
      <c r="E521" s="15"/>
      <c r="F521" s="10" t="s">
        <v>6132</v>
      </c>
      <c r="G521" s="11" t="s">
        <v>5793</v>
      </c>
      <c r="I521" s="13" t="s">
        <v>5674</v>
      </c>
      <c r="L521" s="73"/>
    </row>
    <row r="522">
      <c r="A522" s="11" t="s">
        <v>6726</v>
      </c>
      <c r="B522" s="10" t="s">
        <v>6747</v>
      </c>
      <c r="C522" s="13" t="s">
        <v>6748</v>
      </c>
      <c r="D522" s="15"/>
      <c r="E522" s="15"/>
      <c r="F522" s="10" t="s">
        <v>6132</v>
      </c>
      <c r="G522" s="11" t="s">
        <v>5793</v>
      </c>
      <c r="I522" s="13" t="s">
        <v>5674</v>
      </c>
      <c r="L522" s="73"/>
    </row>
    <row r="523">
      <c r="A523" s="11" t="s">
        <v>6726</v>
      </c>
      <c r="B523" s="10" t="s">
        <v>6749</v>
      </c>
      <c r="C523" s="13" t="s">
        <v>6750</v>
      </c>
      <c r="D523" s="15"/>
      <c r="E523" s="15"/>
      <c r="F523" s="10" t="s">
        <v>6132</v>
      </c>
      <c r="G523" s="11" t="s">
        <v>5793</v>
      </c>
      <c r="I523" s="13" t="s">
        <v>5674</v>
      </c>
      <c r="L523" s="73"/>
    </row>
    <row r="524">
      <c r="A524" s="11" t="s">
        <v>6726</v>
      </c>
      <c r="B524" s="10" t="s">
        <v>6751</v>
      </c>
      <c r="C524" s="13" t="s">
        <v>6752</v>
      </c>
      <c r="D524" s="15"/>
      <c r="E524" s="15"/>
      <c r="F524" s="10" t="s">
        <v>6132</v>
      </c>
      <c r="G524" s="11" t="s">
        <v>5793</v>
      </c>
      <c r="I524" s="13" t="s">
        <v>5674</v>
      </c>
      <c r="L524" s="73"/>
    </row>
    <row r="525">
      <c r="A525" s="11" t="s">
        <v>6726</v>
      </c>
      <c r="B525" s="10" t="s">
        <v>6753</v>
      </c>
      <c r="C525" s="13" t="s">
        <v>6754</v>
      </c>
      <c r="D525" s="15"/>
      <c r="E525" s="15"/>
      <c r="F525" s="10" t="s">
        <v>6132</v>
      </c>
      <c r="G525" s="11" t="s">
        <v>5793</v>
      </c>
      <c r="I525" s="13" t="s">
        <v>5674</v>
      </c>
      <c r="L525" s="73"/>
    </row>
    <row r="526">
      <c r="A526" s="11" t="s">
        <v>6726</v>
      </c>
      <c r="B526" s="10" t="s">
        <v>6755</v>
      </c>
      <c r="C526" s="13" t="s">
        <v>6756</v>
      </c>
      <c r="D526" s="15"/>
      <c r="E526" s="15"/>
      <c r="F526" s="10" t="s">
        <v>6132</v>
      </c>
      <c r="G526" s="11" t="s">
        <v>5793</v>
      </c>
      <c r="I526" s="13" t="s">
        <v>5674</v>
      </c>
      <c r="L526" s="73"/>
    </row>
    <row r="527">
      <c r="A527" s="11" t="s">
        <v>6726</v>
      </c>
      <c r="B527" s="10" t="s">
        <v>6757</v>
      </c>
      <c r="C527" s="13" t="s">
        <v>6758</v>
      </c>
      <c r="D527" s="15"/>
      <c r="E527" s="15"/>
      <c r="F527" s="10" t="s">
        <v>6132</v>
      </c>
      <c r="G527" s="11" t="s">
        <v>5793</v>
      </c>
      <c r="I527" s="13" t="s">
        <v>5674</v>
      </c>
      <c r="L527" s="73"/>
    </row>
    <row r="528">
      <c r="A528" s="11" t="s">
        <v>6726</v>
      </c>
      <c r="B528" s="10" t="s">
        <v>6759</v>
      </c>
      <c r="C528" s="13" t="s">
        <v>6760</v>
      </c>
      <c r="D528" s="15"/>
      <c r="E528" s="15"/>
      <c r="F528" s="10" t="s">
        <v>6132</v>
      </c>
      <c r="G528" s="11" t="s">
        <v>5793</v>
      </c>
      <c r="I528" s="13" t="s">
        <v>5674</v>
      </c>
      <c r="L528" s="73"/>
    </row>
    <row r="529">
      <c r="A529" s="11" t="s">
        <v>6726</v>
      </c>
      <c r="B529" s="10" t="s">
        <v>6761</v>
      </c>
      <c r="C529" s="13" t="s">
        <v>6762</v>
      </c>
      <c r="D529" s="15"/>
      <c r="E529" s="15"/>
      <c r="F529" s="10" t="s">
        <v>6132</v>
      </c>
      <c r="G529" s="11" t="s">
        <v>5793</v>
      </c>
      <c r="I529" s="13" t="s">
        <v>5674</v>
      </c>
      <c r="L529" s="73"/>
    </row>
    <row r="530">
      <c r="A530" s="11" t="s">
        <v>6726</v>
      </c>
      <c r="B530" s="10" t="s">
        <v>6763</v>
      </c>
      <c r="C530" s="13" t="s">
        <v>6764</v>
      </c>
      <c r="D530" s="15"/>
      <c r="E530" s="15"/>
      <c r="F530" s="10" t="s">
        <v>6132</v>
      </c>
      <c r="G530" s="11" t="s">
        <v>5793</v>
      </c>
      <c r="I530" s="13" t="s">
        <v>5674</v>
      </c>
      <c r="L530" s="73"/>
    </row>
    <row r="531">
      <c r="A531" s="11" t="s">
        <v>6726</v>
      </c>
      <c r="B531" s="10" t="s">
        <v>6765</v>
      </c>
      <c r="C531" s="13" t="s">
        <v>6766</v>
      </c>
      <c r="D531" s="15"/>
      <c r="E531" s="15"/>
      <c r="F531" s="10" t="s">
        <v>6132</v>
      </c>
      <c r="G531" s="11" t="s">
        <v>5793</v>
      </c>
      <c r="I531" s="13" t="s">
        <v>5674</v>
      </c>
      <c r="L531" s="73"/>
    </row>
    <row r="532">
      <c r="A532" s="11" t="s">
        <v>6726</v>
      </c>
      <c r="B532" s="10" t="s">
        <v>6767</v>
      </c>
      <c r="C532" s="13" t="s">
        <v>6768</v>
      </c>
      <c r="D532" s="15"/>
      <c r="E532" s="15"/>
      <c r="F532" s="10" t="s">
        <v>6132</v>
      </c>
      <c r="G532" s="11" t="s">
        <v>5793</v>
      </c>
      <c r="I532" s="13" t="s">
        <v>5674</v>
      </c>
      <c r="L532" s="73"/>
    </row>
    <row r="533">
      <c r="A533" s="11" t="s">
        <v>6726</v>
      </c>
      <c r="B533" s="10" t="s">
        <v>6769</v>
      </c>
      <c r="C533" s="13" t="s">
        <v>6770</v>
      </c>
      <c r="D533" s="15"/>
      <c r="E533" s="15"/>
      <c r="F533" s="10" t="s">
        <v>6132</v>
      </c>
      <c r="G533" s="11" t="s">
        <v>5793</v>
      </c>
      <c r="I533" s="13" t="s">
        <v>5674</v>
      </c>
      <c r="L533" s="73"/>
    </row>
    <row r="534">
      <c r="A534" s="11" t="s">
        <v>6726</v>
      </c>
      <c r="B534" s="10" t="s">
        <v>6771</v>
      </c>
      <c r="C534" s="13" t="s">
        <v>6772</v>
      </c>
      <c r="D534" s="15"/>
      <c r="E534" s="15"/>
      <c r="F534" s="10" t="s">
        <v>6132</v>
      </c>
      <c r="G534" s="11" t="s">
        <v>5793</v>
      </c>
      <c r="I534" s="13" t="s">
        <v>5674</v>
      </c>
      <c r="L534" s="73"/>
    </row>
    <row r="535">
      <c r="A535" s="11" t="s">
        <v>6726</v>
      </c>
      <c r="B535" s="10" t="s">
        <v>6773</v>
      </c>
      <c r="C535" s="13" t="s">
        <v>6774</v>
      </c>
      <c r="D535" s="15"/>
      <c r="E535" s="15"/>
      <c r="F535" s="10" t="s">
        <v>6132</v>
      </c>
      <c r="G535" s="11" t="s">
        <v>5793</v>
      </c>
      <c r="I535" s="13" t="s">
        <v>5674</v>
      </c>
      <c r="L535" s="73"/>
    </row>
    <row r="536">
      <c r="A536" s="11" t="s">
        <v>6726</v>
      </c>
      <c r="B536" s="10" t="s">
        <v>6775</v>
      </c>
      <c r="C536" s="13" t="s">
        <v>6776</v>
      </c>
      <c r="D536" s="15"/>
      <c r="E536" s="15"/>
      <c r="F536" s="10" t="s">
        <v>6132</v>
      </c>
      <c r="G536" s="11" t="s">
        <v>5793</v>
      </c>
      <c r="I536" s="13" t="s">
        <v>5674</v>
      </c>
      <c r="L536" s="73"/>
    </row>
    <row r="537">
      <c r="A537" s="11" t="s">
        <v>6726</v>
      </c>
      <c r="B537" s="10" t="s">
        <v>6777</v>
      </c>
      <c r="C537" s="13" t="s">
        <v>6778</v>
      </c>
      <c r="D537" s="15"/>
      <c r="E537" s="15"/>
      <c r="F537" s="10" t="s">
        <v>6132</v>
      </c>
      <c r="G537" s="11" t="s">
        <v>5793</v>
      </c>
      <c r="I537" s="13" t="s">
        <v>5674</v>
      </c>
      <c r="L537" s="73"/>
    </row>
    <row r="538">
      <c r="A538" s="11" t="s">
        <v>6726</v>
      </c>
      <c r="B538" s="10" t="s">
        <v>6779</v>
      </c>
      <c r="C538" s="13" t="s">
        <v>6780</v>
      </c>
      <c r="D538" s="15"/>
      <c r="E538" s="15"/>
      <c r="F538" s="10" t="s">
        <v>6132</v>
      </c>
      <c r="G538" s="11" t="s">
        <v>5793</v>
      </c>
      <c r="I538" s="13" t="s">
        <v>5674</v>
      </c>
      <c r="L538" s="73"/>
    </row>
    <row r="539">
      <c r="A539" s="11" t="s">
        <v>6726</v>
      </c>
      <c r="B539" s="10" t="s">
        <v>6781</v>
      </c>
      <c r="C539" s="13" t="s">
        <v>6782</v>
      </c>
      <c r="D539" s="15"/>
      <c r="E539" s="15"/>
      <c r="F539" s="10" t="s">
        <v>6132</v>
      </c>
      <c r="G539" s="11" t="s">
        <v>5793</v>
      </c>
      <c r="I539" s="13" t="s">
        <v>5674</v>
      </c>
      <c r="L539" s="73"/>
    </row>
    <row r="540">
      <c r="A540" s="11" t="s">
        <v>6726</v>
      </c>
      <c r="B540" s="10" t="s">
        <v>6783</v>
      </c>
      <c r="C540" s="13" t="s">
        <v>6784</v>
      </c>
      <c r="D540" s="15"/>
      <c r="E540" s="15"/>
      <c r="F540" s="10" t="s">
        <v>6132</v>
      </c>
      <c r="G540" s="11" t="s">
        <v>5793</v>
      </c>
      <c r="I540" s="13" t="s">
        <v>5674</v>
      </c>
      <c r="L540" s="73"/>
    </row>
    <row r="541">
      <c r="A541" s="11" t="s">
        <v>6726</v>
      </c>
      <c r="B541" s="10" t="s">
        <v>6785</v>
      </c>
      <c r="C541" s="13" t="s">
        <v>6786</v>
      </c>
      <c r="D541" s="15"/>
      <c r="E541" s="15"/>
      <c r="F541" s="10" t="s">
        <v>6132</v>
      </c>
      <c r="G541" s="11" t="s">
        <v>5793</v>
      </c>
      <c r="I541" s="13" t="s">
        <v>5674</v>
      </c>
      <c r="L541" s="73"/>
    </row>
    <row r="542">
      <c r="A542" s="11" t="s">
        <v>6726</v>
      </c>
      <c r="B542" s="10" t="s">
        <v>6787</v>
      </c>
      <c r="C542" s="13" t="s">
        <v>6788</v>
      </c>
      <c r="D542" s="15"/>
      <c r="E542" s="15"/>
      <c r="F542" s="10" t="s">
        <v>6132</v>
      </c>
      <c r="G542" s="11" t="s">
        <v>5793</v>
      </c>
      <c r="I542" s="13" t="s">
        <v>5674</v>
      </c>
      <c r="L542" s="73"/>
    </row>
    <row r="543">
      <c r="A543" s="11" t="s">
        <v>6726</v>
      </c>
      <c r="B543" s="10" t="s">
        <v>6789</v>
      </c>
      <c r="C543" s="13" t="s">
        <v>6527</v>
      </c>
      <c r="D543" s="15"/>
      <c r="E543" s="15"/>
      <c r="F543" s="10" t="s">
        <v>6132</v>
      </c>
      <c r="G543" s="11" t="s">
        <v>5793</v>
      </c>
      <c r="I543" s="13" t="s">
        <v>5674</v>
      </c>
      <c r="L543" s="73"/>
    </row>
    <row r="544">
      <c r="A544" s="11" t="s">
        <v>6726</v>
      </c>
      <c r="B544" s="10" t="s">
        <v>6790</v>
      </c>
      <c r="C544" s="13" t="s">
        <v>6527</v>
      </c>
      <c r="D544" s="15"/>
      <c r="E544" s="15"/>
      <c r="F544" s="10" t="s">
        <v>6132</v>
      </c>
      <c r="G544" s="11" t="s">
        <v>5793</v>
      </c>
      <c r="I544" s="13" t="s">
        <v>5674</v>
      </c>
      <c r="L544" s="73"/>
    </row>
    <row r="545">
      <c r="A545" s="11" t="s">
        <v>6726</v>
      </c>
      <c r="B545" s="10" t="s">
        <v>6791</v>
      </c>
      <c r="C545" s="13" t="s">
        <v>6527</v>
      </c>
      <c r="D545" s="15"/>
      <c r="E545" s="15"/>
      <c r="F545" s="10"/>
      <c r="G545" s="11"/>
      <c r="I545" s="13"/>
      <c r="L545" s="73"/>
    </row>
    <row r="546">
      <c r="A546" s="11" t="s">
        <v>6726</v>
      </c>
      <c r="B546" s="10" t="s">
        <v>6792</v>
      </c>
      <c r="C546" s="13" t="s">
        <v>6527</v>
      </c>
      <c r="D546" s="15"/>
      <c r="E546" s="15"/>
      <c r="F546" s="10"/>
      <c r="G546" s="11"/>
      <c r="I546" s="13"/>
      <c r="L546" s="73"/>
    </row>
    <row r="547">
      <c r="A547" s="11" t="s">
        <v>6726</v>
      </c>
      <c r="B547" s="10" t="s">
        <v>6793</v>
      </c>
      <c r="C547" s="13" t="s">
        <v>6527</v>
      </c>
      <c r="D547" s="15"/>
      <c r="E547" s="15"/>
      <c r="F547" s="10"/>
      <c r="G547" s="11"/>
      <c r="I547" s="13"/>
      <c r="L547" s="73"/>
    </row>
    <row r="548">
      <c r="A548" s="11" t="s">
        <v>6726</v>
      </c>
      <c r="B548" s="10" t="s">
        <v>6794</v>
      </c>
      <c r="C548" s="13" t="s">
        <v>6527</v>
      </c>
      <c r="D548" s="15"/>
      <c r="E548" s="15"/>
      <c r="F548" s="10"/>
      <c r="G548" s="11"/>
      <c r="I548" s="13"/>
      <c r="L548" s="73"/>
    </row>
    <row r="549">
      <c r="A549" s="11" t="s">
        <v>6726</v>
      </c>
      <c r="B549" s="10" t="s">
        <v>6795</v>
      </c>
      <c r="C549" s="13" t="s">
        <v>6527</v>
      </c>
      <c r="D549" s="15"/>
      <c r="E549" s="15"/>
      <c r="F549" s="10"/>
      <c r="G549" s="11"/>
      <c r="I549" s="13"/>
      <c r="L549" s="73"/>
    </row>
    <row r="550">
      <c r="A550" s="12" t="s">
        <v>6796</v>
      </c>
      <c r="B550" s="10" t="s">
        <v>6797</v>
      </c>
      <c r="C550" s="20" t="s">
        <v>6798</v>
      </c>
      <c r="D550" s="15"/>
      <c r="E550" s="15"/>
      <c r="F550" s="10" t="s">
        <v>6132</v>
      </c>
      <c r="G550" s="11" t="s">
        <v>5793</v>
      </c>
      <c r="I550" s="13" t="s">
        <v>5674</v>
      </c>
      <c r="L550" s="73"/>
    </row>
    <row r="551">
      <c r="A551" s="12" t="s">
        <v>6796</v>
      </c>
      <c r="B551" s="10" t="s">
        <v>6731</v>
      </c>
      <c r="C551" s="20" t="s">
        <v>6799</v>
      </c>
      <c r="D551" s="15"/>
      <c r="E551" s="15"/>
      <c r="F551" s="10" t="s">
        <v>6132</v>
      </c>
      <c r="G551" s="11" t="s">
        <v>5793</v>
      </c>
      <c r="I551" s="13" t="s">
        <v>5674</v>
      </c>
      <c r="L551" s="73"/>
    </row>
    <row r="552">
      <c r="A552" s="12" t="s">
        <v>6796</v>
      </c>
      <c r="B552" s="10" t="s">
        <v>6733</v>
      </c>
      <c r="C552" s="20" t="s">
        <v>6800</v>
      </c>
      <c r="D552" s="15"/>
      <c r="E552" s="15"/>
      <c r="F552" s="10" t="s">
        <v>6132</v>
      </c>
      <c r="G552" s="11" t="s">
        <v>5793</v>
      </c>
      <c r="I552" s="13" t="s">
        <v>5674</v>
      </c>
      <c r="L552" s="73"/>
    </row>
    <row r="553">
      <c r="A553" s="12" t="s">
        <v>6796</v>
      </c>
      <c r="B553" s="10" t="s">
        <v>6801</v>
      </c>
      <c r="C553" s="20" t="s">
        <v>6802</v>
      </c>
      <c r="D553" s="15"/>
      <c r="E553" s="15"/>
      <c r="F553" s="10" t="s">
        <v>6132</v>
      </c>
      <c r="G553" s="11" t="s">
        <v>5793</v>
      </c>
      <c r="I553" s="13" t="s">
        <v>5674</v>
      </c>
      <c r="L553" s="73"/>
    </row>
    <row r="554">
      <c r="A554" s="12" t="s">
        <v>6796</v>
      </c>
      <c r="B554" s="10" t="s">
        <v>6737</v>
      </c>
      <c r="C554" s="20" t="s">
        <v>6803</v>
      </c>
      <c r="D554" s="15"/>
      <c r="E554" s="15"/>
      <c r="F554" s="10" t="s">
        <v>6132</v>
      </c>
      <c r="G554" s="11" t="s">
        <v>5793</v>
      </c>
      <c r="I554" s="13" t="s">
        <v>5674</v>
      </c>
      <c r="L554" s="73"/>
    </row>
    <row r="555">
      <c r="A555" s="12" t="s">
        <v>6796</v>
      </c>
      <c r="B555" s="10" t="s">
        <v>6739</v>
      </c>
      <c r="C555" s="20" t="s">
        <v>6804</v>
      </c>
      <c r="D555" s="15"/>
      <c r="E555" s="15"/>
      <c r="F555" s="10" t="s">
        <v>6132</v>
      </c>
      <c r="G555" s="11" t="s">
        <v>5793</v>
      </c>
      <c r="I555" s="13" t="s">
        <v>5674</v>
      </c>
      <c r="L555" s="73"/>
    </row>
    <row r="556">
      <c r="A556" s="12" t="s">
        <v>6796</v>
      </c>
      <c r="B556" s="10" t="s">
        <v>6741</v>
      </c>
      <c r="C556" s="20" t="s">
        <v>6805</v>
      </c>
      <c r="D556" s="15"/>
      <c r="E556" s="15"/>
      <c r="F556" s="10" t="s">
        <v>6132</v>
      </c>
      <c r="G556" s="11" t="s">
        <v>5793</v>
      </c>
      <c r="I556" s="13" t="s">
        <v>5674</v>
      </c>
      <c r="L556" s="73"/>
    </row>
    <row r="557">
      <c r="A557" s="12" t="s">
        <v>6796</v>
      </c>
      <c r="B557" s="10" t="s">
        <v>6806</v>
      </c>
      <c r="C557" s="20" t="s">
        <v>6807</v>
      </c>
      <c r="D557" s="15"/>
      <c r="E557" s="15"/>
      <c r="F557" s="10" t="s">
        <v>6132</v>
      </c>
      <c r="G557" s="11" t="s">
        <v>5793</v>
      </c>
      <c r="I557" s="13" t="s">
        <v>5674</v>
      </c>
      <c r="L557" s="73"/>
    </row>
    <row r="558">
      <c r="A558" s="12" t="s">
        <v>6796</v>
      </c>
      <c r="B558" s="10" t="s">
        <v>6743</v>
      </c>
      <c r="C558" s="20" t="s">
        <v>6808</v>
      </c>
      <c r="D558" s="15"/>
      <c r="E558" s="15"/>
      <c r="F558" s="10" t="s">
        <v>6132</v>
      </c>
      <c r="G558" s="11" t="s">
        <v>5793</v>
      </c>
      <c r="I558" s="13" t="s">
        <v>5674</v>
      </c>
      <c r="L558" s="73"/>
    </row>
    <row r="559">
      <c r="A559" s="12" t="s">
        <v>6796</v>
      </c>
      <c r="B559" s="10" t="s">
        <v>6745</v>
      </c>
      <c r="C559" s="20" t="s">
        <v>6809</v>
      </c>
      <c r="D559" s="15"/>
      <c r="E559" s="15"/>
      <c r="F559" s="10" t="s">
        <v>6132</v>
      </c>
      <c r="G559" s="11" t="s">
        <v>5793</v>
      </c>
      <c r="I559" s="13" t="s">
        <v>5674</v>
      </c>
      <c r="L559" s="73"/>
    </row>
    <row r="560">
      <c r="A560" s="12" t="s">
        <v>6796</v>
      </c>
      <c r="B560" s="10" t="s">
        <v>6747</v>
      </c>
      <c r="C560" s="20" t="s">
        <v>6810</v>
      </c>
      <c r="D560" s="15"/>
      <c r="E560" s="15"/>
      <c r="F560" s="10" t="s">
        <v>6132</v>
      </c>
      <c r="G560" s="11" t="s">
        <v>5793</v>
      </c>
      <c r="I560" s="13" t="s">
        <v>5674</v>
      </c>
      <c r="L560" s="73"/>
    </row>
    <row r="561">
      <c r="A561" s="12" t="s">
        <v>6796</v>
      </c>
      <c r="B561" s="10" t="s">
        <v>6749</v>
      </c>
      <c r="C561" s="20" t="s">
        <v>6811</v>
      </c>
      <c r="D561" s="15"/>
      <c r="E561" s="15"/>
      <c r="F561" s="10" t="s">
        <v>6132</v>
      </c>
      <c r="G561" s="11" t="s">
        <v>5793</v>
      </c>
      <c r="I561" s="13" t="s">
        <v>5674</v>
      </c>
      <c r="L561" s="73"/>
    </row>
    <row r="562">
      <c r="A562" s="12" t="s">
        <v>6796</v>
      </c>
      <c r="B562" s="10" t="s">
        <v>6751</v>
      </c>
      <c r="C562" s="13" t="s">
        <v>6812</v>
      </c>
      <c r="D562" s="15"/>
      <c r="E562" s="15"/>
      <c r="F562" s="10" t="s">
        <v>6132</v>
      </c>
      <c r="G562" s="11" t="s">
        <v>5793</v>
      </c>
      <c r="I562" s="13" t="s">
        <v>5674</v>
      </c>
      <c r="L562" s="73"/>
    </row>
    <row r="563">
      <c r="A563" s="12" t="s">
        <v>6796</v>
      </c>
      <c r="B563" s="10" t="s">
        <v>6753</v>
      </c>
      <c r="C563" s="20" t="s">
        <v>6813</v>
      </c>
      <c r="D563" s="15"/>
      <c r="E563" s="15"/>
      <c r="F563" s="10" t="s">
        <v>6132</v>
      </c>
      <c r="G563" s="11" t="s">
        <v>5793</v>
      </c>
      <c r="I563" s="13" t="s">
        <v>5674</v>
      </c>
      <c r="L563" s="73"/>
    </row>
    <row r="564">
      <c r="A564" s="12" t="s">
        <v>6796</v>
      </c>
      <c r="B564" s="10" t="s">
        <v>6755</v>
      </c>
      <c r="C564" s="20" t="s">
        <v>6814</v>
      </c>
      <c r="D564" s="15"/>
      <c r="E564" s="15"/>
      <c r="F564" s="10" t="s">
        <v>6132</v>
      </c>
      <c r="G564" s="11" t="s">
        <v>5793</v>
      </c>
      <c r="I564" s="13" t="s">
        <v>5674</v>
      </c>
      <c r="L564" s="73"/>
    </row>
    <row r="565">
      <c r="A565" s="12" t="s">
        <v>6796</v>
      </c>
      <c r="B565" s="10" t="s">
        <v>6757</v>
      </c>
      <c r="C565" s="20" t="s">
        <v>6815</v>
      </c>
      <c r="D565" s="15"/>
      <c r="E565" s="15"/>
      <c r="F565" s="10" t="s">
        <v>6132</v>
      </c>
      <c r="G565" s="11" t="s">
        <v>5793</v>
      </c>
      <c r="I565" s="13" t="s">
        <v>5674</v>
      </c>
      <c r="L565" s="73"/>
    </row>
    <row r="566">
      <c r="A566" s="12" t="s">
        <v>6796</v>
      </c>
      <c r="B566" s="10" t="s">
        <v>6759</v>
      </c>
      <c r="C566" s="20" t="s">
        <v>6816</v>
      </c>
      <c r="D566" s="15"/>
      <c r="E566" s="15"/>
      <c r="F566" s="10" t="s">
        <v>6132</v>
      </c>
      <c r="G566" s="11" t="s">
        <v>5793</v>
      </c>
      <c r="I566" s="13" t="s">
        <v>5674</v>
      </c>
      <c r="L566" s="73"/>
    </row>
    <row r="567">
      <c r="A567" s="12" t="s">
        <v>6796</v>
      </c>
      <c r="B567" s="10" t="s">
        <v>6761</v>
      </c>
      <c r="C567" s="20" t="s">
        <v>6817</v>
      </c>
      <c r="D567" s="15"/>
      <c r="E567" s="15"/>
      <c r="F567" s="10" t="s">
        <v>6132</v>
      </c>
      <c r="G567" s="11" t="s">
        <v>5793</v>
      </c>
      <c r="I567" s="13" t="s">
        <v>5674</v>
      </c>
      <c r="L567" s="73"/>
    </row>
    <row r="568">
      <c r="A568" s="12" t="s">
        <v>6796</v>
      </c>
      <c r="B568" s="10" t="s">
        <v>6763</v>
      </c>
      <c r="C568" s="20" t="s">
        <v>6818</v>
      </c>
      <c r="D568" s="15"/>
      <c r="E568" s="15"/>
      <c r="F568" s="10" t="s">
        <v>6132</v>
      </c>
      <c r="G568" s="11" t="s">
        <v>5793</v>
      </c>
      <c r="I568" s="13" t="s">
        <v>5674</v>
      </c>
      <c r="L568" s="73"/>
    </row>
    <row r="569">
      <c r="A569" s="12" t="s">
        <v>6796</v>
      </c>
      <c r="B569" s="10" t="s">
        <v>6765</v>
      </c>
      <c r="C569" s="20" t="s">
        <v>6819</v>
      </c>
      <c r="D569" s="15"/>
      <c r="E569" s="15"/>
      <c r="F569" s="10" t="s">
        <v>6132</v>
      </c>
      <c r="G569" s="11" t="s">
        <v>5793</v>
      </c>
      <c r="I569" s="13" t="s">
        <v>5674</v>
      </c>
      <c r="L569" s="73"/>
    </row>
    <row r="570">
      <c r="A570" s="12" t="s">
        <v>6796</v>
      </c>
      <c r="B570" s="10" t="s">
        <v>6767</v>
      </c>
      <c r="C570" s="20" t="s">
        <v>6820</v>
      </c>
      <c r="D570" s="15"/>
      <c r="E570" s="15"/>
      <c r="F570" s="10" t="s">
        <v>6132</v>
      </c>
      <c r="G570" s="11" t="s">
        <v>5793</v>
      </c>
      <c r="I570" s="13" t="s">
        <v>5674</v>
      </c>
      <c r="L570" s="73"/>
    </row>
    <row r="571">
      <c r="A571" s="12" t="s">
        <v>6796</v>
      </c>
      <c r="B571" s="10" t="s">
        <v>6769</v>
      </c>
      <c r="C571" s="20" t="s">
        <v>6821</v>
      </c>
      <c r="D571" s="15"/>
      <c r="E571" s="15"/>
      <c r="F571" s="10" t="s">
        <v>6132</v>
      </c>
      <c r="G571" s="11" t="s">
        <v>5793</v>
      </c>
      <c r="I571" s="13" t="s">
        <v>5674</v>
      </c>
      <c r="L571" s="73"/>
    </row>
    <row r="572">
      <c r="A572" s="12" t="s">
        <v>6796</v>
      </c>
      <c r="B572" s="10" t="s">
        <v>6771</v>
      </c>
      <c r="C572" s="20" t="s">
        <v>6822</v>
      </c>
      <c r="D572" s="15"/>
      <c r="E572" s="15"/>
      <c r="F572" s="10" t="s">
        <v>6132</v>
      </c>
      <c r="G572" s="11" t="s">
        <v>5793</v>
      </c>
      <c r="I572" s="13" t="s">
        <v>5674</v>
      </c>
      <c r="L572" s="73"/>
    </row>
    <row r="573">
      <c r="A573" s="12" t="s">
        <v>6796</v>
      </c>
      <c r="B573" s="10" t="s">
        <v>6773</v>
      </c>
      <c r="C573" s="13" t="s">
        <v>6823</v>
      </c>
      <c r="D573" s="15"/>
      <c r="E573" s="15"/>
      <c r="F573" s="10" t="s">
        <v>6132</v>
      </c>
      <c r="G573" s="11" t="s">
        <v>5793</v>
      </c>
      <c r="I573" s="13" t="s">
        <v>5674</v>
      </c>
      <c r="L573" s="73"/>
    </row>
    <row r="574">
      <c r="A574" s="12" t="s">
        <v>6796</v>
      </c>
      <c r="B574" s="10" t="s">
        <v>6775</v>
      </c>
      <c r="C574" s="20" t="s">
        <v>6824</v>
      </c>
      <c r="D574" s="15"/>
      <c r="E574" s="15"/>
      <c r="F574" s="10" t="s">
        <v>6132</v>
      </c>
      <c r="G574" s="11" t="s">
        <v>5793</v>
      </c>
      <c r="I574" s="13" t="s">
        <v>5674</v>
      </c>
      <c r="L574" s="73"/>
    </row>
    <row r="575">
      <c r="A575" s="12" t="s">
        <v>6796</v>
      </c>
      <c r="B575" s="10" t="s">
        <v>6777</v>
      </c>
      <c r="C575" s="20" t="s">
        <v>6825</v>
      </c>
      <c r="D575" s="15"/>
      <c r="E575" s="15"/>
      <c r="F575" s="10" t="s">
        <v>6132</v>
      </c>
      <c r="G575" s="11" t="s">
        <v>5793</v>
      </c>
      <c r="I575" s="13" t="s">
        <v>5674</v>
      </c>
      <c r="L575" s="73"/>
    </row>
    <row r="576">
      <c r="A576" s="12" t="s">
        <v>6796</v>
      </c>
      <c r="B576" s="10" t="s">
        <v>6826</v>
      </c>
      <c r="C576" s="13" t="s">
        <v>6527</v>
      </c>
      <c r="D576" s="15"/>
      <c r="E576" s="15"/>
      <c r="F576" s="10" t="s">
        <v>6132</v>
      </c>
      <c r="G576" s="11" t="s">
        <v>5793</v>
      </c>
      <c r="I576" s="13" t="s">
        <v>5674</v>
      </c>
      <c r="L576" s="73"/>
    </row>
    <row r="577">
      <c r="A577" s="12" t="s">
        <v>6796</v>
      </c>
      <c r="B577" s="10" t="s">
        <v>6827</v>
      </c>
      <c r="C577" s="13" t="s">
        <v>6527</v>
      </c>
      <c r="D577" s="15"/>
      <c r="E577" s="15"/>
      <c r="F577" s="10" t="s">
        <v>6132</v>
      </c>
      <c r="G577" s="11" t="s">
        <v>5793</v>
      </c>
      <c r="I577" s="13" t="s">
        <v>5674</v>
      </c>
      <c r="J577" s="13" t="s">
        <v>6828</v>
      </c>
      <c r="L577" s="73"/>
    </row>
    <row r="578">
      <c r="A578" s="11" t="s">
        <v>6796</v>
      </c>
      <c r="B578" s="48" t="s">
        <v>6829</v>
      </c>
      <c r="C578" s="13" t="s">
        <v>6527</v>
      </c>
      <c r="D578" s="15"/>
      <c r="E578" s="15"/>
      <c r="F578" s="10" t="s">
        <v>6132</v>
      </c>
      <c r="G578" s="11" t="s">
        <v>5793</v>
      </c>
      <c r="I578" s="13" t="s">
        <v>5674</v>
      </c>
      <c r="J578" s="90" t="s">
        <v>6796</v>
      </c>
      <c r="K578" s="50" t="s">
        <v>6830</v>
      </c>
      <c r="L578" s="50" t="s">
        <v>6527</v>
      </c>
    </row>
    <row r="579">
      <c r="A579" s="12" t="s">
        <v>6831</v>
      </c>
      <c r="B579" s="10" t="s">
        <v>6749</v>
      </c>
      <c r="C579" s="13" t="s">
        <v>6527</v>
      </c>
      <c r="D579" s="15"/>
      <c r="E579" s="15"/>
      <c r="F579" s="10"/>
      <c r="G579" s="11"/>
      <c r="I579" s="13"/>
      <c r="L579" s="73"/>
    </row>
    <row r="580">
      <c r="A580" s="12" t="s">
        <v>6831</v>
      </c>
      <c r="B580" s="88" t="s">
        <v>6832</v>
      </c>
      <c r="C580" s="13" t="s">
        <v>6527</v>
      </c>
      <c r="D580" s="15"/>
      <c r="E580" s="15"/>
      <c r="F580" s="10"/>
      <c r="G580" s="11"/>
      <c r="I580" s="13"/>
      <c r="L580" s="73"/>
    </row>
    <row r="581">
      <c r="A581" s="12" t="s">
        <v>6833</v>
      </c>
      <c r="B581" s="10" t="s">
        <v>6834</v>
      </c>
      <c r="C581" s="13" t="s">
        <v>6835</v>
      </c>
      <c r="D581" s="15"/>
      <c r="E581" s="15"/>
      <c r="F581" s="10"/>
      <c r="G581" s="11"/>
      <c r="I581" s="13"/>
      <c r="L581" s="73"/>
    </row>
    <row r="582">
      <c r="A582" s="12" t="s">
        <v>6836</v>
      </c>
      <c r="B582" s="10" t="s">
        <v>6729</v>
      </c>
      <c r="C582" s="20" t="s">
        <v>6837</v>
      </c>
      <c r="D582" s="15"/>
      <c r="E582" s="15"/>
      <c r="F582" s="10" t="s">
        <v>6132</v>
      </c>
      <c r="G582" s="11" t="s">
        <v>5793</v>
      </c>
      <c r="I582" s="13" t="s">
        <v>5674</v>
      </c>
      <c r="L582" s="73"/>
    </row>
    <row r="583">
      <c r="A583" s="12" t="s">
        <v>6836</v>
      </c>
      <c r="B583" s="10" t="s">
        <v>6838</v>
      </c>
      <c r="C583" s="13" t="s">
        <v>6839</v>
      </c>
      <c r="D583" s="15"/>
      <c r="E583" s="15"/>
      <c r="F583" s="10" t="s">
        <v>6132</v>
      </c>
      <c r="G583" s="11" t="s">
        <v>5793</v>
      </c>
      <c r="I583" s="13" t="s">
        <v>5674</v>
      </c>
      <c r="L583" s="73"/>
    </row>
    <row r="584">
      <c r="A584" s="12" t="s">
        <v>6836</v>
      </c>
      <c r="B584" s="10" t="s">
        <v>6733</v>
      </c>
      <c r="C584" s="20" t="s">
        <v>6840</v>
      </c>
      <c r="D584" s="15"/>
      <c r="E584" s="15"/>
      <c r="F584" s="10" t="s">
        <v>6132</v>
      </c>
      <c r="G584" s="11" t="s">
        <v>5793</v>
      </c>
      <c r="I584" s="13" t="s">
        <v>5674</v>
      </c>
      <c r="L584" s="73"/>
    </row>
    <row r="585">
      <c r="A585" s="12" t="s">
        <v>6836</v>
      </c>
      <c r="B585" s="10" t="s">
        <v>6735</v>
      </c>
      <c r="C585" s="20" t="s">
        <v>6841</v>
      </c>
      <c r="D585" s="15"/>
      <c r="E585" s="15"/>
      <c r="F585" s="10" t="s">
        <v>6132</v>
      </c>
      <c r="G585" s="11" t="s">
        <v>5793</v>
      </c>
      <c r="I585" s="13" t="s">
        <v>5674</v>
      </c>
      <c r="L585" s="73"/>
    </row>
    <row r="586">
      <c r="A586" s="12" t="s">
        <v>6836</v>
      </c>
      <c r="B586" s="10" t="s">
        <v>6737</v>
      </c>
      <c r="C586" s="20" t="s">
        <v>6842</v>
      </c>
      <c r="D586" s="15"/>
      <c r="E586" s="15"/>
      <c r="F586" s="10" t="s">
        <v>6132</v>
      </c>
      <c r="G586" s="11" t="s">
        <v>5793</v>
      </c>
      <c r="I586" s="13" t="s">
        <v>5674</v>
      </c>
      <c r="L586" s="73"/>
    </row>
    <row r="587">
      <c r="A587" s="12" t="s">
        <v>6836</v>
      </c>
      <c r="B587" s="10" t="s">
        <v>6739</v>
      </c>
      <c r="C587" s="20" t="s">
        <v>6843</v>
      </c>
      <c r="D587" s="15"/>
      <c r="E587" s="15"/>
      <c r="F587" s="10" t="s">
        <v>6132</v>
      </c>
      <c r="G587" s="11" t="s">
        <v>5793</v>
      </c>
      <c r="I587" s="13" t="s">
        <v>5674</v>
      </c>
      <c r="L587" s="73"/>
    </row>
    <row r="588">
      <c r="A588" s="12" t="s">
        <v>6836</v>
      </c>
      <c r="B588" s="10" t="s">
        <v>6741</v>
      </c>
      <c r="C588" s="20" t="s">
        <v>6844</v>
      </c>
      <c r="D588" s="15"/>
      <c r="E588" s="15"/>
      <c r="F588" s="10" t="s">
        <v>6132</v>
      </c>
      <c r="G588" s="11" t="s">
        <v>5793</v>
      </c>
      <c r="I588" s="13" t="s">
        <v>5674</v>
      </c>
      <c r="L588" s="73"/>
    </row>
    <row r="589">
      <c r="A589" s="12" t="s">
        <v>6836</v>
      </c>
      <c r="B589" s="10" t="s">
        <v>6743</v>
      </c>
      <c r="C589" s="20" t="s">
        <v>6845</v>
      </c>
      <c r="D589" s="15"/>
      <c r="E589" s="15"/>
      <c r="F589" s="10" t="s">
        <v>6132</v>
      </c>
      <c r="G589" s="11" t="s">
        <v>5793</v>
      </c>
      <c r="I589" s="13" t="s">
        <v>5674</v>
      </c>
      <c r="L589" s="73"/>
    </row>
    <row r="590">
      <c r="A590" s="12" t="s">
        <v>6836</v>
      </c>
      <c r="B590" s="10" t="s">
        <v>6745</v>
      </c>
      <c r="C590" s="20" t="s">
        <v>6846</v>
      </c>
      <c r="D590" s="15"/>
      <c r="E590" s="15"/>
      <c r="F590" s="10" t="s">
        <v>6132</v>
      </c>
      <c r="G590" s="11" t="s">
        <v>5793</v>
      </c>
      <c r="I590" s="13" t="s">
        <v>5674</v>
      </c>
      <c r="L590" s="73"/>
    </row>
    <row r="591">
      <c r="A591" s="12" t="s">
        <v>6836</v>
      </c>
      <c r="B591" s="10" t="s">
        <v>6747</v>
      </c>
      <c r="C591" s="20" t="s">
        <v>6847</v>
      </c>
      <c r="D591" s="15"/>
      <c r="E591" s="15"/>
      <c r="F591" s="10" t="s">
        <v>6132</v>
      </c>
      <c r="G591" s="11" t="s">
        <v>5793</v>
      </c>
      <c r="I591" s="13" t="s">
        <v>5674</v>
      </c>
      <c r="L591" s="73"/>
    </row>
    <row r="592">
      <c r="A592" s="12" t="s">
        <v>6836</v>
      </c>
      <c r="B592" s="10" t="s">
        <v>6749</v>
      </c>
      <c r="C592" s="20" t="s">
        <v>6848</v>
      </c>
      <c r="D592" s="15"/>
      <c r="E592" s="15"/>
      <c r="F592" s="10" t="s">
        <v>6132</v>
      </c>
      <c r="G592" s="11" t="s">
        <v>5793</v>
      </c>
      <c r="I592" s="13" t="s">
        <v>5674</v>
      </c>
      <c r="L592" s="73"/>
    </row>
    <row r="593">
      <c r="A593" s="12" t="s">
        <v>6836</v>
      </c>
      <c r="B593" s="10" t="s">
        <v>6753</v>
      </c>
      <c r="C593" s="20" t="s">
        <v>6849</v>
      </c>
      <c r="D593" s="15"/>
      <c r="E593" s="15"/>
      <c r="F593" s="10" t="s">
        <v>6132</v>
      </c>
      <c r="G593" s="11" t="s">
        <v>5793</v>
      </c>
      <c r="I593" s="13" t="s">
        <v>5674</v>
      </c>
      <c r="L593" s="73"/>
    </row>
    <row r="594">
      <c r="A594" s="12" t="s">
        <v>6836</v>
      </c>
      <c r="B594" s="10" t="s">
        <v>6755</v>
      </c>
      <c r="C594" s="20" t="s">
        <v>6850</v>
      </c>
      <c r="D594" s="15"/>
      <c r="E594" s="15"/>
      <c r="F594" s="10" t="s">
        <v>6132</v>
      </c>
      <c r="G594" s="11" t="s">
        <v>5793</v>
      </c>
      <c r="I594" s="13" t="s">
        <v>5674</v>
      </c>
      <c r="L594" s="73"/>
    </row>
    <row r="595">
      <c r="A595" s="12" t="s">
        <v>6836</v>
      </c>
      <c r="B595" s="10" t="s">
        <v>6757</v>
      </c>
      <c r="C595" s="20" t="s">
        <v>6851</v>
      </c>
      <c r="D595" s="15"/>
      <c r="E595" s="15"/>
      <c r="F595" s="10" t="s">
        <v>6132</v>
      </c>
      <c r="G595" s="11" t="s">
        <v>5793</v>
      </c>
      <c r="I595" s="13" t="s">
        <v>5674</v>
      </c>
      <c r="L595" s="73"/>
    </row>
    <row r="596">
      <c r="A596" s="12" t="s">
        <v>6836</v>
      </c>
      <c r="B596" s="10" t="s">
        <v>6759</v>
      </c>
      <c r="C596" s="20" t="s">
        <v>6852</v>
      </c>
      <c r="D596" s="15"/>
      <c r="E596" s="15"/>
      <c r="F596" s="10" t="s">
        <v>6132</v>
      </c>
      <c r="G596" s="11" t="s">
        <v>5793</v>
      </c>
      <c r="I596" s="13" t="s">
        <v>5674</v>
      </c>
      <c r="L596" s="73"/>
    </row>
    <row r="597">
      <c r="A597" s="12" t="s">
        <v>6836</v>
      </c>
      <c r="B597" s="10" t="s">
        <v>6761</v>
      </c>
      <c r="C597" s="20" t="s">
        <v>6853</v>
      </c>
      <c r="D597" s="15"/>
      <c r="E597" s="15"/>
      <c r="F597" s="10" t="s">
        <v>6132</v>
      </c>
      <c r="G597" s="11" t="s">
        <v>5793</v>
      </c>
      <c r="I597" s="13" t="s">
        <v>5674</v>
      </c>
      <c r="L597" s="73"/>
    </row>
    <row r="598">
      <c r="A598" s="12" t="s">
        <v>6836</v>
      </c>
      <c r="B598" s="10" t="s">
        <v>6763</v>
      </c>
      <c r="C598" s="20" t="s">
        <v>6854</v>
      </c>
      <c r="D598" s="15"/>
      <c r="E598" s="15"/>
      <c r="F598" s="10" t="s">
        <v>6132</v>
      </c>
      <c r="G598" s="11" t="s">
        <v>5793</v>
      </c>
      <c r="I598" s="13" t="s">
        <v>5674</v>
      </c>
      <c r="L598" s="73"/>
    </row>
    <row r="599">
      <c r="A599" s="12" t="s">
        <v>6836</v>
      </c>
      <c r="B599" s="10" t="s">
        <v>6765</v>
      </c>
      <c r="C599" s="20" t="s">
        <v>6855</v>
      </c>
      <c r="D599" s="15"/>
      <c r="E599" s="15"/>
      <c r="F599" s="10" t="s">
        <v>6132</v>
      </c>
      <c r="G599" s="11" t="s">
        <v>5793</v>
      </c>
      <c r="I599" s="13" t="s">
        <v>5674</v>
      </c>
      <c r="L599" s="73"/>
    </row>
    <row r="600">
      <c r="A600" s="12" t="s">
        <v>6836</v>
      </c>
      <c r="B600" s="10" t="s">
        <v>6767</v>
      </c>
      <c r="C600" s="20" t="s">
        <v>6856</v>
      </c>
      <c r="D600" s="15"/>
      <c r="E600" s="15"/>
      <c r="F600" s="10" t="s">
        <v>6132</v>
      </c>
      <c r="G600" s="11" t="s">
        <v>5793</v>
      </c>
      <c r="I600" s="13" t="s">
        <v>5674</v>
      </c>
      <c r="L600" s="73"/>
    </row>
    <row r="601">
      <c r="A601" s="12" t="s">
        <v>6836</v>
      </c>
      <c r="B601" s="10" t="s">
        <v>6769</v>
      </c>
      <c r="C601" s="20" t="s">
        <v>6857</v>
      </c>
      <c r="D601" s="15"/>
      <c r="E601" s="15"/>
      <c r="F601" s="10" t="s">
        <v>6132</v>
      </c>
      <c r="G601" s="11" t="s">
        <v>5793</v>
      </c>
      <c r="I601" s="13" t="s">
        <v>5674</v>
      </c>
      <c r="L601" s="73"/>
    </row>
    <row r="602">
      <c r="A602" s="12" t="s">
        <v>6836</v>
      </c>
      <c r="B602" s="10" t="s">
        <v>6771</v>
      </c>
      <c r="C602" s="20" t="s">
        <v>6858</v>
      </c>
      <c r="D602" s="15"/>
      <c r="E602" s="15"/>
      <c r="F602" s="10" t="s">
        <v>6132</v>
      </c>
      <c r="G602" s="11" t="s">
        <v>5793</v>
      </c>
      <c r="I602" s="13" t="s">
        <v>5674</v>
      </c>
      <c r="L602" s="73"/>
    </row>
    <row r="603">
      <c r="A603" s="12" t="s">
        <v>6836</v>
      </c>
      <c r="B603" s="10" t="s">
        <v>6773</v>
      </c>
      <c r="C603" s="20" t="s">
        <v>6859</v>
      </c>
      <c r="D603" s="15"/>
      <c r="E603" s="15"/>
      <c r="F603" s="10" t="s">
        <v>6132</v>
      </c>
      <c r="G603" s="11" t="s">
        <v>5793</v>
      </c>
      <c r="I603" s="13" t="s">
        <v>5674</v>
      </c>
      <c r="L603" s="73"/>
    </row>
    <row r="604">
      <c r="A604" s="12" t="s">
        <v>6836</v>
      </c>
      <c r="B604" s="10" t="s">
        <v>6775</v>
      </c>
      <c r="C604" s="20" t="s">
        <v>6860</v>
      </c>
      <c r="D604" s="15"/>
      <c r="E604" s="15"/>
      <c r="F604" s="10" t="s">
        <v>6132</v>
      </c>
      <c r="G604" s="11" t="s">
        <v>5793</v>
      </c>
      <c r="I604" s="13" t="s">
        <v>5674</v>
      </c>
      <c r="L604" s="73"/>
    </row>
    <row r="605">
      <c r="A605" s="12" t="s">
        <v>6836</v>
      </c>
      <c r="B605" s="10" t="s">
        <v>6777</v>
      </c>
      <c r="C605" s="20" t="s">
        <v>6861</v>
      </c>
      <c r="D605" s="15"/>
      <c r="E605" s="15"/>
      <c r="F605" s="10" t="s">
        <v>6132</v>
      </c>
      <c r="G605" s="11" t="s">
        <v>5793</v>
      </c>
      <c r="I605" s="13" t="s">
        <v>5674</v>
      </c>
      <c r="L605" s="73"/>
    </row>
    <row r="606">
      <c r="A606" s="11" t="s">
        <v>6862</v>
      </c>
      <c r="B606" s="13" t="s">
        <v>6863</v>
      </c>
      <c r="C606" s="13" t="s">
        <v>6864</v>
      </c>
      <c r="D606" s="15"/>
      <c r="E606" s="15"/>
      <c r="F606" s="10" t="s">
        <v>6132</v>
      </c>
      <c r="G606" s="11" t="s">
        <v>5793</v>
      </c>
      <c r="I606" s="13" t="s">
        <v>5674</v>
      </c>
    </row>
    <row r="607">
      <c r="A607" s="11" t="s">
        <v>6862</v>
      </c>
      <c r="B607" s="13" t="s">
        <v>6729</v>
      </c>
      <c r="C607" s="20" t="s">
        <v>6865</v>
      </c>
      <c r="D607" s="15"/>
      <c r="E607" s="15"/>
      <c r="F607" s="10" t="s">
        <v>6132</v>
      </c>
      <c r="G607" s="11" t="s">
        <v>5793</v>
      </c>
      <c r="I607" s="13" t="s">
        <v>5674</v>
      </c>
    </row>
    <row r="608">
      <c r="A608" s="11" t="s">
        <v>6862</v>
      </c>
      <c r="B608" s="13" t="s">
        <v>6731</v>
      </c>
      <c r="C608" s="20" t="s">
        <v>6866</v>
      </c>
      <c r="D608" s="15"/>
      <c r="E608" s="15"/>
      <c r="F608" s="10" t="s">
        <v>6132</v>
      </c>
      <c r="G608" s="11" t="s">
        <v>5793</v>
      </c>
      <c r="I608" s="13" t="s">
        <v>5674</v>
      </c>
    </row>
    <row r="609">
      <c r="A609" s="11" t="s">
        <v>6862</v>
      </c>
      <c r="B609" s="13" t="s">
        <v>6733</v>
      </c>
      <c r="C609" s="20" t="s">
        <v>6867</v>
      </c>
      <c r="D609" s="15"/>
      <c r="E609" s="15"/>
      <c r="F609" s="10" t="s">
        <v>6132</v>
      </c>
      <c r="G609" s="11" t="s">
        <v>5793</v>
      </c>
      <c r="I609" s="13" t="s">
        <v>5674</v>
      </c>
    </row>
    <row r="610">
      <c r="A610" s="11" t="s">
        <v>6862</v>
      </c>
      <c r="B610" s="13" t="s">
        <v>6801</v>
      </c>
      <c r="C610" s="20" t="s">
        <v>6868</v>
      </c>
      <c r="D610" s="15"/>
      <c r="E610" s="15"/>
      <c r="F610" s="10" t="s">
        <v>6132</v>
      </c>
      <c r="G610" s="11" t="s">
        <v>5793</v>
      </c>
      <c r="I610" s="13" t="s">
        <v>5674</v>
      </c>
    </row>
    <row r="611">
      <c r="A611" s="11" t="s">
        <v>6862</v>
      </c>
      <c r="B611" s="13" t="s">
        <v>6737</v>
      </c>
      <c r="C611" s="20" t="s">
        <v>6869</v>
      </c>
      <c r="D611" s="15"/>
      <c r="E611" s="15"/>
      <c r="F611" s="10" t="s">
        <v>6132</v>
      </c>
      <c r="G611" s="11" t="s">
        <v>5793</v>
      </c>
      <c r="I611" s="13" t="s">
        <v>5674</v>
      </c>
    </row>
    <row r="612">
      <c r="A612" s="11" t="s">
        <v>6862</v>
      </c>
      <c r="B612" s="13" t="s">
        <v>6739</v>
      </c>
      <c r="C612" s="20" t="s">
        <v>6870</v>
      </c>
      <c r="D612" s="15"/>
      <c r="E612" s="15"/>
      <c r="F612" s="10" t="s">
        <v>6132</v>
      </c>
      <c r="G612" s="11" t="s">
        <v>5793</v>
      </c>
      <c r="I612" s="13" t="s">
        <v>5674</v>
      </c>
    </row>
    <row r="613">
      <c r="A613" s="11" t="s">
        <v>6862</v>
      </c>
      <c r="B613" s="13" t="s">
        <v>6871</v>
      </c>
      <c r="C613" s="20" t="s">
        <v>6872</v>
      </c>
      <c r="D613" s="15"/>
      <c r="E613" s="15"/>
      <c r="F613" s="10" t="s">
        <v>6132</v>
      </c>
      <c r="G613" s="11" t="s">
        <v>5793</v>
      </c>
      <c r="I613" s="13" t="s">
        <v>5674</v>
      </c>
    </row>
    <row r="614">
      <c r="A614" s="11" t="s">
        <v>6862</v>
      </c>
      <c r="B614" s="13" t="s">
        <v>6743</v>
      </c>
      <c r="C614" s="20" t="s">
        <v>6873</v>
      </c>
      <c r="D614" s="15"/>
      <c r="E614" s="15"/>
      <c r="F614" s="10" t="s">
        <v>6132</v>
      </c>
      <c r="G614" s="11" t="s">
        <v>5793</v>
      </c>
      <c r="I614" s="13" t="s">
        <v>5674</v>
      </c>
    </row>
    <row r="615">
      <c r="A615" s="11" t="s">
        <v>6862</v>
      </c>
      <c r="B615" s="13" t="s">
        <v>6745</v>
      </c>
      <c r="C615" s="20" t="s">
        <v>6874</v>
      </c>
      <c r="D615" s="15"/>
      <c r="E615" s="15"/>
      <c r="F615" s="10" t="s">
        <v>6132</v>
      </c>
      <c r="G615" s="11" t="s">
        <v>5793</v>
      </c>
      <c r="I615" s="13" t="s">
        <v>5674</v>
      </c>
    </row>
    <row r="616">
      <c r="A616" s="11" t="s">
        <v>6862</v>
      </c>
      <c r="B616" s="13" t="s">
        <v>6747</v>
      </c>
      <c r="C616" s="20" t="s">
        <v>6875</v>
      </c>
      <c r="D616" s="15"/>
      <c r="E616" s="15"/>
      <c r="F616" s="10" t="s">
        <v>6132</v>
      </c>
      <c r="G616" s="11" t="s">
        <v>5793</v>
      </c>
      <c r="I616" s="13" t="s">
        <v>5674</v>
      </c>
    </row>
    <row r="617">
      <c r="A617" s="11" t="s">
        <v>6862</v>
      </c>
      <c r="B617" s="91" t="s">
        <v>6749</v>
      </c>
      <c r="C617" s="13" t="s">
        <v>6876</v>
      </c>
      <c r="D617" s="15"/>
      <c r="E617" s="15"/>
      <c r="F617" s="10" t="s">
        <v>6132</v>
      </c>
      <c r="G617" s="11" t="s">
        <v>5793</v>
      </c>
      <c r="I617" s="13" t="s">
        <v>5674</v>
      </c>
    </row>
    <row r="618">
      <c r="A618" s="11" t="s">
        <v>6862</v>
      </c>
      <c r="B618" s="13" t="s">
        <v>6751</v>
      </c>
      <c r="C618" s="20" t="s">
        <v>6877</v>
      </c>
      <c r="D618" s="15"/>
      <c r="E618" s="15"/>
      <c r="F618" s="10" t="s">
        <v>6132</v>
      </c>
      <c r="G618" s="11" t="s">
        <v>5793</v>
      </c>
      <c r="I618" s="13" t="s">
        <v>5674</v>
      </c>
    </row>
    <row r="619">
      <c r="A619" s="11" t="s">
        <v>6862</v>
      </c>
      <c r="B619" s="13" t="s">
        <v>6753</v>
      </c>
      <c r="C619" s="20" t="s">
        <v>6878</v>
      </c>
      <c r="D619" s="15"/>
      <c r="E619" s="15"/>
      <c r="F619" s="10" t="s">
        <v>6132</v>
      </c>
      <c r="G619" s="11" t="s">
        <v>5793</v>
      </c>
      <c r="I619" s="13" t="s">
        <v>5674</v>
      </c>
    </row>
    <row r="620">
      <c r="A620" s="11" t="s">
        <v>6862</v>
      </c>
      <c r="B620" s="13" t="s">
        <v>6755</v>
      </c>
      <c r="C620" s="20" t="s">
        <v>6879</v>
      </c>
      <c r="D620" s="15"/>
      <c r="E620" s="15"/>
      <c r="F620" s="10" t="s">
        <v>6132</v>
      </c>
      <c r="G620" s="11" t="s">
        <v>5793</v>
      </c>
      <c r="I620" s="13" t="s">
        <v>5674</v>
      </c>
    </row>
    <row r="621">
      <c r="A621" s="11" t="s">
        <v>6862</v>
      </c>
      <c r="B621" s="13" t="s">
        <v>6757</v>
      </c>
      <c r="C621" s="20" t="s">
        <v>6880</v>
      </c>
      <c r="D621" s="15"/>
      <c r="E621" s="15"/>
      <c r="F621" s="10" t="s">
        <v>6132</v>
      </c>
      <c r="G621" s="11" t="s">
        <v>5793</v>
      </c>
      <c r="I621" s="13" t="s">
        <v>5674</v>
      </c>
    </row>
    <row r="622">
      <c r="A622" s="11" t="s">
        <v>6862</v>
      </c>
      <c r="B622" s="13" t="s">
        <v>6759</v>
      </c>
      <c r="C622" s="20" t="s">
        <v>6881</v>
      </c>
      <c r="D622" s="15"/>
      <c r="E622" s="15"/>
      <c r="F622" s="10" t="s">
        <v>6132</v>
      </c>
      <c r="G622" s="11" t="s">
        <v>5793</v>
      </c>
      <c r="I622" s="13" t="s">
        <v>5674</v>
      </c>
    </row>
    <row r="623">
      <c r="A623" s="11" t="s">
        <v>6862</v>
      </c>
      <c r="B623" s="13" t="s">
        <v>6761</v>
      </c>
      <c r="C623" s="20" t="s">
        <v>6882</v>
      </c>
      <c r="D623" s="15"/>
      <c r="E623" s="15"/>
      <c r="F623" s="10" t="s">
        <v>6132</v>
      </c>
      <c r="G623" s="11" t="s">
        <v>5793</v>
      </c>
      <c r="I623" s="13" t="s">
        <v>5674</v>
      </c>
    </row>
    <row r="624">
      <c r="A624" s="11" t="s">
        <v>6862</v>
      </c>
      <c r="B624" s="13" t="s">
        <v>6763</v>
      </c>
      <c r="C624" s="20" t="s">
        <v>6883</v>
      </c>
      <c r="D624" s="15"/>
      <c r="E624" s="15"/>
      <c r="F624" s="10" t="s">
        <v>6132</v>
      </c>
      <c r="G624" s="11" t="s">
        <v>5793</v>
      </c>
      <c r="I624" s="13" t="s">
        <v>5674</v>
      </c>
    </row>
    <row r="625">
      <c r="A625" s="11" t="s">
        <v>6862</v>
      </c>
      <c r="B625" s="13" t="s">
        <v>6765</v>
      </c>
      <c r="C625" s="20" t="s">
        <v>6884</v>
      </c>
      <c r="D625" s="15"/>
      <c r="E625" s="15"/>
      <c r="F625" s="10" t="s">
        <v>6132</v>
      </c>
      <c r="G625" s="11" t="s">
        <v>5793</v>
      </c>
      <c r="I625" s="13" t="s">
        <v>5674</v>
      </c>
    </row>
    <row r="626">
      <c r="A626" s="11" t="s">
        <v>6862</v>
      </c>
      <c r="B626" s="13" t="s">
        <v>6767</v>
      </c>
      <c r="C626" s="20" t="s">
        <v>6885</v>
      </c>
      <c r="D626" s="15"/>
      <c r="E626" s="15"/>
      <c r="F626" s="10" t="s">
        <v>6132</v>
      </c>
      <c r="G626" s="11" t="s">
        <v>5793</v>
      </c>
      <c r="I626" s="13" t="s">
        <v>5674</v>
      </c>
    </row>
    <row r="627">
      <c r="A627" s="11" t="s">
        <v>6862</v>
      </c>
      <c r="B627" s="13" t="s">
        <v>6769</v>
      </c>
      <c r="C627" s="20" t="s">
        <v>6886</v>
      </c>
      <c r="D627" s="15"/>
      <c r="E627" s="15"/>
      <c r="F627" s="10" t="s">
        <v>6132</v>
      </c>
      <c r="G627" s="11" t="s">
        <v>5793</v>
      </c>
      <c r="I627" s="13" t="s">
        <v>5674</v>
      </c>
    </row>
    <row r="628">
      <c r="A628" s="11" t="s">
        <v>6862</v>
      </c>
      <c r="B628" s="13" t="s">
        <v>6771</v>
      </c>
      <c r="C628" s="20" t="s">
        <v>6887</v>
      </c>
      <c r="D628" s="15"/>
      <c r="E628" s="15"/>
      <c r="F628" s="10" t="s">
        <v>6132</v>
      </c>
      <c r="G628" s="11" t="s">
        <v>5793</v>
      </c>
      <c r="I628" s="13" t="s">
        <v>5674</v>
      </c>
    </row>
    <row r="629">
      <c r="A629" s="11" t="s">
        <v>6862</v>
      </c>
      <c r="B629" s="13" t="s">
        <v>6773</v>
      </c>
      <c r="C629" s="20" t="s">
        <v>6888</v>
      </c>
      <c r="D629" s="15"/>
      <c r="E629" s="15"/>
      <c r="F629" s="10" t="s">
        <v>6132</v>
      </c>
      <c r="G629" s="11" t="s">
        <v>5793</v>
      </c>
      <c r="I629" s="13" t="s">
        <v>5674</v>
      </c>
    </row>
    <row r="630">
      <c r="A630" s="11" t="s">
        <v>6862</v>
      </c>
      <c r="B630" s="13" t="s">
        <v>6775</v>
      </c>
      <c r="C630" s="20" t="s">
        <v>6889</v>
      </c>
      <c r="D630" s="15"/>
      <c r="E630" s="15"/>
      <c r="F630" s="10" t="s">
        <v>6132</v>
      </c>
      <c r="G630" s="11" t="s">
        <v>5793</v>
      </c>
      <c r="I630" s="13" t="s">
        <v>5674</v>
      </c>
    </row>
    <row r="631">
      <c r="A631" s="11" t="s">
        <v>6862</v>
      </c>
      <c r="B631" s="13" t="s">
        <v>6777</v>
      </c>
      <c r="C631" s="20" t="s">
        <v>6890</v>
      </c>
      <c r="D631" s="15"/>
      <c r="E631" s="15"/>
      <c r="F631" s="10" t="s">
        <v>6132</v>
      </c>
      <c r="G631" s="11" t="s">
        <v>5793</v>
      </c>
      <c r="I631" s="13" t="s">
        <v>5674</v>
      </c>
    </row>
    <row r="632">
      <c r="A632" s="11" t="s">
        <v>6862</v>
      </c>
      <c r="B632" s="13" t="s">
        <v>6891</v>
      </c>
      <c r="C632" s="13" t="s">
        <v>6527</v>
      </c>
      <c r="D632" s="15"/>
      <c r="E632" s="15"/>
      <c r="F632" s="10" t="s">
        <v>6132</v>
      </c>
      <c r="G632" s="11" t="s">
        <v>5793</v>
      </c>
      <c r="I632" s="13" t="s">
        <v>5674</v>
      </c>
    </row>
    <row r="633">
      <c r="A633" s="11" t="s">
        <v>6862</v>
      </c>
      <c r="B633" s="13" t="s">
        <v>6892</v>
      </c>
      <c r="C633" s="13" t="s">
        <v>6527</v>
      </c>
      <c r="D633" s="15"/>
      <c r="E633" s="15"/>
      <c r="F633" s="10" t="s">
        <v>6132</v>
      </c>
      <c r="G633" s="11" t="s">
        <v>5793</v>
      </c>
      <c r="I633" s="13" t="s">
        <v>5674</v>
      </c>
    </row>
    <row r="634">
      <c r="A634" s="12" t="s">
        <v>6893</v>
      </c>
      <c r="B634" s="10" t="s">
        <v>6729</v>
      </c>
      <c r="C634" s="20" t="s">
        <v>6894</v>
      </c>
      <c r="D634" s="15"/>
      <c r="E634" s="15"/>
      <c r="F634" s="10" t="s">
        <v>6132</v>
      </c>
      <c r="G634" s="11" t="s">
        <v>5793</v>
      </c>
      <c r="I634" s="13" t="s">
        <v>5674</v>
      </c>
      <c r="L634" s="73"/>
    </row>
    <row r="635">
      <c r="A635" s="12" t="s">
        <v>6893</v>
      </c>
      <c r="B635" s="10" t="s">
        <v>6731</v>
      </c>
      <c r="C635" s="20" t="s">
        <v>6895</v>
      </c>
      <c r="D635" s="15"/>
      <c r="E635" s="15"/>
      <c r="F635" s="10" t="s">
        <v>6132</v>
      </c>
      <c r="G635" s="11" t="s">
        <v>5793</v>
      </c>
      <c r="I635" s="13" t="s">
        <v>5674</v>
      </c>
      <c r="L635" s="73"/>
    </row>
    <row r="636">
      <c r="A636" s="12" t="s">
        <v>6893</v>
      </c>
      <c r="B636" s="10" t="s">
        <v>6733</v>
      </c>
      <c r="C636" s="20" t="s">
        <v>6896</v>
      </c>
      <c r="D636" s="15"/>
      <c r="E636" s="15"/>
      <c r="F636" s="10" t="s">
        <v>6132</v>
      </c>
      <c r="G636" s="11" t="s">
        <v>5793</v>
      </c>
      <c r="I636" s="13" t="s">
        <v>5674</v>
      </c>
      <c r="L636" s="73"/>
    </row>
    <row r="637">
      <c r="A637" s="12" t="s">
        <v>6893</v>
      </c>
      <c r="B637" s="10" t="s">
        <v>6735</v>
      </c>
      <c r="C637" s="20" t="s">
        <v>6897</v>
      </c>
      <c r="D637" s="15"/>
      <c r="E637" s="15"/>
      <c r="F637" s="10" t="s">
        <v>6132</v>
      </c>
      <c r="G637" s="11" t="s">
        <v>5793</v>
      </c>
      <c r="I637" s="13" t="s">
        <v>5674</v>
      </c>
      <c r="L637" s="73"/>
    </row>
    <row r="638">
      <c r="A638" s="12" t="s">
        <v>6893</v>
      </c>
      <c r="B638" s="10" t="s">
        <v>6737</v>
      </c>
      <c r="C638" s="20" t="s">
        <v>6898</v>
      </c>
      <c r="D638" s="15"/>
      <c r="E638" s="15"/>
      <c r="F638" s="10" t="s">
        <v>6132</v>
      </c>
      <c r="G638" s="11" t="s">
        <v>5793</v>
      </c>
      <c r="I638" s="13" t="s">
        <v>5674</v>
      </c>
      <c r="L638" s="73"/>
    </row>
    <row r="639">
      <c r="A639" s="12" t="s">
        <v>6893</v>
      </c>
      <c r="B639" s="10" t="s">
        <v>6739</v>
      </c>
      <c r="C639" s="20" t="s">
        <v>6899</v>
      </c>
      <c r="D639" s="15"/>
      <c r="E639" s="15"/>
      <c r="F639" s="10" t="s">
        <v>6132</v>
      </c>
      <c r="G639" s="11" t="s">
        <v>5793</v>
      </c>
      <c r="I639" s="13" t="s">
        <v>5674</v>
      </c>
      <c r="L639" s="73"/>
    </row>
    <row r="640">
      <c r="A640" s="12" t="s">
        <v>6893</v>
      </c>
      <c r="B640" s="10" t="s">
        <v>6741</v>
      </c>
      <c r="C640" s="20" t="s">
        <v>6900</v>
      </c>
      <c r="D640" s="15"/>
      <c r="E640" s="15"/>
      <c r="F640" s="10" t="s">
        <v>6132</v>
      </c>
      <c r="G640" s="11" t="s">
        <v>5793</v>
      </c>
      <c r="I640" s="13" t="s">
        <v>5674</v>
      </c>
      <c r="L640" s="73"/>
    </row>
    <row r="641">
      <c r="A641" s="12" t="s">
        <v>6893</v>
      </c>
      <c r="B641" s="10" t="s">
        <v>6743</v>
      </c>
      <c r="C641" s="20" t="s">
        <v>6901</v>
      </c>
      <c r="D641" s="15"/>
      <c r="E641" s="15"/>
      <c r="F641" s="10" t="s">
        <v>6132</v>
      </c>
      <c r="G641" s="11" t="s">
        <v>5793</v>
      </c>
      <c r="I641" s="13" t="s">
        <v>5674</v>
      </c>
      <c r="L641" s="73"/>
    </row>
    <row r="642">
      <c r="A642" s="12" t="s">
        <v>6893</v>
      </c>
      <c r="B642" s="10" t="s">
        <v>6745</v>
      </c>
      <c r="C642" s="20" t="s">
        <v>6902</v>
      </c>
      <c r="D642" s="15"/>
      <c r="E642" s="15"/>
      <c r="F642" s="10" t="s">
        <v>6132</v>
      </c>
      <c r="G642" s="11" t="s">
        <v>5793</v>
      </c>
      <c r="I642" s="13" t="s">
        <v>5674</v>
      </c>
      <c r="L642" s="73"/>
    </row>
    <row r="643">
      <c r="A643" s="12" t="s">
        <v>6893</v>
      </c>
      <c r="B643" s="10" t="s">
        <v>6747</v>
      </c>
      <c r="C643" s="20" t="s">
        <v>6903</v>
      </c>
      <c r="D643" s="15"/>
      <c r="E643" s="15"/>
      <c r="F643" s="10" t="s">
        <v>6132</v>
      </c>
      <c r="G643" s="11" t="s">
        <v>5793</v>
      </c>
      <c r="I643" s="13" t="s">
        <v>5674</v>
      </c>
      <c r="L643" s="73"/>
    </row>
    <row r="644">
      <c r="A644" s="12" t="s">
        <v>6893</v>
      </c>
      <c r="B644" s="10" t="s">
        <v>6749</v>
      </c>
      <c r="C644" s="20" t="s">
        <v>6904</v>
      </c>
      <c r="D644" s="15"/>
      <c r="E644" s="15"/>
      <c r="F644" s="10" t="s">
        <v>6132</v>
      </c>
      <c r="G644" s="11" t="s">
        <v>5793</v>
      </c>
      <c r="I644" s="13" t="s">
        <v>5674</v>
      </c>
      <c r="L644" s="73"/>
    </row>
    <row r="645">
      <c r="A645" s="12" t="s">
        <v>6893</v>
      </c>
      <c r="B645" s="10" t="s">
        <v>6751</v>
      </c>
      <c r="C645" s="20" t="s">
        <v>6905</v>
      </c>
      <c r="D645" s="15"/>
      <c r="E645" s="15"/>
      <c r="F645" s="10" t="s">
        <v>6132</v>
      </c>
      <c r="G645" s="11" t="s">
        <v>5793</v>
      </c>
      <c r="I645" s="13" t="s">
        <v>5674</v>
      </c>
      <c r="L645" s="73"/>
    </row>
    <row r="646">
      <c r="A646" s="12" t="s">
        <v>6893</v>
      </c>
      <c r="B646" s="10" t="s">
        <v>6753</v>
      </c>
      <c r="C646" s="20" t="s">
        <v>6906</v>
      </c>
      <c r="D646" s="15"/>
      <c r="E646" s="15"/>
      <c r="F646" s="10" t="s">
        <v>6132</v>
      </c>
      <c r="G646" s="11" t="s">
        <v>5793</v>
      </c>
      <c r="I646" s="13" t="s">
        <v>5674</v>
      </c>
      <c r="L646" s="73"/>
    </row>
    <row r="647">
      <c r="A647" s="12" t="s">
        <v>6893</v>
      </c>
      <c r="B647" s="10" t="s">
        <v>6755</v>
      </c>
      <c r="C647" s="20" t="s">
        <v>6907</v>
      </c>
      <c r="D647" s="15"/>
      <c r="E647" s="15"/>
      <c r="F647" s="10" t="s">
        <v>6132</v>
      </c>
      <c r="G647" s="11" t="s">
        <v>5793</v>
      </c>
      <c r="I647" s="13" t="s">
        <v>5674</v>
      </c>
      <c r="L647" s="73"/>
    </row>
    <row r="648">
      <c r="A648" s="12" t="s">
        <v>6893</v>
      </c>
      <c r="B648" s="10" t="s">
        <v>6757</v>
      </c>
      <c r="C648" s="20" t="s">
        <v>6908</v>
      </c>
      <c r="D648" s="15"/>
      <c r="E648" s="15"/>
      <c r="F648" s="10" t="s">
        <v>6132</v>
      </c>
      <c r="G648" s="11" t="s">
        <v>5793</v>
      </c>
      <c r="I648" s="13" t="s">
        <v>5674</v>
      </c>
      <c r="L648" s="73"/>
    </row>
    <row r="649">
      <c r="A649" s="12" t="s">
        <v>6893</v>
      </c>
      <c r="B649" s="10" t="s">
        <v>6759</v>
      </c>
      <c r="C649" s="20" t="s">
        <v>6909</v>
      </c>
      <c r="D649" s="15"/>
      <c r="E649" s="15"/>
      <c r="F649" s="10" t="s">
        <v>6132</v>
      </c>
      <c r="G649" s="11" t="s">
        <v>5793</v>
      </c>
      <c r="I649" s="13" t="s">
        <v>5674</v>
      </c>
      <c r="L649" s="73"/>
    </row>
    <row r="650">
      <c r="A650" s="12" t="s">
        <v>6893</v>
      </c>
      <c r="B650" s="10" t="s">
        <v>6761</v>
      </c>
      <c r="C650" s="20" t="s">
        <v>6910</v>
      </c>
      <c r="D650" s="15"/>
      <c r="E650" s="15"/>
      <c r="F650" s="10" t="s">
        <v>6132</v>
      </c>
      <c r="G650" s="11" t="s">
        <v>5793</v>
      </c>
      <c r="I650" s="13" t="s">
        <v>5674</v>
      </c>
      <c r="L650" s="73"/>
    </row>
    <row r="651">
      <c r="A651" s="12" t="s">
        <v>6893</v>
      </c>
      <c r="B651" s="10" t="s">
        <v>6763</v>
      </c>
      <c r="C651" s="20" t="s">
        <v>6911</v>
      </c>
      <c r="D651" s="15"/>
      <c r="E651" s="15"/>
      <c r="F651" s="10" t="s">
        <v>6132</v>
      </c>
      <c r="G651" s="11" t="s">
        <v>5793</v>
      </c>
      <c r="I651" s="13" t="s">
        <v>5674</v>
      </c>
      <c r="L651" s="73"/>
    </row>
    <row r="652">
      <c r="A652" s="12" t="s">
        <v>6893</v>
      </c>
      <c r="B652" s="10" t="s">
        <v>6765</v>
      </c>
      <c r="C652" s="20" t="s">
        <v>6912</v>
      </c>
      <c r="D652" s="15"/>
      <c r="E652" s="15"/>
      <c r="F652" s="10" t="s">
        <v>6132</v>
      </c>
      <c r="G652" s="11" t="s">
        <v>5793</v>
      </c>
      <c r="I652" s="13" t="s">
        <v>5674</v>
      </c>
      <c r="L652" s="73"/>
    </row>
    <row r="653">
      <c r="A653" s="12" t="s">
        <v>6893</v>
      </c>
      <c r="B653" s="10" t="s">
        <v>6913</v>
      </c>
      <c r="C653" s="20" t="s">
        <v>6914</v>
      </c>
      <c r="D653" s="15"/>
      <c r="E653" s="15"/>
      <c r="F653" s="10" t="s">
        <v>6132</v>
      </c>
      <c r="G653" s="11" t="s">
        <v>5793</v>
      </c>
      <c r="I653" s="13" t="s">
        <v>5674</v>
      </c>
      <c r="L653" s="73"/>
    </row>
    <row r="654">
      <c r="A654" s="12" t="s">
        <v>6893</v>
      </c>
      <c r="B654" s="10" t="s">
        <v>6769</v>
      </c>
      <c r="C654" s="20" t="s">
        <v>6915</v>
      </c>
      <c r="D654" s="15"/>
      <c r="E654" s="15"/>
      <c r="F654" s="10" t="s">
        <v>6132</v>
      </c>
      <c r="G654" s="11" t="s">
        <v>5793</v>
      </c>
      <c r="I654" s="13" t="s">
        <v>5674</v>
      </c>
      <c r="L654" s="73"/>
    </row>
    <row r="655">
      <c r="A655" s="12" t="s">
        <v>6893</v>
      </c>
      <c r="B655" s="10" t="s">
        <v>6771</v>
      </c>
      <c r="C655" s="20" t="s">
        <v>6916</v>
      </c>
      <c r="D655" s="15"/>
      <c r="E655" s="15"/>
      <c r="F655" s="10" t="s">
        <v>6132</v>
      </c>
      <c r="G655" s="11" t="s">
        <v>5793</v>
      </c>
      <c r="I655" s="13" t="s">
        <v>5674</v>
      </c>
      <c r="L655" s="73"/>
    </row>
    <row r="656">
      <c r="A656" s="12" t="s">
        <v>6893</v>
      </c>
      <c r="B656" s="10" t="s">
        <v>6773</v>
      </c>
      <c r="C656" s="20" t="s">
        <v>6917</v>
      </c>
      <c r="D656" s="15"/>
      <c r="E656" s="15"/>
      <c r="F656" s="10" t="s">
        <v>6132</v>
      </c>
      <c r="G656" s="11" t="s">
        <v>5793</v>
      </c>
      <c r="I656" s="13" t="s">
        <v>5674</v>
      </c>
      <c r="L656" s="73"/>
    </row>
    <row r="657">
      <c r="A657" s="12" t="s">
        <v>6893</v>
      </c>
      <c r="B657" s="10" t="s">
        <v>6775</v>
      </c>
      <c r="C657" s="20" t="s">
        <v>6918</v>
      </c>
      <c r="D657" s="15"/>
      <c r="E657" s="15"/>
      <c r="F657" s="10" t="s">
        <v>6132</v>
      </c>
      <c r="G657" s="11" t="s">
        <v>5793</v>
      </c>
      <c r="I657" s="13" t="s">
        <v>5674</v>
      </c>
      <c r="L657" s="73"/>
    </row>
    <row r="658">
      <c r="A658" s="12" t="s">
        <v>6893</v>
      </c>
      <c r="B658" s="10" t="s">
        <v>6777</v>
      </c>
      <c r="C658" s="20" t="s">
        <v>6919</v>
      </c>
      <c r="D658" s="15"/>
      <c r="E658" s="15"/>
      <c r="F658" s="10" t="s">
        <v>6132</v>
      </c>
      <c r="G658" s="11" t="s">
        <v>5793</v>
      </c>
      <c r="I658" s="13" t="s">
        <v>5674</v>
      </c>
      <c r="L658" s="73"/>
    </row>
    <row r="659">
      <c r="A659" s="12" t="s">
        <v>6893</v>
      </c>
      <c r="B659" s="10" t="s">
        <v>6920</v>
      </c>
      <c r="C659" s="13" t="s">
        <v>6527</v>
      </c>
      <c r="D659" s="15"/>
      <c r="E659" s="15"/>
      <c r="F659" s="10" t="s">
        <v>6132</v>
      </c>
      <c r="G659" s="11" t="s">
        <v>5793</v>
      </c>
      <c r="I659" s="13" t="s">
        <v>5674</v>
      </c>
      <c r="L659" s="73"/>
    </row>
    <row r="660">
      <c r="A660" s="12" t="s">
        <v>6893</v>
      </c>
      <c r="B660" s="10" t="s">
        <v>6921</v>
      </c>
      <c r="C660" s="13" t="s">
        <v>6527</v>
      </c>
      <c r="D660" s="10"/>
      <c r="E660" s="10"/>
      <c r="F660" s="10"/>
      <c r="G660" s="11"/>
      <c r="I660" s="13"/>
      <c r="L660" s="73"/>
    </row>
    <row r="661">
      <c r="A661" s="12" t="s">
        <v>6893</v>
      </c>
      <c r="B661" s="10" t="s">
        <v>6922</v>
      </c>
      <c r="C661" s="13" t="s">
        <v>6527</v>
      </c>
      <c r="D661" s="10"/>
      <c r="E661" s="10"/>
      <c r="F661" s="10"/>
      <c r="G661" s="11"/>
      <c r="I661" s="13"/>
      <c r="L661" s="73"/>
    </row>
    <row r="662">
      <c r="A662" s="12" t="s">
        <v>6923</v>
      </c>
      <c r="B662" s="10" t="s">
        <v>6753</v>
      </c>
      <c r="C662" s="13" t="s">
        <v>6527</v>
      </c>
      <c r="D662" s="10"/>
      <c r="E662" s="10"/>
      <c r="F662" s="10"/>
      <c r="G662" s="11"/>
      <c r="I662" s="13"/>
      <c r="L662" s="73"/>
    </row>
    <row r="663">
      <c r="A663" s="12" t="s">
        <v>6924</v>
      </c>
      <c r="B663" s="10" t="s">
        <v>6753</v>
      </c>
      <c r="C663" s="13" t="s">
        <v>6527</v>
      </c>
      <c r="D663" s="10"/>
      <c r="E663" s="10"/>
      <c r="F663" s="10"/>
      <c r="G663" s="11"/>
      <c r="I663" s="13"/>
      <c r="L663" s="73"/>
    </row>
    <row r="664">
      <c r="A664" s="12" t="s">
        <v>6924</v>
      </c>
      <c r="B664" s="10" t="s">
        <v>6761</v>
      </c>
      <c r="C664" s="13" t="s">
        <v>6925</v>
      </c>
      <c r="D664" s="10"/>
      <c r="E664" s="10"/>
      <c r="F664" s="10"/>
      <c r="G664" s="11"/>
      <c r="I664" s="13"/>
      <c r="L664" s="73"/>
    </row>
    <row r="665">
      <c r="A665" s="12" t="s">
        <v>6924</v>
      </c>
      <c r="B665" s="10" t="s">
        <v>6926</v>
      </c>
      <c r="C665" s="13" t="s">
        <v>6527</v>
      </c>
      <c r="D665" s="10"/>
      <c r="E665" s="10"/>
      <c r="F665" s="10"/>
      <c r="G665" s="11"/>
      <c r="I665" s="13"/>
      <c r="L665" s="73"/>
    </row>
    <row r="666">
      <c r="A666" s="12" t="s">
        <v>6924</v>
      </c>
      <c r="B666" s="10" t="s">
        <v>6777</v>
      </c>
      <c r="C666" s="13" t="s">
        <v>6527</v>
      </c>
      <c r="D666" s="10"/>
      <c r="E666" s="10"/>
      <c r="F666" s="10"/>
      <c r="G666" s="11"/>
      <c r="I666" s="13"/>
      <c r="L666" s="73"/>
    </row>
    <row r="667">
      <c r="A667" s="12" t="s">
        <v>6924</v>
      </c>
      <c r="B667" s="10" t="s">
        <v>6747</v>
      </c>
      <c r="C667" s="13" t="s">
        <v>6527</v>
      </c>
      <c r="D667" s="10"/>
      <c r="E667" s="10"/>
      <c r="F667" s="10"/>
      <c r="G667" s="11"/>
      <c r="I667" s="13"/>
      <c r="L667" s="73"/>
    </row>
    <row r="668">
      <c r="A668" s="12" t="s">
        <v>6924</v>
      </c>
      <c r="B668" s="10" t="s">
        <v>6790</v>
      </c>
      <c r="C668" s="13" t="s">
        <v>6527</v>
      </c>
      <c r="D668" s="10"/>
      <c r="E668" s="10"/>
      <c r="F668" s="10"/>
      <c r="G668" s="11"/>
      <c r="I668" s="13"/>
      <c r="L668" s="73"/>
    </row>
    <row r="669">
      <c r="A669" s="12" t="s">
        <v>6924</v>
      </c>
      <c r="B669" s="10" t="s">
        <v>6749</v>
      </c>
      <c r="C669" s="13" t="s">
        <v>6527</v>
      </c>
      <c r="D669" s="10"/>
      <c r="E669" s="10"/>
      <c r="F669" s="10"/>
      <c r="G669" s="11"/>
      <c r="I669" s="13"/>
      <c r="L669" s="73"/>
    </row>
    <row r="670">
      <c r="A670" s="12" t="s">
        <v>6927</v>
      </c>
      <c r="B670" s="10" t="s">
        <v>6749</v>
      </c>
      <c r="C670" s="13" t="s">
        <v>6527</v>
      </c>
      <c r="D670" s="10"/>
      <c r="E670" s="10"/>
      <c r="F670" s="10"/>
      <c r="G670" s="11"/>
      <c r="I670" s="13"/>
      <c r="L670" s="73"/>
    </row>
    <row r="671">
      <c r="A671" s="12" t="s">
        <v>6928</v>
      </c>
      <c r="B671" s="10" t="s">
        <v>6729</v>
      </c>
      <c r="C671" s="13" t="s">
        <v>6929</v>
      </c>
      <c r="D671" s="10"/>
      <c r="E671" s="10"/>
      <c r="F671" s="10"/>
      <c r="G671" s="11"/>
      <c r="I671" s="13"/>
      <c r="L671" s="73"/>
    </row>
    <row r="672">
      <c r="A672" s="12" t="s">
        <v>6930</v>
      </c>
      <c r="B672" s="13" t="s">
        <v>6763</v>
      </c>
      <c r="C672" s="88" t="s">
        <v>6931</v>
      </c>
      <c r="D672" s="10"/>
      <c r="E672" s="10"/>
      <c r="F672" s="10"/>
      <c r="G672" s="11"/>
      <c r="I672" s="13"/>
      <c r="L672" s="73"/>
    </row>
    <row r="673">
      <c r="A673" s="12" t="s">
        <v>6932</v>
      </c>
      <c r="B673" s="13" t="s">
        <v>6933</v>
      </c>
      <c r="C673" s="88" t="s">
        <v>6934</v>
      </c>
      <c r="D673" s="10"/>
      <c r="E673" s="10"/>
      <c r="F673" s="10" t="s">
        <v>6132</v>
      </c>
      <c r="G673" s="11" t="s">
        <v>5793</v>
      </c>
      <c r="I673" s="13" t="s">
        <v>5674</v>
      </c>
      <c r="L673" s="73"/>
    </row>
    <row r="674">
      <c r="A674" s="12" t="s">
        <v>6932</v>
      </c>
      <c r="B674" s="88" t="s">
        <v>6832</v>
      </c>
      <c r="C674" s="13" t="s">
        <v>6935</v>
      </c>
      <c r="D674" s="15"/>
      <c r="E674" s="15"/>
      <c r="F674" s="10" t="s">
        <v>6132</v>
      </c>
      <c r="G674" s="11" t="s">
        <v>5793</v>
      </c>
      <c r="I674" s="13" t="s">
        <v>5674</v>
      </c>
      <c r="L674" s="73"/>
    </row>
    <row r="675">
      <c r="A675" s="87" t="s">
        <v>6936</v>
      </c>
      <c r="B675" s="88" t="s">
        <v>6937</v>
      </c>
      <c r="C675" s="88" t="s">
        <v>6938</v>
      </c>
      <c r="D675" s="15"/>
      <c r="E675" s="15"/>
      <c r="F675" s="10" t="s">
        <v>6132</v>
      </c>
      <c r="G675" s="11" t="s">
        <v>5793</v>
      </c>
      <c r="I675" s="13" t="s">
        <v>5674</v>
      </c>
      <c r="L675" s="73"/>
    </row>
    <row r="676">
      <c r="A676" s="87" t="s">
        <v>6936</v>
      </c>
      <c r="B676" s="88" t="s">
        <v>6939</v>
      </c>
      <c r="C676" s="88" t="s">
        <v>6940</v>
      </c>
      <c r="D676" s="15"/>
      <c r="E676" s="15"/>
      <c r="F676" s="10" t="s">
        <v>6132</v>
      </c>
      <c r="G676" s="11" t="s">
        <v>5793</v>
      </c>
      <c r="I676" s="13" t="s">
        <v>5674</v>
      </c>
      <c r="L676" s="73"/>
    </row>
    <row r="677">
      <c r="A677" s="87" t="s">
        <v>6936</v>
      </c>
      <c r="B677" s="88" t="s">
        <v>6941</v>
      </c>
      <c r="C677" s="88" t="s">
        <v>6942</v>
      </c>
      <c r="D677" s="15"/>
      <c r="E677" s="15"/>
      <c r="F677" s="10" t="s">
        <v>6132</v>
      </c>
      <c r="G677" s="11" t="s">
        <v>5793</v>
      </c>
      <c r="I677" s="13" t="s">
        <v>5674</v>
      </c>
      <c r="L677" s="73"/>
    </row>
    <row r="678">
      <c r="A678" s="87" t="s">
        <v>6936</v>
      </c>
      <c r="B678" s="88" t="s">
        <v>6943</v>
      </c>
      <c r="C678" s="88" t="s">
        <v>6944</v>
      </c>
      <c r="D678" s="15"/>
      <c r="E678" s="15"/>
      <c r="F678" s="10" t="s">
        <v>6132</v>
      </c>
      <c r="G678" s="11" t="s">
        <v>5793</v>
      </c>
      <c r="I678" s="13" t="s">
        <v>5674</v>
      </c>
      <c r="L678" s="73"/>
    </row>
    <row r="679">
      <c r="A679" s="87" t="s">
        <v>6936</v>
      </c>
      <c r="B679" s="88" t="s">
        <v>6945</v>
      </c>
      <c r="C679" s="88" t="s">
        <v>6946</v>
      </c>
      <c r="D679" s="15"/>
      <c r="E679" s="15"/>
      <c r="F679" s="10" t="s">
        <v>6132</v>
      </c>
      <c r="G679" s="11" t="s">
        <v>5793</v>
      </c>
      <c r="I679" s="13" t="s">
        <v>5674</v>
      </c>
      <c r="L679" s="73"/>
    </row>
    <row r="680">
      <c r="A680" s="87" t="s">
        <v>6936</v>
      </c>
      <c r="B680" s="88" t="s">
        <v>6947</v>
      </c>
      <c r="C680" s="88" t="s">
        <v>6948</v>
      </c>
      <c r="D680" s="15"/>
      <c r="E680" s="15"/>
      <c r="F680" s="10" t="s">
        <v>6132</v>
      </c>
      <c r="G680" s="11" t="s">
        <v>5793</v>
      </c>
      <c r="I680" s="13" t="s">
        <v>5674</v>
      </c>
      <c r="L680" s="73"/>
    </row>
    <row r="681">
      <c r="A681" s="87" t="s">
        <v>6936</v>
      </c>
      <c r="B681" s="88" t="s">
        <v>6949</v>
      </c>
      <c r="C681" s="88" t="s">
        <v>6950</v>
      </c>
      <c r="D681" s="15"/>
      <c r="E681" s="15"/>
      <c r="F681" s="10" t="s">
        <v>6132</v>
      </c>
      <c r="G681" s="11" t="s">
        <v>5793</v>
      </c>
      <c r="I681" s="13" t="s">
        <v>5674</v>
      </c>
      <c r="L681" s="73"/>
    </row>
    <row r="682">
      <c r="A682" s="87" t="s">
        <v>6936</v>
      </c>
      <c r="B682" s="88" t="s">
        <v>6951</v>
      </c>
      <c r="C682" s="88" t="s">
        <v>6952</v>
      </c>
      <c r="D682" s="15"/>
      <c r="E682" s="15"/>
      <c r="F682" s="10" t="s">
        <v>6132</v>
      </c>
      <c r="G682" s="11" t="s">
        <v>5793</v>
      </c>
      <c r="I682" s="13" t="s">
        <v>5674</v>
      </c>
      <c r="L682" s="73"/>
    </row>
    <row r="683">
      <c r="A683" s="87" t="s">
        <v>6936</v>
      </c>
      <c r="B683" s="88" t="s">
        <v>6953</v>
      </c>
      <c r="C683" s="88" t="s">
        <v>6942</v>
      </c>
      <c r="D683" s="15"/>
      <c r="E683" s="15"/>
      <c r="F683" s="10" t="s">
        <v>6132</v>
      </c>
      <c r="G683" s="11" t="s">
        <v>5793</v>
      </c>
      <c r="I683" s="13" t="s">
        <v>5674</v>
      </c>
      <c r="L683" s="73"/>
    </row>
    <row r="684">
      <c r="A684" s="87" t="s">
        <v>6936</v>
      </c>
      <c r="B684" s="88" t="s">
        <v>6954</v>
      </c>
      <c r="C684" s="88" t="s">
        <v>6955</v>
      </c>
      <c r="D684" s="15"/>
      <c r="E684" s="15"/>
      <c r="F684" s="10" t="s">
        <v>6132</v>
      </c>
      <c r="G684" s="11" t="s">
        <v>5793</v>
      </c>
      <c r="I684" s="13" t="s">
        <v>5674</v>
      </c>
      <c r="L684" s="73"/>
    </row>
    <row r="685">
      <c r="A685" s="87" t="s">
        <v>6936</v>
      </c>
      <c r="B685" s="88" t="s">
        <v>6956</v>
      </c>
      <c r="C685" s="88" t="s">
        <v>6957</v>
      </c>
      <c r="D685" s="15"/>
      <c r="E685" s="15"/>
      <c r="F685" s="10" t="s">
        <v>6132</v>
      </c>
      <c r="G685" s="11" t="s">
        <v>5793</v>
      </c>
      <c r="I685" s="13" t="s">
        <v>5674</v>
      </c>
      <c r="L685" s="73"/>
    </row>
    <row r="686">
      <c r="A686" s="87" t="s">
        <v>6936</v>
      </c>
      <c r="B686" s="88" t="s">
        <v>6958</v>
      </c>
      <c r="C686" s="88" t="s">
        <v>6959</v>
      </c>
      <c r="D686" s="15"/>
      <c r="E686" s="15"/>
      <c r="F686" s="10" t="s">
        <v>6132</v>
      </c>
      <c r="G686" s="11" t="s">
        <v>5793</v>
      </c>
      <c r="I686" s="13" t="s">
        <v>5674</v>
      </c>
      <c r="L686" s="73"/>
    </row>
    <row r="687">
      <c r="A687" s="87" t="s">
        <v>6936</v>
      </c>
      <c r="B687" s="88" t="s">
        <v>6960</v>
      </c>
      <c r="C687" s="88" t="s">
        <v>6961</v>
      </c>
      <c r="D687" s="15"/>
      <c r="E687" s="15"/>
      <c r="F687" s="10" t="s">
        <v>6132</v>
      </c>
      <c r="G687" s="11" t="s">
        <v>5793</v>
      </c>
      <c r="I687" s="13" t="s">
        <v>5674</v>
      </c>
      <c r="L687" s="73"/>
    </row>
    <row r="688">
      <c r="A688" s="87" t="s">
        <v>6936</v>
      </c>
      <c r="B688" s="88" t="s">
        <v>6962</v>
      </c>
      <c r="C688" s="88" t="s">
        <v>6963</v>
      </c>
      <c r="D688" s="15"/>
      <c r="E688" s="15"/>
      <c r="F688" s="10" t="s">
        <v>6132</v>
      </c>
      <c r="G688" s="11" t="s">
        <v>5793</v>
      </c>
      <c r="I688" s="13" t="s">
        <v>5674</v>
      </c>
      <c r="L688" s="73"/>
    </row>
    <row r="689">
      <c r="A689" s="87" t="s">
        <v>6936</v>
      </c>
      <c r="B689" s="88" t="s">
        <v>6964</v>
      </c>
      <c r="C689" s="88" t="s">
        <v>6965</v>
      </c>
      <c r="D689" s="15"/>
      <c r="E689" s="15"/>
      <c r="F689" s="10" t="s">
        <v>6132</v>
      </c>
      <c r="G689" s="11" t="s">
        <v>5793</v>
      </c>
      <c r="I689" s="13" t="s">
        <v>5674</v>
      </c>
      <c r="L689" s="73"/>
    </row>
    <row r="690">
      <c r="A690" s="87" t="s">
        <v>6936</v>
      </c>
      <c r="B690" s="88" t="s">
        <v>6966</v>
      </c>
      <c r="C690" s="88" t="s">
        <v>6967</v>
      </c>
      <c r="D690" s="15"/>
      <c r="E690" s="15"/>
      <c r="F690" s="10" t="s">
        <v>6132</v>
      </c>
      <c r="G690" s="11" t="s">
        <v>5793</v>
      </c>
      <c r="I690" s="13" t="s">
        <v>5674</v>
      </c>
      <c r="L690" s="73"/>
    </row>
    <row r="691">
      <c r="A691" s="87" t="s">
        <v>6936</v>
      </c>
      <c r="B691" s="88" t="s">
        <v>6968</v>
      </c>
      <c r="C691" s="88" t="s">
        <v>6969</v>
      </c>
      <c r="D691" s="15"/>
      <c r="E691" s="15"/>
      <c r="F691" s="10" t="s">
        <v>6132</v>
      </c>
      <c r="G691" s="11" t="s">
        <v>5793</v>
      </c>
      <c r="I691" s="13" t="s">
        <v>5674</v>
      </c>
      <c r="L691" s="73"/>
    </row>
    <row r="692">
      <c r="A692" s="87" t="s">
        <v>6936</v>
      </c>
      <c r="B692" s="88" t="s">
        <v>6970</v>
      </c>
      <c r="C692" s="88" t="s">
        <v>6971</v>
      </c>
      <c r="D692" s="15"/>
      <c r="E692" s="15"/>
      <c r="F692" s="10" t="s">
        <v>6132</v>
      </c>
      <c r="G692" s="11" t="s">
        <v>5793</v>
      </c>
      <c r="I692" s="13" t="s">
        <v>5674</v>
      </c>
      <c r="L692" s="73"/>
    </row>
    <row r="693">
      <c r="A693" s="87" t="s">
        <v>6936</v>
      </c>
      <c r="B693" s="88" t="s">
        <v>6972</v>
      </c>
      <c r="C693" s="88" t="s">
        <v>6973</v>
      </c>
      <c r="D693" s="15"/>
      <c r="E693" s="15"/>
      <c r="F693" s="10" t="s">
        <v>6132</v>
      </c>
      <c r="G693" s="11" t="s">
        <v>5793</v>
      </c>
      <c r="I693" s="13" t="s">
        <v>5674</v>
      </c>
      <c r="L693" s="73"/>
    </row>
    <row r="694">
      <c r="A694" s="87" t="s">
        <v>6936</v>
      </c>
      <c r="B694" s="88" t="s">
        <v>6974</v>
      </c>
      <c r="C694" s="88" t="s">
        <v>6975</v>
      </c>
      <c r="D694" s="15"/>
      <c r="E694" s="15"/>
      <c r="F694" s="10" t="s">
        <v>6132</v>
      </c>
      <c r="G694" s="11" t="s">
        <v>5793</v>
      </c>
      <c r="I694" s="13" t="s">
        <v>5674</v>
      </c>
      <c r="L694" s="73"/>
    </row>
    <row r="695">
      <c r="A695" s="87" t="s">
        <v>6936</v>
      </c>
      <c r="B695" s="88" t="s">
        <v>6976</v>
      </c>
      <c r="C695" s="13" t="s">
        <v>6527</v>
      </c>
      <c r="D695" s="15"/>
      <c r="E695" s="15"/>
      <c r="F695" s="10"/>
      <c r="G695" s="11"/>
      <c r="I695" s="13"/>
      <c r="L695" s="73"/>
    </row>
    <row r="696">
      <c r="A696" s="87" t="s">
        <v>6936</v>
      </c>
      <c r="B696" s="88" t="s">
        <v>6977</v>
      </c>
      <c r="C696" s="13" t="s">
        <v>6527</v>
      </c>
      <c r="D696" s="15"/>
      <c r="E696" s="15"/>
      <c r="F696" s="10"/>
      <c r="G696" s="11"/>
      <c r="I696" s="13"/>
      <c r="L696" s="73"/>
    </row>
    <row r="697">
      <c r="A697" s="87" t="s">
        <v>6978</v>
      </c>
      <c r="B697" s="88" t="s">
        <v>6979</v>
      </c>
      <c r="C697" s="88" t="s">
        <v>6980</v>
      </c>
      <c r="D697" s="15"/>
      <c r="E697" s="15"/>
      <c r="F697" s="10" t="s">
        <v>6132</v>
      </c>
      <c r="G697" s="11" t="s">
        <v>5793</v>
      </c>
      <c r="I697" s="13" t="s">
        <v>5674</v>
      </c>
      <c r="L697" s="73"/>
    </row>
    <row r="698">
      <c r="A698" s="87" t="s">
        <v>6978</v>
      </c>
      <c r="B698" s="88" t="s">
        <v>6981</v>
      </c>
      <c r="C698" s="88" t="s">
        <v>6982</v>
      </c>
      <c r="D698" s="15"/>
      <c r="E698" s="15"/>
      <c r="F698" s="10" t="s">
        <v>6132</v>
      </c>
      <c r="G698" s="11" t="s">
        <v>5793</v>
      </c>
      <c r="I698" s="13" t="s">
        <v>5674</v>
      </c>
      <c r="L698" s="73"/>
    </row>
    <row r="699">
      <c r="A699" s="87" t="s">
        <v>6978</v>
      </c>
      <c r="B699" s="88" t="s">
        <v>6983</v>
      </c>
      <c r="C699" s="88" t="s">
        <v>6984</v>
      </c>
      <c r="D699" s="15"/>
      <c r="E699" s="15"/>
      <c r="F699" s="10" t="s">
        <v>6132</v>
      </c>
      <c r="G699" s="11" t="s">
        <v>5793</v>
      </c>
      <c r="I699" s="13" t="s">
        <v>5674</v>
      </c>
      <c r="L699" s="73"/>
    </row>
    <row r="700">
      <c r="A700" s="87" t="s">
        <v>6978</v>
      </c>
      <c r="B700" s="88" t="s">
        <v>6985</v>
      </c>
      <c r="C700" s="88" t="s">
        <v>6986</v>
      </c>
      <c r="D700" s="15"/>
      <c r="E700" s="15"/>
      <c r="F700" s="10" t="s">
        <v>6132</v>
      </c>
      <c r="G700" s="11" t="s">
        <v>5793</v>
      </c>
      <c r="I700" s="13" t="s">
        <v>5674</v>
      </c>
      <c r="L700" s="73"/>
    </row>
    <row r="701">
      <c r="A701" s="87" t="s">
        <v>6978</v>
      </c>
      <c r="B701" s="88" t="s">
        <v>6987</v>
      </c>
      <c r="C701" s="88" t="s">
        <v>6988</v>
      </c>
      <c r="D701" s="15"/>
      <c r="E701" s="15"/>
      <c r="F701" s="10" t="s">
        <v>6132</v>
      </c>
      <c r="G701" s="11" t="s">
        <v>5793</v>
      </c>
      <c r="I701" s="13" t="s">
        <v>5674</v>
      </c>
      <c r="L701" s="73"/>
    </row>
    <row r="702">
      <c r="A702" s="87" t="s">
        <v>6978</v>
      </c>
      <c r="B702" s="88" t="s">
        <v>6989</v>
      </c>
      <c r="C702" s="88" t="s">
        <v>6990</v>
      </c>
      <c r="D702" s="15"/>
      <c r="E702" s="15"/>
      <c r="F702" s="10" t="s">
        <v>6132</v>
      </c>
      <c r="G702" s="11" t="s">
        <v>5793</v>
      </c>
      <c r="I702" s="13" t="s">
        <v>5674</v>
      </c>
      <c r="L702" s="73"/>
    </row>
    <row r="703">
      <c r="A703" s="87" t="s">
        <v>6978</v>
      </c>
      <c r="B703" s="88" t="s">
        <v>6991</v>
      </c>
      <c r="C703" s="88" t="s">
        <v>6992</v>
      </c>
      <c r="D703" s="15"/>
      <c r="E703" s="15"/>
      <c r="F703" s="10" t="s">
        <v>6132</v>
      </c>
      <c r="G703" s="11" t="s">
        <v>5793</v>
      </c>
      <c r="I703" s="13" t="s">
        <v>5674</v>
      </c>
      <c r="L703" s="73"/>
    </row>
    <row r="704">
      <c r="A704" s="87" t="s">
        <v>6978</v>
      </c>
      <c r="B704" s="88" t="s">
        <v>6993</v>
      </c>
      <c r="C704" s="88" t="s">
        <v>6994</v>
      </c>
      <c r="D704" s="15"/>
      <c r="E704" s="15"/>
      <c r="F704" s="10" t="s">
        <v>6132</v>
      </c>
      <c r="G704" s="11" t="s">
        <v>5793</v>
      </c>
      <c r="I704" s="13" t="s">
        <v>5674</v>
      </c>
      <c r="L704" s="73"/>
    </row>
    <row r="705">
      <c r="A705" s="87" t="s">
        <v>6978</v>
      </c>
      <c r="B705" s="88" t="s">
        <v>6995</v>
      </c>
      <c r="C705" s="88" t="s">
        <v>6996</v>
      </c>
      <c r="D705" s="15"/>
      <c r="E705" s="15"/>
      <c r="F705" s="10" t="s">
        <v>6132</v>
      </c>
      <c r="G705" s="11" t="s">
        <v>5793</v>
      </c>
      <c r="I705" s="13" t="s">
        <v>5674</v>
      </c>
      <c r="L705" s="73"/>
    </row>
    <row r="706">
      <c r="A706" s="87" t="s">
        <v>6978</v>
      </c>
      <c r="B706" s="88" t="s">
        <v>6651</v>
      </c>
      <c r="C706" s="88" t="s">
        <v>6997</v>
      </c>
      <c r="D706" s="15"/>
      <c r="E706" s="15"/>
      <c r="F706" s="10" t="s">
        <v>6132</v>
      </c>
      <c r="G706" s="11" t="s">
        <v>5793</v>
      </c>
      <c r="I706" s="13" t="s">
        <v>5674</v>
      </c>
      <c r="L706" s="73"/>
    </row>
    <row r="707">
      <c r="A707" s="87" t="s">
        <v>6978</v>
      </c>
      <c r="B707" s="88" t="s">
        <v>6998</v>
      </c>
      <c r="C707" s="88" t="s">
        <v>6999</v>
      </c>
      <c r="D707" s="15"/>
      <c r="E707" s="15"/>
      <c r="F707" s="10" t="s">
        <v>6132</v>
      </c>
      <c r="G707" s="11" t="s">
        <v>5793</v>
      </c>
      <c r="I707" s="13" t="s">
        <v>5674</v>
      </c>
      <c r="L707" s="73"/>
    </row>
    <row r="708">
      <c r="A708" s="87" t="s">
        <v>6978</v>
      </c>
      <c r="B708" s="88" t="s">
        <v>7000</v>
      </c>
      <c r="C708" s="88" t="s">
        <v>7001</v>
      </c>
      <c r="D708" s="15"/>
      <c r="E708" s="15"/>
      <c r="F708" s="10" t="s">
        <v>6132</v>
      </c>
      <c r="G708" s="11" t="s">
        <v>5793</v>
      </c>
      <c r="I708" s="13" t="s">
        <v>5674</v>
      </c>
      <c r="L708" s="73"/>
    </row>
    <row r="709">
      <c r="A709" s="87" t="s">
        <v>6978</v>
      </c>
      <c r="B709" s="88" t="s">
        <v>7002</v>
      </c>
      <c r="C709" s="88" t="s">
        <v>7003</v>
      </c>
      <c r="D709" s="15"/>
      <c r="E709" s="15"/>
      <c r="F709" s="10" t="s">
        <v>6132</v>
      </c>
      <c r="G709" s="11" t="s">
        <v>5793</v>
      </c>
      <c r="I709" s="13" t="s">
        <v>5674</v>
      </c>
      <c r="L709" s="73"/>
    </row>
    <row r="710">
      <c r="A710" s="87" t="s">
        <v>6978</v>
      </c>
      <c r="B710" s="88" t="s">
        <v>7004</v>
      </c>
      <c r="C710" s="88" t="s">
        <v>7005</v>
      </c>
      <c r="D710" s="15"/>
      <c r="E710" s="15"/>
      <c r="F710" s="10" t="s">
        <v>6132</v>
      </c>
      <c r="G710" s="11" t="s">
        <v>5793</v>
      </c>
      <c r="I710" s="13" t="s">
        <v>5674</v>
      </c>
      <c r="L710" s="73"/>
    </row>
    <row r="711">
      <c r="A711" s="87" t="s">
        <v>6978</v>
      </c>
      <c r="B711" s="88" t="s">
        <v>7004</v>
      </c>
      <c r="C711" s="88" t="s">
        <v>7006</v>
      </c>
      <c r="D711" s="15"/>
      <c r="E711" s="15"/>
      <c r="F711" s="10" t="s">
        <v>6132</v>
      </c>
      <c r="G711" s="11" t="s">
        <v>5793</v>
      </c>
      <c r="I711" s="13" t="s">
        <v>5674</v>
      </c>
      <c r="L711" s="73"/>
    </row>
    <row r="712">
      <c r="A712" s="87" t="s">
        <v>6978</v>
      </c>
      <c r="B712" s="88" t="s">
        <v>7007</v>
      </c>
      <c r="C712" s="88" t="s">
        <v>7008</v>
      </c>
      <c r="D712" s="15"/>
      <c r="E712" s="15"/>
      <c r="F712" s="10" t="s">
        <v>6132</v>
      </c>
      <c r="G712" s="11" t="s">
        <v>5793</v>
      </c>
      <c r="I712" s="13" t="s">
        <v>5674</v>
      </c>
      <c r="L712" s="73"/>
    </row>
    <row r="713">
      <c r="A713" s="87" t="s">
        <v>6978</v>
      </c>
      <c r="B713" s="88" t="s">
        <v>7009</v>
      </c>
      <c r="C713" s="88" t="s">
        <v>7010</v>
      </c>
      <c r="D713" s="15"/>
      <c r="E713" s="15"/>
      <c r="F713" s="10" t="s">
        <v>6132</v>
      </c>
      <c r="G713" s="11" t="s">
        <v>5793</v>
      </c>
      <c r="I713" s="13" t="s">
        <v>5674</v>
      </c>
      <c r="L713" s="73"/>
    </row>
    <row r="714">
      <c r="A714" s="87" t="s">
        <v>6978</v>
      </c>
      <c r="B714" s="88" t="s">
        <v>7011</v>
      </c>
      <c r="C714" s="88" t="s">
        <v>7012</v>
      </c>
      <c r="D714" s="15"/>
      <c r="E714" s="15"/>
      <c r="F714" s="10" t="s">
        <v>6132</v>
      </c>
      <c r="G714" s="11" t="s">
        <v>5793</v>
      </c>
      <c r="I714" s="13" t="s">
        <v>5674</v>
      </c>
      <c r="L714" s="73"/>
    </row>
    <row r="715">
      <c r="A715" s="87" t="s">
        <v>6978</v>
      </c>
      <c r="B715" s="88" t="s">
        <v>7013</v>
      </c>
      <c r="C715" s="88" t="s">
        <v>7014</v>
      </c>
      <c r="D715" s="15"/>
      <c r="E715" s="15"/>
      <c r="F715" s="10" t="s">
        <v>6132</v>
      </c>
      <c r="G715" s="11" t="s">
        <v>5793</v>
      </c>
      <c r="I715" s="13" t="s">
        <v>5674</v>
      </c>
      <c r="L715" s="73"/>
    </row>
    <row r="716">
      <c r="A716" s="87" t="s">
        <v>6978</v>
      </c>
      <c r="B716" s="88" t="s">
        <v>7015</v>
      </c>
      <c r="C716" s="88" t="s">
        <v>7016</v>
      </c>
      <c r="D716" s="15"/>
      <c r="E716" s="15"/>
      <c r="F716" s="10" t="s">
        <v>6132</v>
      </c>
      <c r="G716" s="11" t="s">
        <v>5793</v>
      </c>
      <c r="I716" s="13" t="s">
        <v>5674</v>
      </c>
      <c r="L716" s="73"/>
    </row>
    <row r="717">
      <c r="A717" s="87" t="s">
        <v>6978</v>
      </c>
      <c r="B717" s="88" t="s">
        <v>7017</v>
      </c>
      <c r="C717" s="88" t="s">
        <v>7018</v>
      </c>
      <c r="D717" s="15"/>
      <c r="E717" s="15"/>
      <c r="F717" s="10" t="s">
        <v>6132</v>
      </c>
      <c r="G717" s="11" t="s">
        <v>5793</v>
      </c>
      <c r="I717" s="13" t="s">
        <v>5674</v>
      </c>
      <c r="L717" s="73"/>
    </row>
    <row r="718">
      <c r="A718" s="87" t="s">
        <v>6978</v>
      </c>
      <c r="B718" s="88" t="s">
        <v>7019</v>
      </c>
      <c r="C718" s="88" t="s">
        <v>7020</v>
      </c>
      <c r="D718" s="15"/>
      <c r="E718" s="15"/>
      <c r="F718" s="10" t="s">
        <v>6132</v>
      </c>
      <c r="G718" s="11" t="s">
        <v>5793</v>
      </c>
      <c r="I718" s="13" t="s">
        <v>5674</v>
      </c>
      <c r="L718" s="73"/>
    </row>
    <row r="719">
      <c r="A719" s="87" t="s">
        <v>6978</v>
      </c>
      <c r="B719" s="88" t="s">
        <v>7021</v>
      </c>
      <c r="C719" s="13" t="s">
        <v>6527</v>
      </c>
      <c r="D719" s="15"/>
      <c r="E719" s="15"/>
      <c r="F719" s="10" t="s">
        <v>6132</v>
      </c>
      <c r="G719" s="11" t="s">
        <v>5793</v>
      </c>
      <c r="I719" s="13" t="s">
        <v>5674</v>
      </c>
      <c r="L719" s="73"/>
    </row>
    <row r="720">
      <c r="A720" s="87" t="s">
        <v>6978</v>
      </c>
      <c r="B720" s="88" t="s">
        <v>7022</v>
      </c>
      <c r="C720" s="13" t="s">
        <v>6527</v>
      </c>
      <c r="D720" s="15"/>
      <c r="E720" s="15"/>
      <c r="F720" s="10" t="s">
        <v>6132</v>
      </c>
      <c r="G720" s="11" t="s">
        <v>5793</v>
      </c>
      <c r="I720" s="13" t="s">
        <v>5674</v>
      </c>
      <c r="L720" s="73"/>
    </row>
    <row r="721">
      <c r="A721" s="87" t="s">
        <v>7023</v>
      </c>
      <c r="B721" s="88" t="s">
        <v>7024</v>
      </c>
      <c r="C721" s="88" t="s">
        <v>7025</v>
      </c>
      <c r="D721" s="15"/>
      <c r="E721" s="15"/>
      <c r="F721" s="10" t="s">
        <v>6132</v>
      </c>
      <c r="G721" s="11" t="s">
        <v>5793</v>
      </c>
      <c r="I721" s="13" t="s">
        <v>5674</v>
      </c>
      <c r="L721" s="73"/>
    </row>
    <row r="722">
      <c r="A722" s="87" t="s">
        <v>7023</v>
      </c>
      <c r="B722" s="88" t="s">
        <v>7026</v>
      </c>
      <c r="C722" s="88" t="s">
        <v>7027</v>
      </c>
      <c r="D722" s="15"/>
      <c r="E722" s="15"/>
      <c r="F722" s="10" t="s">
        <v>6132</v>
      </c>
      <c r="G722" s="11" t="s">
        <v>5793</v>
      </c>
      <c r="I722" s="13" t="s">
        <v>5674</v>
      </c>
      <c r="L722" s="73"/>
    </row>
    <row r="723">
      <c r="A723" s="87" t="s">
        <v>7023</v>
      </c>
      <c r="B723" s="88" t="s">
        <v>7028</v>
      </c>
      <c r="C723" s="88" t="s">
        <v>7029</v>
      </c>
      <c r="D723" s="15"/>
      <c r="E723" s="15"/>
      <c r="F723" s="10" t="s">
        <v>6132</v>
      </c>
      <c r="G723" s="11" t="s">
        <v>5793</v>
      </c>
      <c r="I723" s="13" t="s">
        <v>5674</v>
      </c>
      <c r="L723" s="73"/>
    </row>
    <row r="724">
      <c r="A724" s="87" t="s">
        <v>7023</v>
      </c>
      <c r="B724" s="88" t="s">
        <v>7030</v>
      </c>
      <c r="C724" s="88" t="s">
        <v>7031</v>
      </c>
      <c r="D724" s="15"/>
      <c r="E724" s="15"/>
      <c r="F724" s="10" t="s">
        <v>6132</v>
      </c>
      <c r="G724" s="11" t="s">
        <v>5793</v>
      </c>
      <c r="I724" s="13" t="s">
        <v>5674</v>
      </c>
      <c r="L724" s="73"/>
    </row>
    <row r="725">
      <c r="A725" s="87" t="s">
        <v>7023</v>
      </c>
      <c r="B725" s="88" t="s">
        <v>7032</v>
      </c>
      <c r="C725" s="88" t="s">
        <v>7033</v>
      </c>
      <c r="D725" s="15"/>
      <c r="E725" s="15"/>
      <c r="F725" s="10" t="s">
        <v>6132</v>
      </c>
      <c r="G725" s="11" t="s">
        <v>5793</v>
      </c>
      <c r="I725" s="13" t="s">
        <v>5674</v>
      </c>
      <c r="L725" s="73"/>
    </row>
    <row r="726">
      <c r="A726" s="87" t="s">
        <v>7023</v>
      </c>
      <c r="B726" s="88" t="s">
        <v>7034</v>
      </c>
      <c r="C726" s="88" t="s">
        <v>7035</v>
      </c>
      <c r="D726" s="15"/>
      <c r="E726" s="15"/>
      <c r="F726" s="10" t="s">
        <v>6132</v>
      </c>
      <c r="G726" s="11" t="s">
        <v>5793</v>
      </c>
      <c r="I726" s="13" t="s">
        <v>5674</v>
      </c>
      <c r="L726" s="73"/>
    </row>
    <row r="727">
      <c r="A727" s="87" t="s">
        <v>7023</v>
      </c>
      <c r="B727" s="88" t="s">
        <v>7036</v>
      </c>
      <c r="C727" s="88" t="s">
        <v>7037</v>
      </c>
      <c r="D727" s="15"/>
      <c r="E727" s="15"/>
      <c r="F727" s="10" t="s">
        <v>6132</v>
      </c>
      <c r="G727" s="11" t="s">
        <v>5793</v>
      </c>
      <c r="I727" s="13" t="s">
        <v>5674</v>
      </c>
      <c r="L727" s="73"/>
    </row>
    <row r="728">
      <c r="A728" s="87" t="s">
        <v>7023</v>
      </c>
      <c r="B728" s="88" t="s">
        <v>7038</v>
      </c>
      <c r="C728" s="13" t="s">
        <v>6527</v>
      </c>
      <c r="D728" s="15"/>
      <c r="E728" s="15"/>
      <c r="F728" s="10" t="s">
        <v>6132</v>
      </c>
      <c r="G728" s="11" t="s">
        <v>5793</v>
      </c>
      <c r="I728" s="13" t="s">
        <v>5674</v>
      </c>
      <c r="L728" s="73"/>
    </row>
    <row r="729">
      <c r="A729" s="87" t="s">
        <v>7039</v>
      </c>
      <c r="B729" s="88" t="s">
        <v>7040</v>
      </c>
      <c r="C729" s="88" t="s">
        <v>7041</v>
      </c>
      <c r="D729" s="15"/>
      <c r="E729" s="15"/>
      <c r="F729" s="10" t="s">
        <v>6132</v>
      </c>
      <c r="G729" s="11" t="s">
        <v>5793</v>
      </c>
      <c r="I729" s="13" t="s">
        <v>5674</v>
      </c>
      <c r="L729" s="73"/>
    </row>
    <row r="730">
      <c r="A730" s="87" t="s">
        <v>6620</v>
      </c>
      <c r="B730" s="10" t="s">
        <v>7042</v>
      </c>
      <c r="C730" s="13" t="s">
        <v>7043</v>
      </c>
      <c r="D730" s="15"/>
      <c r="E730" s="15"/>
      <c r="F730" s="15"/>
      <c r="G730" s="11"/>
      <c r="L730" s="73"/>
    </row>
    <row r="731">
      <c r="A731" s="12" t="s">
        <v>6507</v>
      </c>
      <c r="B731" s="10" t="s">
        <v>7044</v>
      </c>
      <c r="C731" s="13" t="s">
        <v>7045</v>
      </c>
      <c r="D731" s="15"/>
      <c r="E731" s="15"/>
      <c r="F731" s="15"/>
      <c r="G731" s="11"/>
      <c r="L731" s="73"/>
    </row>
    <row r="732">
      <c r="A732" s="12" t="s">
        <v>6492</v>
      </c>
      <c r="B732" s="10" t="s">
        <v>7046</v>
      </c>
      <c r="C732" s="13" t="s">
        <v>7047</v>
      </c>
      <c r="D732" s="15"/>
      <c r="E732" s="15"/>
      <c r="F732" s="15"/>
      <c r="G732" s="11"/>
      <c r="L732" s="73"/>
    </row>
    <row r="733">
      <c r="A733" s="87" t="s">
        <v>7023</v>
      </c>
      <c r="B733" s="10" t="s">
        <v>7048</v>
      </c>
      <c r="C733" s="13" t="s">
        <v>7049</v>
      </c>
      <c r="D733" s="15"/>
      <c r="E733" s="15"/>
      <c r="F733" s="15"/>
      <c r="G733" s="11"/>
      <c r="L733" s="73"/>
    </row>
    <row r="734">
      <c r="A734" s="87" t="s">
        <v>7039</v>
      </c>
      <c r="B734" s="10" t="s">
        <v>7050</v>
      </c>
      <c r="C734" s="13" t="s">
        <v>7051</v>
      </c>
      <c r="D734" s="15"/>
      <c r="E734" s="15"/>
      <c r="F734" s="15"/>
      <c r="G734" s="11"/>
      <c r="L734" s="73"/>
    </row>
    <row r="735">
      <c r="A735" s="12" t="s">
        <v>6507</v>
      </c>
      <c r="B735" s="10" t="s">
        <v>7052</v>
      </c>
      <c r="C735" s="13" t="s">
        <v>7053</v>
      </c>
      <c r="D735" s="15"/>
      <c r="E735" s="15"/>
      <c r="F735" s="15"/>
      <c r="G735" s="11"/>
      <c r="L735" s="73"/>
    </row>
    <row r="736">
      <c r="A736" s="12" t="s">
        <v>6563</v>
      </c>
      <c r="B736" s="10" t="s">
        <v>7054</v>
      </c>
      <c r="C736" s="13" t="s">
        <v>7055</v>
      </c>
      <c r="D736" s="15"/>
      <c r="E736" s="15"/>
      <c r="F736" s="15"/>
      <c r="G736" s="11"/>
      <c r="L736" s="73"/>
    </row>
    <row r="737">
      <c r="A737" s="92" t="s">
        <v>6563</v>
      </c>
      <c r="B737" s="93" t="s">
        <v>7056</v>
      </c>
      <c r="C737" s="94" t="s">
        <v>7057</v>
      </c>
      <c r="D737" s="15"/>
      <c r="E737" s="15"/>
      <c r="F737" s="15"/>
      <c r="G737" s="11"/>
      <c r="L737" s="73"/>
    </row>
    <row r="738">
      <c r="A738" s="87" t="s">
        <v>6620</v>
      </c>
      <c r="B738" s="10" t="s">
        <v>7058</v>
      </c>
      <c r="C738" s="13" t="s">
        <v>7059</v>
      </c>
      <c r="D738" s="15"/>
      <c r="E738" s="15"/>
      <c r="F738" s="15"/>
      <c r="G738" s="11"/>
      <c r="L738" s="73"/>
    </row>
    <row r="739">
      <c r="A739" s="12" t="s">
        <v>6507</v>
      </c>
      <c r="B739" s="10" t="s">
        <v>7060</v>
      </c>
      <c r="C739" s="13" t="s">
        <v>6527</v>
      </c>
      <c r="D739" s="15"/>
      <c r="E739" s="15"/>
      <c r="F739" s="15"/>
      <c r="G739" s="11"/>
      <c r="L739" s="73"/>
    </row>
    <row r="740">
      <c r="A740" s="12" t="s">
        <v>6492</v>
      </c>
      <c r="B740" s="10" t="s">
        <v>7061</v>
      </c>
      <c r="C740" s="13" t="s">
        <v>6527</v>
      </c>
      <c r="D740" s="15"/>
      <c r="E740" s="15"/>
      <c r="F740" s="15"/>
      <c r="G740" s="11"/>
      <c r="L740" s="73"/>
    </row>
    <row r="741">
      <c r="A741" s="12" t="s">
        <v>6492</v>
      </c>
      <c r="B741" s="10" t="s">
        <v>7062</v>
      </c>
      <c r="C741" s="13" t="s">
        <v>6527</v>
      </c>
      <c r="D741" s="15"/>
      <c r="E741" s="15"/>
      <c r="F741" s="15"/>
      <c r="G741" s="11"/>
      <c r="L741" s="73"/>
    </row>
    <row r="742">
      <c r="A742" s="11" t="s">
        <v>7063</v>
      </c>
      <c r="B742" s="74" t="s">
        <v>7064</v>
      </c>
      <c r="C742" s="48" t="s">
        <v>7065</v>
      </c>
      <c r="D742" s="15"/>
      <c r="E742" s="15"/>
      <c r="F742" s="15"/>
      <c r="G742" s="11"/>
      <c r="J742" s="95"/>
      <c r="L742" s="73"/>
    </row>
    <row r="743">
      <c r="A743" s="11" t="s">
        <v>7066</v>
      </c>
      <c r="B743" s="74" t="s">
        <v>7067</v>
      </c>
      <c r="C743" s="48" t="s">
        <v>7068</v>
      </c>
      <c r="D743" s="15"/>
      <c r="E743" s="15"/>
      <c r="F743" s="15"/>
      <c r="G743" s="11"/>
      <c r="J743" s="95"/>
      <c r="L743" s="73"/>
    </row>
    <row r="744">
      <c r="A744" s="11" t="s">
        <v>7066</v>
      </c>
      <c r="B744" s="74" t="s">
        <v>7069</v>
      </c>
      <c r="C744" s="48" t="s">
        <v>7070</v>
      </c>
      <c r="D744" s="15"/>
      <c r="E744" s="15"/>
      <c r="F744" s="15"/>
      <c r="G744" s="11"/>
      <c r="J744" s="95"/>
      <c r="L744" s="73"/>
    </row>
    <row r="745">
      <c r="A745" s="11" t="s">
        <v>7066</v>
      </c>
      <c r="B745" s="74" t="s">
        <v>7071</v>
      </c>
      <c r="C745" s="48" t="s">
        <v>7072</v>
      </c>
      <c r="D745" s="15"/>
      <c r="E745" s="15"/>
      <c r="F745" s="15"/>
      <c r="G745" s="11"/>
      <c r="J745" s="95"/>
      <c r="L745" s="73"/>
    </row>
    <row r="746">
      <c r="A746" s="11" t="s">
        <v>7073</v>
      </c>
      <c r="B746" s="74" t="s">
        <v>7074</v>
      </c>
      <c r="C746" s="48" t="s">
        <v>7075</v>
      </c>
      <c r="D746" s="15"/>
      <c r="E746" s="15"/>
      <c r="F746" s="15"/>
      <c r="G746" s="11"/>
    </row>
    <row r="747">
      <c r="A747" s="11" t="s">
        <v>7076</v>
      </c>
      <c r="B747" s="74" t="s">
        <v>7077</v>
      </c>
      <c r="C747" s="48" t="s">
        <v>7078</v>
      </c>
      <c r="D747" s="15"/>
      <c r="E747" s="15"/>
      <c r="F747" s="15"/>
      <c r="G747" s="11"/>
      <c r="K747" s="96"/>
      <c r="L747" s="76"/>
      <c r="M747" s="73"/>
    </row>
    <row r="748">
      <c r="A748" s="11" t="s">
        <v>7079</v>
      </c>
      <c r="B748" s="74" t="s">
        <v>7080</v>
      </c>
      <c r="C748" s="48" t="s">
        <v>7081</v>
      </c>
      <c r="D748" s="15"/>
      <c r="E748" s="15"/>
      <c r="F748" s="15"/>
      <c r="G748" s="11"/>
      <c r="K748" s="96"/>
      <c r="L748" s="76"/>
      <c r="M748" s="73"/>
    </row>
    <row r="749">
      <c r="A749" s="11" t="s">
        <v>7079</v>
      </c>
      <c r="B749" s="74" t="s">
        <v>7082</v>
      </c>
      <c r="C749" s="48" t="s">
        <v>7083</v>
      </c>
      <c r="D749" s="15"/>
      <c r="E749" s="15"/>
      <c r="F749" s="15"/>
      <c r="G749" s="11"/>
      <c r="K749" s="96"/>
      <c r="L749" s="76"/>
      <c r="M749" s="73"/>
    </row>
    <row r="750">
      <c r="A750" s="11" t="s">
        <v>7084</v>
      </c>
      <c r="B750" s="74" t="s">
        <v>7085</v>
      </c>
      <c r="C750" s="48" t="s">
        <v>7086</v>
      </c>
      <c r="D750" s="15"/>
      <c r="E750" s="15"/>
      <c r="F750" s="15"/>
      <c r="G750" s="11"/>
      <c r="K750" s="96"/>
      <c r="L750" s="76"/>
      <c r="M750" s="73"/>
    </row>
    <row r="751">
      <c r="A751" s="11" t="s">
        <v>7087</v>
      </c>
      <c r="B751" s="74" t="s">
        <v>7088</v>
      </c>
      <c r="C751" s="48" t="s">
        <v>7089</v>
      </c>
      <c r="D751" s="15"/>
      <c r="E751" s="15"/>
      <c r="F751" s="15"/>
      <c r="G751" s="11"/>
      <c r="K751" s="96"/>
      <c r="L751" s="76"/>
      <c r="M751" s="73"/>
    </row>
    <row r="752">
      <c r="A752" s="11" t="s">
        <v>7087</v>
      </c>
      <c r="B752" s="74" t="s">
        <v>7090</v>
      </c>
      <c r="C752" s="48" t="s">
        <v>7091</v>
      </c>
      <c r="D752" s="15"/>
      <c r="E752" s="15"/>
      <c r="F752" s="15"/>
      <c r="G752" s="11"/>
      <c r="K752" s="96"/>
      <c r="L752" s="76"/>
      <c r="M752" s="73"/>
    </row>
    <row r="753">
      <c r="A753" s="11" t="s">
        <v>7087</v>
      </c>
      <c r="B753" s="74" t="s">
        <v>7092</v>
      </c>
      <c r="C753" s="48" t="s">
        <v>7093</v>
      </c>
      <c r="D753" s="15"/>
      <c r="E753" s="15"/>
      <c r="F753" s="15"/>
      <c r="G753" s="11"/>
      <c r="K753" s="96"/>
      <c r="L753" s="76"/>
      <c r="M753" s="73"/>
    </row>
    <row r="754">
      <c r="A754" s="11" t="s">
        <v>7087</v>
      </c>
      <c r="B754" s="74" t="s">
        <v>7094</v>
      </c>
      <c r="C754" s="48" t="s">
        <v>7095</v>
      </c>
      <c r="D754" s="15"/>
      <c r="E754" s="15"/>
      <c r="F754" s="15"/>
      <c r="G754" s="11"/>
      <c r="K754" s="96"/>
      <c r="L754" s="76"/>
      <c r="M754" s="73"/>
    </row>
    <row r="755">
      <c r="A755" s="11" t="s">
        <v>7096</v>
      </c>
      <c r="B755" s="74" t="s">
        <v>7097</v>
      </c>
      <c r="C755" s="48" t="s">
        <v>7098</v>
      </c>
      <c r="D755" s="15"/>
      <c r="E755" s="15"/>
      <c r="F755" s="15"/>
      <c r="G755" s="11"/>
      <c r="K755" s="96"/>
      <c r="L755" s="76"/>
      <c r="M755" s="73"/>
    </row>
    <row r="756">
      <c r="A756" s="11" t="s">
        <v>7099</v>
      </c>
      <c r="B756" s="74" t="s">
        <v>7100</v>
      </c>
      <c r="C756" s="48" t="s">
        <v>7101</v>
      </c>
      <c r="D756" s="15"/>
      <c r="E756" s="15"/>
      <c r="F756" s="15"/>
      <c r="G756" s="11"/>
      <c r="K756" s="96"/>
      <c r="L756" s="76"/>
      <c r="M756" s="73"/>
    </row>
    <row r="757">
      <c r="A757" s="11" t="s">
        <v>7099</v>
      </c>
      <c r="B757" s="74" t="s">
        <v>7102</v>
      </c>
      <c r="C757" s="48" t="s">
        <v>7103</v>
      </c>
      <c r="D757" s="15"/>
      <c r="E757" s="15"/>
      <c r="F757" s="15"/>
      <c r="G757" s="11"/>
      <c r="K757" s="96"/>
      <c r="L757" s="76"/>
      <c r="M757" s="73"/>
    </row>
    <row r="758">
      <c r="A758" s="11" t="s">
        <v>7099</v>
      </c>
      <c r="B758" s="74" t="s">
        <v>7104</v>
      </c>
      <c r="C758" s="48" t="s">
        <v>7105</v>
      </c>
      <c r="D758" s="15"/>
      <c r="E758" s="15"/>
      <c r="F758" s="15"/>
      <c r="G758" s="11"/>
      <c r="K758" s="96"/>
      <c r="L758" s="76"/>
      <c r="M758" s="73"/>
    </row>
    <row r="759">
      <c r="A759" s="11" t="s">
        <v>7106</v>
      </c>
      <c r="B759" s="74" t="s">
        <v>7107</v>
      </c>
      <c r="C759" s="48" t="s">
        <v>7108</v>
      </c>
      <c r="D759" s="15"/>
      <c r="E759" s="15"/>
      <c r="F759" s="15"/>
      <c r="G759" s="11"/>
      <c r="K759" s="96"/>
      <c r="L759" s="76"/>
      <c r="M759" s="73"/>
    </row>
    <row r="760">
      <c r="A760" s="11" t="s">
        <v>7106</v>
      </c>
      <c r="B760" s="74" t="s">
        <v>7109</v>
      </c>
      <c r="C760" s="48" t="s">
        <v>7110</v>
      </c>
      <c r="D760" s="15"/>
      <c r="E760" s="15"/>
      <c r="F760" s="15"/>
      <c r="G760" s="11"/>
      <c r="K760" s="96"/>
      <c r="L760" s="76"/>
      <c r="M760" s="73"/>
    </row>
    <row r="761">
      <c r="A761" s="11" t="s">
        <v>7106</v>
      </c>
      <c r="B761" s="74" t="s">
        <v>7111</v>
      </c>
      <c r="C761" s="48" t="s">
        <v>7112</v>
      </c>
      <c r="D761" s="15"/>
      <c r="E761" s="15"/>
      <c r="F761" s="15"/>
      <c r="G761" s="11"/>
      <c r="K761" s="96"/>
      <c r="L761" s="76"/>
      <c r="M761" s="73"/>
    </row>
    <row r="762">
      <c r="A762" s="11" t="s">
        <v>7106</v>
      </c>
      <c r="B762" s="74" t="s">
        <v>7113</v>
      </c>
      <c r="C762" s="48" t="s">
        <v>7114</v>
      </c>
      <c r="D762" s="15"/>
      <c r="E762" s="15"/>
      <c r="F762" s="15"/>
      <c r="G762" s="11"/>
      <c r="K762" s="96"/>
      <c r="L762" s="76"/>
      <c r="M762" s="73"/>
    </row>
    <row r="763">
      <c r="A763" s="11" t="s">
        <v>7115</v>
      </c>
      <c r="B763" s="74" t="s">
        <v>7116</v>
      </c>
      <c r="C763" s="48" t="s">
        <v>7117</v>
      </c>
      <c r="D763" s="15"/>
      <c r="E763" s="15"/>
      <c r="F763" s="15"/>
      <c r="G763" s="11"/>
      <c r="K763" s="96"/>
      <c r="L763" s="76"/>
      <c r="M763" s="73"/>
    </row>
    <row r="764">
      <c r="A764" s="11" t="s">
        <v>7115</v>
      </c>
      <c r="B764" s="74" t="s">
        <v>7118</v>
      </c>
      <c r="C764" s="48" t="s">
        <v>7119</v>
      </c>
      <c r="D764" s="15"/>
      <c r="E764" s="15"/>
      <c r="F764" s="15"/>
      <c r="G764" s="11"/>
      <c r="K764" s="96"/>
      <c r="L764" s="76"/>
      <c r="M764" s="73"/>
    </row>
    <row r="765">
      <c r="A765" s="11" t="s">
        <v>7115</v>
      </c>
      <c r="B765" s="74" t="s">
        <v>7120</v>
      </c>
      <c r="C765" s="48" t="s">
        <v>7121</v>
      </c>
      <c r="D765" s="15"/>
      <c r="E765" s="15"/>
      <c r="F765" s="15"/>
      <c r="G765" s="11"/>
      <c r="K765" s="96"/>
      <c r="L765" s="76"/>
      <c r="M765" s="73"/>
    </row>
    <row r="766">
      <c r="A766" s="11" t="s">
        <v>7115</v>
      </c>
      <c r="B766" s="74" t="s">
        <v>7122</v>
      </c>
      <c r="C766" s="48" t="s">
        <v>7123</v>
      </c>
      <c r="D766" s="15"/>
      <c r="E766" s="15"/>
      <c r="F766" s="15"/>
      <c r="G766" s="11"/>
      <c r="K766" s="96"/>
      <c r="L766" s="76"/>
      <c r="M766" s="73"/>
    </row>
    <row r="767">
      <c r="A767" s="11" t="s">
        <v>7115</v>
      </c>
      <c r="B767" s="74" t="s">
        <v>7124</v>
      </c>
      <c r="C767" s="48" t="s">
        <v>7125</v>
      </c>
      <c r="D767" s="15"/>
      <c r="E767" s="15"/>
      <c r="F767" s="15"/>
      <c r="G767" s="11"/>
      <c r="K767" s="96"/>
      <c r="L767" s="76"/>
      <c r="M767" s="73"/>
    </row>
    <row r="768">
      <c r="A768" s="11" t="s">
        <v>7115</v>
      </c>
      <c r="B768" s="74" t="s">
        <v>7126</v>
      </c>
      <c r="C768" s="48" t="s">
        <v>7127</v>
      </c>
      <c r="D768" s="15"/>
      <c r="E768" s="15"/>
      <c r="F768" s="15"/>
      <c r="G768" s="11"/>
      <c r="K768" s="96"/>
      <c r="L768" s="76"/>
      <c r="M768" s="73"/>
    </row>
    <row r="769">
      <c r="A769" s="11" t="s">
        <v>7115</v>
      </c>
      <c r="B769" s="74" t="s">
        <v>7128</v>
      </c>
      <c r="C769" s="48" t="s">
        <v>7129</v>
      </c>
      <c r="D769" s="15"/>
      <c r="E769" s="15"/>
      <c r="F769" s="15"/>
      <c r="G769" s="11"/>
      <c r="K769" s="96"/>
      <c r="L769" s="76"/>
      <c r="M769" s="73"/>
    </row>
    <row r="770">
      <c r="A770" s="11" t="s">
        <v>7115</v>
      </c>
      <c r="B770" s="74" t="s">
        <v>7130</v>
      </c>
      <c r="C770" s="48" t="s">
        <v>7131</v>
      </c>
      <c r="D770" s="15"/>
      <c r="E770" s="15"/>
      <c r="F770" s="15"/>
      <c r="G770" s="11"/>
      <c r="K770" s="96"/>
      <c r="L770" s="76"/>
      <c r="M770" s="73"/>
    </row>
    <row r="771">
      <c r="A771" s="11" t="s">
        <v>7115</v>
      </c>
      <c r="B771" s="74" t="s">
        <v>7132</v>
      </c>
      <c r="C771" s="48" t="s">
        <v>7133</v>
      </c>
      <c r="D771" s="15"/>
      <c r="E771" s="15"/>
      <c r="F771" s="15"/>
      <c r="G771" s="11"/>
      <c r="K771" s="96"/>
      <c r="L771" s="76"/>
      <c r="M771" s="73"/>
    </row>
    <row r="772">
      <c r="A772" s="11" t="s">
        <v>7115</v>
      </c>
      <c r="B772" s="74" t="s">
        <v>7134</v>
      </c>
      <c r="C772" s="48" t="s">
        <v>7135</v>
      </c>
      <c r="D772" s="15"/>
      <c r="E772" s="15"/>
      <c r="F772" s="15"/>
      <c r="G772" s="11"/>
    </row>
    <row r="773">
      <c r="A773" s="11" t="s">
        <v>7115</v>
      </c>
      <c r="B773" s="74" t="s">
        <v>7136</v>
      </c>
      <c r="C773" s="48" t="s">
        <v>7137</v>
      </c>
      <c r="D773" s="15"/>
      <c r="E773" s="15"/>
      <c r="F773" s="15"/>
      <c r="G773" s="11"/>
    </row>
    <row r="774">
      <c r="A774" s="11" t="s">
        <v>7138</v>
      </c>
      <c r="B774" s="74" t="s">
        <v>7139</v>
      </c>
      <c r="C774" s="48" t="s">
        <v>7140</v>
      </c>
      <c r="D774" s="15"/>
      <c r="E774" s="15"/>
      <c r="F774" s="15"/>
      <c r="G774" s="11"/>
    </row>
    <row r="775">
      <c r="A775" s="11" t="s">
        <v>7138</v>
      </c>
      <c r="B775" s="74" t="s">
        <v>7141</v>
      </c>
      <c r="C775" s="48" t="s">
        <v>7142</v>
      </c>
      <c r="D775" s="15"/>
      <c r="E775" s="15"/>
      <c r="F775" s="15"/>
      <c r="G775" s="11"/>
    </row>
    <row r="776">
      <c r="A776" s="11" t="s">
        <v>7138</v>
      </c>
      <c r="B776" s="74" t="s">
        <v>7143</v>
      </c>
      <c r="C776" s="48" t="s">
        <v>7144</v>
      </c>
      <c r="D776" s="15"/>
      <c r="E776" s="15"/>
      <c r="F776" s="15"/>
      <c r="G776" s="11"/>
    </row>
    <row r="777">
      <c r="A777" s="11" t="s">
        <v>7138</v>
      </c>
      <c r="B777" s="74" t="s">
        <v>7145</v>
      </c>
      <c r="C777" s="48" t="s">
        <v>7146</v>
      </c>
      <c r="D777" s="88"/>
      <c r="E777" s="88"/>
      <c r="F777" s="88"/>
      <c r="G777" s="87"/>
    </row>
    <row r="778">
      <c r="A778" s="11" t="s">
        <v>7138</v>
      </c>
      <c r="B778" s="74" t="s">
        <v>7147</v>
      </c>
      <c r="C778" s="48" t="s">
        <v>7148</v>
      </c>
      <c r="D778" s="88"/>
      <c r="E778" s="88"/>
      <c r="F778" s="88"/>
      <c r="G778" s="87"/>
    </row>
    <row r="779">
      <c r="A779" s="11" t="s">
        <v>7138</v>
      </c>
      <c r="B779" s="74" t="s">
        <v>7149</v>
      </c>
      <c r="C779" s="48" t="s">
        <v>7150</v>
      </c>
      <c r="D779" s="88"/>
      <c r="E779" s="88"/>
      <c r="F779" s="88"/>
      <c r="G779" s="87"/>
    </row>
    <row r="780">
      <c r="A780" s="11" t="s">
        <v>7138</v>
      </c>
      <c r="B780" s="74" t="s">
        <v>7151</v>
      </c>
      <c r="C780" s="48" t="s">
        <v>7152</v>
      </c>
      <c r="D780" s="88"/>
      <c r="E780" s="88"/>
      <c r="F780" s="88"/>
      <c r="G780" s="87"/>
    </row>
    <row r="781">
      <c r="A781" s="11" t="s">
        <v>7138</v>
      </c>
      <c r="B781" s="74" t="s">
        <v>7153</v>
      </c>
      <c r="C781" s="48" t="s">
        <v>7154</v>
      </c>
      <c r="D781" s="88"/>
      <c r="E781" s="88"/>
      <c r="F781" s="88"/>
      <c r="G781" s="87"/>
    </row>
    <row r="782">
      <c r="A782" s="11" t="s">
        <v>7138</v>
      </c>
      <c r="B782" s="74" t="s">
        <v>7155</v>
      </c>
      <c r="C782" s="48" t="s">
        <v>7156</v>
      </c>
      <c r="D782" s="88"/>
      <c r="E782" s="88"/>
      <c r="F782" s="88"/>
      <c r="G782" s="87"/>
    </row>
    <row r="783">
      <c r="A783" s="11" t="s">
        <v>7138</v>
      </c>
      <c r="B783" s="74" t="s">
        <v>7157</v>
      </c>
      <c r="C783" s="48" t="s">
        <v>7158</v>
      </c>
      <c r="D783" s="88"/>
      <c r="E783" s="88"/>
      <c r="F783" s="88"/>
      <c r="G783" s="87"/>
    </row>
    <row r="784">
      <c r="A784" s="11" t="s">
        <v>7138</v>
      </c>
      <c r="B784" s="74" t="s">
        <v>7159</v>
      </c>
      <c r="C784" s="48" t="s">
        <v>7160</v>
      </c>
      <c r="D784" s="88"/>
      <c r="E784" s="88"/>
      <c r="F784" s="88"/>
      <c r="G784" s="87"/>
    </row>
    <row r="785">
      <c r="A785" s="11" t="s">
        <v>7138</v>
      </c>
      <c r="B785" s="74" t="s">
        <v>7161</v>
      </c>
      <c r="C785" s="48" t="s">
        <v>7162</v>
      </c>
      <c r="D785" s="88"/>
      <c r="E785" s="88"/>
      <c r="F785" s="88"/>
      <c r="G785" s="87"/>
    </row>
    <row r="786">
      <c r="A786" s="11" t="s">
        <v>7138</v>
      </c>
      <c r="B786" s="74" t="s">
        <v>7163</v>
      </c>
      <c r="C786" s="48" t="s">
        <v>7164</v>
      </c>
      <c r="D786" s="88"/>
      <c r="E786" s="88"/>
      <c r="F786" s="88"/>
      <c r="G786" s="87"/>
    </row>
    <row r="787">
      <c r="A787" s="11" t="s">
        <v>7138</v>
      </c>
      <c r="B787" s="74" t="s">
        <v>7165</v>
      </c>
      <c r="C787" s="48" t="s">
        <v>7166</v>
      </c>
      <c r="D787" s="88"/>
      <c r="E787" s="88"/>
      <c r="F787" s="88"/>
      <c r="G787" s="87"/>
    </row>
    <row r="788">
      <c r="A788" s="11" t="s">
        <v>7138</v>
      </c>
      <c r="B788" s="74" t="s">
        <v>7167</v>
      </c>
      <c r="C788" s="48" t="s">
        <v>7168</v>
      </c>
      <c r="D788" s="88"/>
      <c r="E788" s="88"/>
      <c r="F788" s="88"/>
      <c r="G788" s="87"/>
    </row>
    <row r="789">
      <c r="A789" s="11" t="s">
        <v>7138</v>
      </c>
      <c r="B789" s="74" t="s">
        <v>7169</v>
      </c>
      <c r="C789" s="48" t="s">
        <v>7170</v>
      </c>
      <c r="D789" s="88"/>
      <c r="E789" s="88"/>
      <c r="F789" s="88"/>
      <c r="G789" s="87"/>
    </row>
    <row r="790">
      <c r="A790" s="11" t="s">
        <v>7171</v>
      </c>
      <c r="B790" s="74" t="s">
        <v>7172</v>
      </c>
      <c r="C790" s="48" t="s">
        <v>7173</v>
      </c>
      <c r="D790" s="88"/>
      <c r="E790" s="88"/>
      <c r="F790" s="88"/>
      <c r="G790" s="87"/>
    </row>
    <row r="791">
      <c r="A791" s="11" t="s">
        <v>7171</v>
      </c>
      <c r="B791" s="74" t="s">
        <v>7174</v>
      </c>
      <c r="C791" s="48" t="s">
        <v>7175</v>
      </c>
      <c r="D791" s="88"/>
      <c r="E791" s="88"/>
      <c r="F791" s="88"/>
      <c r="G791" s="87"/>
    </row>
    <row r="792">
      <c r="A792" s="11" t="s">
        <v>7171</v>
      </c>
      <c r="B792" s="74" t="s">
        <v>7176</v>
      </c>
      <c r="C792" s="48" t="s">
        <v>7177</v>
      </c>
      <c r="D792" s="88"/>
      <c r="E792" s="88"/>
      <c r="F792" s="88"/>
      <c r="G792" s="87"/>
    </row>
    <row r="793">
      <c r="A793" s="11" t="s">
        <v>7171</v>
      </c>
      <c r="B793" s="74" t="s">
        <v>7178</v>
      </c>
      <c r="C793" s="48" t="s">
        <v>7179</v>
      </c>
      <c r="D793" s="88"/>
      <c r="E793" s="88"/>
      <c r="F793" s="88"/>
      <c r="G793" s="87"/>
    </row>
    <row r="794">
      <c r="A794" s="11" t="s">
        <v>7171</v>
      </c>
      <c r="B794" s="74" t="s">
        <v>7180</v>
      </c>
      <c r="C794" s="48" t="s">
        <v>7181</v>
      </c>
      <c r="D794" s="88"/>
      <c r="E794" s="88"/>
      <c r="F794" s="88"/>
      <c r="G794" s="87"/>
    </row>
    <row r="795">
      <c r="A795" s="11" t="s">
        <v>7171</v>
      </c>
      <c r="B795" s="74" t="s">
        <v>7182</v>
      </c>
      <c r="C795" s="48" t="s">
        <v>7183</v>
      </c>
      <c r="D795" s="88"/>
      <c r="E795" s="88"/>
      <c r="F795" s="88"/>
      <c r="G795" s="87"/>
    </row>
    <row r="796">
      <c r="A796" s="11" t="s">
        <v>7171</v>
      </c>
      <c r="B796" s="74" t="s">
        <v>7184</v>
      </c>
      <c r="C796" s="48" t="s">
        <v>7185</v>
      </c>
      <c r="D796" s="88"/>
      <c r="E796" s="88"/>
      <c r="F796" s="88"/>
      <c r="G796" s="87"/>
    </row>
    <row r="797">
      <c r="A797" s="11" t="s">
        <v>7171</v>
      </c>
      <c r="B797" s="74" t="s">
        <v>7186</v>
      </c>
      <c r="C797" s="48" t="s">
        <v>7187</v>
      </c>
      <c r="D797" s="88"/>
      <c r="E797" s="88"/>
      <c r="F797" s="88"/>
      <c r="G797" s="87"/>
    </row>
    <row r="798">
      <c r="A798" s="11" t="s">
        <v>7188</v>
      </c>
      <c r="B798" s="74" t="s">
        <v>7189</v>
      </c>
      <c r="C798" s="48" t="s">
        <v>7190</v>
      </c>
      <c r="D798" s="88"/>
      <c r="E798" s="88"/>
      <c r="F798" s="88"/>
      <c r="G798" s="87"/>
    </row>
    <row r="799">
      <c r="A799" s="11" t="s">
        <v>7188</v>
      </c>
      <c r="B799" s="74" t="s">
        <v>7191</v>
      </c>
      <c r="C799" s="48" t="s">
        <v>7192</v>
      </c>
      <c r="D799" s="88"/>
      <c r="E799" s="88"/>
      <c r="F799" s="88"/>
      <c r="G799" s="87"/>
    </row>
    <row r="800">
      <c r="A800" s="11" t="s">
        <v>7188</v>
      </c>
      <c r="B800" s="74" t="s">
        <v>7193</v>
      </c>
      <c r="C800" s="48" t="s">
        <v>7194</v>
      </c>
      <c r="D800" s="88"/>
      <c r="E800" s="88"/>
      <c r="F800" s="88"/>
      <c r="G800" s="87"/>
    </row>
    <row r="801">
      <c r="A801" s="11" t="s">
        <v>7188</v>
      </c>
      <c r="B801" s="74" t="s">
        <v>7195</v>
      </c>
      <c r="C801" s="48" t="s">
        <v>7196</v>
      </c>
      <c r="D801" s="88"/>
      <c r="E801" s="88"/>
      <c r="F801" s="88"/>
      <c r="G801" s="87"/>
    </row>
    <row r="802">
      <c r="A802" s="11" t="s">
        <v>7188</v>
      </c>
      <c r="B802" s="74" t="s">
        <v>7197</v>
      </c>
      <c r="C802" s="48" t="s">
        <v>7198</v>
      </c>
      <c r="D802" s="88"/>
      <c r="E802" s="88"/>
      <c r="F802" s="88"/>
      <c r="G802" s="87"/>
    </row>
    <row r="803">
      <c r="A803" s="11" t="s">
        <v>7188</v>
      </c>
      <c r="B803" s="74" t="s">
        <v>7199</v>
      </c>
      <c r="C803" s="48" t="s">
        <v>7200</v>
      </c>
      <c r="D803" s="88"/>
      <c r="E803" s="88"/>
      <c r="F803" s="88"/>
      <c r="G803" s="87"/>
    </row>
    <row r="804">
      <c r="A804" s="11" t="s">
        <v>7188</v>
      </c>
      <c r="B804" s="74" t="s">
        <v>7201</v>
      </c>
      <c r="C804" s="48" t="s">
        <v>7202</v>
      </c>
      <c r="D804" s="88"/>
      <c r="E804" s="88"/>
      <c r="F804" s="88"/>
      <c r="G804" s="87"/>
    </row>
    <row r="805">
      <c r="A805" s="11" t="s">
        <v>7188</v>
      </c>
      <c r="B805" s="74" t="s">
        <v>7203</v>
      </c>
      <c r="C805" s="48" t="s">
        <v>7204</v>
      </c>
      <c r="D805" s="88"/>
      <c r="E805" s="88"/>
      <c r="F805" s="88"/>
      <c r="G805" s="87"/>
    </row>
    <row r="806">
      <c r="A806" s="11" t="s">
        <v>7188</v>
      </c>
      <c r="B806" s="74" t="s">
        <v>7205</v>
      </c>
      <c r="C806" s="48" t="s">
        <v>7206</v>
      </c>
      <c r="D806" s="88"/>
      <c r="E806" s="88"/>
      <c r="F806" s="88"/>
      <c r="G806" s="87"/>
    </row>
    <row r="807">
      <c r="A807" s="11" t="s">
        <v>7188</v>
      </c>
      <c r="B807" s="74" t="s">
        <v>7207</v>
      </c>
      <c r="C807" s="48" t="s">
        <v>7208</v>
      </c>
      <c r="D807" s="88"/>
      <c r="E807" s="88"/>
      <c r="F807" s="88"/>
      <c r="G807" s="87"/>
    </row>
    <row r="808">
      <c r="A808" s="11" t="s">
        <v>7188</v>
      </c>
      <c r="B808" s="74" t="s">
        <v>7209</v>
      </c>
      <c r="C808" s="48" t="s">
        <v>7210</v>
      </c>
      <c r="D808" s="88"/>
      <c r="E808" s="88"/>
      <c r="F808" s="88"/>
      <c r="G808" s="87"/>
    </row>
    <row r="809">
      <c r="A809" s="11" t="s">
        <v>7188</v>
      </c>
      <c r="B809" s="74" t="s">
        <v>7211</v>
      </c>
      <c r="C809" s="48" t="s">
        <v>7212</v>
      </c>
      <c r="D809" s="88"/>
      <c r="E809" s="88"/>
      <c r="F809" s="88"/>
      <c r="G809" s="87"/>
    </row>
    <row r="810">
      <c r="A810" s="11" t="s">
        <v>7188</v>
      </c>
      <c r="B810" s="74" t="s">
        <v>7213</v>
      </c>
      <c r="C810" s="48" t="s">
        <v>7214</v>
      </c>
      <c r="D810" s="88"/>
      <c r="E810" s="88"/>
      <c r="F810" s="88"/>
      <c r="G810" s="87"/>
    </row>
    <row r="811">
      <c r="A811" s="11" t="s">
        <v>7215</v>
      </c>
      <c r="B811" s="74" t="s">
        <v>7216</v>
      </c>
      <c r="C811" s="48" t="s">
        <v>7217</v>
      </c>
      <c r="D811" s="88"/>
      <c r="E811" s="88"/>
      <c r="F811" s="88"/>
      <c r="G811" s="87"/>
    </row>
    <row r="812">
      <c r="A812" s="11" t="s">
        <v>7215</v>
      </c>
      <c r="B812" s="74" t="s">
        <v>7218</v>
      </c>
      <c r="C812" s="48" t="s">
        <v>7219</v>
      </c>
      <c r="D812" s="88"/>
      <c r="E812" s="88"/>
      <c r="F812" s="88"/>
      <c r="G812" s="87"/>
    </row>
    <row r="813">
      <c r="A813" s="11" t="s">
        <v>7215</v>
      </c>
      <c r="B813" s="74" t="s">
        <v>7220</v>
      </c>
      <c r="C813" s="48" t="s">
        <v>7221</v>
      </c>
      <c r="D813" s="88"/>
      <c r="E813" s="88"/>
      <c r="F813" s="88"/>
      <c r="G813" s="87"/>
    </row>
    <row r="814">
      <c r="A814" s="11" t="s">
        <v>7215</v>
      </c>
      <c r="B814" s="74" t="s">
        <v>7222</v>
      </c>
      <c r="C814" s="48" t="s">
        <v>7223</v>
      </c>
      <c r="D814" s="88"/>
      <c r="E814" s="88"/>
      <c r="F814" s="88"/>
      <c r="G814" s="87"/>
    </row>
    <row r="815">
      <c r="A815" s="11" t="s">
        <v>7215</v>
      </c>
      <c r="B815" s="74" t="s">
        <v>7224</v>
      </c>
      <c r="C815" s="48" t="s">
        <v>7225</v>
      </c>
      <c r="D815" s="88"/>
      <c r="E815" s="88"/>
      <c r="F815" s="88"/>
      <c r="G815" s="87"/>
    </row>
    <row r="816">
      <c r="A816" s="11" t="s">
        <v>7215</v>
      </c>
      <c r="B816" s="74" t="s">
        <v>7226</v>
      </c>
      <c r="C816" s="48" t="s">
        <v>7227</v>
      </c>
      <c r="D816" s="88"/>
      <c r="E816" s="88"/>
      <c r="F816" s="88"/>
      <c r="G816" s="87"/>
    </row>
    <row r="817">
      <c r="A817" s="11" t="s">
        <v>7215</v>
      </c>
      <c r="B817" s="74" t="s">
        <v>7228</v>
      </c>
      <c r="C817" s="48" t="s">
        <v>7229</v>
      </c>
      <c r="D817" s="88"/>
      <c r="E817" s="88"/>
      <c r="F817" s="88"/>
      <c r="G817" s="87"/>
    </row>
    <row r="818">
      <c r="A818" s="11" t="s">
        <v>7215</v>
      </c>
      <c r="B818" s="74" t="s">
        <v>7230</v>
      </c>
      <c r="C818" s="48" t="s">
        <v>7231</v>
      </c>
      <c r="D818" s="88"/>
      <c r="E818" s="88"/>
      <c r="F818" s="88"/>
      <c r="G818" s="87"/>
    </row>
    <row r="819">
      <c r="A819" s="11" t="s">
        <v>7215</v>
      </c>
      <c r="B819" s="74" t="s">
        <v>7232</v>
      </c>
      <c r="C819" s="48" t="s">
        <v>7233</v>
      </c>
      <c r="D819" s="88"/>
      <c r="E819" s="88"/>
      <c r="F819" s="88"/>
      <c r="G819" s="87"/>
    </row>
    <row r="820">
      <c r="A820" s="11" t="s">
        <v>7215</v>
      </c>
      <c r="B820" s="74" t="s">
        <v>7234</v>
      </c>
      <c r="C820" s="48" t="s">
        <v>7235</v>
      </c>
      <c r="D820" s="88"/>
      <c r="E820" s="88"/>
      <c r="F820" s="88"/>
      <c r="G820" s="87"/>
    </row>
    <row r="821">
      <c r="A821" s="11" t="s">
        <v>7236</v>
      </c>
      <c r="B821" s="74" t="s">
        <v>7237</v>
      </c>
      <c r="C821" s="48" t="s">
        <v>7238</v>
      </c>
      <c r="D821" s="88"/>
      <c r="E821" s="88"/>
      <c r="F821" s="88"/>
      <c r="G821" s="87"/>
    </row>
    <row r="822">
      <c r="A822" s="11" t="s">
        <v>7236</v>
      </c>
      <c r="B822" s="74" t="s">
        <v>7239</v>
      </c>
      <c r="C822" s="48" t="s">
        <v>7240</v>
      </c>
      <c r="D822" s="88"/>
      <c r="E822" s="88"/>
      <c r="F822" s="88"/>
      <c r="G822" s="87"/>
    </row>
    <row r="823">
      <c r="A823" s="11" t="s">
        <v>7236</v>
      </c>
      <c r="B823" s="74" t="s">
        <v>7241</v>
      </c>
      <c r="C823" s="48" t="s">
        <v>7242</v>
      </c>
      <c r="D823" s="88"/>
      <c r="E823" s="88"/>
      <c r="F823" s="88"/>
      <c r="G823" s="87"/>
    </row>
    <row r="824">
      <c r="A824" s="11" t="s">
        <v>7236</v>
      </c>
      <c r="B824" s="74" t="s">
        <v>7243</v>
      </c>
      <c r="C824" s="48" t="s">
        <v>7244</v>
      </c>
      <c r="D824" s="88"/>
      <c r="E824" s="88"/>
      <c r="F824" s="88"/>
      <c r="G824" s="87"/>
    </row>
    <row r="825">
      <c r="A825" s="11" t="s">
        <v>7236</v>
      </c>
      <c r="B825" s="74" t="s">
        <v>7245</v>
      </c>
      <c r="C825" s="48" t="s">
        <v>7246</v>
      </c>
      <c r="D825" s="88"/>
      <c r="E825" s="88"/>
      <c r="F825" s="88"/>
      <c r="G825" s="87"/>
    </row>
    <row r="826">
      <c r="A826" s="11" t="s">
        <v>7236</v>
      </c>
      <c r="B826" s="74" t="s">
        <v>7247</v>
      </c>
      <c r="C826" s="48" t="s">
        <v>7248</v>
      </c>
      <c r="D826" s="88"/>
      <c r="E826" s="88"/>
      <c r="F826" s="88"/>
      <c r="G826" s="87"/>
    </row>
    <row r="827">
      <c r="A827" s="11" t="s">
        <v>7236</v>
      </c>
      <c r="B827" s="74" t="s">
        <v>7249</v>
      </c>
      <c r="C827" s="48" t="s">
        <v>7250</v>
      </c>
      <c r="D827" s="88"/>
      <c r="E827" s="88"/>
      <c r="F827" s="88"/>
      <c r="G827" s="87"/>
    </row>
    <row r="828">
      <c r="A828" s="11" t="s">
        <v>7236</v>
      </c>
      <c r="B828" s="74" t="s">
        <v>7251</v>
      </c>
      <c r="C828" s="48" t="s">
        <v>7252</v>
      </c>
      <c r="D828" s="88"/>
      <c r="E828" s="88"/>
      <c r="F828" s="88"/>
      <c r="G828" s="87"/>
    </row>
    <row r="829">
      <c r="A829" s="11" t="s">
        <v>7236</v>
      </c>
      <c r="B829" s="74" t="s">
        <v>7253</v>
      </c>
      <c r="C829" s="48" t="s">
        <v>7254</v>
      </c>
      <c r="D829" s="88"/>
      <c r="E829" s="88"/>
      <c r="F829" s="88"/>
      <c r="G829" s="87"/>
    </row>
    <row r="830">
      <c r="A830" s="11" t="s">
        <v>7236</v>
      </c>
      <c r="B830" s="74" t="s">
        <v>7255</v>
      </c>
      <c r="C830" s="48" t="s">
        <v>7256</v>
      </c>
      <c r="D830" s="88"/>
      <c r="E830" s="88"/>
      <c r="F830" s="88"/>
      <c r="G830" s="87"/>
    </row>
    <row r="831">
      <c r="A831" s="11" t="s">
        <v>7236</v>
      </c>
      <c r="B831" s="74" t="s">
        <v>7257</v>
      </c>
      <c r="C831" s="48" t="s">
        <v>7258</v>
      </c>
      <c r="D831" s="88"/>
      <c r="E831" s="88"/>
      <c r="F831" s="88"/>
      <c r="G831" s="87"/>
    </row>
    <row r="832">
      <c r="A832" s="11" t="s">
        <v>7236</v>
      </c>
      <c r="B832" s="74" t="s">
        <v>7259</v>
      </c>
      <c r="C832" s="48" t="s">
        <v>7260</v>
      </c>
      <c r="D832" s="88"/>
      <c r="E832" s="88"/>
      <c r="F832" s="88"/>
      <c r="G832" s="87"/>
    </row>
    <row r="833">
      <c r="A833" s="11" t="s">
        <v>7236</v>
      </c>
      <c r="B833" s="74" t="s">
        <v>7261</v>
      </c>
      <c r="C833" s="48" t="s">
        <v>7262</v>
      </c>
      <c r="D833" s="88"/>
      <c r="E833" s="88"/>
      <c r="F833" s="88"/>
      <c r="G833" s="87"/>
    </row>
    <row r="834">
      <c r="A834" s="11" t="s">
        <v>7236</v>
      </c>
      <c r="B834" s="74" t="s">
        <v>7263</v>
      </c>
      <c r="C834" s="48" t="s">
        <v>7264</v>
      </c>
      <c r="D834" s="88"/>
      <c r="E834" s="88"/>
      <c r="F834" s="88"/>
      <c r="G834" s="87"/>
    </row>
    <row r="835">
      <c r="A835" s="11" t="s">
        <v>7236</v>
      </c>
      <c r="B835" s="74" t="s">
        <v>7265</v>
      </c>
      <c r="C835" s="48" t="s">
        <v>7266</v>
      </c>
      <c r="D835" s="88"/>
      <c r="E835" s="88"/>
      <c r="F835" s="88"/>
      <c r="G835" s="87"/>
    </row>
    <row r="836">
      <c r="A836" s="11" t="s">
        <v>7267</v>
      </c>
      <c r="B836" s="74" t="s">
        <v>7268</v>
      </c>
      <c r="C836" s="48" t="s">
        <v>7269</v>
      </c>
      <c r="D836" s="88"/>
      <c r="E836" s="88"/>
      <c r="F836" s="88"/>
      <c r="G836" s="87"/>
    </row>
    <row r="837">
      <c r="A837" s="11" t="s">
        <v>7267</v>
      </c>
      <c r="B837" s="74" t="s">
        <v>7270</v>
      </c>
      <c r="C837" s="48" t="s">
        <v>7271</v>
      </c>
      <c r="D837" s="88"/>
      <c r="E837" s="88"/>
      <c r="F837" s="88"/>
      <c r="G837" s="87"/>
    </row>
    <row r="838">
      <c r="A838" s="11" t="s">
        <v>7267</v>
      </c>
      <c r="B838" s="74" t="s">
        <v>7272</v>
      </c>
      <c r="C838" s="48" t="s">
        <v>7273</v>
      </c>
      <c r="D838" s="88"/>
      <c r="E838" s="88"/>
      <c r="F838" s="88"/>
      <c r="G838" s="87"/>
    </row>
    <row r="839">
      <c r="A839" s="11" t="s">
        <v>7267</v>
      </c>
      <c r="B839" s="74" t="s">
        <v>7274</v>
      </c>
      <c r="C839" s="48" t="s">
        <v>7275</v>
      </c>
      <c r="D839" s="88"/>
      <c r="E839" s="88"/>
      <c r="F839" s="88"/>
      <c r="G839" s="87"/>
    </row>
    <row r="840">
      <c r="A840" s="11" t="s">
        <v>7267</v>
      </c>
      <c r="B840" s="74" t="s">
        <v>7276</v>
      </c>
      <c r="C840" s="48" t="s">
        <v>7277</v>
      </c>
      <c r="D840" s="88"/>
      <c r="E840" s="88"/>
      <c r="F840" s="88"/>
      <c r="G840" s="87"/>
    </row>
    <row r="841">
      <c r="A841" s="11" t="s">
        <v>7267</v>
      </c>
      <c r="B841" s="74" t="s">
        <v>7278</v>
      </c>
      <c r="C841" s="48" t="s">
        <v>7279</v>
      </c>
      <c r="D841" s="88"/>
      <c r="E841" s="88"/>
      <c r="F841" s="88"/>
      <c r="G841" s="87"/>
    </row>
    <row r="842">
      <c r="A842" s="11" t="s">
        <v>7267</v>
      </c>
      <c r="B842" s="74" t="s">
        <v>7280</v>
      </c>
      <c r="C842" s="48" t="s">
        <v>7281</v>
      </c>
      <c r="D842" s="88"/>
      <c r="E842" s="88"/>
      <c r="F842" s="88"/>
      <c r="G842" s="87"/>
    </row>
    <row r="843">
      <c r="A843" s="11" t="s">
        <v>7267</v>
      </c>
      <c r="B843" s="74" t="s">
        <v>7282</v>
      </c>
      <c r="C843" s="48" t="s">
        <v>7283</v>
      </c>
      <c r="D843" s="88"/>
      <c r="E843" s="88"/>
      <c r="F843" s="88"/>
      <c r="G843" s="87"/>
    </row>
    <row r="844">
      <c r="A844" s="11" t="s">
        <v>7284</v>
      </c>
      <c r="B844" s="74" t="s">
        <v>7285</v>
      </c>
      <c r="C844" s="48" t="s">
        <v>7286</v>
      </c>
      <c r="D844" s="88"/>
      <c r="E844" s="88"/>
      <c r="F844" s="88"/>
      <c r="G844" s="87"/>
    </row>
    <row r="845">
      <c r="A845" s="11" t="s">
        <v>7287</v>
      </c>
      <c r="B845" s="74" t="s">
        <v>7288</v>
      </c>
      <c r="C845" s="48" t="s">
        <v>7289</v>
      </c>
      <c r="D845" s="88"/>
      <c r="E845" s="88"/>
      <c r="F845" s="88"/>
      <c r="G845" s="87"/>
    </row>
    <row r="846">
      <c r="A846" s="11" t="s">
        <v>7290</v>
      </c>
      <c r="B846" s="74" t="s">
        <v>7291</v>
      </c>
      <c r="C846" s="48" t="s">
        <v>7292</v>
      </c>
      <c r="D846" s="88"/>
      <c r="E846" s="88"/>
      <c r="F846" s="88"/>
      <c r="G846" s="87"/>
    </row>
    <row r="847">
      <c r="A847" s="11" t="s">
        <v>7290</v>
      </c>
      <c r="B847" s="74" t="s">
        <v>7293</v>
      </c>
      <c r="C847" s="48" t="s">
        <v>7294</v>
      </c>
      <c r="D847" s="88"/>
      <c r="E847" s="88"/>
      <c r="F847" s="88"/>
      <c r="G847" s="87"/>
    </row>
    <row r="848">
      <c r="A848" s="11" t="s">
        <v>7290</v>
      </c>
      <c r="B848" s="74" t="s">
        <v>7295</v>
      </c>
      <c r="C848" s="48" t="s">
        <v>7296</v>
      </c>
      <c r="D848" s="88"/>
      <c r="E848" s="88"/>
      <c r="F848" s="88"/>
      <c r="G848" s="87"/>
    </row>
    <row r="849">
      <c r="A849" s="11" t="s">
        <v>7297</v>
      </c>
      <c r="B849" s="74" t="s">
        <v>7298</v>
      </c>
      <c r="C849" s="48" t="s">
        <v>7299</v>
      </c>
      <c r="D849" s="88"/>
      <c r="E849" s="88"/>
      <c r="F849" s="88"/>
      <c r="G849" s="87"/>
    </row>
    <row r="850">
      <c r="A850" s="11" t="s">
        <v>7300</v>
      </c>
      <c r="B850" s="74" t="s">
        <v>7301</v>
      </c>
      <c r="C850" s="48" t="s">
        <v>7302</v>
      </c>
      <c r="D850" s="88"/>
      <c r="E850" s="88"/>
      <c r="F850" s="88"/>
      <c r="G850" s="87"/>
    </row>
    <row r="851">
      <c r="A851" s="11" t="s">
        <v>7303</v>
      </c>
      <c r="B851" s="74" t="s">
        <v>7304</v>
      </c>
      <c r="C851" s="48" t="s">
        <v>7305</v>
      </c>
      <c r="D851" s="88"/>
      <c r="E851" s="88"/>
      <c r="F851" s="88"/>
      <c r="G851" s="87"/>
    </row>
    <row r="852">
      <c r="A852" s="11" t="s">
        <v>7303</v>
      </c>
      <c r="B852" s="74" t="s">
        <v>7306</v>
      </c>
      <c r="C852" s="48" t="s">
        <v>7307</v>
      </c>
      <c r="D852" s="88"/>
      <c r="E852" s="88"/>
      <c r="F852" s="88"/>
      <c r="G852" s="87"/>
    </row>
    <row r="853">
      <c r="A853" s="11" t="s">
        <v>7308</v>
      </c>
      <c r="B853" s="74" t="s">
        <v>7309</v>
      </c>
      <c r="C853" s="48" t="s">
        <v>7310</v>
      </c>
      <c r="D853" s="88"/>
      <c r="E853" s="88"/>
      <c r="F853" s="88"/>
      <c r="G853" s="87"/>
    </row>
    <row r="854">
      <c r="A854" s="11" t="s">
        <v>7308</v>
      </c>
      <c r="B854" s="74" t="s">
        <v>7311</v>
      </c>
      <c r="C854" s="48" t="s">
        <v>7312</v>
      </c>
      <c r="D854" s="88"/>
      <c r="E854" s="88"/>
      <c r="F854" s="88"/>
      <c r="G854" s="87"/>
    </row>
    <row r="855">
      <c r="A855" s="11" t="s">
        <v>7313</v>
      </c>
      <c r="B855" s="74" t="s">
        <v>7314</v>
      </c>
      <c r="C855" s="48" t="s">
        <v>7315</v>
      </c>
      <c r="D855" s="88"/>
      <c r="E855" s="88"/>
      <c r="F855" s="88"/>
      <c r="G855" s="87"/>
    </row>
    <row r="856">
      <c r="A856" s="11" t="s">
        <v>7316</v>
      </c>
      <c r="B856" s="74" t="s">
        <v>7317</v>
      </c>
      <c r="C856" s="48" t="s">
        <v>7318</v>
      </c>
      <c r="D856" s="88"/>
      <c r="E856" s="88"/>
      <c r="F856" s="88"/>
      <c r="G856" s="87"/>
    </row>
    <row r="857">
      <c r="A857" s="11" t="s">
        <v>7319</v>
      </c>
      <c r="B857" s="74" t="s">
        <v>7320</v>
      </c>
      <c r="C857" s="48" t="s">
        <v>7321</v>
      </c>
      <c r="D857" s="88"/>
      <c r="E857" s="88"/>
      <c r="F857" s="88"/>
      <c r="G857" s="87"/>
    </row>
    <row r="858">
      <c r="A858" s="11" t="s">
        <v>7322</v>
      </c>
      <c r="B858" s="74" t="s">
        <v>7323</v>
      </c>
      <c r="C858" s="48" t="s">
        <v>7324</v>
      </c>
      <c r="D858" s="88"/>
      <c r="E858" s="88"/>
      <c r="F858" s="88"/>
      <c r="G858" s="87"/>
    </row>
    <row r="859">
      <c r="A859" s="11" t="s">
        <v>7325</v>
      </c>
      <c r="B859" s="74" t="s">
        <v>7326</v>
      </c>
      <c r="C859" s="48" t="s">
        <v>7327</v>
      </c>
      <c r="D859" s="88"/>
      <c r="E859" s="88"/>
      <c r="F859" s="88"/>
      <c r="G859" s="87"/>
    </row>
    <row r="860">
      <c r="A860" s="11" t="s">
        <v>7328</v>
      </c>
      <c r="B860" s="74" t="s">
        <v>7329</v>
      </c>
      <c r="C860" s="48" t="s">
        <v>7330</v>
      </c>
      <c r="D860" s="88"/>
      <c r="E860" s="88"/>
      <c r="F860" s="88"/>
      <c r="G860" s="87"/>
    </row>
    <row r="861">
      <c r="A861" s="11" t="s">
        <v>7328</v>
      </c>
      <c r="B861" s="74" t="s">
        <v>7331</v>
      </c>
      <c r="C861" s="48" t="s">
        <v>7332</v>
      </c>
      <c r="D861" s="88"/>
      <c r="E861" s="88"/>
      <c r="F861" s="88"/>
      <c r="G861" s="87"/>
    </row>
    <row r="862">
      <c r="A862" s="11" t="s">
        <v>7328</v>
      </c>
      <c r="B862" s="74" t="s">
        <v>7333</v>
      </c>
      <c r="C862" s="48" t="s">
        <v>7334</v>
      </c>
      <c r="D862" s="88"/>
      <c r="E862" s="88"/>
      <c r="F862" s="88"/>
      <c r="G862" s="87"/>
    </row>
    <row r="863">
      <c r="A863" s="11" t="s">
        <v>7335</v>
      </c>
      <c r="B863" s="74" t="s">
        <v>7336</v>
      </c>
      <c r="C863" s="48" t="s">
        <v>7337</v>
      </c>
      <c r="D863" s="88"/>
      <c r="E863" s="88"/>
      <c r="F863" s="88"/>
      <c r="G863" s="87"/>
    </row>
    <row r="864">
      <c r="A864" s="11" t="s">
        <v>7338</v>
      </c>
      <c r="B864" s="74" t="s">
        <v>7339</v>
      </c>
      <c r="C864" s="48" t="s">
        <v>7340</v>
      </c>
      <c r="D864" s="88"/>
      <c r="E864" s="88"/>
      <c r="F864" s="88"/>
      <c r="G864" s="87"/>
    </row>
    <row r="865">
      <c r="A865" s="11" t="s">
        <v>7338</v>
      </c>
      <c r="B865" s="74" t="s">
        <v>7341</v>
      </c>
      <c r="C865" s="48" t="s">
        <v>7342</v>
      </c>
      <c r="D865" s="88"/>
      <c r="E865" s="88"/>
      <c r="F865" s="88"/>
      <c r="G865" s="87"/>
    </row>
    <row r="866">
      <c r="A866" s="11" t="s">
        <v>7338</v>
      </c>
      <c r="B866" s="74" t="s">
        <v>7343</v>
      </c>
      <c r="C866" s="48" t="s">
        <v>7344</v>
      </c>
      <c r="D866" s="88"/>
      <c r="E866" s="88"/>
      <c r="F866" s="88"/>
      <c r="G866" s="87"/>
    </row>
    <row r="867">
      <c r="A867" s="11" t="s">
        <v>7345</v>
      </c>
      <c r="B867" s="74" t="s">
        <v>7346</v>
      </c>
      <c r="C867" s="48" t="s">
        <v>7347</v>
      </c>
      <c r="D867" s="88"/>
      <c r="E867" s="88"/>
      <c r="F867" s="88"/>
      <c r="G867" s="87"/>
    </row>
    <row r="868">
      <c r="A868" s="11" t="s">
        <v>7345</v>
      </c>
      <c r="B868" s="74" t="s">
        <v>7348</v>
      </c>
      <c r="C868" s="48" t="s">
        <v>7349</v>
      </c>
      <c r="D868" s="88"/>
      <c r="E868" s="88"/>
      <c r="F868" s="88"/>
      <c r="G868" s="87"/>
    </row>
    <row r="869">
      <c r="A869" s="11" t="s">
        <v>7350</v>
      </c>
      <c r="B869" s="74" t="s">
        <v>7351</v>
      </c>
      <c r="C869" s="48" t="s">
        <v>7352</v>
      </c>
      <c r="D869" s="88"/>
      <c r="E869" s="88"/>
      <c r="F869" s="88"/>
      <c r="G869" s="87"/>
    </row>
    <row r="870">
      <c r="A870" s="11" t="s">
        <v>7350</v>
      </c>
      <c r="B870" s="74" t="s">
        <v>7353</v>
      </c>
      <c r="C870" s="48" t="s">
        <v>7354</v>
      </c>
      <c r="D870" s="88"/>
      <c r="E870" s="88"/>
      <c r="F870" s="88"/>
      <c r="G870" s="87"/>
    </row>
    <row r="871">
      <c r="A871" s="11" t="s">
        <v>7350</v>
      </c>
      <c r="B871" s="74" t="s">
        <v>7355</v>
      </c>
      <c r="C871" s="48" t="s">
        <v>7356</v>
      </c>
      <c r="D871" s="88"/>
      <c r="E871" s="88"/>
      <c r="F871" s="88"/>
      <c r="G871" s="87"/>
    </row>
    <row r="872">
      <c r="A872" s="11" t="s">
        <v>7350</v>
      </c>
      <c r="B872" s="74" t="s">
        <v>7357</v>
      </c>
      <c r="C872" s="48" t="s">
        <v>7358</v>
      </c>
      <c r="D872" s="88"/>
      <c r="E872" s="88"/>
      <c r="F872" s="88"/>
      <c r="G872" s="87"/>
    </row>
    <row r="873">
      <c r="A873" s="11" t="s">
        <v>7350</v>
      </c>
      <c r="B873" s="74" t="s">
        <v>7359</v>
      </c>
      <c r="C873" s="48" t="s">
        <v>7360</v>
      </c>
      <c r="D873" s="88"/>
      <c r="E873" s="88"/>
      <c r="F873" s="88"/>
      <c r="G873" s="87"/>
    </row>
    <row r="874">
      <c r="A874" s="11" t="s">
        <v>7361</v>
      </c>
      <c r="B874" s="74" t="s">
        <v>7362</v>
      </c>
      <c r="C874" s="48" t="s">
        <v>7363</v>
      </c>
      <c r="D874" s="88"/>
      <c r="E874" s="88"/>
      <c r="F874" s="88"/>
      <c r="G874" s="87"/>
    </row>
    <row r="875">
      <c r="A875" s="11" t="s">
        <v>7364</v>
      </c>
      <c r="B875" s="74" t="s">
        <v>7365</v>
      </c>
      <c r="C875" s="48" t="s">
        <v>7366</v>
      </c>
      <c r="D875" s="88"/>
      <c r="E875" s="88"/>
      <c r="F875" s="88"/>
      <c r="G875" s="87"/>
    </row>
    <row r="876">
      <c r="A876" s="11" t="s">
        <v>7364</v>
      </c>
      <c r="B876" s="74" t="s">
        <v>7367</v>
      </c>
      <c r="C876" s="48" t="s">
        <v>7368</v>
      </c>
      <c r="D876" s="88"/>
      <c r="E876" s="88"/>
      <c r="F876" s="88"/>
      <c r="G876" s="87"/>
    </row>
    <row r="877">
      <c r="A877" s="11" t="s">
        <v>7369</v>
      </c>
      <c r="B877" s="74" t="s">
        <v>7370</v>
      </c>
      <c r="C877" s="48" t="s">
        <v>7371</v>
      </c>
      <c r="D877" s="88"/>
      <c r="E877" s="88"/>
      <c r="F877" s="88"/>
      <c r="G877" s="87"/>
    </row>
    <row r="878">
      <c r="A878" s="11" t="s">
        <v>7369</v>
      </c>
      <c r="B878" s="74" t="s">
        <v>7372</v>
      </c>
      <c r="C878" s="48" t="s">
        <v>7373</v>
      </c>
      <c r="D878" s="88"/>
      <c r="E878" s="88"/>
      <c r="F878" s="88"/>
      <c r="G878" s="87"/>
    </row>
    <row r="879">
      <c r="A879" s="11" t="s">
        <v>7369</v>
      </c>
      <c r="B879" s="74" t="s">
        <v>7374</v>
      </c>
      <c r="C879" s="48" t="s">
        <v>7375</v>
      </c>
      <c r="D879" s="88"/>
      <c r="E879" s="88"/>
      <c r="F879" s="88"/>
      <c r="G879" s="87"/>
    </row>
    <row r="880">
      <c r="A880" s="11" t="s">
        <v>7376</v>
      </c>
      <c r="B880" s="74" t="s">
        <v>7377</v>
      </c>
      <c r="C880" s="48" t="s">
        <v>7378</v>
      </c>
      <c r="D880" s="88"/>
      <c r="E880" s="88"/>
      <c r="F880" s="88"/>
      <c r="G880" s="87"/>
    </row>
    <row r="881">
      <c r="A881" s="11" t="s">
        <v>7379</v>
      </c>
      <c r="B881" s="74" t="s">
        <v>7380</v>
      </c>
      <c r="C881" s="48" t="s">
        <v>7381</v>
      </c>
      <c r="D881" s="88"/>
      <c r="E881" s="88"/>
      <c r="F881" s="88"/>
      <c r="G881" s="87"/>
    </row>
    <row r="882">
      <c r="A882" s="11" t="s">
        <v>7379</v>
      </c>
      <c r="B882" s="74" t="s">
        <v>7382</v>
      </c>
      <c r="C882" s="48" t="s">
        <v>7383</v>
      </c>
      <c r="D882" s="88"/>
      <c r="E882" s="88"/>
      <c r="F882" s="88"/>
      <c r="G882" s="87"/>
    </row>
    <row r="883">
      <c r="A883" s="11" t="s">
        <v>7384</v>
      </c>
      <c r="B883" s="74" t="s">
        <v>7385</v>
      </c>
      <c r="C883" s="48" t="s">
        <v>7386</v>
      </c>
      <c r="D883" s="88"/>
      <c r="E883" s="88"/>
      <c r="F883" s="88"/>
      <c r="G883" s="87"/>
    </row>
    <row r="884">
      <c r="A884" s="11" t="s">
        <v>7387</v>
      </c>
      <c r="B884" s="74" t="s">
        <v>7388</v>
      </c>
      <c r="C884" s="48" t="s">
        <v>7389</v>
      </c>
      <c r="D884" s="88"/>
      <c r="E884" s="88"/>
      <c r="F884" s="88"/>
      <c r="G884" s="87"/>
    </row>
    <row r="885">
      <c r="A885" s="11" t="s">
        <v>7387</v>
      </c>
      <c r="B885" s="74" t="s">
        <v>7390</v>
      </c>
      <c r="C885" s="48" t="s">
        <v>7391</v>
      </c>
      <c r="D885" s="88"/>
      <c r="E885" s="88"/>
      <c r="F885" s="88"/>
      <c r="G885" s="87"/>
    </row>
    <row r="886">
      <c r="A886" s="11" t="s">
        <v>7387</v>
      </c>
      <c r="B886" s="74" t="s">
        <v>7392</v>
      </c>
      <c r="C886" s="48" t="s">
        <v>7393</v>
      </c>
      <c r="D886" s="88"/>
      <c r="E886" s="88"/>
      <c r="F886" s="88"/>
      <c r="G886" s="87"/>
    </row>
    <row r="887">
      <c r="A887" s="11" t="s">
        <v>7394</v>
      </c>
      <c r="B887" s="74" t="s">
        <v>7395</v>
      </c>
      <c r="C887" s="48" t="s">
        <v>7396</v>
      </c>
      <c r="D887" s="88"/>
      <c r="E887" s="88"/>
      <c r="F887" s="88"/>
      <c r="G887" s="87"/>
    </row>
    <row r="888">
      <c r="A888" s="11" t="s">
        <v>7394</v>
      </c>
      <c r="B888" s="74" t="s">
        <v>7397</v>
      </c>
      <c r="C888" s="48" t="s">
        <v>7398</v>
      </c>
      <c r="D888" s="88"/>
      <c r="E888" s="88"/>
      <c r="F888" s="88"/>
      <c r="G888" s="87"/>
    </row>
    <row r="889">
      <c r="A889" s="11" t="s">
        <v>7394</v>
      </c>
      <c r="B889" s="74" t="s">
        <v>7399</v>
      </c>
      <c r="C889" s="48" t="s">
        <v>7400</v>
      </c>
      <c r="D889" s="88"/>
      <c r="E889" s="88"/>
      <c r="F889" s="88"/>
      <c r="G889" s="87"/>
    </row>
    <row r="890">
      <c r="A890" s="11" t="s">
        <v>7401</v>
      </c>
      <c r="B890" s="74" t="s">
        <v>7402</v>
      </c>
      <c r="C890" s="48" t="s">
        <v>7403</v>
      </c>
      <c r="D890" s="88"/>
      <c r="E890" s="88"/>
      <c r="F890" s="88"/>
      <c r="G890" s="87"/>
    </row>
    <row r="891">
      <c r="A891" s="11" t="s">
        <v>7401</v>
      </c>
      <c r="B891" s="74" t="s">
        <v>7404</v>
      </c>
      <c r="C891" s="48" t="s">
        <v>7405</v>
      </c>
      <c r="D891" s="88"/>
      <c r="E891" s="88"/>
      <c r="F891" s="88"/>
      <c r="G891" s="87"/>
    </row>
    <row r="892">
      <c r="A892" s="11" t="s">
        <v>7401</v>
      </c>
      <c r="B892" s="74" t="s">
        <v>7406</v>
      </c>
      <c r="C892" s="48" t="s">
        <v>7407</v>
      </c>
      <c r="D892" s="88"/>
      <c r="E892" s="88"/>
      <c r="F892" s="88"/>
      <c r="G892" s="87"/>
    </row>
    <row r="893">
      <c r="A893" s="11" t="s">
        <v>7408</v>
      </c>
      <c r="B893" s="74" t="s">
        <v>7409</v>
      </c>
      <c r="C893" s="48" t="s">
        <v>7410</v>
      </c>
      <c r="D893" s="88"/>
      <c r="E893" s="88"/>
      <c r="F893" s="88"/>
      <c r="G893" s="87"/>
    </row>
    <row r="894">
      <c r="A894" s="11" t="s">
        <v>7408</v>
      </c>
      <c r="B894" s="74" t="s">
        <v>7411</v>
      </c>
      <c r="C894" s="48" t="s">
        <v>7412</v>
      </c>
      <c r="D894" s="88"/>
      <c r="E894" s="88"/>
      <c r="F894" s="88"/>
      <c r="G894" s="87"/>
    </row>
    <row r="895">
      <c r="A895" s="11" t="s">
        <v>7413</v>
      </c>
      <c r="B895" s="74" t="s">
        <v>7414</v>
      </c>
      <c r="C895" s="48" t="s">
        <v>7415</v>
      </c>
      <c r="D895" s="88"/>
      <c r="E895" s="88"/>
      <c r="F895" s="88"/>
      <c r="G895" s="87"/>
    </row>
    <row r="896">
      <c r="A896" s="11" t="s">
        <v>7413</v>
      </c>
      <c r="B896" s="74" t="s">
        <v>7416</v>
      </c>
      <c r="C896" s="48" t="s">
        <v>7417</v>
      </c>
      <c r="D896" s="88"/>
      <c r="E896" s="88"/>
      <c r="F896" s="88"/>
      <c r="G896" s="87"/>
    </row>
    <row r="897">
      <c r="A897" s="11" t="s">
        <v>7413</v>
      </c>
      <c r="B897" s="74" t="s">
        <v>7418</v>
      </c>
      <c r="C897" s="48" t="s">
        <v>7419</v>
      </c>
      <c r="D897" s="88"/>
      <c r="E897" s="88"/>
      <c r="F897" s="88"/>
      <c r="G897" s="87"/>
    </row>
    <row r="898">
      <c r="A898" s="11" t="s">
        <v>7413</v>
      </c>
      <c r="B898" s="74" t="s">
        <v>7420</v>
      </c>
      <c r="C898" s="48" t="s">
        <v>7421</v>
      </c>
      <c r="D898" s="88"/>
      <c r="E898" s="88"/>
      <c r="F898" s="88"/>
      <c r="G898" s="87"/>
    </row>
    <row r="899">
      <c r="A899" s="11" t="s">
        <v>7422</v>
      </c>
      <c r="B899" s="74" t="s">
        <v>7423</v>
      </c>
      <c r="C899" s="48" t="s">
        <v>7424</v>
      </c>
      <c r="D899" s="88"/>
      <c r="E899" s="88"/>
      <c r="F899" s="88"/>
      <c r="G899" s="87"/>
    </row>
    <row r="900">
      <c r="A900" s="11" t="s">
        <v>7425</v>
      </c>
      <c r="B900" s="74" t="s">
        <v>7426</v>
      </c>
      <c r="C900" s="48" t="s">
        <v>7427</v>
      </c>
      <c r="D900" s="88"/>
      <c r="E900" s="88"/>
      <c r="F900" s="88"/>
      <c r="G900" s="87"/>
    </row>
    <row r="901">
      <c r="A901" s="11" t="s">
        <v>7425</v>
      </c>
      <c r="B901" s="74" t="s">
        <v>7428</v>
      </c>
      <c r="C901" s="48" t="s">
        <v>7429</v>
      </c>
      <c r="D901" s="88"/>
      <c r="E901" s="88"/>
      <c r="F901" s="88"/>
      <c r="G901" s="87"/>
    </row>
    <row r="902">
      <c r="A902" s="11" t="s">
        <v>7425</v>
      </c>
      <c r="B902" s="74" t="s">
        <v>7430</v>
      </c>
      <c r="C902" s="48" t="s">
        <v>7431</v>
      </c>
      <c r="D902" s="88"/>
      <c r="E902" s="88"/>
      <c r="F902" s="88"/>
      <c r="G902" s="87"/>
    </row>
    <row r="903">
      <c r="A903" s="11" t="s">
        <v>7425</v>
      </c>
      <c r="B903" s="74" t="s">
        <v>7432</v>
      </c>
      <c r="C903" s="48" t="s">
        <v>7433</v>
      </c>
      <c r="D903" s="88"/>
      <c r="E903" s="88"/>
      <c r="F903" s="88"/>
      <c r="G903" s="87"/>
    </row>
    <row r="904">
      <c r="A904" s="11" t="s">
        <v>7434</v>
      </c>
      <c r="B904" s="74" t="s">
        <v>7435</v>
      </c>
      <c r="C904" s="48" t="s">
        <v>7436</v>
      </c>
      <c r="D904" s="88"/>
      <c r="E904" s="88"/>
      <c r="F904" s="88"/>
      <c r="G904" s="87"/>
    </row>
    <row r="905">
      <c r="A905" s="11" t="s">
        <v>7437</v>
      </c>
      <c r="B905" s="74" t="s">
        <v>7438</v>
      </c>
      <c r="C905" s="48" t="s">
        <v>7439</v>
      </c>
      <c r="D905" s="88"/>
      <c r="E905" s="88"/>
      <c r="F905" s="88"/>
      <c r="G905" s="87"/>
    </row>
    <row r="906">
      <c r="A906" s="11" t="s">
        <v>7437</v>
      </c>
      <c r="B906" s="74" t="s">
        <v>7440</v>
      </c>
      <c r="C906" s="48" t="s">
        <v>7441</v>
      </c>
      <c r="D906" s="88"/>
      <c r="E906" s="88"/>
      <c r="F906" s="88"/>
      <c r="G906" s="87"/>
    </row>
    <row r="907">
      <c r="A907" s="11" t="s">
        <v>7442</v>
      </c>
      <c r="B907" s="74" t="s">
        <v>7443</v>
      </c>
      <c r="C907" s="48" t="s">
        <v>7444</v>
      </c>
      <c r="D907" s="88"/>
      <c r="E907" s="88"/>
      <c r="F907" s="88"/>
      <c r="G907" s="87"/>
    </row>
    <row r="908">
      <c r="A908" s="11" t="s">
        <v>7445</v>
      </c>
      <c r="B908" s="74" t="s">
        <v>7446</v>
      </c>
      <c r="C908" s="48" t="s">
        <v>7447</v>
      </c>
      <c r="D908" s="88"/>
      <c r="E908" s="88"/>
      <c r="F908" s="88"/>
      <c r="G908" s="87"/>
    </row>
    <row r="909">
      <c r="A909" s="11" t="s">
        <v>7445</v>
      </c>
      <c r="B909" s="74" t="s">
        <v>7448</v>
      </c>
      <c r="C909" s="48" t="s">
        <v>7449</v>
      </c>
      <c r="D909" s="88"/>
      <c r="E909" s="88"/>
      <c r="F909" s="88"/>
      <c r="G909" s="87"/>
    </row>
    <row r="910">
      <c r="A910" s="11" t="s">
        <v>7445</v>
      </c>
      <c r="B910" s="74" t="s">
        <v>7450</v>
      </c>
      <c r="C910" s="48" t="s">
        <v>7451</v>
      </c>
      <c r="D910" s="88"/>
      <c r="E910" s="88"/>
      <c r="F910" s="88"/>
      <c r="G910" s="87"/>
    </row>
    <row r="911">
      <c r="A911" s="11" t="s">
        <v>7452</v>
      </c>
      <c r="B911" s="74" t="s">
        <v>7453</v>
      </c>
      <c r="C911" s="48" t="s">
        <v>7454</v>
      </c>
      <c r="D911" s="88"/>
      <c r="E911" s="88"/>
      <c r="F911" s="88"/>
      <c r="G911" s="87"/>
    </row>
    <row r="912">
      <c r="A912" s="87" t="s">
        <v>7455</v>
      </c>
      <c r="B912" s="88" t="s">
        <v>7456</v>
      </c>
      <c r="C912" s="13" t="s">
        <v>6527</v>
      </c>
      <c r="D912" s="88"/>
      <c r="E912" s="88"/>
      <c r="F912" s="88"/>
      <c r="G912" s="87"/>
    </row>
    <row r="913">
      <c r="A913" s="87" t="s">
        <v>7457</v>
      </c>
      <c r="B913" s="88" t="s">
        <v>7456</v>
      </c>
      <c r="C913" s="13" t="s">
        <v>6527</v>
      </c>
      <c r="D913" s="88"/>
      <c r="E913" s="88"/>
      <c r="F913" s="88"/>
      <c r="G913" s="87"/>
    </row>
    <row r="914">
      <c r="A914" s="87" t="s">
        <v>7458</v>
      </c>
      <c r="B914" s="88" t="s">
        <v>7456</v>
      </c>
      <c r="C914" s="13" t="s">
        <v>6527</v>
      </c>
      <c r="D914" s="88"/>
      <c r="E914" s="88"/>
      <c r="F914" s="88"/>
      <c r="G914" s="87"/>
    </row>
    <row r="915">
      <c r="A915" s="87" t="s">
        <v>7459</v>
      </c>
      <c r="B915" s="88" t="s">
        <v>7456</v>
      </c>
      <c r="C915" s="13" t="s">
        <v>6527</v>
      </c>
      <c r="D915" s="88"/>
      <c r="E915" s="88"/>
      <c r="F915" s="88"/>
      <c r="G915" s="87"/>
    </row>
    <row r="916">
      <c r="A916" s="87" t="s">
        <v>7460</v>
      </c>
      <c r="B916" s="88" t="s">
        <v>7456</v>
      </c>
      <c r="C916" s="13" t="s">
        <v>6527</v>
      </c>
      <c r="D916" s="88"/>
      <c r="E916" s="88"/>
      <c r="F916" s="88"/>
      <c r="G916" s="87"/>
    </row>
    <row r="917">
      <c r="A917" s="87" t="s">
        <v>7461</v>
      </c>
      <c r="B917" s="88" t="s">
        <v>7456</v>
      </c>
      <c r="C917" s="13" t="s">
        <v>6527</v>
      </c>
      <c r="D917" s="88"/>
      <c r="E917" s="88"/>
      <c r="F917" s="88"/>
      <c r="G917" s="87"/>
    </row>
    <row r="918">
      <c r="A918" s="87" t="s">
        <v>7462</v>
      </c>
      <c r="B918" s="88" t="s">
        <v>7456</v>
      </c>
      <c r="C918" s="13" t="s">
        <v>6527</v>
      </c>
      <c r="D918" s="88"/>
      <c r="E918" s="88"/>
      <c r="F918" s="88"/>
      <c r="G918" s="87"/>
    </row>
    <row r="919">
      <c r="A919" s="87" t="s">
        <v>7463</v>
      </c>
      <c r="B919" s="88" t="s">
        <v>7456</v>
      </c>
      <c r="C919" s="13" t="s">
        <v>6527</v>
      </c>
      <c r="D919" s="88"/>
      <c r="E919" s="88"/>
      <c r="F919" s="88"/>
      <c r="G919" s="87"/>
    </row>
    <row r="920">
      <c r="A920" s="87" t="s">
        <v>7464</v>
      </c>
      <c r="B920" s="88" t="s">
        <v>7456</v>
      </c>
      <c r="C920" s="13" t="s">
        <v>6527</v>
      </c>
      <c r="D920" s="88"/>
      <c r="E920" s="88"/>
      <c r="F920" s="88"/>
      <c r="G920" s="87"/>
    </row>
    <row r="921">
      <c r="A921" s="87" t="s">
        <v>7465</v>
      </c>
      <c r="B921" s="88" t="s">
        <v>7456</v>
      </c>
      <c r="C921" s="13" t="s">
        <v>7466</v>
      </c>
      <c r="D921" s="88"/>
      <c r="E921" s="88"/>
      <c r="F921" s="88"/>
      <c r="G921" s="87"/>
    </row>
    <row r="922">
      <c r="A922" s="87" t="s">
        <v>7465</v>
      </c>
      <c r="B922" s="88" t="s">
        <v>7467</v>
      </c>
      <c r="C922" s="13" t="s">
        <v>6527</v>
      </c>
      <c r="D922" s="88"/>
      <c r="E922" s="88"/>
      <c r="F922" s="88"/>
      <c r="G922" s="87"/>
    </row>
    <row r="923">
      <c r="A923" s="87" t="s">
        <v>7465</v>
      </c>
      <c r="B923" s="88" t="s">
        <v>7468</v>
      </c>
      <c r="C923" s="13" t="s">
        <v>7469</v>
      </c>
      <c r="D923" s="88"/>
      <c r="E923" s="88"/>
      <c r="F923" s="88"/>
      <c r="G923" s="87"/>
    </row>
    <row r="924">
      <c r="A924" s="87" t="s">
        <v>7465</v>
      </c>
      <c r="B924" s="88" t="s">
        <v>7470</v>
      </c>
      <c r="C924" s="13" t="s">
        <v>7471</v>
      </c>
      <c r="D924" s="88"/>
      <c r="E924" s="88"/>
      <c r="F924" s="88"/>
      <c r="G924" s="87"/>
    </row>
    <row r="925">
      <c r="A925" s="87" t="s">
        <v>7465</v>
      </c>
      <c r="B925" s="88" t="s">
        <v>7472</v>
      </c>
      <c r="C925" s="13" t="s">
        <v>7473</v>
      </c>
      <c r="D925" s="88"/>
      <c r="E925" s="88"/>
      <c r="F925" s="88"/>
      <c r="G925" s="87"/>
    </row>
    <row r="926">
      <c r="A926" s="87" t="s">
        <v>7465</v>
      </c>
      <c r="B926" s="88" t="s">
        <v>7474</v>
      </c>
      <c r="C926" s="13" t="s">
        <v>7475</v>
      </c>
      <c r="D926" s="88"/>
      <c r="E926" s="88"/>
      <c r="F926" s="88"/>
      <c r="G926" s="87"/>
    </row>
    <row r="927">
      <c r="A927" s="87" t="s">
        <v>7465</v>
      </c>
      <c r="B927" s="88" t="s">
        <v>7476</v>
      </c>
      <c r="C927" s="13" t="s">
        <v>7477</v>
      </c>
      <c r="D927" s="88"/>
      <c r="E927" s="88"/>
      <c r="F927" s="88"/>
      <c r="G927" s="87"/>
    </row>
    <row r="928">
      <c r="A928" s="87" t="s">
        <v>7465</v>
      </c>
      <c r="B928" s="88" t="s">
        <v>7478</v>
      </c>
      <c r="C928" s="13" t="s">
        <v>7479</v>
      </c>
      <c r="D928" s="88"/>
      <c r="E928" s="88"/>
      <c r="F928" s="88"/>
      <c r="G928" s="87"/>
    </row>
    <row r="929">
      <c r="A929" s="87" t="s">
        <v>7480</v>
      </c>
      <c r="B929" s="88" t="s">
        <v>7456</v>
      </c>
      <c r="C929" s="13" t="s">
        <v>6527</v>
      </c>
      <c r="D929" s="88"/>
      <c r="E929" s="88"/>
      <c r="F929" s="88"/>
      <c r="G929" s="87"/>
    </row>
    <row r="930">
      <c r="A930" s="87" t="s">
        <v>7481</v>
      </c>
      <c r="B930" s="88" t="s">
        <v>7456</v>
      </c>
      <c r="C930" s="13" t="s">
        <v>6527</v>
      </c>
      <c r="D930" s="88"/>
      <c r="E930" s="88"/>
      <c r="F930" s="88"/>
      <c r="G930" s="87"/>
    </row>
    <row r="931">
      <c r="A931" s="87" t="s">
        <v>7482</v>
      </c>
      <c r="B931" s="88" t="s">
        <v>7456</v>
      </c>
      <c r="C931" s="13" t="s">
        <v>6527</v>
      </c>
      <c r="D931" s="88"/>
      <c r="E931" s="88"/>
      <c r="F931" s="88"/>
      <c r="G931" s="87"/>
    </row>
    <row r="932">
      <c r="A932" s="87" t="s">
        <v>7483</v>
      </c>
      <c r="B932" s="88" t="s">
        <v>7456</v>
      </c>
      <c r="C932" s="13" t="s">
        <v>6527</v>
      </c>
      <c r="D932" s="88"/>
      <c r="E932" s="88"/>
      <c r="F932" s="88"/>
      <c r="G932" s="87"/>
    </row>
    <row r="933">
      <c r="A933" s="87"/>
      <c r="B933" s="88"/>
      <c r="C933" s="88"/>
      <c r="D933" s="88"/>
      <c r="E933" s="88"/>
      <c r="F933" s="88"/>
      <c r="G933" s="87"/>
    </row>
    <row r="934">
      <c r="A934" s="87"/>
      <c r="B934" s="88"/>
      <c r="C934" s="88"/>
      <c r="D934" s="88"/>
      <c r="E934" s="88"/>
      <c r="F934" s="88"/>
      <c r="G934" s="87"/>
    </row>
    <row r="935">
      <c r="A935" s="87"/>
      <c r="B935" s="88"/>
      <c r="C935" s="88"/>
      <c r="D935" s="88"/>
      <c r="E935" s="88"/>
      <c r="F935" s="88"/>
      <c r="G935" s="87"/>
    </row>
    <row r="936">
      <c r="A936" s="87"/>
      <c r="B936" s="88"/>
      <c r="C936" s="88"/>
      <c r="D936" s="88"/>
      <c r="E936" s="88"/>
      <c r="F936" s="88"/>
      <c r="G936" s="87"/>
    </row>
    <row r="937">
      <c r="A937" s="87"/>
      <c r="B937" s="88"/>
      <c r="C937" s="88"/>
      <c r="D937" s="88"/>
      <c r="E937" s="88"/>
      <c r="F937" s="88"/>
      <c r="G937" s="87"/>
    </row>
    <row r="938">
      <c r="A938" s="87"/>
      <c r="B938" s="88"/>
      <c r="C938" s="88"/>
      <c r="D938" s="88"/>
      <c r="E938" s="88"/>
      <c r="F938" s="88"/>
      <c r="G938" s="87"/>
    </row>
    <row r="939">
      <c r="A939" s="87"/>
      <c r="B939" s="88"/>
      <c r="C939" s="88"/>
      <c r="D939" s="88"/>
      <c r="E939" s="88"/>
      <c r="F939" s="88"/>
      <c r="G939" s="87"/>
    </row>
    <row r="940">
      <c r="A940" s="87"/>
      <c r="B940" s="88"/>
      <c r="C940" s="88"/>
      <c r="D940" s="88"/>
      <c r="E940" s="88"/>
      <c r="F940" s="88"/>
      <c r="G940" s="87"/>
    </row>
    <row r="941">
      <c r="A941" s="87"/>
      <c r="B941" s="88"/>
      <c r="C941" s="88"/>
      <c r="D941" s="88"/>
      <c r="E941" s="88"/>
      <c r="F941" s="88"/>
      <c r="G941" s="87"/>
    </row>
    <row r="942">
      <c r="A942" s="87"/>
      <c r="B942" s="88"/>
      <c r="C942" s="88"/>
      <c r="D942" s="88"/>
      <c r="E942" s="88"/>
      <c r="F942" s="88"/>
      <c r="G942" s="87"/>
    </row>
    <row r="943">
      <c r="A943" s="87"/>
      <c r="B943" s="88"/>
      <c r="C943" s="88"/>
      <c r="D943" s="88"/>
      <c r="E943" s="88"/>
      <c r="F943" s="88"/>
      <c r="G943" s="87"/>
    </row>
    <row r="944">
      <c r="A944" s="87"/>
      <c r="B944" s="88"/>
      <c r="C944" s="88"/>
      <c r="D944" s="88"/>
      <c r="E944" s="88"/>
      <c r="F944" s="88"/>
      <c r="G944" s="87"/>
    </row>
    <row r="945">
      <c r="A945" s="87"/>
      <c r="B945" s="88"/>
      <c r="C945" s="88"/>
      <c r="D945" s="88"/>
      <c r="E945" s="88"/>
      <c r="F945" s="88"/>
      <c r="G945" s="87"/>
    </row>
    <row r="946">
      <c r="A946" s="87"/>
      <c r="B946" s="88"/>
      <c r="C946" s="88"/>
      <c r="D946" s="88"/>
      <c r="E946" s="88"/>
      <c r="F946" s="88"/>
      <c r="G946" s="87"/>
    </row>
    <row r="947">
      <c r="A947" s="87"/>
      <c r="B947" s="88"/>
      <c r="C947" s="88"/>
      <c r="D947" s="88"/>
      <c r="E947" s="88"/>
      <c r="F947" s="88"/>
      <c r="G947" s="87"/>
    </row>
    <row r="948">
      <c r="A948" s="87"/>
      <c r="B948" s="88"/>
      <c r="C948" s="88"/>
      <c r="D948" s="88"/>
      <c r="E948" s="88"/>
      <c r="F948" s="88"/>
      <c r="G948" s="87"/>
    </row>
    <row r="949">
      <c r="A949" s="87"/>
      <c r="B949" s="88"/>
      <c r="C949" s="88"/>
      <c r="D949" s="88"/>
      <c r="E949" s="88"/>
      <c r="F949" s="88"/>
      <c r="G949" s="87"/>
    </row>
    <row r="950">
      <c r="A950" s="87"/>
      <c r="B950" s="88"/>
      <c r="C950" s="88"/>
      <c r="D950" s="88"/>
      <c r="E950" s="88"/>
      <c r="F950" s="88"/>
      <c r="G950" s="87"/>
    </row>
    <row r="951">
      <c r="A951" s="87"/>
      <c r="B951" s="88"/>
      <c r="C951" s="88"/>
      <c r="D951" s="88"/>
      <c r="E951" s="88"/>
      <c r="F951" s="88"/>
      <c r="G951" s="87"/>
    </row>
    <row r="952">
      <c r="A952" s="87"/>
      <c r="B952" s="88"/>
      <c r="C952" s="88"/>
      <c r="D952" s="88"/>
      <c r="E952" s="88"/>
      <c r="F952" s="88"/>
      <c r="G952" s="87"/>
    </row>
    <row r="953">
      <c r="A953" s="87"/>
      <c r="B953" s="88"/>
      <c r="C953" s="88"/>
      <c r="D953" s="88"/>
      <c r="E953" s="88"/>
      <c r="F953" s="88"/>
      <c r="G953" s="87"/>
    </row>
    <row r="954">
      <c r="A954" s="87"/>
      <c r="B954" s="88"/>
      <c r="C954" s="88"/>
      <c r="D954" s="88"/>
      <c r="E954" s="88"/>
      <c r="F954" s="88"/>
      <c r="G954" s="87"/>
    </row>
    <row r="955">
      <c r="A955" s="87"/>
      <c r="B955" s="88"/>
      <c r="C955" s="88"/>
      <c r="D955" s="88"/>
      <c r="E955" s="88"/>
      <c r="F955" s="88"/>
      <c r="G955" s="87"/>
    </row>
    <row r="956">
      <c r="A956" s="87"/>
      <c r="B956" s="88"/>
      <c r="C956" s="88"/>
      <c r="D956" s="88"/>
      <c r="E956" s="88"/>
      <c r="F956" s="88"/>
      <c r="G956" s="87"/>
    </row>
    <row r="957">
      <c r="A957" s="87"/>
      <c r="B957" s="88"/>
      <c r="C957" s="88"/>
      <c r="D957" s="88"/>
      <c r="E957" s="88"/>
      <c r="F957" s="88"/>
      <c r="G957" s="87"/>
    </row>
    <row r="958">
      <c r="A958" s="87"/>
      <c r="B958" s="88"/>
      <c r="C958" s="88"/>
      <c r="D958" s="88"/>
      <c r="E958" s="88"/>
      <c r="F958" s="88"/>
      <c r="G958" s="87"/>
    </row>
    <row r="959">
      <c r="A959" s="87"/>
      <c r="B959" s="88"/>
      <c r="C959" s="88"/>
      <c r="D959" s="88"/>
      <c r="E959" s="88"/>
      <c r="F959" s="88"/>
      <c r="G959" s="87"/>
    </row>
    <row r="960">
      <c r="A960" s="87"/>
      <c r="B960" s="88"/>
      <c r="C960" s="88"/>
      <c r="D960" s="88"/>
      <c r="E960" s="88"/>
      <c r="F960" s="88"/>
      <c r="G960" s="87"/>
    </row>
    <row r="961">
      <c r="A961" s="87"/>
      <c r="B961" s="88"/>
      <c r="C961" s="88"/>
      <c r="D961" s="88"/>
      <c r="E961" s="88"/>
      <c r="F961" s="88"/>
      <c r="G961" s="87"/>
    </row>
    <row r="962">
      <c r="A962" s="87"/>
      <c r="B962" s="88"/>
      <c r="C962" s="88"/>
      <c r="D962" s="88"/>
      <c r="E962" s="88"/>
      <c r="F962" s="88"/>
      <c r="G962" s="87"/>
    </row>
    <row r="963">
      <c r="A963" s="87"/>
      <c r="B963" s="88"/>
      <c r="C963" s="88"/>
      <c r="D963" s="88"/>
      <c r="E963" s="88"/>
      <c r="F963" s="88"/>
      <c r="G963" s="87"/>
    </row>
    <row r="964">
      <c r="A964" s="87"/>
      <c r="B964" s="88"/>
      <c r="C964" s="88"/>
      <c r="D964" s="88"/>
      <c r="E964" s="88"/>
      <c r="F964" s="88"/>
      <c r="G964" s="87"/>
    </row>
    <row r="965">
      <c r="A965" s="87"/>
      <c r="B965" s="88"/>
      <c r="C965" s="88"/>
      <c r="D965" s="88"/>
      <c r="E965" s="88"/>
      <c r="F965" s="88"/>
      <c r="G965" s="87"/>
    </row>
    <row r="966">
      <c r="A966" s="87"/>
      <c r="B966" s="88"/>
      <c r="C966" s="88"/>
      <c r="D966" s="88"/>
      <c r="E966" s="88"/>
      <c r="F966" s="88"/>
      <c r="G966" s="87"/>
    </row>
    <row r="967">
      <c r="A967" s="87"/>
      <c r="B967" s="88"/>
      <c r="C967" s="88"/>
      <c r="D967" s="88"/>
      <c r="E967" s="88"/>
      <c r="F967" s="88"/>
      <c r="G967" s="87"/>
    </row>
    <row r="968">
      <c r="A968" s="87"/>
      <c r="B968" s="88"/>
      <c r="C968" s="88"/>
      <c r="D968" s="88"/>
      <c r="E968" s="88"/>
      <c r="F968" s="88"/>
      <c r="G968" s="87"/>
    </row>
    <row r="969">
      <c r="A969" s="87"/>
      <c r="B969" s="88"/>
      <c r="C969" s="88"/>
      <c r="D969" s="88"/>
      <c r="E969" s="88"/>
      <c r="F969" s="88"/>
      <c r="G969" s="87"/>
    </row>
    <row r="970">
      <c r="A970" s="87"/>
      <c r="B970" s="88"/>
      <c r="C970" s="88"/>
      <c r="D970" s="88"/>
      <c r="E970" s="88"/>
      <c r="F970" s="88"/>
      <c r="G970" s="87"/>
    </row>
    <row r="971">
      <c r="A971" s="87"/>
      <c r="B971" s="88"/>
      <c r="C971" s="88"/>
      <c r="D971" s="88"/>
      <c r="E971" s="88"/>
      <c r="F971" s="88"/>
      <c r="G971" s="87"/>
    </row>
    <row r="972">
      <c r="A972" s="87"/>
      <c r="B972" s="88"/>
      <c r="C972" s="88"/>
      <c r="D972" s="88"/>
      <c r="E972" s="88"/>
      <c r="F972" s="88"/>
      <c r="G972" s="87"/>
    </row>
    <row r="973">
      <c r="A973" s="87"/>
      <c r="B973" s="88"/>
      <c r="C973" s="88"/>
      <c r="D973" s="88"/>
      <c r="E973" s="88"/>
      <c r="F973" s="88"/>
      <c r="G973" s="87"/>
    </row>
    <row r="974">
      <c r="A974" s="87"/>
      <c r="B974" s="88"/>
      <c r="C974" s="88"/>
      <c r="D974" s="88"/>
      <c r="E974" s="88"/>
      <c r="F974" s="88"/>
      <c r="G974" s="87"/>
    </row>
    <row r="975">
      <c r="A975" s="87"/>
      <c r="B975" s="88"/>
      <c r="C975" s="88"/>
      <c r="D975" s="88"/>
      <c r="E975" s="88"/>
      <c r="F975" s="88"/>
      <c r="G975" s="87"/>
    </row>
    <row r="976">
      <c r="A976" s="87"/>
      <c r="B976" s="88"/>
      <c r="C976" s="88"/>
      <c r="D976" s="88"/>
      <c r="E976" s="88"/>
      <c r="F976" s="88"/>
      <c r="G976" s="87"/>
    </row>
    <row r="977">
      <c r="A977" s="87"/>
      <c r="B977" s="88"/>
      <c r="C977" s="88"/>
      <c r="D977" s="88"/>
      <c r="E977" s="88"/>
      <c r="F977" s="88"/>
      <c r="G977" s="87"/>
    </row>
    <row r="978">
      <c r="A978" s="87"/>
      <c r="B978" s="88"/>
      <c r="C978" s="88"/>
      <c r="D978" s="88"/>
      <c r="E978" s="88"/>
      <c r="F978" s="88"/>
      <c r="G978" s="87"/>
    </row>
    <row r="979">
      <c r="A979" s="87"/>
      <c r="B979" s="88"/>
      <c r="C979" s="88"/>
      <c r="D979" s="88"/>
      <c r="E979" s="88"/>
      <c r="F979" s="88"/>
      <c r="G979" s="87"/>
    </row>
    <row r="980">
      <c r="A980" s="87"/>
      <c r="B980" s="88"/>
      <c r="C980" s="88"/>
      <c r="D980" s="88"/>
      <c r="E980" s="88"/>
      <c r="F980" s="88"/>
      <c r="G980" s="87"/>
    </row>
    <row r="981">
      <c r="A981" s="87"/>
      <c r="B981" s="88"/>
      <c r="C981" s="88"/>
      <c r="D981" s="88"/>
      <c r="E981" s="88"/>
      <c r="F981" s="88"/>
      <c r="G981" s="87"/>
    </row>
    <row r="982">
      <c r="A982" s="87"/>
      <c r="B982" s="88"/>
      <c r="C982" s="88"/>
      <c r="D982" s="88"/>
      <c r="E982" s="88"/>
      <c r="F982" s="88"/>
      <c r="G982" s="87"/>
    </row>
    <row r="983">
      <c r="A983" s="87"/>
      <c r="B983" s="88"/>
      <c r="C983" s="88"/>
      <c r="D983" s="88"/>
      <c r="E983" s="88"/>
      <c r="F983" s="88"/>
      <c r="G983" s="87"/>
    </row>
    <row r="984">
      <c r="A984" s="87"/>
      <c r="B984" s="88"/>
      <c r="C984" s="88"/>
      <c r="D984" s="88"/>
      <c r="E984" s="88"/>
      <c r="F984" s="88"/>
      <c r="G984" s="87"/>
    </row>
    <row r="985">
      <c r="A985" s="87"/>
      <c r="B985" s="88"/>
      <c r="C985" s="88"/>
      <c r="D985" s="88"/>
      <c r="E985" s="88"/>
      <c r="F985" s="88"/>
      <c r="G985" s="87"/>
    </row>
    <row r="986">
      <c r="A986" s="87"/>
      <c r="B986" s="88"/>
      <c r="C986" s="88"/>
      <c r="D986" s="88"/>
      <c r="E986" s="88"/>
      <c r="F986" s="88"/>
      <c r="G986" s="87"/>
    </row>
    <row r="987">
      <c r="A987" s="87"/>
      <c r="B987" s="88"/>
      <c r="C987" s="88"/>
      <c r="D987" s="88"/>
      <c r="E987" s="88"/>
      <c r="F987" s="88"/>
      <c r="G987" s="87"/>
    </row>
    <row r="988">
      <c r="A988" s="87"/>
      <c r="B988" s="88"/>
      <c r="C988" s="88"/>
      <c r="D988" s="88"/>
      <c r="E988" s="88"/>
      <c r="F988" s="88"/>
      <c r="G988" s="87"/>
    </row>
    <row r="989">
      <c r="A989" s="87"/>
      <c r="B989" s="88"/>
      <c r="C989" s="88"/>
      <c r="D989" s="88"/>
      <c r="E989" s="88"/>
      <c r="F989" s="88"/>
      <c r="G989" s="87"/>
    </row>
    <row r="990">
      <c r="A990" s="87"/>
      <c r="B990" s="88"/>
      <c r="C990" s="88"/>
      <c r="D990" s="88"/>
      <c r="E990" s="88"/>
      <c r="F990" s="88"/>
      <c r="G990" s="87"/>
    </row>
    <row r="991">
      <c r="A991" s="87"/>
      <c r="B991" s="88"/>
      <c r="C991" s="88"/>
      <c r="D991" s="88"/>
      <c r="E991" s="88"/>
      <c r="F991" s="88"/>
      <c r="G991" s="87"/>
    </row>
    <row r="992">
      <c r="A992" s="87"/>
      <c r="B992" s="88"/>
      <c r="C992" s="88"/>
      <c r="D992" s="88"/>
      <c r="E992" s="88"/>
      <c r="F992" s="88"/>
      <c r="G992" s="87"/>
    </row>
    <row r="993">
      <c r="A993" s="87"/>
      <c r="B993" s="88"/>
      <c r="C993" s="88"/>
      <c r="D993" s="88"/>
      <c r="E993" s="88"/>
      <c r="F993" s="88"/>
      <c r="G993" s="87"/>
    </row>
    <row r="994">
      <c r="A994" s="87"/>
      <c r="B994" s="88"/>
      <c r="C994" s="88"/>
      <c r="D994" s="88"/>
      <c r="E994" s="88"/>
      <c r="F994" s="88"/>
      <c r="G994" s="87"/>
    </row>
    <row r="995">
      <c r="A995" s="87"/>
      <c r="B995" s="88"/>
      <c r="C995" s="88"/>
      <c r="D995" s="88"/>
      <c r="E995" s="88"/>
      <c r="F995" s="88"/>
      <c r="G995" s="87"/>
    </row>
    <row r="996">
      <c r="A996" s="87"/>
      <c r="B996" s="88"/>
      <c r="C996" s="88"/>
      <c r="D996" s="88"/>
      <c r="E996" s="88"/>
      <c r="F996" s="88"/>
      <c r="G996" s="87"/>
    </row>
    <row r="997">
      <c r="A997" s="87"/>
      <c r="B997" s="88"/>
      <c r="C997" s="88"/>
      <c r="D997" s="88"/>
      <c r="E997" s="88"/>
      <c r="F997" s="88"/>
      <c r="G997" s="87"/>
    </row>
    <row r="998">
      <c r="A998" s="87"/>
      <c r="B998" s="88"/>
      <c r="C998" s="88"/>
      <c r="D998" s="88"/>
      <c r="E998" s="88"/>
      <c r="F998" s="88"/>
      <c r="G998" s="87"/>
    </row>
    <row r="999">
      <c r="A999" s="87"/>
      <c r="B999" s="88"/>
      <c r="C999" s="88"/>
      <c r="D999" s="88"/>
      <c r="E999" s="88"/>
      <c r="F999" s="88"/>
      <c r="G999" s="87"/>
    </row>
    <row r="1000">
      <c r="A1000" s="87"/>
      <c r="B1000" s="88"/>
      <c r="C1000" s="88"/>
      <c r="D1000" s="88"/>
      <c r="E1000" s="88"/>
      <c r="F1000" s="88"/>
      <c r="G1000" s="87"/>
    </row>
    <row r="1001">
      <c r="A1001" s="87"/>
      <c r="B1001" s="88"/>
      <c r="C1001" s="88"/>
      <c r="D1001" s="88"/>
      <c r="E1001" s="88"/>
      <c r="F1001" s="88"/>
      <c r="G1001" s="87"/>
    </row>
    <row r="1002">
      <c r="A1002" s="87"/>
      <c r="B1002" s="88"/>
      <c r="C1002" s="88"/>
      <c r="D1002" s="88"/>
      <c r="E1002" s="88"/>
      <c r="F1002" s="88"/>
      <c r="G1002" s="87"/>
    </row>
    <row r="1003">
      <c r="A1003" s="87"/>
      <c r="B1003" s="88"/>
      <c r="C1003" s="88"/>
      <c r="D1003" s="88"/>
      <c r="E1003" s="88"/>
      <c r="F1003" s="88"/>
      <c r="G1003" s="87"/>
    </row>
    <row r="1004">
      <c r="A1004" s="87"/>
      <c r="B1004" s="88"/>
      <c r="C1004" s="88"/>
      <c r="D1004" s="88"/>
      <c r="E1004" s="88"/>
      <c r="F1004" s="88"/>
      <c r="G1004" s="87"/>
    </row>
    <row r="1005">
      <c r="A1005" s="87"/>
      <c r="B1005" s="88"/>
      <c r="C1005" s="88"/>
      <c r="D1005" s="88"/>
      <c r="E1005" s="88"/>
      <c r="F1005" s="88"/>
      <c r="G1005" s="87"/>
    </row>
    <row r="1006">
      <c r="A1006" s="87"/>
      <c r="B1006" s="88"/>
      <c r="C1006" s="88"/>
      <c r="D1006" s="88"/>
      <c r="E1006" s="88"/>
      <c r="F1006" s="88"/>
      <c r="G1006" s="87"/>
    </row>
    <row r="1007">
      <c r="A1007" s="87"/>
      <c r="B1007" s="88"/>
      <c r="C1007" s="88"/>
      <c r="D1007" s="88"/>
      <c r="E1007" s="88"/>
      <c r="F1007" s="88"/>
      <c r="G1007" s="87"/>
    </row>
    <row r="1008">
      <c r="A1008" s="87"/>
      <c r="B1008" s="88"/>
      <c r="C1008" s="88"/>
      <c r="D1008" s="88"/>
      <c r="E1008" s="88"/>
      <c r="F1008" s="88"/>
      <c r="G1008" s="87"/>
    </row>
    <row r="1009">
      <c r="A1009" s="87"/>
      <c r="B1009" s="88"/>
      <c r="C1009" s="88"/>
      <c r="D1009" s="88"/>
      <c r="E1009" s="88"/>
      <c r="F1009" s="88"/>
      <c r="G1009" s="87"/>
    </row>
    <row r="1010">
      <c r="A1010" s="87"/>
      <c r="B1010" s="88"/>
      <c r="C1010" s="88"/>
      <c r="D1010" s="88"/>
      <c r="E1010" s="88"/>
      <c r="F1010" s="88"/>
      <c r="G1010" s="87"/>
    </row>
    <row r="1011">
      <c r="A1011" s="87"/>
      <c r="B1011" s="88"/>
      <c r="C1011" s="88"/>
      <c r="D1011" s="88"/>
      <c r="E1011" s="88"/>
      <c r="F1011" s="88"/>
      <c r="G1011" s="87"/>
    </row>
    <row r="1012">
      <c r="A1012" s="87"/>
      <c r="B1012" s="88"/>
      <c r="C1012" s="88"/>
      <c r="D1012" s="88"/>
      <c r="E1012" s="88"/>
      <c r="F1012" s="88"/>
      <c r="G1012" s="87"/>
    </row>
    <row r="1013">
      <c r="A1013" s="87"/>
      <c r="B1013" s="88"/>
      <c r="C1013" s="88"/>
      <c r="D1013" s="88"/>
      <c r="E1013" s="88"/>
      <c r="F1013" s="88"/>
      <c r="G1013" s="87"/>
    </row>
    <row r="1014">
      <c r="A1014" s="87"/>
      <c r="B1014" s="88"/>
      <c r="C1014" s="88"/>
      <c r="D1014" s="88"/>
      <c r="E1014" s="88"/>
      <c r="F1014" s="88"/>
      <c r="G1014" s="87"/>
    </row>
    <row r="1015">
      <c r="A1015" s="87"/>
      <c r="B1015" s="88"/>
      <c r="C1015" s="88"/>
      <c r="D1015" s="88"/>
      <c r="E1015" s="88"/>
      <c r="F1015" s="88"/>
      <c r="G1015" s="87"/>
    </row>
    <row r="1016">
      <c r="A1016" s="87"/>
      <c r="B1016" s="88"/>
      <c r="C1016" s="88"/>
      <c r="D1016" s="88"/>
      <c r="E1016" s="88"/>
      <c r="F1016" s="88"/>
      <c r="G1016" s="87"/>
    </row>
    <row r="1017">
      <c r="A1017" s="87"/>
      <c r="B1017" s="88"/>
      <c r="C1017" s="88"/>
      <c r="D1017" s="88"/>
      <c r="E1017" s="88"/>
      <c r="F1017" s="88"/>
      <c r="G1017" s="87"/>
    </row>
    <row r="1018">
      <c r="A1018" s="87"/>
      <c r="B1018" s="88"/>
      <c r="C1018" s="88"/>
      <c r="D1018" s="88"/>
      <c r="E1018" s="88"/>
      <c r="F1018" s="88"/>
      <c r="G1018" s="87"/>
    </row>
    <row r="1019">
      <c r="A1019" s="87"/>
      <c r="B1019" s="88"/>
      <c r="C1019" s="88"/>
      <c r="D1019" s="88"/>
      <c r="E1019" s="88"/>
      <c r="F1019" s="88"/>
      <c r="G1019" s="87"/>
    </row>
    <row r="1020">
      <c r="A1020" s="87"/>
      <c r="B1020" s="88"/>
      <c r="C1020" s="88"/>
      <c r="D1020" s="88"/>
      <c r="E1020" s="88"/>
      <c r="F1020" s="88"/>
      <c r="G1020" s="87"/>
    </row>
    <row r="1021">
      <c r="A1021" s="87"/>
      <c r="B1021" s="88"/>
      <c r="C1021" s="88"/>
      <c r="D1021" s="88"/>
      <c r="E1021" s="88"/>
      <c r="F1021" s="88"/>
      <c r="G1021" s="87"/>
    </row>
    <row r="1022">
      <c r="A1022" s="87"/>
      <c r="B1022" s="88"/>
      <c r="C1022" s="88"/>
      <c r="D1022" s="88"/>
      <c r="E1022" s="88"/>
      <c r="F1022" s="88"/>
      <c r="G1022" s="87"/>
    </row>
    <row r="1023">
      <c r="A1023" s="87"/>
      <c r="B1023" s="88"/>
      <c r="C1023" s="88"/>
      <c r="D1023" s="88"/>
      <c r="E1023" s="88"/>
      <c r="F1023" s="88"/>
      <c r="G1023" s="87"/>
    </row>
    <row r="1024">
      <c r="A1024" s="87"/>
      <c r="B1024" s="88"/>
      <c r="C1024" s="88"/>
      <c r="D1024" s="88"/>
      <c r="E1024" s="88"/>
      <c r="F1024" s="88"/>
      <c r="G1024" s="87"/>
    </row>
    <row r="1025">
      <c r="A1025" s="87"/>
      <c r="B1025" s="88"/>
      <c r="C1025" s="88"/>
      <c r="D1025" s="88"/>
      <c r="E1025" s="88"/>
      <c r="F1025" s="88"/>
      <c r="G1025" s="87"/>
    </row>
    <row r="1026">
      <c r="A1026" s="87"/>
      <c r="B1026" s="88"/>
      <c r="C1026" s="88"/>
      <c r="D1026" s="88"/>
      <c r="E1026" s="88"/>
      <c r="F1026" s="88"/>
      <c r="G1026" s="87"/>
    </row>
    <row r="1027">
      <c r="A1027" s="87"/>
      <c r="B1027" s="88"/>
      <c r="C1027" s="88"/>
      <c r="D1027" s="88"/>
      <c r="E1027" s="88"/>
      <c r="F1027" s="88"/>
      <c r="G1027" s="87"/>
    </row>
    <row r="1028">
      <c r="A1028" s="87"/>
      <c r="B1028" s="88"/>
      <c r="C1028" s="88"/>
      <c r="D1028" s="88"/>
      <c r="E1028" s="88"/>
      <c r="F1028" s="88"/>
      <c r="G1028" s="87"/>
    </row>
    <row r="1029">
      <c r="A1029" s="87"/>
      <c r="B1029" s="88"/>
      <c r="C1029" s="88"/>
      <c r="D1029" s="88"/>
      <c r="E1029" s="88"/>
      <c r="F1029" s="88"/>
      <c r="G1029" s="87"/>
    </row>
    <row r="1030">
      <c r="A1030" s="87"/>
      <c r="B1030" s="88"/>
      <c r="C1030" s="88"/>
      <c r="D1030" s="88"/>
      <c r="E1030" s="88"/>
      <c r="F1030" s="88"/>
      <c r="G1030" s="87"/>
    </row>
    <row r="1031">
      <c r="A1031" s="87"/>
      <c r="B1031" s="88"/>
      <c r="C1031" s="88"/>
      <c r="D1031" s="88"/>
      <c r="E1031" s="88"/>
      <c r="F1031" s="88"/>
      <c r="G1031" s="87"/>
    </row>
    <row r="1032">
      <c r="A1032" s="87"/>
      <c r="B1032" s="88"/>
      <c r="C1032" s="88"/>
      <c r="D1032" s="88"/>
      <c r="E1032" s="88"/>
      <c r="F1032" s="88"/>
      <c r="G1032" s="87"/>
    </row>
    <row r="1033">
      <c r="A1033" s="87"/>
      <c r="B1033" s="88"/>
      <c r="C1033" s="88"/>
      <c r="D1033" s="88"/>
      <c r="E1033" s="88"/>
      <c r="F1033" s="88"/>
      <c r="G1033" s="87"/>
    </row>
    <row r="1034">
      <c r="A1034" s="87"/>
      <c r="B1034" s="88"/>
      <c r="C1034" s="88"/>
      <c r="D1034" s="88"/>
      <c r="E1034" s="88"/>
      <c r="F1034" s="88"/>
      <c r="G1034" s="87"/>
    </row>
    <row r="1035">
      <c r="A1035" s="87"/>
      <c r="B1035" s="88"/>
      <c r="C1035" s="88"/>
      <c r="D1035" s="88"/>
      <c r="E1035" s="88"/>
      <c r="F1035" s="88"/>
      <c r="G1035" s="87"/>
    </row>
    <row r="1036">
      <c r="A1036" s="87"/>
      <c r="B1036" s="88"/>
      <c r="C1036" s="88"/>
      <c r="D1036" s="88"/>
      <c r="E1036" s="88"/>
      <c r="F1036" s="88"/>
      <c r="G1036" s="87"/>
    </row>
    <row r="1037">
      <c r="A1037" s="87"/>
      <c r="B1037" s="88"/>
      <c r="C1037" s="88"/>
      <c r="D1037" s="88"/>
      <c r="E1037" s="88"/>
      <c r="F1037" s="88"/>
      <c r="G1037" s="87"/>
    </row>
    <row r="1038">
      <c r="A1038" s="87"/>
      <c r="B1038" s="88"/>
      <c r="C1038" s="88"/>
      <c r="D1038" s="88"/>
      <c r="E1038" s="88"/>
      <c r="F1038" s="88"/>
      <c r="G1038" s="87"/>
    </row>
    <row r="1039">
      <c r="A1039" s="87"/>
      <c r="B1039" s="88"/>
      <c r="C1039" s="88"/>
      <c r="D1039" s="88"/>
      <c r="E1039" s="88"/>
      <c r="F1039" s="88"/>
      <c r="G1039" s="87"/>
    </row>
    <row r="1040">
      <c r="A1040" s="87"/>
      <c r="B1040" s="88"/>
      <c r="C1040" s="88"/>
      <c r="D1040" s="88"/>
      <c r="E1040" s="88"/>
      <c r="F1040" s="88"/>
      <c r="G1040" s="87"/>
    </row>
    <row r="1041">
      <c r="A1041" s="87"/>
      <c r="B1041" s="88"/>
      <c r="C1041" s="88"/>
      <c r="D1041" s="88"/>
      <c r="E1041" s="88"/>
      <c r="F1041" s="88"/>
      <c r="G1041" s="87"/>
    </row>
    <row r="1042">
      <c r="A1042" s="87"/>
      <c r="B1042" s="88"/>
      <c r="C1042" s="88"/>
      <c r="D1042" s="88"/>
      <c r="E1042" s="88"/>
      <c r="F1042" s="88"/>
      <c r="G1042" s="87"/>
    </row>
    <row r="1043">
      <c r="A1043" s="87"/>
      <c r="B1043" s="88"/>
      <c r="C1043" s="88"/>
      <c r="D1043" s="88"/>
      <c r="E1043" s="88"/>
      <c r="F1043" s="88"/>
      <c r="G1043" s="87"/>
    </row>
    <row r="1044">
      <c r="A1044" s="87"/>
      <c r="B1044" s="88"/>
      <c r="C1044" s="88"/>
      <c r="D1044" s="88"/>
      <c r="E1044" s="88"/>
      <c r="F1044" s="88"/>
      <c r="G1044" s="87"/>
    </row>
    <row r="1045">
      <c r="A1045" s="87"/>
      <c r="B1045" s="88"/>
      <c r="C1045" s="88"/>
      <c r="D1045" s="88"/>
      <c r="E1045" s="88"/>
      <c r="F1045" s="88"/>
      <c r="G1045" s="87"/>
    </row>
    <row r="1046">
      <c r="A1046" s="87"/>
      <c r="B1046" s="88"/>
      <c r="C1046" s="88"/>
      <c r="D1046" s="88"/>
      <c r="E1046" s="88"/>
      <c r="F1046" s="88"/>
      <c r="G1046" s="87"/>
    </row>
    <row r="1047">
      <c r="A1047" s="87"/>
      <c r="B1047" s="88"/>
      <c r="C1047" s="88"/>
      <c r="D1047" s="88"/>
      <c r="E1047" s="88"/>
      <c r="F1047" s="88"/>
      <c r="G1047" s="87"/>
    </row>
    <row r="1048">
      <c r="A1048" s="87"/>
      <c r="B1048" s="88"/>
      <c r="C1048" s="88"/>
      <c r="D1048" s="88"/>
      <c r="E1048" s="88"/>
      <c r="F1048" s="88"/>
      <c r="G1048" s="87"/>
    </row>
    <row r="1049">
      <c r="A1049" s="87"/>
      <c r="B1049" s="88"/>
      <c r="C1049" s="88"/>
      <c r="D1049" s="88"/>
      <c r="E1049" s="88"/>
      <c r="F1049" s="88"/>
      <c r="G1049" s="87"/>
    </row>
    <row r="1050">
      <c r="A1050" s="87"/>
      <c r="B1050" s="88"/>
      <c r="C1050" s="88"/>
      <c r="D1050" s="88"/>
      <c r="E1050" s="88"/>
      <c r="F1050" s="88"/>
      <c r="G1050" s="87"/>
    </row>
    <row r="1051">
      <c r="A1051" s="87"/>
      <c r="B1051" s="88"/>
      <c r="C1051" s="88"/>
      <c r="D1051" s="88"/>
      <c r="E1051" s="88"/>
      <c r="F1051" s="88"/>
      <c r="G1051" s="87"/>
    </row>
    <row r="1052">
      <c r="A1052" s="87"/>
      <c r="B1052" s="88"/>
      <c r="C1052" s="88"/>
      <c r="D1052" s="88"/>
      <c r="E1052" s="88"/>
      <c r="F1052" s="88"/>
      <c r="G1052" s="87"/>
    </row>
    <row r="1053">
      <c r="A1053" s="87"/>
      <c r="B1053" s="88"/>
      <c r="C1053" s="88"/>
      <c r="D1053" s="88"/>
      <c r="E1053" s="88"/>
      <c r="F1053" s="88"/>
      <c r="G1053" s="87"/>
    </row>
    <row r="1054">
      <c r="A1054" s="87"/>
      <c r="B1054" s="88"/>
      <c r="C1054" s="88"/>
      <c r="D1054" s="88"/>
      <c r="E1054" s="88"/>
      <c r="F1054" s="88"/>
      <c r="G1054" s="87"/>
    </row>
    <row r="1055">
      <c r="A1055" s="87"/>
      <c r="B1055" s="88"/>
      <c r="C1055" s="88"/>
      <c r="D1055" s="88"/>
      <c r="E1055" s="88"/>
      <c r="F1055" s="88"/>
      <c r="G1055" s="87"/>
    </row>
    <row r="1056">
      <c r="A1056" s="87"/>
      <c r="B1056" s="88"/>
      <c r="C1056" s="88"/>
      <c r="D1056" s="88"/>
      <c r="E1056" s="88"/>
      <c r="F1056" s="88"/>
      <c r="G1056" s="87"/>
    </row>
    <row r="1057">
      <c r="A1057" s="87"/>
      <c r="B1057" s="88"/>
      <c r="C1057" s="88"/>
      <c r="D1057" s="88"/>
      <c r="E1057" s="88"/>
      <c r="F1057" s="88"/>
      <c r="G1057" s="87"/>
    </row>
    <row r="1058">
      <c r="A1058" s="87"/>
      <c r="B1058" s="88"/>
      <c r="C1058" s="88"/>
      <c r="D1058" s="88"/>
      <c r="E1058" s="88"/>
      <c r="F1058" s="88"/>
      <c r="G1058" s="87"/>
    </row>
    <row r="1059">
      <c r="A1059" s="87"/>
      <c r="B1059" s="88"/>
      <c r="C1059" s="88"/>
      <c r="D1059" s="88"/>
      <c r="E1059" s="88"/>
      <c r="F1059" s="88"/>
      <c r="G1059" s="87"/>
    </row>
    <row r="1060">
      <c r="A1060" s="87"/>
      <c r="B1060" s="88"/>
      <c r="C1060" s="88"/>
      <c r="D1060" s="88"/>
      <c r="E1060" s="88"/>
      <c r="F1060" s="88"/>
      <c r="G1060" s="87"/>
    </row>
    <row r="1061">
      <c r="A1061" s="87"/>
      <c r="B1061" s="88"/>
      <c r="C1061" s="88"/>
      <c r="D1061" s="88"/>
      <c r="E1061" s="88"/>
      <c r="F1061" s="88"/>
      <c r="G1061" s="87"/>
    </row>
    <row r="1062">
      <c r="A1062" s="87"/>
      <c r="B1062" s="88"/>
      <c r="C1062" s="88"/>
      <c r="D1062" s="88"/>
      <c r="E1062" s="88"/>
      <c r="F1062" s="88"/>
      <c r="G1062" s="87"/>
    </row>
    <row r="1063">
      <c r="A1063" s="87"/>
      <c r="B1063" s="88"/>
      <c r="C1063" s="88"/>
      <c r="D1063" s="88"/>
      <c r="E1063" s="88"/>
      <c r="F1063" s="88"/>
      <c r="G1063" s="87"/>
    </row>
    <row r="1064">
      <c r="A1064" s="87"/>
      <c r="B1064" s="88"/>
      <c r="C1064" s="88"/>
      <c r="D1064" s="88"/>
      <c r="E1064" s="88"/>
      <c r="F1064" s="88"/>
      <c r="G1064" s="87"/>
    </row>
    <row r="1065">
      <c r="A1065" s="87"/>
      <c r="B1065" s="88"/>
      <c r="C1065" s="88"/>
      <c r="D1065" s="88"/>
      <c r="E1065" s="88"/>
      <c r="F1065" s="88"/>
      <c r="G1065" s="87"/>
    </row>
    <row r="1066">
      <c r="A1066" s="87"/>
      <c r="B1066" s="88"/>
      <c r="C1066" s="88"/>
      <c r="D1066" s="88"/>
      <c r="E1066" s="88"/>
      <c r="F1066" s="88"/>
      <c r="G1066" s="87"/>
    </row>
    <row r="1067">
      <c r="A1067" s="87"/>
      <c r="B1067" s="88"/>
      <c r="C1067" s="88"/>
      <c r="D1067" s="88"/>
      <c r="E1067" s="88"/>
      <c r="F1067" s="88"/>
      <c r="G1067" s="87"/>
    </row>
    <row r="1068">
      <c r="A1068" s="87"/>
      <c r="B1068" s="88"/>
      <c r="C1068" s="88"/>
      <c r="D1068" s="88"/>
      <c r="E1068" s="88"/>
      <c r="F1068" s="88"/>
      <c r="G1068" s="87"/>
    </row>
    <row r="1069">
      <c r="A1069" s="87"/>
      <c r="B1069" s="88"/>
      <c r="C1069" s="88"/>
      <c r="D1069" s="88"/>
      <c r="E1069" s="88"/>
      <c r="F1069" s="88"/>
      <c r="G1069" s="87"/>
    </row>
    <row r="1070">
      <c r="A1070" s="87"/>
      <c r="B1070" s="88"/>
      <c r="C1070" s="88"/>
      <c r="D1070" s="88"/>
      <c r="E1070" s="88"/>
      <c r="F1070" s="88"/>
      <c r="G1070" s="87"/>
    </row>
    <row r="1071">
      <c r="A1071" s="87"/>
      <c r="B1071" s="88"/>
      <c r="C1071" s="88"/>
      <c r="D1071" s="88"/>
      <c r="E1071" s="88"/>
      <c r="F1071" s="88"/>
      <c r="G1071" s="87"/>
    </row>
    <row r="1072">
      <c r="A1072" s="87"/>
      <c r="B1072" s="88"/>
      <c r="C1072" s="88"/>
      <c r="D1072" s="88"/>
      <c r="E1072" s="88"/>
      <c r="F1072" s="88"/>
      <c r="G1072" s="87"/>
    </row>
    <row r="1073">
      <c r="A1073" s="87"/>
      <c r="B1073" s="88"/>
      <c r="C1073" s="88"/>
      <c r="D1073" s="88"/>
      <c r="E1073" s="88"/>
      <c r="F1073" s="88"/>
      <c r="G1073" s="87"/>
    </row>
    <row r="1074">
      <c r="A1074" s="87"/>
      <c r="B1074" s="88"/>
      <c r="C1074" s="88"/>
      <c r="D1074" s="88"/>
      <c r="E1074" s="88"/>
      <c r="F1074" s="88"/>
      <c r="G1074" s="87"/>
    </row>
    <row r="1075">
      <c r="A1075" s="87"/>
      <c r="B1075" s="88"/>
      <c r="C1075" s="88"/>
      <c r="D1075" s="88"/>
      <c r="E1075" s="88"/>
      <c r="F1075" s="88"/>
      <c r="G1075" s="87"/>
    </row>
    <row r="1076">
      <c r="A1076" s="87"/>
      <c r="B1076" s="88"/>
      <c r="C1076" s="88"/>
      <c r="D1076" s="88"/>
      <c r="E1076" s="88"/>
      <c r="F1076" s="88"/>
      <c r="G1076" s="87"/>
    </row>
    <row r="1077">
      <c r="A1077" s="87"/>
      <c r="B1077" s="88"/>
      <c r="C1077" s="88"/>
      <c r="D1077" s="88"/>
      <c r="E1077" s="88"/>
      <c r="F1077" s="88"/>
      <c r="G1077" s="87"/>
    </row>
    <row r="1078">
      <c r="A1078" s="87"/>
      <c r="B1078" s="88"/>
      <c r="C1078" s="88"/>
      <c r="D1078" s="88"/>
      <c r="E1078" s="88"/>
      <c r="F1078" s="88"/>
      <c r="G1078" s="87"/>
    </row>
    <row r="1079">
      <c r="A1079" s="87"/>
      <c r="B1079" s="88"/>
      <c r="C1079" s="88"/>
      <c r="D1079" s="88"/>
      <c r="E1079" s="88"/>
      <c r="F1079" s="88"/>
      <c r="G1079" s="87"/>
    </row>
    <row r="1080">
      <c r="A1080" s="87"/>
      <c r="B1080" s="88"/>
      <c r="C1080" s="88"/>
      <c r="D1080" s="88"/>
      <c r="E1080" s="88"/>
      <c r="F1080" s="88"/>
      <c r="G1080" s="87"/>
    </row>
    <row r="1081">
      <c r="A1081" s="87"/>
      <c r="B1081" s="88"/>
      <c r="C1081" s="88"/>
      <c r="D1081" s="88"/>
      <c r="E1081" s="88"/>
      <c r="F1081" s="88"/>
      <c r="G1081" s="87"/>
    </row>
    <row r="1082">
      <c r="A1082" s="87"/>
      <c r="B1082" s="88"/>
      <c r="C1082" s="88"/>
      <c r="D1082" s="88"/>
      <c r="E1082" s="88"/>
      <c r="F1082" s="88"/>
      <c r="G1082" s="87"/>
    </row>
    <row r="1083">
      <c r="A1083" s="87"/>
      <c r="B1083" s="88"/>
      <c r="C1083" s="88"/>
      <c r="D1083" s="88"/>
      <c r="E1083" s="88"/>
      <c r="F1083" s="88"/>
      <c r="G1083" s="87"/>
    </row>
    <row r="1084">
      <c r="A1084" s="87"/>
      <c r="B1084" s="88"/>
      <c r="C1084" s="88"/>
      <c r="D1084" s="88"/>
      <c r="E1084" s="88"/>
      <c r="F1084" s="88"/>
      <c r="G1084" s="87"/>
    </row>
    <row r="1085">
      <c r="A1085" s="87"/>
      <c r="B1085" s="88"/>
      <c r="C1085" s="88"/>
      <c r="D1085" s="88"/>
      <c r="E1085" s="88"/>
      <c r="F1085" s="88"/>
      <c r="G1085" s="87"/>
    </row>
    <row r="1086">
      <c r="A1086" s="87"/>
      <c r="B1086" s="88"/>
      <c r="C1086" s="88"/>
      <c r="D1086" s="88"/>
      <c r="E1086" s="88"/>
      <c r="F1086" s="88"/>
      <c r="G1086" s="87"/>
    </row>
    <row r="1087">
      <c r="A1087" s="87"/>
      <c r="B1087" s="88"/>
      <c r="C1087" s="88"/>
      <c r="D1087" s="88"/>
      <c r="E1087" s="88"/>
      <c r="F1087" s="88"/>
      <c r="G1087" s="87"/>
    </row>
    <row r="1088">
      <c r="A1088" s="87"/>
      <c r="B1088" s="88"/>
      <c r="C1088" s="88"/>
      <c r="D1088" s="88"/>
      <c r="E1088" s="88"/>
      <c r="F1088" s="88"/>
      <c r="G1088" s="87"/>
    </row>
    <row r="1089">
      <c r="A1089" s="87"/>
      <c r="B1089" s="88"/>
      <c r="C1089" s="88"/>
      <c r="D1089" s="88"/>
      <c r="E1089" s="88"/>
      <c r="F1089" s="88"/>
      <c r="G1089" s="87"/>
    </row>
    <row r="1090">
      <c r="A1090" s="87"/>
      <c r="B1090" s="88"/>
      <c r="C1090" s="88"/>
      <c r="D1090" s="88"/>
      <c r="E1090" s="88"/>
      <c r="F1090" s="88"/>
      <c r="G1090" s="87"/>
    </row>
    <row r="1091">
      <c r="A1091" s="87"/>
      <c r="B1091" s="88"/>
      <c r="C1091" s="88"/>
      <c r="D1091" s="88"/>
      <c r="E1091" s="88"/>
      <c r="F1091" s="88"/>
      <c r="G1091" s="87"/>
    </row>
    <row r="1092">
      <c r="A1092" s="87"/>
      <c r="B1092" s="88"/>
      <c r="C1092" s="88"/>
      <c r="D1092" s="88"/>
      <c r="E1092" s="88"/>
      <c r="F1092" s="88"/>
      <c r="G1092" s="87"/>
    </row>
    <row r="1093">
      <c r="A1093" s="87"/>
      <c r="B1093" s="88"/>
      <c r="C1093" s="88"/>
      <c r="D1093" s="88"/>
      <c r="E1093" s="88"/>
      <c r="F1093" s="88"/>
      <c r="G1093" s="87"/>
    </row>
    <row r="1094">
      <c r="A1094" s="87"/>
      <c r="B1094" s="88"/>
      <c r="C1094" s="88"/>
      <c r="D1094" s="88"/>
      <c r="E1094" s="88"/>
      <c r="F1094" s="88"/>
      <c r="G1094" s="87"/>
    </row>
    <row r="1095">
      <c r="A1095" s="87"/>
      <c r="B1095" s="88"/>
      <c r="C1095" s="88"/>
      <c r="D1095" s="88"/>
      <c r="E1095" s="88"/>
      <c r="F1095" s="88"/>
      <c r="G1095" s="87"/>
    </row>
    <row r="1096">
      <c r="A1096" s="87"/>
      <c r="B1096" s="88"/>
      <c r="C1096" s="88"/>
      <c r="D1096" s="88"/>
      <c r="E1096" s="88"/>
      <c r="F1096" s="88"/>
      <c r="G1096" s="87"/>
    </row>
    <row r="1097">
      <c r="A1097" s="87"/>
      <c r="B1097" s="88"/>
      <c r="C1097" s="88"/>
      <c r="D1097" s="88"/>
      <c r="E1097" s="88"/>
      <c r="F1097" s="88"/>
      <c r="G1097" s="87"/>
    </row>
    <row r="1098">
      <c r="A1098" s="87"/>
      <c r="B1098" s="88"/>
      <c r="C1098" s="88"/>
      <c r="D1098" s="88"/>
      <c r="E1098" s="88"/>
      <c r="F1098" s="88"/>
      <c r="G1098" s="87"/>
    </row>
    <row r="1099">
      <c r="A1099" s="87"/>
      <c r="B1099" s="88"/>
      <c r="C1099" s="88"/>
      <c r="D1099" s="88"/>
      <c r="E1099" s="88"/>
      <c r="F1099" s="88"/>
      <c r="G1099" s="87"/>
    </row>
    <row r="1100">
      <c r="A1100" s="87"/>
      <c r="B1100" s="88"/>
      <c r="C1100" s="88"/>
      <c r="D1100" s="88"/>
      <c r="E1100" s="88"/>
      <c r="F1100" s="88"/>
      <c r="G1100" s="87"/>
    </row>
    <row r="1101">
      <c r="A1101" s="87"/>
      <c r="B1101" s="88"/>
      <c r="C1101" s="88"/>
      <c r="D1101" s="88"/>
      <c r="E1101" s="88"/>
      <c r="F1101" s="88"/>
      <c r="G1101" s="87"/>
    </row>
    <row r="1102">
      <c r="A1102" s="87"/>
      <c r="B1102" s="88"/>
      <c r="C1102" s="88"/>
      <c r="D1102" s="88"/>
      <c r="E1102" s="88"/>
      <c r="F1102" s="88"/>
      <c r="G1102" s="87"/>
    </row>
    <row r="1103">
      <c r="A1103" s="87"/>
      <c r="B1103" s="88"/>
      <c r="C1103" s="88"/>
      <c r="D1103" s="88"/>
      <c r="E1103" s="88"/>
      <c r="F1103" s="88"/>
      <c r="G1103" s="87"/>
    </row>
    <row r="1104">
      <c r="A1104" s="87"/>
      <c r="B1104" s="88"/>
      <c r="C1104" s="88"/>
      <c r="D1104" s="88"/>
      <c r="E1104" s="88"/>
      <c r="F1104" s="88"/>
      <c r="G1104" s="87"/>
    </row>
    <row r="1105">
      <c r="A1105" s="87"/>
      <c r="B1105" s="88"/>
      <c r="C1105" s="88"/>
      <c r="D1105" s="88"/>
      <c r="E1105" s="88"/>
      <c r="F1105" s="88"/>
      <c r="G1105" s="87"/>
    </row>
    <row r="1106">
      <c r="A1106" s="87"/>
      <c r="B1106" s="88"/>
      <c r="C1106" s="88"/>
      <c r="D1106" s="88"/>
      <c r="E1106" s="88"/>
      <c r="F1106" s="88"/>
      <c r="G1106" s="87"/>
    </row>
    <row r="1107">
      <c r="A1107" s="87"/>
      <c r="B1107" s="88"/>
      <c r="C1107" s="88"/>
      <c r="D1107" s="88"/>
      <c r="E1107" s="88"/>
      <c r="F1107" s="88"/>
      <c r="G1107" s="87"/>
    </row>
    <row r="1108">
      <c r="A1108" s="87"/>
      <c r="B1108" s="88"/>
      <c r="C1108" s="88"/>
      <c r="D1108" s="88"/>
      <c r="E1108" s="88"/>
      <c r="F1108" s="88"/>
      <c r="G1108" s="87"/>
    </row>
    <row r="1109">
      <c r="A1109" s="87"/>
      <c r="B1109" s="88"/>
      <c r="C1109" s="88"/>
      <c r="D1109" s="88"/>
      <c r="E1109" s="88"/>
      <c r="F1109" s="88"/>
      <c r="G1109" s="87"/>
    </row>
    <row r="1110">
      <c r="A1110" s="87"/>
      <c r="B1110" s="88"/>
      <c r="C1110" s="88"/>
      <c r="D1110" s="88"/>
      <c r="E1110" s="88"/>
      <c r="F1110" s="88"/>
      <c r="G1110" s="87"/>
    </row>
    <row r="1111">
      <c r="A1111" s="87"/>
      <c r="B1111" s="88"/>
      <c r="C1111" s="88"/>
      <c r="D1111" s="88"/>
      <c r="E1111" s="88"/>
      <c r="F1111" s="88"/>
      <c r="G1111" s="87"/>
    </row>
    <row r="1112">
      <c r="A1112" s="87"/>
      <c r="B1112" s="88"/>
      <c r="C1112" s="88"/>
      <c r="D1112" s="88"/>
      <c r="E1112" s="88"/>
      <c r="F1112" s="88"/>
      <c r="G1112" s="87"/>
    </row>
    <row r="1113">
      <c r="A1113" s="87"/>
      <c r="B1113" s="88"/>
      <c r="C1113" s="88"/>
      <c r="D1113" s="88"/>
      <c r="E1113" s="88"/>
      <c r="F1113" s="88"/>
      <c r="G1113" s="87"/>
    </row>
    <row r="1114">
      <c r="A1114" s="87"/>
      <c r="B1114" s="88"/>
      <c r="C1114" s="88"/>
      <c r="D1114" s="88"/>
      <c r="E1114" s="88"/>
      <c r="F1114" s="88"/>
      <c r="G1114" s="87"/>
    </row>
    <row r="1115">
      <c r="A1115" s="87"/>
      <c r="B1115" s="88"/>
      <c r="C1115" s="88"/>
      <c r="D1115" s="88"/>
      <c r="E1115" s="88"/>
      <c r="F1115" s="88"/>
      <c r="G1115" s="87"/>
    </row>
    <row r="1116">
      <c r="A1116" s="87"/>
      <c r="B1116" s="88"/>
      <c r="C1116" s="88"/>
      <c r="D1116" s="88"/>
      <c r="E1116" s="88"/>
      <c r="F1116" s="88"/>
      <c r="G1116" s="87"/>
    </row>
    <row r="1117">
      <c r="A1117" s="87"/>
      <c r="B1117" s="88"/>
      <c r="C1117" s="88"/>
      <c r="D1117" s="88"/>
      <c r="E1117" s="88"/>
      <c r="F1117" s="88"/>
      <c r="G1117" s="87"/>
    </row>
    <row r="1118">
      <c r="A1118" s="87"/>
      <c r="B1118" s="88"/>
      <c r="C1118" s="88"/>
      <c r="D1118" s="88"/>
      <c r="E1118" s="88"/>
      <c r="F1118" s="88"/>
      <c r="G1118" s="87"/>
    </row>
    <row r="1119">
      <c r="A1119" s="87"/>
      <c r="B1119" s="88"/>
      <c r="C1119" s="88"/>
      <c r="D1119" s="88"/>
      <c r="E1119" s="88"/>
      <c r="F1119" s="88"/>
      <c r="G1119" s="87"/>
    </row>
    <row r="1120">
      <c r="A1120" s="87"/>
      <c r="B1120" s="88"/>
      <c r="C1120" s="88"/>
      <c r="D1120" s="88"/>
      <c r="E1120" s="88"/>
      <c r="F1120" s="88"/>
      <c r="G1120" s="87"/>
    </row>
    <row r="1121">
      <c r="A1121" s="87"/>
      <c r="B1121" s="88"/>
      <c r="C1121" s="88"/>
      <c r="D1121" s="88"/>
      <c r="E1121" s="88"/>
      <c r="F1121" s="88"/>
      <c r="G1121" s="87"/>
    </row>
    <row r="1122">
      <c r="A1122" s="87"/>
      <c r="B1122" s="88"/>
      <c r="C1122" s="88"/>
      <c r="D1122" s="88"/>
      <c r="E1122" s="88"/>
      <c r="F1122" s="88"/>
      <c r="G1122" s="87"/>
    </row>
    <row r="1123">
      <c r="A1123" s="87"/>
      <c r="B1123" s="88"/>
      <c r="C1123" s="88"/>
      <c r="D1123" s="88"/>
      <c r="E1123" s="88"/>
      <c r="F1123" s="88"/>
      <c r="G1123" s="87"/>
    </row>
    <row r="1124">
      <c r="A1124" s="87"/>
      <c r="B1124" s="88"/>
      <c r="C1124" s="88"/>
      <c r="D1124" s="88"/>
      <c r="E1124" s="88"/>
      <c r="F1124" s="88"/>
      <c r="G1124" s="87"/>
    </row>
    <row r="1125">
      <c r="A1125" s="87"/>
      <c r="B1125" s="88"/>
      <c r="C1125" s="88"/>
      <c r="D1125" s="88"/>
      <c r="E1125" s="88"/>
      <c r="F1125" s="88"/>
      <c r="G1125" s="87"/>
    </row>
    <row r="1126">
      <c r="A1126" s="87"/>
      <c r="B1126" s="88"/>
      <c r="C1126" s="88"/>
      <c r="D1126" s="88"/>
      <c r="E1126" s="88"/>
      <c r="F1126" s="88"/>
      <c r="G1126" s="87"/>
    </row>
    <row r="1127">
      <c r="A1127" s="87"/>
      <c r="B1127" s="88"/>
      <c r="C1127" s="88"/>
      <c r="D1127" s="88"/>
      <c r="E1127" s="88"/>
      <c r="F1127" s="88"/>
      <c r="G1127" s="87"/>
    </row>
    <row r="1128">
      <c r="A1128" s="87"/>
      <c r="B1128" s="88"/>
      <c r="C1128" s="88"/>
      <c r="D1128" s="88"/>
      <c r="E1128" s="88"/>
      <c r="F1128" s="88"/>
      <c r="G1128" s="87"/>
    </row>
    <row r="1129">
      <c r="A1129" s="87"/>
      <c r="B1129" s="88"/>
      <c r="C1129" s="88"/>
      <c r="D1129" s="88"/>
      <c r="E1129" s="88"/>
      <c r="F1129" s="88"/>
      <c r="G1129" s="87"/>
    </row>
    <row r="1130">
      <c r="A1130" s="87"/>
      <c r="B1130" s="88"/>
      <c r="C1130" s="88"/>
      <c r="D1130" s="88"/>
      <c r="E1130" s="88"/>
      <c r="F1130" s="88"/>
      <c r="G1130" s="87"/>
    </row>
    <row r="1131">
      <c r="A1131" s="87"/>
      <c r="B1131" s="88"/>
      <c r="C1131" s="88"/>
      <c r="D1131" s="88"/>
      <c r="E1131" s="88"/>
      <c r="F1131" s="88"/>
      <c r="G1131" s="87"/>
    </row>
    <row r="1132">
      <c r="A1132" s="87"/>
      <c r="B1132" s="88"/>
      <c r="C1132" s="88"/>
      <c r="D1132" s="88"/>
      <c r="E1132" s="88"/>
      <c r="F1132" s="88"/>
      <c r="G1132" s="87"/>
    </row>
    <row r="1133">
      <c r="A1133" s="87"/>
      <c r="B1133" s="88"/>
      <c r="C1133" s="88"/>
      <c r="D1133" s="88"/>
      <c r="E1133" s="88"/>
      <c r="F1133" s="88"/>
      <c r="G1133" s="87"/>
    </row>
    <row r="1134">
      <c r="A1134" s="87"/>
      <c r="B1134" s="88"/>
      <c r="C1134" s="88"/>
      <c r="D1134" s="88"/>
      <c r="E1134" s="88"/>
      <c r="F1134" s="88"/>
      <c r="G1134" s="87"/>
    </row>
    <row r="1135">
      <c r="A1135" s="87"/>
      <c r="B1135" s="88"/>
      <c r="C1135" s="88"/>
      <c r="D1135" s="88"/>
      <c r="E1135" s="88"/>
      <c r="F1135" s="88"/>
      <c r="G1135" s="87"/>
    </row>
    <row r="1136">
      <c r="A1136" s="87"/>
      <c r="B1136" s="88"/>
      <c r="C1136" s="88"/>
      <c r="D1136" s="88"/>
      <c r="E1136" s="88"/>
      <c r="F1136" s="88"/>
      <c r="G1136" s="87"/>
    </row>
    <row r="1137">
      <c r="A1137" s="87"/>
      <c r="B1137" s="88"/>
      <c r="C1137" s="88"/>
      <c r="D1137" s="88"/>
      <c r="E1137" s="88"/>
      <c r="F1137" s="88"/>
      <c r="G1137" s="87"/>
    </row>
    <row r="1138">
      <c r="A1138" s="87"/>
      <c r="B1138" s="88"/>
      <c r="C1138" s="88"/>
      <c r="D1138" s="88"/>
      <c r="E1138" s="88"/>
      <c r="F1138" s="88"/>
      <c r="G1138" s="87"/>
    </row>
    <row r="1139">
      <c r="A1139" s="87"/>
      <c r="B1139" s="88"/>
      <c r="C1139" s="88"/>
      <c r="D1139" s="88"/>
      <c r="E1139" s="88"/>
      <c r="F1139" s="88"/>
      <c r="G1139" s="87"/>
    </row>
    <row r="1140">
      <c r="A1140" s="87"/>
      <c r="B1140" s="88"/>
      <c r="C1140" s="88"/>
      <c r="D1140" s="88"/>
      <c r="E1140" s="88"/>
      <c r="F1140" s="88"/>
      <c r="G1140" s="87"/>
    </row>
    <row r="1141">
      <c r="A1141" s="87"/>
      <c r="B1141" s="88"/>
      <c r="C1141" s="88"/>
      <c r="D1141" s="88"/>
      <c r="E1141" s="88"/>
      <c r="F1141" s="88"/>
      <c r="G1141" s="87"/>
    </row>
    <row r="1142">
      <c r="A1142" s="87"/>
      <c r="B1142" s="88"/>
      <c r="C1142" s="88"/>
      <c r="D1142" s="88"/>
      <c r="E1142" s="88"/>
      <c r="F1142" s="88"/>
      <c r="G1142" s="87"/>
    </row>
    <row r="1143">
      <c r="A1143" s="87"/>
      <c r="B1143" s="88"/>
      <c r="C1143" s="88"/>
      <c r="D1143" s="88"/>
      <c r="E1143" s="88"/>
      <c r="F1143" s="88"/>
      <c r="G1143" s="87"/>
    </row>
    <row r="1144">
      <c r="A1144" s="87"/>
      <c r="B1144" s="88"/>
      <c r="C1144" s="88"/>
      <c r="D1144" s="88"/>
      <c r="E1144" s="88"/>
      <c r="F1144" s="88"/>
      <c r="G1144" s="87"/>
    </row>
    <row r="1145">
      <c r="A1145" s="87"/>
      <c r="B1145" s="88"/>
      <c r="C1145" s="88"/>
      <c r="D1145" s="88"/>
      <c r="E1145" s="88"/>
      <c r="F1145" s="88"/>
      <c r="G1145" s="87"/>
    </row>
    <row r="1146">
      <c r="A1146" s="87"/>
      <c r="B1146" s="88"/>
      <c r="C1146" s="88"/>
      <c r="D1146" s="88"/>
      <c r="E1146" s="88"/>
      <c r="F1146" s="88"/>
      <c r="G1146" s="87"/>
    </row>
    <row r="1147">
      <c r="A1147" s="87"/>
      <c r="B1147" s="88"/>
      <c r="C1147" s="88"/>
      <c r="D1147" s="88"/>
      <c r="E1147" s="88"/>
      <c r="F1147" s="88"/>
      <c r="G1147" s="87"/>
    </row>
    <row r="1148">
      <c r="A1148" s="87"/>
      <c r="B1148" s="88"/>
      <c r="C1148" s="88"/>
      <c r="D1148" s="88"/>
      <c r="E1148" s="88"/>
      <c r="F1148" s="88"/>
      <c r="G1148" s="87"/>
    </row>
    <row r="1149">
      <c r="A1149" s="87"/>
      <c r="B1149" s="88"/>
      <c r="C1149" s="88"/>
      <c r="D1149" s="88"/>
      <c r="E1149" s="88"/>
      <c r="F1149" s="88"/>
      <c r="G1149" s="87"/>
    </row>
    <row r="1150">
      <c r="A1150" s="87"/>
      <c r="B1150" s="88"/>
      <c r="C1150" s="88"/>
      <c r="D1150" s="88"/>
      <c r="E1150" s="88"/>
      <c r="F1150" s="88"/>
      <c r="G1150" s="87"/>
    </row>
    <row r="1151">
      <c r="A1151" s="87"/>
      <c r="B1151" s="88"/>
      <c r="C1151" s="88"/>
      <c r="D1151" s="88"/>
      <c r="E1151" s="88"/>
      <c r="F1151" s="88"/>
      <c r="G1151" s="87"/>
    </row>
    <row r="1152">
      <c r="A1152" s="87"/>
      <c r="B1152" s="88"/>
      <c r="C1152" s="88"/>
      <c r="D1152" s="88"/>
      <c r="E1152" s="88"/>
      <c r="F1152" s="88"/>
      <c r="G1152" s="87"/>
    </row>
    <row r="1153">
      <c r="A1153" s="87"/>
      <c r="B1153" s="88"/>
      <c r="C1153" s="88"/>
      <c r="D1153" s="88"/>
      <c r="E1153" s="88"/>
      <c r="F1153" s="88"/>
      <c r="G1153" s="87"/>
    </row>
    <row r="1154">
      <c r="A1154" s="87"/>
      <c r="B1154" s="88"/>
      <c r="C1154" s="88"/>
      <c r="D1154" s="88"/>
      <c r="E1154" s="88"/>
      <c r="F1154" s="88"/>
      <c r="G1154" s="87"/>
    </row>
    <row r="1155">
      <c r="A1155" s="87"/>
      <c r="B1155" s="88"/>
      <c r="C1155" s="88"/>
      <c r="D1155" s="88"/>
      <c r="E1155" s="88"/>
      <c r="F1155" s="88"/>
      <c r="G1155" s="87"/>
    </row>
    <row r="1156">
      <c r="A1156" s="87"/>
      <c r="B1156" s="88"/>
      <c r="C1156" s="88"/>
      <c r="D1156" s="88"/>
      <c r="E1156" s="88"/>
      <c r="F1156" s="88"/>
      <c r="G1156" s="87"/>
    </row>
    <row r="1157">
      <c r="A1157" s="87"/>
      <c r="B1157" s="88"/>
      <c r="C1157" s="88"/>
      <c r="D1157" s="88"/>
      <c r="E1157" s="88"/>
      <c r="F1157" s="88"/>
      <c r="G1157" s="87"/>
    </row>
    <row r="1158">
      <c r="A1158" s="87"/>
      <c r="B1158" s="88"/>
      <c r="C1158" s="88"/>
      <c r="D1158" s="88"/>
      <c r="E1158" s="88"/>
      <c r="F1158" s="88"/>
      <c r="G1158" s="87"/>
    </row>
    <row r="1159">
      <c r="A1159" s="87"/>
      <c r="B1159" s="88"/>
      <c r="C1159" s="88"/>
      <c r="D1159" s="88"/>
      <c r="E1159" s="88"/>
      <c r="F1159" s="88"/>
      <c r="G1159" s="87"/>
    </row>
    <row r="1160">
      <c r="A1160" s="87"/>
      <c r="B1160" s="88"/>
      <c r="C1160" s="88"/>
      <c r="D1160" s="88"/>
      <c r="E1160" s="88"/>
      <c r="F1160" s="88"/>
      <c r="G1160" s="87"/>
    </row>
    <row r="1161">
      <c r="A1161" s="87"/>
      <c r="B1161" s="88"/>
      <c r="C1161" s="88"/>
      <c r="D1161" s="88"/>
      <c r="E1161" s="88"/>
      <c r="F1161" s="88"/>
      <c r="G1161" s="87"/>
    </row>
    <row r="1162">
      <c r="A1162" s="87"/>
      <c r="B1162" s="88"/>
      <c r="C1162" s="88"/>
      <c r="D1162" s="88"/>
      <c r="E1162" s="88"/>
      <c r="F1162" s="88"/>
      <c r="G1162" s="87"/>
    </row>
    <row r="1163">
      <c r="A1163" s="87"/>
      <c r="B1163" s="88"/>
      <c r="C1163" s="88"/>
      <c r="D1163" s="88"/>
      <c r="E1163" s="88"/>
      <c r="F1163" s="88"/>
      <c r="G1163" s="87"/>
    </row>
    <row r="1164">
      <c r="A1164" s="87"/>
      <c r="B1164" s="88"/>
      <c r="C1164" s="88"/>
      <c r="D1164" s="88"/>
      <c r="E1164" s="88"/>
      <c r="F1164" s="88"/>
      <c r="G1164" s="87"/>
    </row>
    <row r="1165">
      <c r="A1165" s="87"/>
      <c r="B1165" s="88"/>
      <c r="C1165" s="88"/>
      <c r="D1165" s="88"/>
      <c r="E1165" s="88"/>
      <c r="F1165" s="88"/>
      <c r="G1165" s="87"/>
    </row>
    <row r="1166">
      <c r="A1166" s="87"/>
      <c r="B1166" s="88"/>
      <c r="C1166" s="88"/>
      <c r="D1166" s="88"/>
      <c r="E1166" s="88"/>
      <c r="F1166" s="88"/>
      <c r="G1166" s="87"/>
    </row>
    <row r="1167">
      <c r="A1167" s="87"/>
      <c r="B1167" s="88"/>
      <c r="C1167" s="88"/>
      <c r="D1167" s="88"/>
      <c r="E1167" s="88"/>
      <c r="F1167" s="88"/>
      <c r="G1167" s="87"/>
    </row>
    <row r="1168">
      <c r="A1168" s="87"/>
      <c r="B1168" s="88"/>
      <c r="C1168" s="88"/>
      <c r="D1168" s="88"/>
      <c r="E1168" s="88"/>
      <c r="F1168" s="88"/>
      <c r="G1168" s="87"/>
    </row>
    <row r="1169">
      <c r="A1169" s="87"/>
      <c r="B1169" s="88"/>
      <c r="C1169" s="88"/>
      <c r="D1169" s="88"/>
      <c r="E1169" s="88"/>
      <c r="F1169" s="88"/>
      <c r="G1169" s="87"/>
    </row>
    <row r="1170">
      <c r="A1170" s="87"/>
      <c r="B1170" s="88"/>
      <c r="C1170" s="88"/>
      <c r="D1170" s="88"/>
      <c r="E1170" s="88"/>
      <c r="F1170" s="88"/>
      <c r="G1170" s="87"/>
    </row>
    <row r="1171">
      <c r="A1171" s="87"/>
      <c r="B1171" s="88"/>
      <c r="C1171" s="88"/>
      <c r="D1171" s="88"/>
      <c r="E1171" s="88"/>
      <c r="F1171" s="88"/>
      <c r="G1171" s="87"/>
    </row>
    <row r="1172">
      <c r="A1172" s="87"/>
      <c r="B1172" s="88"/>
      <c r="C1172" s="88"/>
      <c r="D1172" s="88"/>
      <c r="E1172" s="88"/>
      <c r="F1172" s="88"/>
      <c r="G1172" s="87"/>
    </row>
    <row r="1173">
      <c r="A1173" s="87"/>
      <c r="B1173" s="88"/>
      <c r="C1173" s="88"/>
      <c r="D1173" s="88"/>
      <c r="E1173" s="88"/>
      <c r="F1173" s="88"/>
      <c r="G1173" s="87"/>
    </row>
    <row r="1174">
      <c r="A1174" s="87"/>
      <c r="B1174" s="88"/>
      <c r="C1174" s="88"/>
      <c r="D1174" s="88"/>
      <c r="E1174" s="88"/>
      <c r="F1174" s="88"/>
      <c r="G1174" s="87"/>
    </row>
    <row r="1175">
      <c r="A1175" s="87"/>
      <c r="B1175" s="88"/>
      <c r="C1175" s="88"/>
      <c r="D1175" s="88"/>
      <c r="E1175" s="88"/>
      <c r="F1175" s="88"/>
      <c r="G1175" s="87"/>
    </row>
    <row r="1176">
      <c r="A1176" s="87"/>
      <c r="B1176" s="88"/>
      <c r="C1176" s="88"/>
      <c r="D1176" s="88"/>
      <c r="E1176" s="88"/>
      <c r="F1176" s="88"/>
      <c r="G1176" s="87"/>
    </row>
    <row r="1177">
      <c r="A1177" s="87"/>
      <c r="B1177" s="88"/>
      <c r="C1177" s="88"/>
      <c r="D1177" s="88"/>
      <c r="E1177" s="88"/>
      <c r="F1177" s="88"/>
      <c r="G1177" s="87"/>
    </row>
    <row r="1178">
      <c r="A1178" s="87"/>
      <c r="B1178" s="88"/>
      <c r="C1178" s="88"/>
      <c r="D1178" s="88"/>
      <c r="E1178" s="88"/>
      <c r="F1178" s="88"/>
      <c r="G1178" s="87"/>
    </row>
    <row r="1179">
      <c r="A1179" s="87"/>
      <c r="B1179" s="88"/>
      <c r="C1179" s="88"/>
      <c r="D1179" s="88"/>
      <c r="E1179" s="88"/>
      <c r="F1179" s="88"/>
      <c r="G1179" s="87"/>
    </row>
    <row r="1180">
      <c r="A1180" s="87"/>
      <c r="B1180" s="88"/>
      <c r="C1180" s="88"/>
      <c r="D1180" s="88"/>
      <c r="E1180" s="88"/>
      <c r="F1180" s="88"/>
      <c r="G1180" s="87"/>
    </row>
    <row r="1181">
      <c r="A1181" s="87"/>
      <c r="B1181" s="88"/>
      <c r="C1181" s="88"/>
      <c r="D1181" s="88"/>
      <c r="E1181" s="88"/>
      <c r="F1181" s="88"/>
      <c r="G1181" s="87"/>
    </row>
    <row r="1182">
      <c r="A1182" s="87"/>
      <c r="B1182" s="88"/>
      <c r="C1182" s="88"/>
      <c r="D1182" s="88"/>
      <c r="E1182" s="88"/>
      <c r="F1182" s="88"/>
      <c r="G1182" s="87"/>
    </row>
    <row r="1183">
      <c r="A1183" s="87"/>
      <c r="B1183" s="88"/>
      <c r="C1183" s="88"/>
      <c r="D1183" s="88"/>
      <c r="E1183" s="88"/>
      <c r="F1183" s="88"/>
      <c r="G1183" s="87"/>
    </row>
    <row r="1184">
      <c r="A1184" s="87"/>
      <c r="B1184" s="88"/>
      <c r="C1184" s="88"/>
      <c r="D1184" s="88"/>
      <c r="E1184" s="88"/>
      <c r="F1184" s="88"/>
      <c r="G1184" s="87"/>
    </row>
    <row r="1185">
      <c r="A1185" s="87"/>
      <c r="B1185" s="88"/>
      <c r="C1185" s="88"/>
      <c r="D1185" s="88"/>
      <c r="E1185" s="88"/>
      <c r="F1185" s="88"/>
      <c r="G1185" s="87"/>
    </row>
    <row r="1186">
      <c r="A1186" s="87"/>
      <c r="B1186" s="88"/>
      <c r="C1186" s="88"/>
      <c r="D1186" s="88"/>
      <c r="E1186" s="88"/>
      <c r="F1186" s="88"/>
      <c r="G1186" s="87"/>
    </row>
    <row r="1187">
      <c r="A1187" s="87"/>
      <c r="B1187" s="88"/>
      <c r="C1187" s="88"/>
      <c r="D1187" s="88"/>
      <c r="E1187" s="88"/>
      <c r="F1187" s="88"/>
      <c r="G1187" s="87"/>
    </row>
    <row r="1188">
      <c r="A1188" s="87"/>
      <c r="B1188" s="88"/>
      <c r="C1188" s="88"/>
      <c r="D1188" s="88"/>
      <c r="E1188" s="88"/>
      <c r="F1188" s="88"/>
      <c r="G1188" s="87"/>
    </row>
    <row r="1189">
      <c r="A1189" s="87"/>
      <c r="B1189" s="88"/>
      <c r="C1189" s="88"/>
      <c r="D1189" s="88"/>
      <c r="E1189" s="88"/>
      <c r="F1189" s="88"/>
      <c r="G1189" s="87"/>
    </row>
    <row r="1190">
      <c r="A1190" s="87"/>
      <c r="B1190" s="88"/>
      <c r="C1190" s="88"/>
      <c r="D1190" s="88"/>
      <c r="E1190" s="88"/>
      <c r="F1190" s="88"/>
      <c r="G1190" s="87"/>
    </row>
    <row r="1191">
      <c r="A1191" s="87"/>
      <c r="B1191" s="88"/>
      <c r="C1191" s="88"/>
      <c r="D1191" s="88"/>
      <c r="E1191" s="88"/>
      <c r="F1191" s="88"/>
      <c r="G1191" s="87"/>
    </row>
    <row r="1192">
      <c r="A1192" s="87"/>
      <c r="B1192" s="88"/>
      <c r="C1192" s="88"/>
      <c r="D1192" s="88"/>
      <c r="E1192" s="88"/>
      <c r="F1192" s="88"/>
      <c r="G1192" s="87"/>
    </row>
    <row r="1193">
      <c r="A1193" s="87"/>
      <c r="B1193" s="88"/>
      <c r="C1193" s="88"/>
      <c r="D1193" s="88"/>
      <c r="E1193" s="88"/>
      <c r="F1193" s="88"/>
      <c r="G1193" s="87"/>
    </row>
    <row r="1194">
      <c r="A1194" s="87"/>
      <c r="B1194" s="88"/>
      <c r="C1194" s="88"/>
      <c r="D1194" s="88"/>
      <c r="E1194" s="88"/>
      <c r="F1194" s="88"/>
      <c r="G1194" s="87"/>
    </row>
    <row r="1195">
      <c r="A1195" s="87"/>
      <c r="B1195" s="88"/>
      <c r="C1195" s="88"/>
      <c r="D1195" s="88"/>
      <c r="E1195" s="88"/>
      <c r="F1195" s="88"/>
      <c r="G1195" s="87"/>
    </row>
    <row r="1196">
      <c r="A1196" s="87"/>
      <c r="B1196" s="88"/>
      <c r="C1196" s="88"/>
      <c r="D1196" s="88"/>
      <c r="E1196" s="88"/>
      <c r="F1196" s="88"/>
      <c r="G1196" s="87"/>
    </row>
    <row r="1197">
      <c r="A1197" s="87"/>
      <c r="B1197" s="88"/>
      <c r="C1197" s="88"/>
      <c r="D1197" s="88"/>
      <c r="E1197" s="88"/>
      <c r="F1197" s="88"/>
      <c r="G1197" s="87"/>
    </row>
    <row r="1198">
      <c r="A1198" s="87"/>
      <c r="B1198" s="88"/>
      <c r="C1198" s="88"/>
      <c r="D1198" s="88"/>
      <c r="E1198" s="88"/>
      <c r="F1198" s="88"/>
      <c r="G1198" s="87"/>
    </row>
    <row r="1199">
      <c r="A1199" s="87"/>
      <c r="B1199" s="88"/>
      <c r="C1199" s="88"/>
      <c r="D1199" s="88"/>
      <c r="E1199" s="88"/>
      <c r="F1199" s="88"/>
      <c r="G1199" s="87"/>
    </row>
    <row r="1200">
      <c r="A1200" s="87"/>
      <c r="B1200" s="88"/>
      <c r="C1200" s="88"/>
      <c r="D1200" s="88"/>
      <c r="E1200" s="88"/>
      <c r="F1200" s="88"/>
      <c r="G1200" s="87"/>
    </row>
    <row r="1201">
      <c r="A1201" s="87"/>
      <c r="B1201" s="88"/>
      <c r="C1201" s="88"/>
      <c r="D1201" s="88"/>
      <c r="E1201" s="88"/>
      <c r="F1201" s="88"/>
      <c r="G1201" s="87"/>
    </row>
    <row r="1202">
      <c r="A1202" s="87"/>
      <c r="B1202" s="88"/>
      <c r="C1202" s="88"/>
      <c r="D1202" s="88"/>
      <c r="E1202" s="88"/>
      <c r="F1202" s="88"/>
      <c r="G1202" s="87"/>
    </row>
    <row r="1203">
      <c r="A1203" s="87"/>
      <c r="B1203" s="88"/>
      <c r="C1203" s="88"/>
      <c r="D1203" s="88"/>
      <c r="E1203" s="88"/>
      <c r="F1203" s="88"/>
      <c r="G1203" s="87"/>
    </row>
    <row r="1204">
      <c r="A1204" s="87"/>
      <c r="B1204" s="88"/>
      <c r="C1204" s="88"/>
      <c r="D1204" s="88"/>
      <c r="E1204" s="88"/>
      <c r="F1204" s="88"/>
      <c r="G1204" s="87"/>
    </row>
    <row r="1205">
      <c r="A1205" s="87"/>
      <c r="B1205" s="88"/>
      <c r="C1205" s="88"/>
      <c r="D1205" s="88"/>
      <c r="E1205" s="88"/>
      <c r="F1205" s="88"/>
      <c r="G1205" s="87"/>
    </row>
    <row r="1206">
      <c r="A1206" s="87"/>
      <c r="B1206" s="88"/>
      <c r="C1206" s="88"/>
      <c r="D1206" s="88"/>
      <c r="E1206" s="88"/>
      <c r="F1206" s="88"/>
      <c r="G1206" s="87"/>
    </row>
    <row r="1207">
      <c r="A1207" s="87"/>
      <c r="B1207" s="88"/>
      <c r="C1207" s="88"/>
      <c r="D1207" s="88"/>
      <c r="E1207" s="88"/>
      <c r="F1207" s="88"/>
      <c r="G1207" s="87"/>
    </row>
    <row r="1208">
      <c r="A1208" s="87"/>
      <c r="B1208" s="88"/>
      <c r="C1208" s="88"/>
      <c r="D1208" s="88"/>
      <c r="E1208" s="88"/>
      <c r="F1208" s="88"/>
      <c r="G1208" s="87"/>
    </row>
    <row r="1209">
      <c r="A1209" s="87"/>
      <c r="B1209" s="88"/>
      <c r="C1209" s="88"/>
      <c r="D1209" s="88"/>
      <c r="E1209" s="88"/>
      <c r="F1209" s="88"/>
      <c r="G1209" s="87"/>
    </row>
    <row r="1210">
      <c r="A1210" s="87"/>
      <c r="B1210" s="88"/>
      <c r="C1210" s="88"/>
      <c r="D1210" s="88"/>
      <c r="E1210" s="88"/>
      <c r="F1210" s="88"/>
      <c r="G1210" s="87"/>
    </row>
    <row r="1211">
      <c r="A1211" s="87"/>
      <c r="B1211" s="88"/>
      <c r="C1211" s="88"/>
      <c r="D1211" s="88"/>
      <c r="E1211" s="88"/>
      <c r="F1211" s="88"/>
      <c r="G1211" s="87"/>
    </row>
    <row r="1212">
      <c r="A1212" s="87"/>
      <c r="B1212" s="88"/>
      <c r="C1212" s="88"/>
      <c r="D1212" s="88"/>
      <c r="E1212" s="88"/>
      <c r="F1212" s="88"/>
      <c r="G1212" s="87"/>
    </row>
    <row r="1213">
      <c r="A1213" s="87"/>
      <c r="B1213" s="88"/>
      <c r="C1213" s="88"/>
      <c r="D1213" s="88"/>
      <c r="E1213" s="88"/>
      <c r="F1213" s="88"/>
      <c r="G1213" s="87"/>
    </row>
    <row r="1214">
      <c r="A1214" s="87"/>
      <c r="B1214" s="88"/>
      <c r="C1214" s="88"/>
      <c r="D1214" s="88"/>
      <c r="E1214" s="88"/>
      <c r="F1214" s="88"/>
      <c r="G1214" s="87"/>
    </row>
    <row r="1215">
      <c r="A1215" s="87"/>
      <c r="B1215" s="88"/>
      <c r="C1215" s="88"/>
      <c r="D1215" s="88"/>
      <c r="E1215" s="88"/>
      <c r="F1215" s="88"/>
      <c r="G1215" s="87"/>
    </row>
    <row r="1216">
      <c r="A1216" s="87"/>
      <c r="B1216" s="88"/>
      <c r="C1216" s="88"/>
      <c r="D1216" s="88"/>
      <c r="E1216" s="88"/>
      <c r="F1216" s="88"/>
      <c r="G1216" s="87"/>
    </row>
    <row r="1217">
      <c r="A1217" s="87"/>
      <c r="B1217" s="88"/>
      <c r="C1217" s="88"/>
      <c r="D1217" s="88"/>
      <c r="E1217" s="88"/>
      <c r="F1217" s="88"/>
      <c r="G1217" s="87"/>
    </row>
    <row r="1218">
      <c r="A1218" s="87"/>
      <c r="B1218" s="88"/>
      <c r="C1218" s="88"/>
      <c r="D1218" s="88"/>
      <c r="E1218" s="88"/>
      <c r="F1218" s="88"/>
      <c r="G1218" s="87"/>
    </row>
    <row r="1219">
      <c r="A1219" s="87"/>
      <c r="B1219" s="88"/>
      <c r="C1219" s="88"/>
      <c r="D1219" s="88"/>
      <c r="E1219" s="88"/>
      <c r="F1219" s="88"/>
      <c r="G1219" s="87"/>
    </row>
    <row r="1220">
      <c r="A1220" s="87"/>
      <c r="B1220" s="88"/>
      <c r="C1220" s="88"/>
      <c r="D1220" s="88"/>
      <c r="E1220" s="88"/>
      <c r="F1220" s="88"/>
      <c r="G1220" s="87"/>
    </row>
    <row r="1221">
      <c r="A1221" s="87"/>
      <c r="B1221" s="88"/>
      <c r="C1221" s="88"/>
      <c r="D1221" s="88"/>
      <c r="E1221" s="88"/>
      <c r="F1221" s="88"/>
      <c r="G1221" s="87"/>
    </row>
    <row r="1222">
      <c r="A1222" s="87"/>
      <c r="B1222" s="88"/>
      <c r="C1222" s="88"/>
      <c r="D1222" s="88"/>
      <c r="E1222" s="88"/>
      <c r="F1222" s="88"/>
      <c r="G1222" s="87"/>
    </row>
    <row r="1223">
      <c r="A1223" s="87"/>
      <c r="B1223" s="88"/>
      <c r="C1223" s="88"/>
      <c r="D1223" s="88"/>
      <c r="E1223" s="88"/>
      <c r="F1223" s="88"/>
      <c r="G1223" s="87"/>
    </row>
    <row r="1224">
      <c r="A1224" s="87"/>
      <c r="B1224" s="88"/>
      <c r="C1224" s="88"/>
      <c r="D1224" s="88"/>
      <c r="E1224" s="88"/>
      <c r="F1224" s="88"/>
      <c r="G1224" s="87"/>
    </row>
    <row r="1225">
      <c r="A1225" s="87"/>
      <c r="B1225" s="88"/>
      <c r="C1225" s="88"/>
      <c r="D1225" s="88"/>
      <c r="E1225" s="88"/>
      <c r="F1225" s="88"/>
      <c r="G1225" s="87"/>
    </row>
    <row r="1226">
      <c r="A1226" s="87"/>
      <c r="B1226" s="88"/>
      <c r="C1226" s="88"/>
      <c r="D1226" s="88"/>
      <c r="E1226" s="88"/>
      <c r="F1226" s="88"/>
      <c r="G1226" s="87"/>
    </row>
    <row r="1227">
      <c r="A1227" s="87"/>
      <c r="B1227" s="88"/>
      <c r="C1227" s="88"/>
      <c r="D1227" s="88"/>
      <c r="E1227" s="88"/>
      <c r="F1227" s="88"/>
      <c r="G1227" s="87"/>
    </row>
    <row r="1228">
      <c r="A1228" s="87"/>
      <c r="B1228" s="88"/>
      <c r="C1228" s="88"/>
      <c r="D1228" s="88"/>
      <c r="E1228" s="88"/>
      <c r="F1228" s="88"/>
      <c r="G1228" s="87"/>
    </row>
    <row r="1229">
      <c r="A1229" s="87"/>
      <c r="B1229" s="88"/>
      <c r="C1229" s="88"/>
      <c r="D1229" s="88"/>
      <c r="E1229" s="88"/>
      <c r="F1229" s="88"/>
      <c r="G1229" s="87"/>
    </row>
    <row r="1230">
      <c r="A1230" s="87"/>
      <c r="B1230" s="88"/>
      <c r="C1230" s="88"/>
      <c r="D1230" s="88"/>
      <c r="E1230" s="88"/>
      <c r="F1230" s="88"/>
      <c r="G1230" s="87"/>
    </row>
    <row r="1231">
      <c r="A1231" s="87"/>
      <c r="B1231" s="88"/>
      <c r="C1231" s="88"/>
      <c r="D1231" s="88"/>
      <c r="E1231" s="88"/>
      <c r="F1231" s="88"/>
      <c r="G1231" s="87"/>
    </row>
    <row r="1232">
      <c r="A1232" s="87"/>
      <c r="B1232" s="88"/>
      <c r="C1232" s="88"/>
      <c r="D1232" s="88"/>
      <c r="E1232" s="88"/>
      <c r="F1232" s="88"/>
      <c r="G1232" s="87"/>
    </row>
    <row r="1233">
      <c r="A1233" s="87"/>
      <c r="B1233" s="88"/>
      <c r="C1233" s="88"/>
      <c r="D1233" s="88"/>
      <c r="E1233" s="88"/>
      <c r="F1233" s="88"/>
      <c r="G1233" s="87"/>
    </row>
    <row r="1234">
      <c r="A1234" s="87"/>
      <c r="B1234" s="88"/>
      <c r="C1234" s="88"/>
      <c r="D1234" s="88"/>
      <c r="E1234" s="88"/>
      <c r="F1234" s="88"/>
      <c r="G1234" s="87"/>
    </row>
    <row r="1235">
      <c r="A1235" s="87"/>
      <c r="B1235" s="88"/>
      <c r="C1235" s="88"/>
      <c r="D1235" s="88"/>
      <c r="E1235" s="88"/>
      <c r="F1235" s="88"/>
      <c r="G1235" s="87"/>
    </row>
    <row r="1236">
      <c r="A1236" s="87"/>
      <c r="B1236" s="88"/>
      <c r="C1236" s="88"/>
      <c r="D1236" s="88"/>
      <c r="E1236" s="88"/>
      <c r="F1236" s="88"/>
      <c r="G1236" s="87"/>
    </row>
    <row r="1237">
      <c r="A1237" s="87"/>
      <c r="B1237" s="88"/>
      <c r="C1237" s="88"/>
      <c r="D1237" s="88"/>
      <c r="E1237" s="88"/>
      <c r="F1237" s="88"/>
      <c r="G1237" s="87"/>
    </row>
    <row r="1238">
      <c r="A1238" s="87"/>
      <c r="B1238" s="88"/>
      <c r="C1238" s="88"/>
      <c r="D1238" s="88"/>
      <c r="E1238" s="88"/>
      <c r="F1238" s="88"/>
      <c r="G1238" s="87"/>
    </row>
    <row r="1239">
      <c r="A1239" s="87"/>
      <c r="B1239" s="88"/>
      <c r="C1239" s="88"/>
      <c r="D1239" s="88"/>
      <c r="E1239" s="88"/>
      <c r="F1239" s="88"/>
      <c r="G1239" s="87"/>
    </row>
    <row r="1240">
      <c r="A1240" s="87"/>
      <c r="B1240" s="88"/>
      <c r="C1240" s="88"/>
      <c r="D1240" s="88"/>
      <c r="E1240" s="88"/>
      <c r="F1240" s="88"/>
      <c r="G1240" s="87"/>
    </row>
    <row r="1241">
      <c r="A1241" s="87"/>
      <c r="B1241" s="88"/>
      <c r="C1241" s="88"/>
      <c r="D1241" s="88"/>
      <c r="E1241" s="88"/>
      <c r="F1241" s="88"/>
      <c r="G1241" s="87"/>
    </row>
    <row r="1242">
      <c r="A1242" s="87"/>
      <c r="B1242" s="88"/>
      <c r="C1242" s="88"/>
      <c r="D1242" s="88"/>
      <c r="E1242" s="88"/>
      <c r="F1242" s="88"/>
      <c r="G1242" s="87"/>
    </row>
    <row r="1243">
      <c r="A1243" s="87"/>
      <c r="B1243" s="88"/>
      <c r="C1243" s="88"/>
      <c r="D1243" s="88"/>
      <c r="E1243" s="88"/>
      <c r="F1243" s="88"/>
      <c r="G1243" s="87"/>
    </row>
    <row r="1244">
      <c r="A1244" s="87"/>
      <c r="B1244" s="88"/>
      <c r="C1244" s="88"/>
      <c r="D1244" s="88"/>
      <c r="E1244" s="88"/>
      <c r="F1244" s="88"/>
      <c r="G1244" s="87"/>
    </row>
    <row r="1245">
      <c r="A1245" s="87"/>
      <c r="B1245" s="88"/>
      <c r="C1245" s="88"/>
      <c r="D1245" s="88"/>
      <c r="E1245" s="88"/>
      <c r="F1245" s="88"/>
      <c r="G1245" s="87"/>
    </row>
    <row r="1246">
      <c r="A1246" s="87"/>
      <c r="B1246" s="88"/>
      <c r="C1246" s="88"/>
      <c r="D1246" s="88"/>
      <c r="E1246" s="88"/>
      <c r="F1246" s="88"/>
      <c r="G1246" s="87"/>
    </row>
    <row r="1247">
      <c r="A1247" s="87"/>
      <c r="B1247" s="88"/>
      <c r="C1247" s="88"/>
      <c r="D1247" s="88"/>
      <c r="E1247" s="88"/>
      <c r="F1247" s="88"/>
      <c r="G1247" s="87"/>
    </row>
    <row r="1248">
      <c r="A1248" s="87"/>
      <c r="B1248" s="88"/>
      <c r="C1248" s="88"/>
      <c r="D1248" s="88"/>
      <c r="E1248" s="88"/>
      <c r="F1248" s="88"/>
      <c r="G1248" s="87"/>
    </row>
    <row r="1249">
      <c r="A1249" s="87"/>
      <c r="B1249" s="88"/>
      <c r="C1249" s="88"/>
      <c r="D1249" s="88"/>
      <c r="E1249" s="88"/>
      <c r="F1249" s="88"/>
      <c r="G1249" s="87"/>
    </row>
    <row r="1250">
      <c r="A1250" s="87"/>
      <c r="B1250" s="88"/>
      <c r="C1250" s="88"/>
      <c r="D1250" s="88"/>
      <c r="E1250" s="88"/>
      <c r="F1250" s="88"/>
      <c r="G1250" s="87"/>
    </row>
    <row r="1251">
      <c r="A1251" s="87"/>
      <c r="B1251" s="88"/>
      <c r="C1251" s="88"/>
      <c r="D1251" s="88"/>
      <c r="E1251" s="88"/>
      <c r="F1251" s="88"/>
      <c r="G1251" s="87"/>
    </row>
    <row r="1252">
      <c r="A1252" s="87"/>
      <c r="B1252" s="88"/>
      <c r="C1252" s="88"/>
      <c r="D1252" s="88"/>
      <c r="E1252" s="88"/>
      <c r="F1252" s="88"/>
      <c r="G1252" s="87"/>
    </row>
    <row r="1253">
      <c r="A1253" s="87"/>
      <c r="B1253" s="88"/>
      <c r="C1253" s="88"/>
      <c r="D1253" s="88"/>
      <c r="E1253" s="88"/>
      <c r="F1253" s="88"/>
      <c r="G1253" s="87"/>
    </row>
    <row r="1254">
      <c r="A1254" s="87"/>
      <c r="B1254" s="88"/>
      <c r="C1254" s="88"/>
      <c r="D1254" s="88"/>
      <c r="E1254" s="88"/>
      <c r="F1254" s="88"/>
      <c r="G1254" s="87"/>
    </row>
    <row r="1255">
      <c r="A1255" s="87"/>
      <c r="B1255" s="88"/>
      <c r="C1255" s="88"/>
      <c r="D1255" s="88"/>
      <c r="E1255" s="88"/>
      <c r="F1255" s="88"/>
      <c r="G1255" s="87"/>
    </row>
    <row r="1256">
      <c r="A1256" s="87"/>
      <c r="B1256" s="88"/>
      <c r="C1256" s="88"/>
      <c r="D1256" s="88"/>
      <c r="E1256" s="88"/>
      <c r="F1256" s="88"/>
      <c r="G1256" s="87"/>
    </row>
    <row r="1257">
      <c r="A1257" s="87"/>
      <c r="B1257" s="88"/>
      <c r="C1257" s="88"/>
      <c r="D1257" s="88"/>
      <c r="E1257" s="88"/>
      <c r="F1257" s="88"/>
      <c r="G1257" s="87"/>
    </row>
    <row r="1258">
      <c r="A1258" s="87"/>
      <c r="B1258" s="88"/>
      <c r="C1258" s="88"/>
      <c r="D1258" s="88"/>
      <c r="E1258" s="88"/>
      <c r="F1258" s="88"/>
      <c r="G1258" s="87"/>
    </row>
    <row r="1259">
      <c r="A1259" s="87"/>
      <c r="B1259" s="88"/>
      <c r="C1259" s="88"/>
      <c r="D1259" s="88"/>
      <c r="E1259" s="88"/>
      <c r="F1259" s="88"/>
      <c r="G1259" s="87"/>
    </row>
    <row r="1260">
      <c r="A1260" s="87"/>
      <c r="B1260" s="88"/>
      <c r="C1260" s="88"/>
      <c r="D1260" s="88"/>
      <c r="E1260" s="88"/>
      <c r="F1260" s="88"/>
      <c r="G1260" s="87"/>
    </row>
    <row r="1261">
      <c r="A1261" s="87"/>
      <c r="B1261" s="88"/>
      <c r="C1261" s="88"/>
      <c r="D1261" s="88"/>
      <c r="E1261" s="88"/>
      <c r="F1261" s="88"/>
      <c r="G1261" s="87"/>
    </row>
    <row r="1262">
      <c r="A1262" s="87"/>
      <c r="B1262" s="88"/>
      <c r="C1262" s="88"/>
      <c r="D1262" s="88"/>
      <c r="E1262" s="88"/>
      <c r="F1262" s="88"/>
      <c r="G1262" s="87"/>
    </row>
    <row r="1263">
      <c r="A1263" s="87"/>
      <c r="B1263" s="88"/>
      <c r="C1263" s="88"/>
      <c r="D1263" s="88"/>
      <c r="E1263" s="88"/>
      <c r="F1263" s="88"/>
      <c r="G1263" s="87"/>
    </row>
    <row r="1264">
      <c r="A1264" s="87"/>
      <c r="B1264" s="88"/>
      <c r="C1264" s="88"/>
      <c r="D1264" s="88"/>
      <c r="E1264" s="88"/>
      <c r="F1264" s="88"/>
      <c r="G1264" s="87"/>
    </row>
    <row r="1265">
      <c r="A1265" s="87"/>
      <c r="B1265" s="88"/>
      <c r="C1265" s="88"/>
      <c r="D1265" s="88"/>
      <c r="E1265" s="88"/>
      <c r="F1265" s="88"/>
      <c r="G1265" s="87"/>
    </row>
    <row r="1266">
      <c r="A1266" s="87"/>
      <c r="B1266" s="88"/>
      <c r="C1266" s="88"/>
      <c r="D1266" s="88"/>
      <c r="E1266" s="88"/>
      <c r="F1266" s="88"/>
      <c r="G1266" s="87"/>
    </row>
    <row r="1267">
      <c r="A1267" s="87"/>
      <c r="B1267" s="88"/>
      <c r="C1267" s="88"/>
      <c r="D1267" s="88"/>
      <c r="E1267" s="88"/>
      <c r="F1267" s="88"/>
      <c r="G1267" s="87"/>
    </row>
    <row r="1268">
      <c r="A1268" s="87"/>
      <c r="B1268" s="88"/>
      <c r="C1268" s="88"/>
      <c r="D1268" s="88"/>
      <c r="E1268" s="88"/>
      <c r="F1268" s="88"/>
      <c r="G1268" s="87"/>
    </row>
    <row r="1269">
      <c r="A1269" s="87"/>
      <c r="B1269" s="88"/>
      <c r="C1269" s="88"/>
      <c r="D1269" s="88"/>
      <c r="E1269" s="88"/>
      <c r="F1269" s="88"/>
      <c r="G1269" s="87"/>
    </row>
    <row r="1270">
      <c r="A1270" s="87"/>
      <c r="B1270" s="88"/>
      <c r="C1270" s="88"/>
      <c r="D1270" s="88"/>
      <c r="E1270" s="88"/>
      <c r="F1270" s="88"/>
      <c r="G1270" s="87"/>
    </row>
    <row r="1271">
      <c r="A1271" s="87"/>
      <c r="B1271" s="88"/>
      <c r="C1271" s="88"/>
      <c r="D1271" s="88"/>
      <c r="E1271" s="88"/>
      <c r="F1271" s="88"/>
      <c r="G1271" s="87"/>
    </row>
    <row r="1272">
      <c r="A1272" s="87"/>
      <c r="B1272" s="88"/>
      <c r="C1272" s="88"/>
      <c r="D1272" s="88"/>
      <c r="E1272" s="88"/>
      <c r="F1272" s="88"/>
      <c r="G1272" s="87"/>
    </row>
    <row r="1273">
      <c r="A1273" s="87"/>
      <c r="B1273" s="88"/>
      <c r="C1273" s="88"/>
      <c r="D1273" s="88"/>
      <c r="E1273" s="88"/>
      <c r="F1273" s="88"/>
      <c r="G1273" s="87"/>
    </row>
    <row r="1274">
      <c r="A1274" s="87"/>
      <c r="B1274" s="88"/>
      <c r="C1274" s="88"/>
      <c r="D1274" s="88"/>
      <c r="E1274" s="88"/>
      <c r="F1274" s="88"/>
      <c r="G1274" s="87"/>
    </row>
    <row r="1275">
      <c r="A1275" s="87"/>
      <c r="B1275" s="88"/>
      <c r="C1275" s="88"/>
      <c r="D1275" s="88"/>
      <c r="E1275" s="88"/>
      <c r="F1275" s="88"/>
      <c r="G1275" s="87"/>
    </row>
    <row r="1276">
      <c r="A1276" s="87"/>
      <c r="B1276" s="88"/>
      <c r="C1276" s="88"/>
      <c r="D1276" s="88"/>
      <c r="E1276" s="88"/>
      <c r="F1276" s="88"/>
      <c r="G1276" s="87"/>
    </row>
    <row r="1277">
      <c r="A1277" s="87"/>
      <c r="B1277" s="88"/>
      <c r="C1277" s="88"/>
      <c r="D1277" s="88"/>
      <c r="E1277" s="88"/>
      <c r="F1277" s="88"/>
      <c r="G1277" s="87"/>
    </row>
    <row r="1278">
      <c r="A1278" s="87"/>
      <c r="B1278" s="88"/>
      <c r="C1278" s="88"/>
      <c r="D1278" s="88"/>
      <c r="E1278" s="88"/>
      <c r="F1278" s="88"/>
      <c r="G1278" s="87"/>
    </row>
    <row r="1279">
      <c r="A1279" s="87"/>
      <c r="B1279" s="88"/>
      <c r="C1279" s="88"/>
      <c r="D1279" s="88"/>
      <c r="E1279" s="88"/>
      <c r="F1279" s="88"/>
      <c r="G1279" s="87"/>
    </row>
    <row r="1280">
      <c r="A1280" s="87"/>
      <c r="B1280" s="88"/>
      <c r="C1280" s="88"/>
      <c r="D1280" s="88"/>
      <c r="E1280" s="88"/>
      <c r="F1280" s="88"/>
      <c r="G1280" s="87"/>
    </row>
    <row r="1281">
      <c r="A1281" s="87"/>
      <c r="B1281" s="88"/>
      <c r="C1281" s="88"/>
      <c r="D1281" s="88"/>
      <c r="E1281" s="88"/>
      <c r="F1281" s="88"/>
      <c r="G1281" s="87"/>
    </row>
    <row r="1282">
      <c r="A1282" s="87"/>
      <c r="B1282" s="88"/>
      <c r="C1282" s="88"/>
      <c r="D1282" s="88"/>
      <c r="E1282" s="88"/>
      <c r="F1282" s="88"/>
      <c r="G1282" s="87"/>
    </row>
    <row r="1283">
      <c r="A1283" s="87"/>
      <c r="B1283" s="88"/>
      <c r="C1283" s="88"/>
      <c r="D1283" s="88"/>
      <c r="E1283" s="88"/>
      <c r="F1283" s="88"/>
      <c r="G1283" s="87"/>
    </row>
    <row r="1284">
      <c r="A1284" s="87"/>
      <c r="B1284" s="88"/>
      <c r="C1284" s="88"/>
      <c r="D1284" s="88"/>
      <c r="E1284" s="88"/>
      <c r="F1284" s="88"/>
      <c r="G1284" s="87"/>
    </row>
    <row r="1285">
      <c r="A1285" s="87"/>
      <c r="B1285" s="88"/>
      <c r="C1285" s="88"/>
      <c r="D1285" s="88"/>
      <c r="E1285" s="88"/>
      <c r="F1285" s="88"/>
      <c r="G1285" s="87"/>
    </row>
    <row r="1286">
      <c r="A1286" s="87"/>
      <c r="B1286" s="88"/>
      <c r="C1286" s="88"/>
      <c r="D1286" s="88"/>
      <c r="E1286" s="88"/>
      <c r="F1286" s="88"/>
      <c r="G1286" s="87"/>
    </row>
    <row r="1287">
      <c r="A1287" s="87"/>
      <c r="B1287" s="88"/>
      <c r="C1287" s="88"/>
      <c r="D1287" s="88"/>
      <c r="E1287" s="88"/>
      <c r="F1287" s="88"/>
      <c r="G1287" s="87"/>
    </row>
    <row r="1288">
      <c r="A1288" s="87"/>
      <c r="B1288" s="88"/>
      <c r="C1288" s="88"/>
      <c r="D1288" s="88"/>
      <c r="E1288" s="88"/>
      <c r="F1288" s="88"/>
      <c r="G1288" s="87"/>
    </row>
    <row r="1289">
      <c r="A1289" s="87"/>
      <c r="B1289" s="88"/>
      <c r="C1289" s="88"/>
      <c r="D1289" s="88"/>
      <c r="E1289" s="88"/>
      <c r="F1289" s="88"/>
      <c r="G1289" s="87"/>
    </row>
    <row r="1290">
      <c r="A1290" s="87"/>
      <c r="B1290" s="88"/>
      <c r="C1290" s="88"/>
      <c r="D1290" s="88"/>
      <c r="E1290" s="88"/>
      <c r="F1290" s="88"/>
      <c r="G1290" s="87"/>
    </row>
    <row r="1291">
      <c r="A1291" s="87"/>
      <c r="B1291" s="88"/>
      <c r="C1291" s="88"/>
      <c r="D1291" s="88"/>
      <c r="E1291" s="88"/>
      <c r="F1291" s="88"/>
      <c r="G1291" s="87"/>
    </row>
    <row r="1292">
      <c r="A1292" s="87"/>
      <c r="B1292" s="88"/>
      <c r="C1292" s="88"/>
      <c r="D1292" s="88"/>
      <c r="E1292" s="88"/>
      <c r="F1292" s="88"/>
      <c r="G1292" s="87"/>
    </row>
    <row r="1293">
      <c r="A1293" s="87"/>
      <c r="B1293" s="88"/>
      <c r="C1293" s="88"/>
      <c r="D1293" s="88"/>
      <c r="E1293" s="88"/>
      <c r="F1293" s="88"/>
      <c r="G1293" s="87"/>
    </row>
    <row r="1294">
      <c r="A1294" s="87"/>
      <c r="B1294" s="88"/>
      <c r="C1294" s="88"/>
      <c r="D1294" s="88"/>
      <c r="E1294" s="88"/>
      <c r="F1294" s="88"/>
      <c r="G1294" s="87"/>
    </row>
    <row r="1295">
      <c r="A1295" s="87"/>
      <c r="B1295" s="88"/>
      <c r="C1295" s="88"/>
      <c r="D1295" s="88"/>
      <c r="E1295" s="88"/>
      <c r="F1295" s="88"/>
      <c r="G1295" s="87"/>
    </row>
    <row r="1296">
      <c r="A1296" s="87"/>
      <c r="B1296" s="88"/>
      <c r="C1296" s="88"/>
      <c r="D1296" s="88"/>
      <c r="E1296" s="88"/>
      <c r="F1296" s="88"/>
      <c r="G1296" s="87"/>
    </row>
    <row r="1297">
      <c r="A1297" s="87"/>
      <c r="B1297" s="88"/>
      <c r="C1297" s="88"/>
      <c r="D1297" s="88"/>
      <c r="E1297" s="88"/>
      <c r="F1297" s="88"/>
      <c r="G1297" s="87"/>
    </row>
    <row r="1298">
      <c r="A1298" s="87"/>
      <c r="B1298" s="88"/>
      <c r="C1298" s="88"/>
      <c r="D1298" s="88"/>
      <c r="E1298" s="88"/>
      <c r="F1298" s="88"/>
      <c r="G1298" s="87"/>
    </row>
    <row r="1299">
      <c r="A1299" s="87"/>
      <c r="B1299" s="88"/>
      <c r="C1299" s="88"/>
      <c r="D1299" s="88"/>
      <c r="E1299" s="88"/>
      <c r="F1299" s="88"/>
      <c r="G1299" s="87"/>
    </row>
    <row r="1300">
      <c r="A1300" s="87"/>
      <c r="B1300" s="88"/>
      <c r="C1300" s="88"/>
      <c r="D1300" s="88"/>
      <c r="E1300" s="88"/>
      <c r="F1300" s="88"/>
      <c r="G1300" s="87"/>
    </row>
    <row r="1301">
      <c r="A1301" s="87"/>
      <c r="B1301" s="88"/>
      <c r="C1301" s="88"/>
      <c r="D1301" s="88"/>
      <c r="E1301" s="88"/>
      <c r="F1301" s="88"/>
      <c r="G1301" s="87"/>
    </row>
    <row r="1302">
      <c r="A1302" s="87"/>
      <c r="B1302" s="88"/>
      <c r="C1302" s="88"/>
      <c r="D1302" s="88"/>
      <c r="E1302" s="88"/>
      <c r="F1302" s="88"/>
      <c r="G1302" s="87"/>
    </row>
    <row r="1303">
      <c r="A1303" s="87"/>
      <c r="B1303" s="88"/>
      <c r="C1303" s="88"/>
      <c r="D1303" s="88"/>
      <c r="E1303" s="88"/>
      <c r="F1303" s="88"/>
      <c r="G1303" s="87"/>
    </row>
    <row r="1304">
      <c r="A1304" s="87"/>
      <c r="B1304" s="88"/>
      <c r="C1304" s="88"/>
      <c r="D1304" s="88"/>
      <c r="E1304" s="88"/>
      <c r="F1304" s="88"/>
      <c r="G1304" s="87"/>
    </row>
    <row r="1305">
      <c r="A1305" s="87"/>
      <c r="B1305" s="88"/>
      <c r="C1305" s="88"/>
      <c r="D1305" s="88"/>
      <c r="E1305" s="88"/>
      <c r="F1305" s="88"/>
      <c r="G1305" s="87"/>
    </row>
    <row r="1306">
      <c r="A1306" s="87"/>
      <c r="B1306" s="88"/>
      <c r="C1306" s="88"/>
      <c r="D1306" s="88"/>
      <c r="E1306" s="88"/>
      <c r="F1306" s="88"/>
      <c r="G1306" s="87"/>
    </row>
    <row r="1307">
      <c r="A1307" s="87"/>
      <c r="B1307" s="88"/>
      <c r="C1307" s="88"/>
      <c r="D1307" s="88"/>
      <c r="E1307" s="88"/>
      <c r="F1307" s="88"/>
      <c r="G1307" s="87"/>
    </row>
    <row r="1308">
      <c r="A1308" s="87"/>
      <c r="B1308" s="88"/>
      <c r="C1308" s="88"/>
      <c r="D1308" s="88"/>
      <c r="E1308" s="88"/>
      <c r="F1308" s="88"/>
      <c r="G1308" s="87"/>
    </row>
    <row r="1309">
      <c r="A1309" s="87"/>
      <c r="B1309" s="88"/>
      <c r="C1309" s="88"/>
      <c r="D1309" s="88"/>
      <c r="E1309" s="88"/>
      <c r="F1309" s="88"/>
      <c r="G1309" s="87"/>
    </row>
    <row r="1310">
      <c r="A1310" s="87"/>
      <c r="B1310" s="88"/>
      <c r="C1310" s="88"/>
      <c r="D1310" s="88"/>
      <c r="E1310" s="88"/>
      <c r="F1310" s="88"/>
      <c r="G1310" s="87"/>
    </row>
    <row r="1311">
      <c r="A1311" s="87"/>
      <c r="B1311" s="88"/>
      <c r="C1311" s="88"/>
      <c r="D1311" s="88"/>
      <c r="E1311" s="88"/>
      <c r="F1311" s="88"/>
      <c r="G1311" s="87"/>
    </row>
    <row r="1312">
      <c r="A1312" s="87"/>
      <c r="B1312" s="88"/>
      <c r="C1312" s="88"/>
      <c r="D1312" s="88"/>
      <c r="E1312" s="88"/>
      <c r="F1312" s="88"/>
      <c r="G1312" s="87"/>
    </row>
    <row r="1313">
      <c r="A1313" s="87"/>
      <c r="B1313" s="88"/>
      <c r="C1313" s="88"/>
      <c r="D1313" s="88"/>
      <c r="E1313" s="88"/>
      <c r="F1313" s="88"/>
      <c r="G1313" s="87"/>
    </row>
    <row r="1314">
      <c r="A1314" s="87"/>
      <c r="B1314" s="88"/>
      <c r="C1314" s="88"/>
      <c r="D1314" s="88"/>
      <c r="E1314" s="88"/>
      <c r="F1314" s="88"/>
      <c r="G1314" s="87"/>
    </row>
    <row r="1315">
      <c r="A1315" s="87"/>
      <c r="B1315" s="88"/>
      <c r="C1315" s="88"/>
      <c r="D1315" s="88"/>
      <c r="E1315" s="88"/>
      <c r="F1315" s="88"/>
      <c r="G1315" s="87"/>
    </row>
    <row r="1316">
      <c r="A1316" s="87"/>
      <c r="B1316" s="88"/>
      <c r="C1316" s="88"/>
      <c r="D1316" s="88"/>
      <c r="E1316" s="88"/>
      <c r="F1316" s="88"/>
      <c r="G1316" s="87"/>
    </row>
    <row r="1317">
      <c r="A1317" s="87"/>
      <c r="B1317" s="88"/>
      <c r="C1317" s="88"/>
      <c r="D1317" s="88"/>
      <c r="E1317" s="88"/>
      <c r="F1317" s="88"/>
      <c r="G1317" s="87"/>
    </row>
    <row r="1318">
      <c r="A1318" s="87"/>
      <c r="B1318" s="88"/>
      <c r="C1318" s="88"/>
      <c r="D1318" s="88"/>
      <c r="E1318" s="88"/>
      <c r="F1318" s="88"/>
      <c r="G1318" s="87"/>
    </row>
    <row r="1319">
      <c r="A1319" s="87"/>
      <c r="B1319" s="88"/>
      <c r="C1319" s="88"/>
      <c r="D1319" s="88"/>
      <c r="E1319" s="88"/>
      <c r="F1319" s="88"/>
      <c r="G1319" s="87"/>
    </row>
    <row r="1320">
      <c r="A1320" s="87"/>
      <c r="B1320" s="88"/>
      <c r="C1320" s="88"/>
      <c r="D1320" s="88"/>
      <c r="E1320" s="88"/>
      <c r="F1320" s="88"/>
      <c r="G1320" s="87"/>
    </row>
    <row r="1321">
      <c r="A1321" s="87"/>
      <c r="B1321" s="88"/>
      <c r="C1321" s="88"/>
      <c r="D1321" s="88"/>
      <c r="E1321" s="88"/>
      <c r="F1321" s="88"/>
      <c r="G1321" s="87"/>
    </row>
    <row r="1322">
      <c r="A1322" s="87"/>
      <c r="B1322" s="88"/>
      <c r="C1322" s="88"/>
      <c r="D1322" s="88"/>
      <c r="E1322" s="88"/>
      <c r="F1322" s="88"/>
      <c r="G1322" s="87"/>
    </row>
    <row r="1323">
      <c r="A1323" s="87"/>
      <c r="B1323" s="88"/>
      <c r="C1323" s="88"/>
      <c r="D1323" s="88"/>
      <c r="E1323" s="88"/>
      <c r="F1323" s="88"/>
      <c r="G1323" s="87"/>
    </row>
    <row r="1324">
      <c r="A1324" s="87"/>
      <c r="B1324" s="88"/>
      <c r="C1324" s="88"/>
      <c r="D1324" s="88"/>
      <c r="E1324" s="88"/>
      <c r="F1324" s="88"/>
      <c r="G1324" s="87"/>
    </row>
    <row r="1325">
      <c r="A1325" s="87"/>
      <c r="B1325" s="88"/>
      <c r="C1325" s="88"/>
      <c r="D1325" s="88"/>
      <c r="E1325" s="88"/>
      <c r="F1325" s="88"/>
      <c r="G1325" s="87"/>
    </row>
    <row r="1326">
      <c r="A1326" s="87"/>
      <c r="B1326" s="88"/>
      <c r="C1326" s="88"/>
      <c r="D1326" s="88"/>
      <c r="E1326" s="88"/>
      <c r="F1326" s="88"/>
      <c r="G1326" s="87"/>
    </row>
    <row r="1327">
      <c r="A1327" s="87"/>
      <c r="B1327" s="88"/>
      <c r="C1327" s="88"/>
      <c r="D1327" s="88"/>
      <c r="E1327" s="88"/>
      <c r="F1327" s="88"/>
      <c r="G1327" s="87"/>
    </row>
    <row r="1328">
      <c r="A1328" s="87"/>
      <c r="B1328" s="88"/>
      <c r="C1328" s="88"/>
      <c r="D1328" s="88"/>
      <c r="E1328" s="88"/>
      <c r="F1328" s="88"/>
      <c r="G1328" s="87"/>
    </row>
    <row r="1329">
      <c r="A1329" s="87"/>
      <c r="B1329" s="88"/>
      <c r="C1329" s="88"/>
      <c r="D1329" s="88"/>
      <c r="E1329" s="88"/>
      <c r="F1329" s="88"/>
      <c r="G1329" s="87"/>
    </row>
    <row r="1330">
      <c r="A1330" s="87"/>
      <c r="B1330" s="88"/>
      <c r="C1330" s="88"/>
      <c r="D1330" s="88"/>
      <c r="E1330" s="88"/>
      <c r="F1330" s="88"/>
      <c r="G1330" s="87"/>
    </row>
    <row r="1331">
      <c r="A1331" s="87"/>
      <c r="B1331" s="88"/>
      <c r="C1331" s="88"/>
      <c r="D1331" s="88"/>
      <c r="E1331" s="88"/>
      <c r="F1331" s="88"/>
      <c r="G1331" s="87"/>
    </row>
    <row r="1332">
      <c r="A1332" s="87"/>
      <c r="B1332" s="88"/>
      <c r="C1332" s="88"/>
      <c r="D1332" s="88"/>
      <c r="E1332" s="88"/>
      <c r="F1332" s="88"/>
      <c r="G1332" s="87"/>
    </row>
    <row r="1333">
      <c r="A1333" s="87"/>
      <c r="B1333" s="88"/>
      <c r="C1333" s="88"/>
      <c r="D1333" s="88"/>
      <c r="E1333" s="88"/>
      <c r="F1333" s="88"/>
      <c r="G1333" s="87"/>
    </row>
    <row r="1334">
      <c r="A1334" s="87"/>
      <c r="B1334" s="88"/>
      <c r="C1334" s="88"/>
      <c r="D1334" s="88"/>
      <c r="E1334" s="88"/>
      <c r="F1334" s="88"/>
      <c r="G1334" s="87"/>
    </row>
    <row r="1335">
      <c r="A1335" s="87"/>
      <c r="B1335" s="88"/>
      <c r="C1335" s="88"/>
      <c r="D1335" s="88"/>
      <c r="E1335" s="88"/>
      <c r="F1335" s="88"/>
      <c r="G1335" s="87"/>
    </row>
    <row r="1336">
      <c r="A1336" s="87"/>
      <c r="B1336" s="88"/>
      <c r="C1336" s="88"/>
      <c r="D1336" s="88"/>
      <c r="E1336" s="88"/>
      <c r="F1336" s="88"/>
      <c r="G1336" s="87"/>
    </row>
    <row r="1337">
      <c r="A1337" s="87"/>
      <c r="B1337" s="88"/>
      <c r="C1337" s="88"/>
      <c r="D1337" s="88"/>
      <c r="E1337" s="88"/>
      <c r="F1337" s="88"/>
      <c r="G1337" s="87"/>
    </row>
    <row r="1338">
      <c r="A1338" s="87"/>
      <c r="B1338" s="88"/>
      <c r="C1338" s="88"/>
      <c r="D1338" s="88"/>
      <c r="E1338" s="88"/>
      <c r="F1338" s="88"/>
      <c r="G1338" s="87"/>
    </row>
    <row r="1339">
      <c r="A1339" s="87"/>
      <c r="B1339" s="88"/>
      <c r="C1339" s="88"/>
      <c r="D1339" s="88"/>
      <c r="E1339" s="88"/>
      <c r="F1339" s="88"/>
      <c r="G1339" s="87"/>
    </row>
    <row r="1340">
      <c r="A1340" s="87"/>
      <c r="B1340" s="88"/>
      <c r="C1340" s="88"/>
      <c r="D1340" s="88"/>
      <c r="E1340" s="88"/>
      <c r="F1340" s="88"/>
      <c r="G1340" s="87"/>
    </row>
    <row r="1341">
      <c r="A1341" s="87"/>
      <c r="B1341" s="88"/>
      <c r="C1341" s="88"/>
      <c r="D1341" s="88"/>
      <c r="E1341" s="88"/>
      <c r="F1341" s="88"/>
      <c r="G1341" s="87"/>
    </row>
    <row r="1342">
      <c r="A1342" s="87"/>
      <c r="B1342" s="88"/>
      <c r="C1342" s="88"/>
      <c r="D1342" s="88"/>
      <c r="E1342" s="88"/>
      <c r="F1342" s="88"/>
      <c r="G1342" s="87"/>
    </row>
    <row r="1343">
      <c r="A1343" s="87"/>
      <c r="B1343" s="88"/>
      <c r="C1343" s="88"/>
      <c r="D1343" s="88"/>
      <c r="E1343" s="88"/>
      <c r="F1343" s="88"/>
      <c r="G1343" s="87"/>
    </row>
    <row r="1344">
      <c r="A1344" s="87"/>
      <c r="B1344" s="88"/>
      <c r="C1344" s="88"/>
      <c r="D1344" s="88"/>
      <c r="E1344" s="88"/>
      <c r="F1344" s="88"/>
      <c r="G1344" s="87"/>
    </row>
    <row r="1345">
      <c r="A1345" s="87"/>
      <c r="B1345" s="88"/>
      <c r="C1345" s="88"/>
      <c r="D1345" s="88"/>
      <c r="E1345" s="88"/>
      <c r="F1345" s="88"/>
      <c r="G1345" s="87"/>
    </row>
    <row r="1346">
      <c r="A1346" s="87"/>
      <c r="B1346" s="88"/>
      <c r="C1346" s="88"/>
      <c r="D1346" s="88"/>
      <c r="E1346" s="88"/>
      <c r="F1346" s="88"/>
      <c r="G1346" s="87"/>
    </row>
    <row r="1347">
      <c r="A1347" s="87"/>
      <c r="B1347" s="88"/>
      <c r="C1347" s="88"/>
      <c r="D1347" s="88"/>
      <c r="E1347" s="88"/>
      <c r="F1347" s="88"/>
      <c r="G1347" s="87"/>
    </row>
    <row r="1348">
      <c r="A1348" s="87"/>
      <c r="B1348" s="88"/>
      <c r="C1348" s="88"/>
      <c r="D1348" s="88"/>
      <c r="E1348" s="88"/>
      <c r="F1348" s="88"/>
      <c r="G1348" s="87"/>
    </row>
    <row r="1349">
      <c r="A1349" s="87"/>
      <c r="B1349" s="88"/>
      <c r="C1349" s="88"/>
      <c r="D1349" s="88"/>
      <c r="E1349" s="88"/>
      <c r="F1349" s="88"/>
      <c r="G1349" s="87"/>
    </row>
    <row r="1350">
      <c r="A1350" s="87"/>
      <c r="B1350" s="88"/>
      <c r="C1350" s="88"/>
      <c r="D1350" s="88"/>
      <c r="E1350" s="88"/>
      <c r="F1350" s="88"/>
      <c r="G1350" s="87"/>
    </row>
    <row r="1351">
      <c r="A1351" s="87"/>
      <c r="B1351" s="88"/>
      <c r="C1351" s="88"/>
      <c r="D1351" s="88"/>
      <c r="E1351" s="88"/>
      <c r="F1351" s="88"/>
      <c r="G1351" s="87"/>
    </row>
    <row r="1352">
      <c r="A1352" s="87"/>
      <c r="B1352" s="88"/>
      <c r="C1352" s="88"/>
      <c r="D1352" s="88"/>
      <c r="E1352" s="88"/>
      <c r="F1352" s="88"/>
      <c r="G1352" s="87"/>
    </row>
    <row r="1353">
      <c r="A1353" s="87"/>
      <c r="B1353" s="88"/>
      <c r="C1353" s="88"/>
      <c r="D1353" s="88"/>
      <c r="E1353" s="88"/>
      <c r="F1353" s="88"/>
      <c r="G1353" s="87"/>
    </row>
    <row r="1354">
      <c r="A1354" s="87"/>
      <c r="B1354" s="88"/>
      <c r="C1354" s="88"/>
      <c r="D1354" s="88"/>
      <c r="E1354" s="88"/>
      <c r="F1354" s="88"/>
      <c r="G1354" s="87"/>
    </row>
    <row r="1355">
      <c r="A1355" s="87"/>
      <c r="B1355" s="88"/>
      <c r="C1355" s="88"/>
      <c r="D1355" s="88"/>
      <c r="E1355" s="88"/>
      <c r="F1355" s="88"/>
      <c r="G1355" s="87"/>
    </row>
    <row r="1356">
      <c r="A1356" s="87"/>
      <c r="B1356" s="88"/>
      <c r="C1356" s="88"/>
      <c r="D1356" s="88"/>
      <c r="E1356" s="88"/>
      <c r="F1356" s="88"/>
      <c r="G1356" s="87"/>
    </row>
    <row r="1357">
      <c r="A1357" s="87"/>
      <c r="B1357" s="88"/>
      <c r="C1357" s="88"/>
      <c r="D1357" s="88"/>
      <c r="E1357" s="88"/>
      <c r="F1357" s="88"/>
      <c r="G1357" s="87"/>
    </row>
    <row r="1358">
      <c r="A1358" s="87"/>
      <c r="B1358" s="88"/>
      <c r="C1358" s="88"/>
      <c r="D1358" s="88"/>
      <c r="E1358" s="88"/>
      <c r="F1358" s="88"/>
      <c r="G1358" s="87"/>
    </row>
    <row r="1359">
      <c r="A1359" s="87"/>
      <c r="B1359" s="88"/>
      <c r="C1359" s="88"/>
      <c r="D1359" s="88"/>
      <c r="E1359" s="88"/>
      <c r="F1359" s="88"/>
      <c r="G1359" s="87"/>
    </row>
    <row r="1360">
      <c r="A1360" s="87"/>
      <c r="B1360" s="88"/>
      <c r="C1360" s="88"/>
      <c r="D1360" s="88"/>
      <c r="E1360" s="88"/>
      <c r="F1360" s="88"/>
      <c r="G1360" s="87"/>
    </row>
    <row r="1361">
      <c r="A1361" s="87"/>
      <c r="B1361" s="88"/>
      <c r="C1361" s="88"/>
      <c r="D1361" s="88"/>
      <c r="E1361" s="88"/>
      <c r="F1361" s="88"/>
      <c r="G1361" s="87"/>
    </row>
    <row r="1362">
      <c r="A1362" s="87"/>
      <c r="B1362" s="88"/>
      <c r="C1362" s="88"/>
      <c r="D1362" s="88"/>
      <c r="E1362" s="88"/>
      <c r="F1362" s="88"/>
      <c r="G1362" s="87"/>
    </row>
    <row r="1363">
      <c r="A1363" s="87"/>
      <c r="B1363" s="88"/>
      <c r="C1363" s="88"/>
      <c r="D1363" s="88"/>
      <c r="E1363" s="88"/>
      <c r="F1363" s="88"/>
      <c r="G1363" s="87"/>
    </row>
    <row r="1364">
      <c r="A1364" s="87"/>
      <c r="B1364" s="88"/>
      <c r="C1364" s="88"/>
      <c r="D1364" s="88"/>
      <c r="E1364" s="88"/>
      <c r="F1364" s="88"/>
      <c r="G1364" s="87"/>
    </row>
    <row r="1365">
      <c r="A1365" s="87"/>
      <c r="B1365" s="88"/>
      <c r="C1365" s="88"/>
      <c r="D1365" s="88"/>
      <c r="E1365" s="88"/>
      <c r="F1365" s="88"/>
      <c r="G1365" s="87"/>
    </row>
    <row r="1366">
      <c r="A1366" s="87"/>
      <c r="B1366" s="88"/>
      <c r="C1366" s="88"/>
      <c r="D1366" s="88"/>
      <c r="E1366" s="88"/>
      <c r="F1366" s="88"/>
      <c r="G1366" s="87"/>
    </row>
    <row r="1367">
      <c r="A1367" s="87"/>
      <c r="B1367" s="88"/>
      <c r="C1367" s="88"/>
      <c r="D1367" s="88"/>
      <c r="E1367" s="88"/>
      <c r="F1367" s="88"/>
      <c r="G1367" s="87"/>
    </row>
    <row r="1368">
      <c r="A1368" s="87"/>
      <c r="B1368" s="88"/>
      <c r="C1368" s="88"/>
      <c r="D1368" s="88"/>
      <c r="E1368" s="88"/>
      <c r="F1368" s="88"/>
      <c r="G1368" s="87"/>
    </row>
    <row r="1369">
      <c r="A1369" s="87"/>
      <c r="B1369" s="88"/>
      <c r="C1369" s="88"/>
      <c r="D1369" s="88"/>
      <c r="E1369" s="88"/>
      <c r="F1369" s="88"/>
      <c r="G1369" s="87"/>
    </row>
    <row r="1370">
      <c r="A1370" s="87"/>
      <c r="B1370" s="88"/>
      <c r="C1370" s="88"/>
      <c r="D1370" s="88"/>
      <c r="E1370" s="88"/>
      <c r="F1370" s="88"/>
      <c r="G1370" s="87"/>
    </row>
    <row r="1371">
      <c r="A1371" s="87"/>
      <c r="B1371" s="88"/>
      <c r="C1371" s="88"/>
      <c r="D1371" s="88"/>
      <c r="E1371" s="88"/>
      <c r="F1371" s="88"/>
      <c r="G1371" s="87"/>
    </row>
    <row r="1372">
      <c r="A1372" s="87"/>
      <c r="B1372" s="88"/>
      <c r="C1372" s="88"/>
      <c r="D1372" s="88"/>
      <c r="E1372" s="88"/>
      <c r="F1372" s="88"/>
      <c r="G1372" s="87"/>
    </row>
    <row r="1373">
      <c r="A1373" s="87"/>
      <c r="B1373" s="88"/>
      <c r="C1373" s="88"/>
      <c r="D1373" s="88"/>
      <c r="E1373" s="88"/>
      <c r="F1373" s="88"/>
      <c r="G1373" s="87"/>
    </row>
    <row r="1374">
      <c r="A1374" s="87"/>
      <c r="B1374" s="88"/>
      <c r="C1374" s="88"/>
      <c r="D1374" s="88"/>
      <c r="E1374" s="88"/>
      <c r="F1374" s="88"/>
      <c r="G1374" s="87"/>
    </row>
    <row r="1375">
      <c r="A1375" s="87"/>
      <c r="B1375" s="88"/>
      <c r="C1375" s="88"/>
      <c r="D1375" s="88"/>
      <c r="E1375" s="88"/>
      <c r="F1375" s="88"/>
      <c r="G1375" s="87"/>
    </row>
    <row r="1376">
      <c r="A1376" s="87"/>
      <c r="B1376" s="88"/>
      <c r="C1376" s="88"/>
      <c r="D1376" s="88"/>
      <c r="E1376" s="88"/>
      <c r="F1376" s="88"/>
      <c r="G1376" s="87"/>
    </row>
    <row r="1377">
      <c r="A1377" s="87"/>
      <c r="B1377" s="88"/>
      <c r="C1377" s="88"/>
      <c r="D1377" s="88"/>
      <c r="E1377" s="88"/>
      <c r="F1377" s="88"/>
      <c r="G1377" s="87"/>
    </row>
    <row r="1378">
      <c r="A1378" s="87"/>
      <c r="B1378" s="88"/>
      <c r="C1378" s="88"/>
      <c r="D1378" s="88"/>
      <c r="E1378" s="88"/>
      <c r="F1378" s="88"/>
      <c r="G1378" s="87"/>
    </row>
    <row r="1379">
      <c r="A1379" s="87"/>
      <c r="B1379" s="88"/>
      <c r="C1379" s="88"/>
      <c r="D1379" s="88"/>
      <c r="E1379" s="88"/>
      <c r="F1379" s="88"/>
      <c r="G1379" s="87"/>
    </row>
    <row r="1380">
      <c r="A1380" s="87"/>
      <c r="B1380" s="88"/>
      <c r="C1380" s="88"/>
      <c r="D1380" s="88"/>
      <c r="E1380" s="88"/>
      <c r="F1380" s="88"/>
      <c r="G1380" s="87"/>
    </row>
    <row r="1381">
      <c r="A1381" s="87"/>
      <c r="B1381" s="88"/>
      <c r="C1381" s="88"/>
      <c r="D1381" s="88"/>
      <c r="E1381" s="88"/>
      <c r="F1381" s="88"/>
      <c r="G1381" s="87"/>
    </row>
    <row r="1382">
      <c r="A1382" s="87"/>
      <c r="B1382" s="88"/>
      <c r="C1382" s="88"/>
      <c r="D1382" s="88"/>
      <c r="E1382" s="88"/>
      <c r="F1382" s="88"/>
      <c r="G1382" s="87"/>
    </row>
    <row r="1383">
      <c r="A1383" s="87"/>
      <c r="B1383" s="88"/>
      <c r="C1383" s="88"/>
      <c r="D1383" s="88"/>
      <c r="E1383" s="88"/>
      <c r="F1383" s="88"/>
      <c r="G1383" s="87"/>
    </row>
    <row r="1384">
      <c r="A1384" s="87"/>
      <c r="B1384" s="88"/>
      <c r="C1384" s="88"/>
      <c r="D1384" s="88"/>
      <c r="E1384" s="88"/>
      <c r="F1384" s="88"/>
      <c r="G1384" s="87"/>
    </row>
    <row r="1385">
      <c r="A1385" s="87"/>
      <c r="B1385" s="88"/>
      <c r="C1385" s="88"/>
      <c r="D1385" s="88"/>
      <c r="E1385" s="88"/>
      <c r="F1385" s="88"/>
      <c r="G1385" s="87"/>
    </row>
    <row r="1386">
      <c r="A1386" s="87"/>
      <c r="B1386" s="88"/>
      <c r="C1386" s="88"/>
      <c r="D1386" s="88"/>
      <c r="E1386" s="88"/>
      <c r="F1386" s="88"/>
      <c r="G1386" s="87"/>
    </row>
    <row r="1387">
      <c r="A1387" s="87"/>
      <c r="B1387" s="88"/>
      <c r="C1387" s="88"/>
      <c r="D1387" s="88"/>
      <c r="E1387" s="88"/>
      <c r="F1387" s="88"/>
      <c r="G1387" s="87"/>
    </row>
    <row r="1388">
      <c r="A1388" s="87"/>
      <c r="B1388" s="88"/>
      <c r="C1388" s="88"/>
      <c r="D1388" s="88"/>
      <c r="E1388" s="88"/>
      <c r="F1388" s="88"/>
      <c r="G1388" s="87"/>
    </row>
    <row r="1389">
      <c r="A1389" s="87"/>
      <c r="B1389" s="88"/>
      <c r="C1389" s="88"/>
      <c r="D1389" s="88"/>
      <c r="E1389" s="88"/>
      <c r="F1389" s="88"/>
      <c r="G1389" s="87"/>
    </row>
    <row r="1390">
      <c r="A1390" s="87"/>
      <c r="B1390" s="88"/>
      <c r="C1390" s="88"/>
      <c r="D1390" s="88"/>
      <c r="E1390" s="88"/>
      <c r="F1390" s="88"/>
      <c r="G1390" s="87"/>
    </row>
    <row r="1391">
      <c r="A1391" s="87"/>
      <c r="B1391" s="88"/>
      <c r="C1391" s="88"/>
      <c r="D1391" s="88"/>
      <c r="E1391" s="88"/>
      <c r="F1391" s="88"/>
      <c r="G1391" s="87"/>
    </row>
    <row r="1392">
      <c r="A1392" s="87"/>
      <c r="B1392" s="88"/>
      <c r="C1392" s="88"/>
      <c r="D1392" s="88"/>
      <c r="E1392" s="88"/>
      <c r="F1392" s="88"/>
      <c r="G1392" s="87"/>
    </row>
    <row r="1393">
      <c r="A1393" s="87"/>
      <c r="B1393" s="88"/>
      <c r="C1393" s="88"/>
      <c r="D1393" s="88"/>
      <c r="E1393" s="88"/>
      <c r="F1393" s="88"/>
      <c r="G1393" s="87"/>
    </row>
    <row r="1394">
      <c r="A1394" s="87"/>
      <c r="B1394" s="88"/>
      <c r="C1394" s="88"/>
      <c r="D1394" s="88"/>
      <c r="E1394" s="88"/>
      <c r="F1394" s="88"/>
      <c r="G1394" s="87"/>
    </row>
    <row r="1395">
      <c r="A1395" s="87"/>
      <c r="B1395" s="88"/>
      <c r="C1395" s="88"/>
      <c r="D1395" s="88"/>
      <c r="E1395" s="88"/>
      <c r="F1395" s="88"/>
      <c r="G1395" s="87"/>
    </row>
    <row r="1396">
      <c r="A1396" s="87"/>
      <c r="B1396" s="88"/>
      <c r="C1396" s="88"/>
      <c r="D1396" s="88"/>
      <c r="E1396" s="88"/>
      <c r="F1396" s="88"/>
      <c r="G1396" s="87"/>
    </row>
    <row r="1397">
      <c r="A1397" s="87"/>
      <c r="B1397" s="88"/>
      <c r="C1397" s="88"/>
      <c r="D1397" s="88"/>
      <c r="E1397" s="88"/>
      <c r="F1397" s="88"/>
      <c r="G1397" s="87"/>
    </row>
    <row r="1398">
      <c r="A1398" s="87"/>
      <c r="B1398" s="88"/>
      <c r="C1398" s="88"/>
      <c r="D1398" s="88"/>
      <c r="E1398" s="88"/>
      <c r="F1398" s="88"/>
      <c r="G1398" s="87"/>
    </row>
    <row r="1399">
      <c r="A1399" s="87"/>
      <c r="B1399" s="88"/>
      <c r="C1399" s="88"/>
      <c r="D1399" s="88"/>
      <c r="E1399" s="88"/>
      <c r="F1399" s="88"/>
      <c r="G1399" s="87"/>
    </row>
    <row r="1400">
      <c r="A1400" s="87"/>
      <c r="B1400" s="88"/>
      <c r="C1400" s="88"/>
      <c r="D1400" s="88"/>
      <c r="E1400" s="88"/>
      <c r="F1400" s="88"/>
      <c r="G1400" s="87"/>
    </row>
    <row r="1401">
      <c r="A1401" s="87"/>
      <c r="B1401" s="88"/>
      <c r="C1401" s="88"/>
      <c r="D1401" s="88"/>
      <c r="E1401" s="88"/>
      <c r="F1401" s="88"/>
      <c r="G1401" s="87"/>
    </row>
    <row r="1402">
      <c r="A1402" s="87"/>
      <c r="B1402" s="88"/>
      <c r="C1402" s="88"/>
      <c r="D1402" s="88"/>
      <c r="E1402" s="88"/>
      <c r="F1402" s="88"/>
      <c r="G1402" s="87"/>
    </row>
    <row r="1403">
      <c r="A1403" s="87"/>
      <c r="B1403" s="88"/>
      <c r="C1403" s="88"/>
      <c r="D1403" s="88"/>
      <c r="E1403" s="88"/>
      <c r="F1403" s="88"/>
      <c r="G1403" s="87"/>
    </row>
    <row r="1404">
      <c r="A1404" s="87"/>
      <c r="B1404" s="88"/>
      <c r="C1404" s="88"/>
      <c r="D1404" s="88"/>
      <c r="E1404" s="88"/>
      <c r="F1404" s="88"/>
      <c r="G1404" s="87"/>
    </row>
    <row r="1405">
      <c r="A1405" s="87"/>
      <c r="B1405" s="88"/>
      <c r="C1405" s="88"/>
      <c r="D1405" s="88"/>
      <c r="E1405" s="88"/>
      <c r="F1405" s="88"/>
      <c r="G1405" s="87"/>
    </row>
    <row r="1406">
      <c r="A1406" s="87"/>
      <c r="B1406" s="88"/>
      <c r="C1406" s="88"/>
      <c r="D1406" s="88"/>
      <c r="E1406" s="88"/>
      <c r="F1406" s="88"/>
      <c r="G1406" s="87"/>
    </row>
    <row r="1407">
      <c r="A1407" s="87"/>
      <c r="B1407" s="88"/>
      <c r="C1407" s="88"/>
      <c r="D1407" s="88"/>
      <c r="E1407" s="88"/>
      <c r="F1407" s="88"/>
      <c r="G1407" s="87"/>
    </row>
    <row r="1408">
      <c r="A1408" s="87"/>
      <c r="B1408" s="88"/>
      <c r="C1408" s="88"/>
      <c r="D1408" s="88"/>
      <c r="E1408" s="88"/>
      <c r="F1408" s="88"/>
      <c r="G1408" s="87"/>
    </row>
    <row r="1409">
      <c r="A1409" s="87"/>
      <c r="B1409" s="88"/>
      <c r="C1409" s="88"/>
      <c r="D1409" s="88"/>
      <c r="E1409" s="88"/>
      <c r="F1409" s="88"/>
      <c r="G1409" s="87"/>
    </row>
    <row r="1410">
      <c r="A1410" s="87"/>
      <c r="B1410" s="88"/>
      <c r="C1410" s="88"/>
      <c r="D1410" s="88"/>
      <c r="E1410" s="88"/>
      <c r="F1410" s="88"/>
      <c r="G1410" s="87"/>
    </row>
    <row r="1411">
      <c r="A1411" s="87"/>
      <c r="B1411" s="88"/>
      <c r="C1411" s="88"/>
      <c r="D1411" s="88"/>
      <c r="E1411" s="88"/>
      <c r="F1411" s="88"/>
      <c r="G1411" s="87"/>
    </row>
    <row r="1412">
      <c r="A1412" s="87"/>
      <c r="B1412" s="88"/>
      <c r="C1412" s="88"/>
      <c r="D1412" s="88"/>
      <c r="E1412" s="88"/>
      <c r="F1412" s="88"/>
      <c r="G1412" s="87"/>
    </row>
    <row r="1413">
      <c r="A1413" s="87"/>
      <c r="B1413" s="88"/>
      <c r="C1413" s="88"/>
      <c r="D1413" s="88"/>
      <c r="E1413" s="88"/>
      <c r="F1413" s="88"/>
      <c r="G1413" s="87"/>
    </row>
    <row r="1414">
      <c r="A1414" s="87"/>
      <c r="B1414" s="88"/>
      <c r="C1414" s="88"/>
      <c r="D1414" s="88"/>
      <c r="E1414" s="88"/>
      <c r="F1414" s="88"/>
      <c r="G1414" s="87"/>
    </row>
    <row r="1415">
      <c r="A1415" s="87"/>
      <c r="B1415" s="88"/>
      <c r="C1415" s="88"/>
      <c r="D1415" s="88"/>
      <c r="E1415" s="88"/>
      <c r="F1415" s="88"/>
      <c r="G1415" s="87"/>
    </row>
    <row r="1416">
      <c r="A1416" s="87"/>
      <c r="B1416" s="88"/>
      <c r="C1416" s="88"/>
      <c r="D1416" s="88"/>
      <c r="E1416" s="88"/>
      <c r="F1416" s="88"/>
      <c r="G1416" s="87"/>
    </row>
    <row r="1417">
      <c r="A1417" s="87"/>
      <c r="B1417" s="88"/>
      <c r="C1417" s="88"/>
      <c r="D1417" s="88"/>
      <c r="E1417" s="88"/>
      <c r="F1417" s="88"/>
      <c r="G1417" s="87"/>
    </row>
    <row r="1418">
      <c r="A1418" s="87"/>
      <c r="B1418" s="88"/>
      <c r="C1418" s="88"/>
      <c r="D1418" s="88"/>
      <c r="E1418" s="88"/>
      <c r="F1418" s="88"/>
      <c r="G1418" s="87"/>
    </row>
    <row r="1419">
      <c r="A1419" s="87"/>
      <c r="B1419" s="88"/>
      <c r="C1419" s="88"/>
      <c r="D1419" s="88"/>
      <c r="E1419" s="88"/>
      <c r="F1419" s="88"/>
      <c r="G1419" s="87"/>
    </row>
    <row r="1420">
      <c r="A1420" s="87"/>
      <c r="B1420" s="88"/>
      <c r="C1420" s="88"/>
      <c r="D1420" s="88"/>
      <c r="E1420" s="88"/>
      <c r="F1420" s="88"/>
      <c r="G1420" s="87"/>
    </row>
    <row r="1421">
      <c r="A1421" s="87"/>
      <c r="B1421" s="88"/>
      <c r="C1421" s="88"/>
      <c r="D1421" s="88"/>
      <c r="E1421" s="88"/>
      <c r="F1421" s="88"/>
      <c r="G1421" s="87"/>
    </row>
    <row r="1422">
      <c r="A1422" s="87"/>
      <c r="B1422" s="88"/>
      <c r="C1422" s="88"/>
      <c r="D1422" s="88"/>
      <c r="E1422" s="88"/>
      <c r="F1422" s="88"/>
      <c r="G1422" s="87"/>
    </row>
    <row r="1423">
      <c r="A1423" s="87"/>
      <c r="B1423" s="88"/>
      <c r="C1423" s="88"/>
      <c r="D1423" s="88"/>
      <c r="E1423" s="88"/>
      <c r="F1423" s="88"/>
      <c r="G1423" s="87"/>
    </row>
    <row r="1424">
      <c r="A1424" s="87"/>
      <c r="B1424" s="88"/>
      <c r="C1424" s="88"/>
      <c r="D1424" s="88"/>
      <c r="E1424" s="88"/>
      <c r="F1424" s="88"/>
      <c r="G1424" s="87"/>
    </row>
    <row r="1425">
      <c r="A1425" s="87"/>
      <c r="B1425" s="88"/>
      <c r="C1425" s="88"/>
      <c r="D1425" s="88"/>
      <c r="E1425" s="88"/>
      <c r="F1425" s="88"/>
      <c r="G1425" s="87"/>
    </row>
    <row r="1426">
      <c r="A1426" s="87"/>
      <c r="B1426" s="88"/>
      <c r="C1426" s="88"/>
      <c r="D1426" s="88"/>
      <c r="E1426" s="88"/>
      <c r="F1426" s="88"/>
      <c r="G1426" s="87"/>
    </row>
    <row r="1427">
      <c r="A1427" s="87"/>
      <c r="B1427" s="88"/>
      <c r="C1427" s="88"/>
      <c r="D1427" s="88"/>
      <c r="E1427" s="88"/>
      <c r="F1427" s="88"/>
      <c r="G1427" s="87"/>
    </row>
    <row r="1428">
      <c r="A1428" s="87"/>
      <c r="B1428" s="88"/>
      <c r="C1428" s="88"/>
      <c r="D1428" s="88"/>
      <c r="E1428" s="88"/>
      <c r="F1428" s="88"/>
      <c r="G1428" s="87"/>
    </row>
    <row r="1429">
      <c r="A1429" s="87"/>
      <c r="B1429" s="88"/>
      <c r="C1429" s="88"/>
      <c r="D1429" s="88"/>
      <c r="E1429" s="88"/>
      <c r="F1429" s="88"/>
      <c r="G1429" s="87"/>
    </row>
    <row r="1430">
      <c r="A1430" s="87"/>
      <c r="B1430" s="88"/>
      <c r="C1430" s="88"/>
      <c r="D1430" s="88"/>
      <c r="E1430" s="88"/>
      <c r="F1430" s="88"/>
      <c r="G1430" s="87"/>
    </row>
    <row r="1431">
      <c r="A1431" s="87"/>
      <c r="B1431" s="88"/>
      <c r="C1431" s="88"/>
      <c r="D1431" s="88"/>
      <c r="E1431" s="88"/>
      <c r="F1431" s="88"/>
      <c r="G1431" s="87"/>
    </row>
    <row r="1432">
      <c r="A1432" s="87"/>
      <c r="B1432" s="88"/>
      <c r="C1432" s="88"/>
      <c r="D1432" s="88"/>
      <c r="E1432" s="88"/>
      <c r="F1432" s="88"/>
      <c r="G1432" s="87"/>
    </row>
    <row r="1433">
      <c r="A1433" s="87"/>
      <c r="B1433" s="88"/>
      <c r="C1433" s="88"/>
      <c r="D1433" s="88"/>
      <c r="E1433" s="88"/>
      <c r="F1433" s="88"/>
      <c r="G1433" s="87"/>
    </row>
    <row r="1434">
      <c r="A1434" s="87"/>
      <c r="B1434" s="88"/>
      <c r="C1434" s="88"/>
      <c r="D1434" s="88"/>
      <c r="E1434" s="88"/>
      <c r="F1434" s="88"/>
      <c r="G1434" s="87"/>
    </row>
    <row r="1435">
      <c r="A1435" s="87"/>
      <c r="B1435" s="88"/>
      <c r="C1435" s="88"/>
      <c r="D1435" s="88"/>
      <c r="E1435" s="88"/>
      <c r="F1435" s="88"/>
      <c r="G1435" s="87"/>
    </row>
    <row r="1436">
      <c r="A1436" s="87"/>
      <c r="B1436" s="88"/>
      <c r="C1436" s="88"/>
      <c r="D1436" s="88"/>
      <c r="E1436" s="88"/>
      <c r="F1436" s="88"/>
      <c r="G1436" s="87"/>
    </row>
    <row r="1437">
      <c r="A1437" s="87"/>
      <c r="B1437" s="88"/>
      <c r="C1437" s="88"/>
      <c r="D1437" s="88"/>
      <c r="E1437" s="88"/>
      <c r="F1437" s="88"/>
      <c r="G1437" s="87"/>
    </row>
    <row r="1438">
      <c r="A1438" s="87"/>
      <c r="B1438" s="88"/>
      <c r="C1438" s="88"/>
      <c r="D1438" s="88"/>
      <c r="E1438" s="88"/>
      <c r="F1438" s="88"/>
      <c r="G1438" s="87"/>
    </row>
    <row r="1439">
      <c r="A1439" s="87"/>
      <c r="B1439" s="88"/>
      <c r="C1439" s="88"/>
      <c r="D1439" s="88"/>
      <c r="E1439" s="88"/>
      <c r="F1439" s="88"/>
      <c r="G1439" s="87"/>
    </row>
    <row r="1440">
      <c r="A1440" s="87"/>
      <c r="B1440" s="88"/>
      <c r="C1440" s="88"/>
      <c r="D1440" s="88"/>
      <c r="E1440" s="88"/>
      <c r="F1440" s="88"/>
      <c r="G1440" s="87"/>
    </row>
    <row r="1441">
      <c r="A1441" s="87"/>
      <c r="B1441" s="88"/>
      <c r="C1441" s="88"/>
      <c r="D1441" s="88"/>
      <c r="E1441" s="88"/>
      <c r="F1441" s="88"/>
      <c r="G1441" s="87"/>
    </row>
    <row r="1442">
      <c r="A1442" s="87"/>
      <c r="B1442" s="88"/>
      <c r="C1442" s="88"/>
      <c r="D1442" s="88"/>
      <c r="E1442" s="88"/>
      <c r="F1442" s="88"/>
      <c r="G1442" s="87"/>
    </row>
    <row r="1443">
      <c r="A1443" s="87"/>
      <c r="B1443" s="88"/>
      <c r="C1443" s="88"/>
      <c r="D1443" s="88"/>
      <c r="E1443" s="88"/>
      <c r="F1443" s="88"/>
      <c r="G1443" s="87"/>
    </row>
    <row r="1444">
      <c r="A1444" s="87"/>
      <c r="B1444" s="88"/>
      <c r="C1444" s="88"/>
      <c r="D1444" s="88"/>
      <c r="E1444" s="88"/>
      <c r="F1444" s="88"/>
      <c r="G1444" s="87"/>
    </row>
    <row r="1445">
      <c r="A1445" s="87"/>
      <c r="B1445" s="88"/>
      <c r="C1445" s="88"/>
      <c r="D1445" s="88"/>
      <c r="E1445" s="88"/>
      <c r="F1445" s="88"/>
      <c r="G1445" s="87"/>
    </row>
    <row r="1446">
      <c r="A1446" s="87"/>
      <c r="B1446" s="88"/>
      <c r="C1446" s="88"/>
      <c r="D1446" s="88"/>
      <c r="E1446" s="88"/>
      <c r="F1446" s="88"/>
      <c r="G1446" s="87"/>
    </row>
    <row r="1447">
      <c r="A1447" s="87"/>
      <c r="B1447" s="88"/>
      <c r="C1447" s="88"/>
      <c r="D1447" s="88"/>
      <c r="E1447" s="88"/>
      <c r="F1447" s="88"/>
      <c r="G1447" s="87"/>
    </row>
    <row r="1448">
      <c r="A1448" s="87"/>
      <c r="B1448" s="88"/>
      <c r="C1448" s="88"/>
      <c r="D1448" s="88"/>
      <c r="E1448" s="88"/>
      <c r="F1448" s="88"/>
      <c r="G1448" s="87"/>
    </row>
    <row r="1449">
      <c r="A1449" s="87"/>
      <c r="B1449" s="88"/>
      <c r="C1449" s="88"/>
      <c r="D1449" s="88"/>
      <c r="E1449" s="88"/>
      <c r="F1449" s="88"/>
      <c r="G1449" s="87"/>
    </row>
    <row r="1450">
      <c r="A1450" s="87"/>
      <c r="B1450" s="88"/>
      <c r="C1450" s="88"/>
      <c r="D1450" s="88"/>
      <c r="E1450" s="88"/>
      <c r="F1450" s="88"/>
      <c r="G1450" s="87"/>
    </row>
    <row r="1451">
      <c r="A1451" s="87"/>
      <c r="B1451" s="88"/>
      <c r="C1451" s="88"/>
      <c r="D1451" s="88"/>
      <c r="E1451" s="88"/>
      <c r="F1451" s="88"/>
      <c r="G1451" s="87"/>
    </row>
    <row r="1452">
      <c r="A1452" s="87"/>
      <c r="B1452" s="88"/>
      <c r="C1452" s="88"/>
      <c r="D1452" s="88"/>
      <c r="E1452" s="88"/>
      <c r="F1452" s="88"/>
      <c r="G1452" s="87"/>
    </row>
    <row r="1453">
      <c r="A1453" s="87"/>
      <c r="B1453" s="88"/>
      <c r="C1453" s="88"/>
      <c r="D1453" s="88"/>
      <c r="E1453" s="88"/>
      <c r="F1453" s="88"/>
      <c r="G1453" s="87"/>
    </row>
    <row r="1454">
      <c r="A1454" s="87"/>
      <c r="B1454" s="88"/>
      <c r="C1454" s="88"/>
      <c r="D1454" s="88"/>
      <c r="E1454" s="88"/>
      <c r="F1454" s="88"/>
      <c r="G1454" s="87"/>
    </row>
    <row r="1455">
      <c r="A1455" s="87"/>
      <c r="B1455" s="88"/>
      <c r="C1455" s="88"/>
      <c r="D1455" s="88"/>
      <c r="E1455" s="88"/>
      <c r="F1455" s="88"/>
      <c r="G1455" s="87"/>
    </row>
    <row r="1456">
      <c r="A1456" s="87"/>
      <c r="B1456" s="88"/>
      <c r="C1456" s="88"/>
      <c r="D1456" s="88"/>
      <c r="E1456" s="88"/>
      <c r="F1456" s="88"/>
      <c r="G1456" s="87"/>
    </row>
    <row r="1457">
      <c r="A1457" s="87"/>
      <c r="B1457" s="88"/>
      <c r="C1457" s="88"/>
      <c r="D1457" s="88"/>
      <c r="E1457" s="88"/>
      <c r="F1457" s="88"/>
      <c r="G1457" s="87"/>
    </row>
    <row r="1458">
      <c r="A1458" s="87"/>
      <c r="B1458" s="88"/>
      <c r="C1458" s="88"/>
      <c r="D1458" s="88"/>
      <c r="E1458" s="88"/>
      <c r="F1458" s="88"/>
      <c r="G1458" s="87"/>
    </row>
    <row r="1459">
      <c r="A1459" s="87"/>
      <c r="B1459" s="88"/>
      <c r="C1459" s="88"/>
      <c r="D1459" s="88"/>
      <c r="E1459" s="88"/>
      <c r="F1459" s="88"/>
      <c r="G1459" s="87"/>
    </row>
    <row r="1460">
      <c r="A1460" s="87"/>
      <c r="B1460" s="88"/>
      <c r="C1460" s="88"/>
      <c r="D1460" s="88"/>
      <c r="E1460" s="88"/>
      <c r="F1460" s="88"/>
      <c r="G1460" s="87"/>
    </row>
    <row r="1461">
      <c r="A1461" s="87"/>
      <c r="B1461" s="88"/>
      <c r="C1461" s="88"/>
      <c r="D1461" s="88"/>
      <c r="E1461" s="88"/>
      <c r="F1461" s="88"/>
      <c r="G1461" s="87"/>
    </row>
    <row r="1462">
      <c r="A1462" s="87"/>
      <c r="B1462" s="88"/>
      <c r="C1462" s="88"/>
      <c r="D1462" s="88"/>
      <c r="E1462" s="88"/>
      <c r="F1462" s="88"/>
      <c r="G1462" s="87"/>
    </row>
    <row r="1463">
      <c r="A1463" s="87"/>
      <c r="B1463" s="88"/>
      <c r="C1463" s="88"/>
      <c r="D1463" s="88"/>
      <c r="E1463" s="88"/>
      <c r="F1463" s="88"/>
      <c r="G1463" s="87"/>
    </row>
    <row r="1464">
      <c r="A1464" s="87"/>
      <c r="B1464" s="88"/>
      <c r="C1464" s="88"/>
      <c r="D1464" s="88"/>
      <c r="E1464" s="88"/>
      <c r="F1464" s="88"/>
      <c r="G1464" s="87"/>
    </row>
    <row r="1465">
      <c r="A1465" s="87"/>
      <c r="B1465" s="88"/>
      <c r="C1465" s="88"/>
      <c r="D1465" s="88"/>
      <c r="E1465" s="88"/>
      <c r="F1465" s="88"/>
      <c r="G1465" s="87"/>
    </row>
    <row r="1466">
      <c r="A1466" s="87"/>
      <c r="B1466" s="88"/>
      <c r="C1466" s="88"/>
      <c r="D1466" s="88"/>
      <c r="E1466" s="88"/>
      <c r="F1466" s="88"/>
      <c r="G1466" s="87"/>
    </row>
    <row r="1467">
      <c r="A1467" s="87"/>
      <c r="B1467" s="88"/>
      <c r="C1467" s="88"/>
      <c r="D1467" s="88"/>
      <c r="E1467" s="88"/>
      <c r="F1467" s="88"/>
      <c r="G1467" s="87"/>
    </row>
    <row r="1468">
      <c r="A1468" s="87"/>
      <c r="B1468" s="88"/>
      <c r="C1468" s="88"/>
      <c r="D1468" s="88"/>
      <c r="E1468" s="88"/>
      <c r="F1468" s="88"/>
      <c r="G1468" s="87"/>
    </row>
    <row r="1469">
      <c r="A1469" s="87"/>
      <c r="B1469" s="88"/>
      <c r="C1469" s="88"/>
      <c r="D1469" s="88"/>
      <c r="E1469" s="88"/>
      <c r="F1469" s="88"/>
      <c r="G1469" s="87"/>
    </row>
    <row r="1470">
      <c r="A1470" s="87"/>
      <c r="B1470" s="88"/>
      <c r="C1470" s="88"/>
      <c r="D1470" s="88"/>
      <c r="E1470" s="88"/>
      <c r="F1470" s="88"/>
      <c r="G1470" s="87"/>
    </row>
    <row r="1471">
      <c r="A1471" s="87"/>
      <c r="B1471" s="88"/>
      <c r="C1471" s="88"/>
      <c r="D1471" s="88"/>
      <c r="E1471" s="88"/>
      <c r="F1471" s="88"/>
      <c r="G1471" s="87"/>
    </row>
    <row r="1472">
      <c r="A1472" s="87"/>
      <c r="B1472" s="88"/>
      <c r="C1472" s="88"/>
      <c r="D1472" s="88"/>
      <c r="E1472" s="88"/>
      <c r="F1472" s="88"/>
      <c r="G1472" s="87"/>
    </row>
    <row r="1473">
      <c r="A1473" s="87"/>
      <c r="B1473" s="88"/>
      <c r="C1473" s="88"/>
      <c r="D1473" s="88"/>
      <c r="E1473" s="88"/>
      <c r="F1473" s="88"/>
      <c r="G1473" s="87"/>
    </row>
    <row r="1474">
      <c r="A1474" s="87"/>
      <c r="B1474" s="88"/>
      <c r="C1474" s="88"/>
      <c r="D1474" s="88"/>
      <c r="E1474" s="88"/>
      <c r="F1474" s="88"/>
      <c r="G1474" s="87"/>
    </row>
    <row r="1475">
      <c r="A1475" s="87"/>
      <c r="B1475" s="88"/>
      <c r="C1475" s="88"/>
      <c r="D1475" s="88"/>
      <c r="E1475" s="88"/>
      <c r="F1475" s="88"/>
      <c r="G1475" s="87"/>
    </row>
    <row r="1476">
      <c r="A1476" s="87"/>
      <c r="B1476" s="88"/>
      <c r="C1476" s="88"/>
      <c r="D1476" s="88"/>
      <c r="E1476" s="88"/>
      <c r="F1476" s="88"/>
      <c r="G1476" s="87"/>
    </row>
    <row r="1477">
      <c r="A1477" s="87"/>
      <c r="B1477" s="88"/>
      <c r="C1477" s="88"/>
      <c r="D1477" s="88"/>
      <c r="E1477" s="88"/>
      <c r="F1477" s="88"/>
      <c r="G1477" s="87"/>
    </row>
    <row r="1478">
      <c r="A1478" s="87"/>
      <c r="B1478" s="88"/>
      <c r="C1478" s="88"/>
      <c r="D1478" s="88"/>
      <c r="E1478" s="88"/>
      <c r="F1478" s="88"/>
      <c r="G1478" s="87"/>
    </row>
    <row r="1479">
      <c r="A1479" s="87"/>
      <c r="B1479" s="88"/>
      <c r="C1479" s="88"/>
      <c r="D1479" s="88"/>
      <c r="E1479" s="88"/>
      <c r="F1479" s="88"/>
      <c r="G1479" s="87"/>
    </row>
    <row r="1480">
      <c r="A1480" s="87"/>
      <c r="B1480" s="88"/>
      <c r="C1480" s="88"/>
      <c r="D1480" s="88"/>
      <c r="E1480" s="88"/>
      <c r="F1480" s="88"/>
      <c r="G1480" s="87"/>
    </row>
    <row r="1481">
      <c r="A1481" s="87"/>
      <c r="B1481" s="88"/>
      <c r="C1481" s="88"/>
      <c r="D1481" s="88"/>
      <c r="E1481" s="88"/>
      <c r="F1481" s="88"/>
      <c r="G1481" s="87"/>
    </row>
    <row r="1482">
      <c r="A1482" s="87"/>
      <c r="B1482" s="88"/>
      <c r="C1482" s="88"/>
      <c r="D1482" s="88"/>
      <c r="E1482" s="88"/>
      <c r="F1482" s="88"/>
      <c r="G1482" s="87"/>
    </row>
    <row r="1483">
      <c r="A1483" s="87"/>
      <c r="B1483" s="88"/>
      <c r="C1483" s="88"/>
      <c r="D1483" s="88"/>
      <c r="E1483" s="88"/>
      <c r="F1483" s="88"/>
      <c r="G1483" s="87"/>
    </row>
    <row r="1484">
      <c r="A1484" s="87"/>
      <c r="B1484" s="88"/>
      <c r="C1484" s="88"/>
      <c r="D1484" s="88"/>
      <c r="E1484" s="88"/>
      <c r="F1484" s="88"/>
      <c r="G1484" s="87"/>
    </row>
    <row r="1485">
      <c r="A1485" s="87"/>
      <c r="B1485" s="88"/>
      <c r="C1485" s="88"/>
      <c r="D1485" s="88"/>
      <c r="E1485" s="88"/>
      <c r="F1485" s="88"/>
      <c r="G1485" s="87"/>
    </row>
    <row r="1486">
      <c r="A1486" s="87"/>
      <c r="B1486" s="88"/>
      <c r="C1486" s="88"/>
      <c r="D1486" s="88"/>
      <c r="E1486" s="88"/>
      <c r="F1486" s="88"/>
      <c r="G1486" s="87"/>
    </row>
    <row r="1487">
      <c r="A1487" s="87"/>
      <c r="B1487" s="88"/>
      <c r="C1487" s="88"/>
      <c r="D1487" s="88"/>
      <c r="E1487" s="88"/>
      <c r="F1487" s="88"/>
      <c r="G1487" s="87"/>
    </row>
    <row r="1488">
      <c r="A1488" s="87"/>
      <c r="B1488" s="88"/>
      <c r="C1488" s="88"/>
      <c r="D1488" s="88"/>
      <c r="E1488" s="88"/>
      <c r="F1488" s="88"/>
      <c r="G1488" s="87"/>
    </row>
    <row r="1489">
      <c r="A1489" s="87"/>
      <c r="B1489" s="88"/>
      <c r="C1489" s="88"/>
      <c r="D1489" s="88"/>
      <c r="E1489" s="88"/>
      <c r="F1489" s="88"/>
      <c r="G1489" s="87"/>
    </row>
    <row r="1490">
      <c r="A1490" s="87"/>
      <c r="B1490" s="88"/>
      <c r="C1490" s="88"/>
      <c r="D1490" s="88"/>
      <c r="E1490" s="88"/>
      <c r="F1490" s="88"/>
      <c r="G1490" s="87"/>
    </row>
    <row r="1491">
      <c r="A1491" s="87"/>
      <c r="B1491" s="88"/>
      <c r="C1491" s="88"/>
      <c r="D1491" s="88"/>
      <c r="E1491" s="88"/>
      <c r="F1491" s="88"/>
      <c r="G1491" s="87"/>
    </row>
    <row r="1492">
      <c r="A1492" s="87"/>
      <c r="B1492" s="88"/>
      <c r="C1492" s="88"/>
      <c r="D1492" s="88"/>
      <c r="E1492" s="88"/>
      <c r="F1492" s="88"/>
      <c r="G1492" s="87"/>
    </row>
    <row r="1493">
      <c r="A1493" s="87"/>
      <c r="B1493" s="88"/>
      <c r="C1493" s="88"/>
      <c r="D1493" s="88"/>
      <c r="E1493" s="88"/>
      <c r="F1493" s="88"/>
      <c r="G1493" s="87"/>
    </row>
    <row r="1494">
      <c r="A1494" s="87"/>
      <c r="B1494" s="88"/>
      <c r="C1494" s="88"/>
      <c r="D1494" s="88"/>
      <c r="E1494" s="88"/>
      <c r="F1494" s="88"/>
      <c r="G1494" s="87"/>
    </row>
    <row r="1495">
      <c r="A1495" s="87"/>
      <c r="B1495" s="88"/>
      <c r="C1495" s="88"/>
      <c r="D1495" s="88"/>
      <c r="E1495" s="88"/>
      <c r="F1495" s="88"/>
      <c r="G1495" s="87"/>
    </row>
    <row r="1496">
      <c r="A1496" s="87"/>
      <c r="B1496" s="88"/>
      <c r="C1496" s="88"/>
      <c r="D1496" s="88"/>
      <c r="E1496" s="88"/>
      <c r="F1496" s="88"/>
      <c r="G1496" s="87"/>
    </row>
    <row r="1497">
      <c r="A1497" s="87"/>
      <c r="B1497" s="88"/>
      <c r="C1497" s="88"/>
      <c r="D1497" s="88"/>
      <c r="E1497" s="88"/>
      <c r="F1497" s="88"/>
      <c r="G1497" s="87"/>
    </row>
    <row r="1498">
      <c r="A1498" s="87"/>
      <c r="B1498" s="88"/>
      <c r="C1498" s="88"/>
      <c r="D1498" s="88"/>
      <c r="E1498" s="88"/>
      <c r="F1498" s="88"/>
      <c r="G1498" s="87"/>
    </row>
    <row r="1499">
      <c r="A1499" s="87"/>
      <c r="B1499" s="88"/>
      <c r="C1499" s="88"/>
      <c r="D1499" s="88"/>
      <c r="E1499" s="88"/>
      <c r="F1499" s="88"/>
      <c r="G1499" s="87"/>
    </row>
    <row r="1500">
      <c r="A1500" s="87"/>
      <c r="B1500" s="88"/>
      <c r="C1500" s="88"/>
      <c r="D1500" s="88"/>
      <c r="E1500" s="88"/>
      <c r="F1500" s="88"/>
      <c r="G1500" s="87"/>
    </row>
    <row r="1501">
      <c r="A1501" s="87"/>
      <c r="B1501" s="88"/>
      <c r="C1501" s="88"/>
      <c r="D1501" s="88"/>
      <c r="E1501" s="88"/>
      <c r="F1501" s="88"/>
      <c r="G1501" s="87"/>
    </row>
    <row r="1502">
      <c r="A1502" s="87"/>
      <c r="B1502" s="88"/>
      <c r="C1502" s="88"/>
      <c r="D1502" s="88"/>
      <c r="E1502" s="88"/>
      <c r="F1502" s="88"/>
      <c r="G1502" s="87"/>
    </row>
    <row r="1503">
      <c r="A1503" s="87"/>
      <c r="B1503" s="88"/>
      <c r="C1503" s="88"/>
      <c r="D1503" s="88"/>
      <c r="E1503" s="88"/>
      <c r="F1503" s="88"/>
      <c r="G1503" s="87"/>
    </row>
    <row r="1504">
      <c r="A1504" s="87"/>
      <c r="B1504" s="88"/>
      <c r="C1504" s="88"/>
      <c r="D1504" s="88"/>
      <c r="E1504" s="88"/>
      <c r="F1504" s="88"/>
      <c r="G1504" s="87"/>
    </row>
    <row r="1505">
      <c r="A1505" s="87"/>
      <c r="B1505" s="88"/>
      <c r="C1505" s="88"/>
      <c r="D1505" s="88"/>
      <c r="E1505" s="88"/>
      <c r="F1505" s="88"/>
      <c r="G1505" s="87"/>
    </row>
    <row r="1506">
      <c r="A1506" s="87"/>
      <c r="B1506" s="88"/>
      <c r="C1506" s="88"/>
      <c r="D1506" s="88"/>
      <c r="E1506" s="88"/>
      <c r="F1506" s="88"/>
      <c r="G1506" s="87"/>
    </row>
    <row r="1507">
      <c r="A1507" s="87"/>
      <c r="B1507" s="88"/>
      <c r="C1507" s="88"/>
      <c r="D1507" s="88"/>
      <c r="E1507" s="88"/>
      <c r="F1507" s="88"/>
      <c r="G1507" s="87"/>
    </row>
    <row r="1508">
      <c r="A1508" s="87"/>
      <c r="B1508" s="88"/>
      <c r="C1508" s="88"/>
      <c r="D1508" s="88"/>
      <c r="E1508" s="88"/>
      <c r="F1508" s="88"/>
      <c r="G1508" s="87"/>
    </row>
    <row r="1509">
      <c r="A1509" s="87"/>
      <c r="B1509" s="88"/>
      <c r="C1509" s="88"/>
      <c r="D1509" s="88"/>
      <c r="E1509" s="88"/>
      <c r="F1509" s="88"/>
      <c r="G1509" s="87"/>
    </row>
    <row r="1510">
      <c r="A1510" s="87"/>
      <c r="B1510" s="88"/>
      <c r="C1510" s="88"/>
      <c r="D1510" s="88"/>
      <c r="E1510" s="88"/>
      <c r="F1510" s="88"/>
      <c r="G1510" s="87"/>
    </row>
    <row r="1511">
      <c r="A1511" s="87"/>
      <c r="B1511" s="88"/>
      <c r="C1511" s="88"/>
      <c r="D1511" s="88"/>
      <c r="E1511" s="88"/>
      <c r="F1511" s="88"/>
      <c r="G1511" s="87"/>
    </row>
    <row r="1512">
      <c r="A1512" s="87"/>
      <c r="B1512" s="88"/>
      <c r="C1512" s="88"/>
      <c r="D1512" s="88"/>
      <c r="E1512" s="88"/>
      <c r="F1512" s="88"/>
      <c r="G1512" s="87"/>
    </row>
    <row r="1513">
      <c r="A1513" s="87"/>
      <c r="B1513" s="88"/>
      <c r="C1513" s="88"/>
      <c r="D1513" s="88"/>
      <c r="E1513" s="88"/>
      <c r="F1513" s="88"/>
      <c r="G1513" s="87"/>
    </row>
    <row r="1514">
      <c r="A1514" s="87"/>
      <c r="B1514" s="88"/>
      <c r="C1514" s="88"/>
      <c r="D1514" s="88"/>
      <c r="E1514" s="88"/>
      <c r="F1514" s="88"/>
      <c r="G1514" s="87"/>
    </row>
    <row r="1515">
      <c r="A1515" s="87"/>
      <c r="B1515" s="88"/>
      <c r="C1515" s="88"/>
      <c r="D1515" s="88"/>
      <c r="E1515" s="88"/>
      <c r="F1515" s="88"/>
      <c r="G1515" s="87"/>
    </row>
    <row r="1516">
      <c r="A1516" s="87"/>
      <c r="B1516" s="88"/>
      <c r="C1516" s="88"/>
      <c r="D1516" s="88"/>
      <c r="E1516" s="88"/>
      <c r="F1516" s="88"/>
      <c r="G1516" s="87"/>
    </row>
    <row r="1517">
      <c r="A1517" s="87"/>
      <c r="B1517" s="88"/>
      <c r="C1517" s="88"/>
      <c r="D1517" s="88"/>
      <c r="E1517" s="88"/>
      <c r="F1517" s="88"/>
      <c r="G1517" s="87"/>
    </row>
    <row r="1518">
      <c r="A1518" s="87"/>
      <c r="B1518" s="88"/>
      <c r="C1518" s="88"/>
      <c r="D1518" s="88"/>
      <c r="E1518" s="88"/>
      <c r="F1518" s="88"/>
      <c r="G1518" s="87"/>
    </row>
    <row r="1519">
      <c r="A1519" s="87"/>
      <c r="B1519" s="88"/>
      <c r="C1519" s="88"/>
      <c r="D1519" s="88"/>
      <c r="E1519" s="88"/>
      <c r="F1519" s="88"/>
      <c r="G1519" s="87"/>
    </row>
    <row r="1520">
      <c r="A1520" s="87"/>
      <c r="B1520" s="88"/>
      <c r="C1520" s="88"/>
      <c r="D1520" s="88"/>
      <c r="E1520" s="88"/>
      <c r="F1520" s="88"/>
      <c r="G1520" s="87"/>
    </row>
    <row r="1521">
      <c r="A1521" s="87"/>
      <c r="B1521" s="88"/>
      <c r="C1521" s="88"/>
      <c r="D1521" s="88"/>
      <c r="E1521" s="88"/>
      <c r="F1521" s="88"/>
      <c r="G1521" s="87"/>
    </row>
    <row r="1522">
      <c r="A1522" s="87"/>
      <c r="B1522" s="88"/>
      <c r="C1522" s="88"/>
      <c r="D1522" s="88"/>
      <c r="E1522" s="88"/>
      <c r="F1522" s="88"/>
      <c r="G1522" s="87"/>
    </row>
    <row r="1523">
      <c r="A1523" s="87"/>
      <c r="B1523" s="88"/>
      <c r="C1523" s="88"/>
      <c r="D1523" s="88"/>
      <c r="E1523" s="88"/>
      <c r="F1523" s="88"/>
      <c r="G1523" s="87"/>
    </row>
    <row r="1524">
      <c r="A1524" s="87"/>
      <c r="B1524" s="88"/>
      <c r="C1524" s="88"/>
      <c r="D1524" s="88"/>
      <c r="E1524" s="88"/>
      <c r="F1524" s="88"/>
      <c r="G1524" s="87"/>
    </row>
    <row r="1525">
      <c r="A1525" s="87"/>
      <c r="B1525" s="88"/>
      <c r="C1525" s="88"/>
      <c r="D1525" s="88"/>
      <c r="E1525" s="88"/>
      <c r="F1525" s="88"/>
      <c r="G1525" s="87"/>
    </row>
    <row r="1526">
      <c r="A1526" s="87"/>
      <c r="B1526" s="88"/>
      <c r="C1526" s="88"/>
      <c r="D1526" s="88"/>
      <c r="E1526" s="88"/>
      <c r="F1526" s="88"/>
      <c r="G1526" s="87"/>
    </row>
    <row r="1527">
      <c r="A1527" s="87"/>
      <c r="B1527" s="88"/>
      <c r="C1527" s="88"/>
      <c r="D1527" s="88"/>
      <c r="E1527" s="88"/>
      <c r="F1527" s="88"/>
      <c r="G1527" s="87"/>
    </row>
    <row r="1528">
      <c r="A1528" s="87"/>
      <c r="B1528" s="88"/>
      <c r="C1528" s="88"/>
      <c r="D1528" s="88"/>
      <c r="E1528" s="88"/>
      <c r="F1528" s="88"/>
      <c r="G1528" s="87"/>
    </row>
    <row r="1529">
      <c r="A1529" s="87"/>
      <c r="B1529" s="88"/>
      <c r="C1529" s="88"/>
      <c r="D1529" s="88"/>
      <c r="E1529" s="88"/>
      <c r="F1529" s="88"/>
      <c r="G1529" s="87"/>
    </row>
    <row r="1530">
      <c r="A1530" s="87"/>
      <c r="B1530" s="88"/>
      <c r="C1530" s="88"/>
      <c r="D1530" s="88"/>
      <c r="E1530" s="88"/>
      <c r="F1530" s="88"/>
      <c r="G1530" s="87"/>
    </row>
    <row r="1531">
      <c r="A1531" s="87"/>
      <c r="B1531" s="88"/>
      <c r="C1531" s="88"/>
      <c r="D1531" s="88"/>
      <c r="E1531" s="88"/>
      <c r="F1531" s="88"/>
      <c r="G1531" s="87"/>
    </row>
    <row r="1532">
      <c r="A1532" s="87"/>
      <c r="B1532" s="88"/>
      <c r="C1532" s="88"/>
      <c r="D1532" s="88"/>
      <c r="E1532" s="88"/>
      <c r="F1532" s="88"/>
      <c r="G1532" s="87"/>
    </row>
    <row r="1533">
      <c r="A1533" s="87"/>
      <c r="B1533" s="88"/>
      <c r="C1533" s="88"/>
      <c r="D1533" s="88"/>
      <c r="E1533" s="88"/>
      <c r="F1533" s="88"/>
      <c r="G1533" s="87"/>
    </row>
    <row r="1534">
      <c r="A1534" s="87"/>
      <c r="B1534" s="88"/>
      <c r="C1534" s="88"/>
      <c r="D1534" s="88"/>
      <c r="E1534" s="88"/>
      <c r="F1534" s="88"/>
      <c r="G1534" s="87"/>
    </row>
    <row r="1535">
      <c r="A1535" s="87"/>
      <c r="B1535" s="88"/>
      <c r="C1535" s="88"/>
      <c r="D1535" s="88"/>
      <c r="E1535" s="88"/>
      <c r="F1535" s="88"/>
      <c r="G1535" s="87"/>
    </row>
    <row r="1536">
      <c r="A1536" s="87"/>
      <c r="B1536" s="88"/>
      <c r="C1536" s="88"/>
      <c r="D1536" s="88"/>
      <c r="E1536" s="88"/>
      <c r="F1536" s="88"/>
      <c r="G1536" s="87"/>
    </row>
    <row r="1537">
      <c r="A1537" s="87"/>
      <c r="B1537" s="88"/>
      <c r="C1537" s="88"/>
      <c r="D1537" s="88"/>
      <c r="E1537" s="88"/>
      <c r="F1537" s="88"/>
      <c r="G1537" s="87"/>
    </row>
    <row r="1538">
      <c r="A1538" s="87"/>
      <c r="B1538" s="88"/>
      <c r="C1538" s="88"/>
      <c r="D1538" s="88"/>
      <c r="E1538" s="88"/>
      <c r="F1538" s="88"/>
      <c r="G1538" s="87"/>
    </row>
    <row r="1539">
      <c r="A1539" s="87"/>
      <c r="B1539" s="88"/>
      <c r="C1539" s="88"/>
      <c r="D1539" s="88"/>
      <c r="E1539" s="88"/>
      <c r="F1539" s="88"/>
      <c r="G1539" s="87"/>
    </row>
    <row r="1540">
      <c r="A1540" s="87"/>
      <c r="B1540" s="88"/>
      <c r="C1540" s="88"/>
      <c r="D1540" s="88"/>
      <c r="E1540" s="88"/>
      <c r="F1540" s="88"/>
      <c r="G1540" s="87"/>
    </row>
    <row r="1541">
      <c r="A1541" s="87"/>
      <c r="B1541" s="88"/>
      <c r="C1541" s="88"/>
      <c r="D1541" s="88"/>
      <c r="E1541" s="88"/>
      <c r="F1541" s="88"/>
      <c r="G1541" s="87"/>
    </row>
    <row r="1542">
      <c r="A1542" s="87"/>
      <c r="B1542" s="88"/>
      <c r="C1542" s="88"/>
      <c r="D1542" s="88"/>
      <c r="E1542" s="88"/>
      <c r="F1542" s="88"/>
      <c r="G1542" s="87"/>
    </row>
    <row r="1543">
      <c r="A1543" s="87"/>
      <c r="B1543" s="88"/>
      <c r="C1543" s="88"/>
      <c r="D1543" s="88"/>
      <c r="E1543" s="88"/>
      <c r="F1543" s="88"/>
      <c r="G1543" s="87"/>
    </row>
    <row r="1544">
      <c r="A1544" s="87"/>
      <c r="B1544" s="88"/>
      <c r="C1544" s="88"/>
      <c r="D1544" s="88"/>
      <c r="E1544" s="88"/>
      <c r="F1544" s="88"/>
      <c r="G1544" s="87"/>
    </row>
    <row r="1545">
      <c r="A1545" s="87"/>
      <c r="B1545" s="88"/>
      <c r="C1545" s="88"/>
      <c r="D1545" s="88"/>
      <c r="E1545" s="88"/>
      <c r="F1545" s="88"/>
      <c r="G1545" s="87"/>
    </row>
    <row r="1546">
      <c r="A1546" s="87"/>
      <c r="B1546" s="88"/>
      <c r="C1546" s="88"/>
      <c r="D1546" s="88"/>
      <c r="E1546" s="88"/>
      <c r="F1546" s="88"/>
      <c r="G1546" s="87"/>
    </row>
    <row r="1547">
      <c r="A1547" s="87"/>
      <c r="B1547" s="88"/>
      <c r="C1547" s="88"/>
      <c r="D1547" s="88"/>
      <c r="E1547" s="88"/>
      <c r="F1547" s="88"/>
      <c r="G1547" s="87"/>
    </row>
    <row r="1548">
      <c r="A1548" s="87"/>
      <c r="B1548" s="88"/>
      <c r="C1548" s="88"/>
      <c r="D1548" s="88"/>
      <c r="E1548" s="88"/>
      <c r="F1548" s="88"/>
      <c r="G1548" s="87"/>
    </row>
    <row r="1549">
      <c r="A1549" s="87"/>
      <c r="B1549" s="88"/>
      <c r="C1549" s="88"/>
      <c r="D1549" s="88"/>
      <c r="E1549" s="88"/>
      <c r="F1549" s="88"/>
      <c r="G1549" s="87"/>
    </row>
    <row r="1550">
      <c r="A1550" s="87"/>
      <c r="B1550" s="88"/>
      <c r="C1550" s="88"/>
      <c r="D1550" s="88"/>
      <c r="E1550" s="88"/>
      <c r="F1550" s="88"/>
      <c r="G1550" s="87"/>
    </row>
    <row r="1551">
      <c r="A1551" s="87"/>
      <c r="B1551" s="88"/>
      <c r="C1551" s="88"/>
      <c r="D1551" s="88"/>
      <c r="E1551" s="88"/>
      <c r="F1551" s="88"/>
      <c r="G1551" s="87"/>
    </row>
    <row r="1552">
      <c r="A1552" s="87"/>
      <c r="B1552" s="88"/>
      <c r="C1552" s="88"/>
      <c r="D1552" s="88"/>
      <c r="E1552" s="88"/>
      <c r="F1552" s="88"/>
      <c r="G1552" s="87"/>
    </row>
    <row r="1553">
      <c r="A1553" s="87"/>
      <c r="B1553" s="88"/>
      <c r="C1553" s="88"/>
      <c r="D1553" s="88"/>
      <c r="E1553" s="88"/>
      <c r="F1553" s="88"/>
      <c r="G1553" s="87"/>
    </row>
    <row r="1554">
      <c r="A1554" s="87"/>
      <c r="B1554" s="88"/>
      <c r="C1554" s="88"/>
      <c r="D1554" s="88"/>
      <c r="E1554" s="88"/>
      <c r="F1554" s="88"/>
      <c r="G1554" s="87"/>
    </row>
    <row r="1555">
      <c r="A1555" s="87"/>
      <c r="B1555" s="88"/>
      <c r="C1555" s="88"/>
      <c r="D1555" s="88"/>
      <c r="E1555" s="88"/>
      <c r="F1555" s="88"/>
      <c r="G1555" s="87"/>
    </row>
    <row r="1556">
      <c r="A1556" s="87"/>
      <c r="B1556" s="88"/>
      <c r="C1556" s="88"/>
      <c r="D1556" s="88"/>
      <c r="E1556" s="88"/>
      <c r="F1556" s="88"/>
      <c r="G1556" s="87"/>
    </row>
    <row r="1557">
      <c r="A1557" s="87"/>
      <c r="B1557" s="88"/>
      <c r="C1557" s="88"/>
      <c r="D1557" s="88"/>
      <c r="E1557" s="88"/>
      <c r="F1557" s="88"/>
      <c r="G1557" s="87"/>
    </row>
    <row r="1558">
      <c r="A1558" s="87"/>
      <c r="B1558" s="88"/>
      <c r="C1558" s="88"/>
      <c r="D1558" s="88"/>
      <c r="E1558" s="88"/>
      <c r="F1558" s="88"/>
      <c r="G1558" s="87"/>
    </row>
    <row r="1559">
      <c r="A1559" s="87"/>
      <c r="B1559" s="88"/>
      <c r="C1559" s="88"/>
      <c r="D1559" s="88"/>
      <c r="E1559" s="88"/>
      <c r="F1559" s="88"/>
      <c r="G1559" s="87"/>
    </row>
    <row r="1560">
      <c r="A1560" s="87"/>
      <c r="B1560" s="88"/>
      <c r="C1560" s="88"/>
      <c r="D1560" s="88"/>
      <c r="E1560" s="88"/>
      <c r="F1560" s="88"/>
      <c r="G1560" s="87"/>
    </row>
    <row r="1561">
      <c r="A1561" s="87"/>
      <c r="B1561" s="88"/>
      <c r="C1561" s="88"/>
      <c r="D1561" s="88"/>
      <c r="E1561" s="88"/>
      <c r="F1561" s="88"/>
      <c r="G1561" s="87"/>
    </row>
    <row r="1562">
      <c r="A1562" s="87"/>
      <c r="B1562" s="88"/>
      <c r="C1562" s="88"/>
      <c r="D1562" s="88"/>
      <c r="E1562" s="88"/>
      <c r="F1562" s="88"/>
      <c r="G1562" s="87"/>
    </row>
    <row r="1563">
      <c r="A1563" s="87"/>
      <c r="B1563" s="88"/>
      <c r="C1563" s="88"/>
      <c r="D1563" s="88"/>
      <c r="E1563" s="88"/>
      <c r="F1563" s="88"/>
      <c r="G1563" s="87"/>
    </row>
    <row r="1564">
      <c r="A1564" s="87"/>
      <c r="B1564" s="88"/>
      <c r="C1564" s="88"/>
      <c r="D1564" s="88"/>
      <c r="E1564" s="88"/>
      <c r="F1564" s="88"/>
      <c r="G1564" s="87"/>
    </row>
    <row r="1565">
      <c r="A1565" s="87"/>
      <c r="B1565" s="88"/>
      <c r="C1565" s="88"/>
      <c r="D1565" s="88"/>
      <c r="E1565" s="88"/>
      <c r="F1565" s="88"/>
      <c r="G1565" s="87"/>
    </row>
    <row r="1566">
      <c r="A1566" s="87"/>
      <c r="B1566" s="88"/>
      <c r="C1566" s="88"/>
      <c r="D1566" s="88"/>
      <c r="E1566" s="88"/>
      <c r="F1566" s="88"/>
      <c r="G1566" s="87"/>
    </row>
    <row r="1567">
      <c r="A1567" s="87"/>
      <c r="B1567" s="88"/>
      <c r="C1567" s="88"/>
      <c r="D1567" s="88"/>
      <c r="E1567" s="88"/>
      <c r="F1567" s="88"/>
      <c r="G1567" s="87"/>
    </row>
    <row r="1568">
      <c r="A1568" s="87"/>
      <c r="B1568" s="88"/>
      <c r="C1568" s="88"/>
      <c r="D1568" s="88"/>
      <c r="E1568" s="88"/>
      <c r="F1568" s="88"/>
      <c r="G1568" s="87"/>
    </row>
    <row r="1569">
      <c r="A1569" s="87"/>
      <c r="B1569" s="88"/>
      <c r="C1569" s="88"/>
      <c r="D1569" s="88"/>
      <c r="E1569" s="88"/>
      <c r="F1569" s="88"/>
      <c r="G1569" s="87"/>
    </row>
    <row r="1570">
      <c r="A1570" s="87"/>
      <c r="B1570" s="88"/>
      <c r="C1570" s="88"/>
      <c r="D1570" s="88"/>
      <c r="E1570" s="88"/>
      <c r="F1570" s="88"/>
      <c r="G1570" s="87"/>
    </row>
    <row r="1571">
      <c r="A1571" s="87"/>
      <c r="B1571" s="88"/>
      <c r="C1571" s="88"/>
      <c r="D1571" s="88"/>
      <c r="E1571" s="88"/>
      <c r="F1571" s="88"/>
      <c r="G1571" s="87"/>
    </row>
    <row r="1572">
      <c r="A1572" s="87"/>
      <c r="B1572" s="88"/>
      <c r="C1572" s="88"/>
      <c r="D1572" s="88"/>
      <c r="E1572" s="88"/>
      <c r="F1572" s="88"/>
      <c r="G1572" s="87"/>
    </row>
    <row r="1573">
      <c r="A1573" s="87"/>
      <c r="B1573" s="88"/>
      <c r="C1573" s="88"/>
      <c r="D1573" s="88"/>
      <c r="E1573" s="88"/>
      <c r="F1573" s="88"/>
      <c r="G1573" s="87"/>
    </row>
    <row r="1574">
      <c r="A1574" s="87"/>
      <c r="B1574" s="88"/>
      <c r="C1574" s="88"/>
      <c r="D1574" s="88"/>
      <c r="E1574" s="88"/>
      <c r="F1574" s="88"/>
      <c r="G1574" s="87"/>
    </row>
    <row r="1575">
      <c r="A1575" s="87"/>
      <c r="B1575" s="88"/>
      <c r="C1575" s="88"/>
      <c r="D1575" s="88"/>
      <c r="E1575" s="88"/>
      <c r="F1575" s="88"/>
      <c r="G1575" s="87"/>
    </row>
    <row r="1576">
      <c r="A1576" s="87"/>
      <c r="B1576" s="88"/>
      <c r="C1576" s="88"/>
      <c r="D1576" s="88"/>
      <c r="E1576" s="88"/>
      <c r="F1576" s="88"/>
      <c r="G1576" s="87"/>
    </row>
    <row r="1577">
      <c r="A1577" s="87"/>
      <c r="B1577" s="88"/>
      <c r="C1577" s="88"/>
      <c r="D1577" s="88"/>
      <c r="E1577" s="88"/>
      <c r="F1577" s="88"/>
      <c r="G1577" s="87"/>
    </row>
    <row r="1578">
      <c r="A1578" s="87"/>
      <c r="B1578" s="88"/>
      <c r="C1578" s="88"/>
      <c r="D1578" s="88"/>
      <c r="E1578" s="88"/>
      <c r="F1578" s="88"/>
      <c r="G1578" s="87"/>
    </row>
    <row r="1579">
      <c r="A1579" s="87"/>
      <c r="B1579" s="88"/>
      <c r="C1579" s="88"/>
      <c r="D1579" s="88"/>
      <c r="E1579" s="88"/>
      <c r="F1579" s="88"/>
      <c r="G1579" s="87"/>
    </row>
    <row r="1580">
      <c r="A1580" s="87"/>
      <c r="B1580" s="88"/>
      <c r="C1580" s="88"/>
      <c r="D1580" s="88"/>
      <c r="E1580" s="88"/>
      <c r="F1580" s="88"/>
      <c r="G1580" s="87"/>
    </row>
    <row r="1581">
      <c r="A1581" s="87"/>
      <c r="B1581" s="88"/>
      <c r="C1581" s="88"/>
      <c r="D1581" s="88"/>
      <c r="E1581" s="88"/>
      <c r="F1581" s="88"/>
      <c r="G1581" s="87"/>
    </row>
    <row r="1582">
      <c r="A1582" s="87"/>
      <c r="B1582" s="88"/>
      <c r="C1582" s="88"/>
      <c r="D1582" s="88"/>
      <c r="E1582" s="88"/>
      <c r="F1582" s="88"/>
      <c r="G1582" s="87"/>
    </row>
    <row r="1583">
      <c r="A1583" s="87"/>
      <c r="B1583" s="88"/>
      <c r="C1583" s="88"/>
      <c r="D1583" s="88"/>
      <c r="E1583" s="88"/>
      <c r="F1583" s="88"/>
      <c r="G1583" s="87"/>
    </row>
    <row r="1584">
      <c r="A1584" s="87"/>
      <c r="B1584" s="88"/>
      <c r="C1584" s="88"/>
      <c r="D1584" s="88"/>
      <c r="E1584" s="88"/>
      <c r="F1584" s="88"/>
      <c r="G1584" s="87"/>
    </row>
    <row r="1585">
      <c r="A1585" s="87"/>
      <c r="B1585" s="88"/>
      <c r="C1585" s="88"/>
      <c r="D1585" s="88"/>
      <c r="E1585" s="88"/>
      <c r="F1585" s="88"/>
      <c r="G1585" s="87"/>
    </row>
    <row r="1586">
      <c r="A1586" s="87"/>
      <c r="B1586" s="88"/>
      <c r="C1586" s="88"/>
      <c r="D1586" s="88"/>
      <c r="E1586" s="88"/>
      <c r="F1586" s="88"/>
      <c r="G1586" s="87"/>
    </row>
    <row r="1587">
      <c r="A1587" s="87"/>
      <c r="B1587" s="88"/>
      <c r="C1587" s="88"/>
      <c r="D1587" s="88"/>
      <c r="E1587" s="88"/>
      <c r="F1587" s="88"/>
      <c r="G1587" s="87"/>
    </row>
    <row r="1588">
      <c r="A1588" s="87"/>
      <c r="B1588" s="88"/>
      <c r="C1588" s="88"/>
      <c r="D1588" s="88"/>
      <c r="E1588" s="88"/>
      <c r="F1588" s="88"/>
      <c r="G1588" s="87"/>
    </row>
    <row r="1589">
      <c r="A1589" s="87"/>
      <c r="B1589" s="88"/>
      <c r="C1589" s="88"/>
      <c r="D1589" s="88"/>
      <c r="E1589" s="88"/>
      <c r="F1589" s="88"/>
      <c r="G1589" s="87"/>
    </row>
    <row r="1590">
      <c r="A1590" s="87"/>
      <c r="B1590" s="88"/>
      <c r="C1590" s="88"/>
      <c r="D1590" s="88"/>
      <c r="E1590" s="88"/>
      <c r="F1590" s="88"/>
      <c r="G1590" s="87"/>
    </row>
    <row r="1591">
      <c r="A1591" s="87"/>
      <c r="B1591" s="88"/>
      <c r="C1591" s="88"/>
      <c r="D1591" s="88"/>
      <c r="E1591" s="88"/>
      <c r="F1591" s="88"/>
      <c r="G1591" s="87"/>
    </row>
    <row r="1592">
      <c r="A1592" s="87"/>
      <c r="B1592" s="88"/>
      <c r="C1592" s="88"/>
      <c r="D1592" s="88"/>
      <c r="E1592" s="88"/>
      <c r="F1592" s="88"/>
      <c r="G1592" s="87"/>
    </row>
    <row r="1593">
      <c r="A1593" s="87"/>
      <c r="B1593" s="88"/>
      <c r="C1593" s="88"/>
      <c r="D1593" s="88"/>
      <c r="E1593" s="88"/>
      <c r="F1593" s="88"/>
      <c r="G1593" s="87"/>
    </row>
    <row r="1594">
      <c r="A1594" s="87"/>
      <c r="B1594" s="88"/>
      <c r="C1594" s="88"/>
      <c r="D1594" s="88"/>
      <c r="E1594" s="88"/>
      <c r="F1594" s="88"/>
      <c r="G1594" s="87"/>
    </row>
    <row r="1595">
      <c r="A1595" s="87"/>
      <c r="B1595" s="88"/>
      <c r="C1595" s="88"/>
      <c r="D1595" s="88"/>
      <c r="E1595" s="88"/>
      <c r="F1595" s="88"/>
      <c r="G1595" s="87"/>
    </row>
    <row r="1596">
      <c r="A1596" s="87"/>
      <c r="B1596" s="88"/>
      <c r="C1596" s="88"/>
      <c r="D1596" s="88"/>
      <c r="E1596" s="88"/>
      <c r="F1596" s="88"/>
      <c r="G1596" s="87"/>
    </row>
    <row r="1597">
      <c r="A1597" s="87"/>
      <c r="B1597" s="88"/>
      <c r="C1597" s="88"/>
      <c r="D1597" s="88"/>
      <c r="E1597" s="88"/>
      <c r="F1597" s="88"/>
      <c r="G1597" s="87"/>
    </row>
    <row r="1598">
      <c r="A1598" s="87"/>
      <c r="B1598" s="88"/>
      <c r="C1598" s="88"/>
      <c r="D1598" s="88"/>
      <c r="E1598" s="88"/>
      <c r="F1598" s="88"/>
      <c r="G1598" s="87"/>
    </row>
    <row r="1599">
      <c r="A1599" s="87"/>
      <c r="B1599" s="88"/>
      <c r="C1599" s="88"/>
      <c r="D1599" s="88"/>
      <c r="E1599" s="88"/>
      <c r="F1599" s="88"/>
      <c r="G1599" s="87"/>
    </row>
    <row r="1600">
      <c r="A1600" s="87"/>
      <c r="B1600" s="88"/>
      <c r="C1600" s="88"/>
      <c r="D1600" s="88"/>
      <c r="E1600" s="88"/>
      <c r="F1600" s="88"/>
      <c r="G1600" s="87"/>
    </row>
    <row r="1601">
      <c r="A1601" s="87"/>
      <c r="B1601" s="88"/>
      <c r="C1601" s="88"/>
      <c r="D1601" s="88"/>
      <c r="E1601" s="88"/>
      <c r="F1601" s="88"/>
      <c r="G1601" s="87"/>
    </row>
    <row r="1602">
      <c r="A1602" s="87"/>
      <c r="B1602" s="88"/>
      <c r="C1602" s="88"/>
      <c r="D1602" s="88"/>
      <c r="E1602" s="88"/>
      <c r="F1602" s="88"/>
      <c r="G1602" s="87"/>
    </row>
    <row r="1603">
      <c r="A1603" s="87"/>
      <c r="B1603" s="88"/>
      <c r="C1603" s="88"/>
      <c r="D1603" s="88"/>
      <c r="E1603" s="88"/>
      <c r="F1603" s="88"/>
      <c r="G1603" s="87"/>
    </row>
    <row r="1604">
      <c r="A1604" s="87"/>
      <c r="B1604" s="88"/>
      <c r="C1604" s="88"/>
      <c r="D1604" s="88"/>
      <c r="E1604" s="88"/>
      <c r="F1604" s="88"/>
      <c r="G1604" s="87"/>
    </row>
    <row r="1605">
      <c r="A1605" s="87"/>
      <c r="B1605" s="88"/>
      <c r="C1605" s="88"/>
      <c r="D1605" s="88"/>
      <c r="E1605" s="88"/>
      <c r="F1605" s="88"/>
      <c r="G1605" s="87"/>
    </row>
    <row r="1606">
      <c r="A1606" s="87"/>
      <c r="B1606" s="88"/>
      <c r="C1606" s="88"/>
      <c r="D1606" s="88"/>
      <c r="E1606" s="88"/>
      <c r="F1606" s="88"/>
      <c r="G1606" s="87"/>
    </row>
    <row r="1607">
      <c r="A1607" s="87"/>
      <c r="B1607" s="88"/>
      <c r="C1607" s="88"/>
      <c r="D1607" s="88"/>
      <c r="E1607" s="88"/>
      <c r="F1607" s="88"/>
      <c r="G1607" s="87"/>
    </row>
    <row r="1608">
      <c r="A1608" s="87"/>
      <c r="B1608" s="88"/>
      <c r="C1608" s="88"/>
      <c r="D1608" s="88"/>
      <c r="E1608" s="88"/>
      <c r="F1608" s="88"/>
      <c r="G1608" s="87"/>
    </row>
    <row r="1609">
      <c r="A1609" s="87"/>
      <c r="B1609" s="88"/>
      <c r="C1609" s="88"/>
      <c r="D1609" s="88"/>
      <c r="E1609" s="88"/>
      <c r="F1609" s="88"/>
      <c r="G1609" s="87"/>
    </row>
    <row r="1610">
      <c r="A1610" s="87"/>
      <c r="B1610" s="88"/>
      <c r="C1610" s="88"/>
      <c r="D1610" s="88"/>
      <c r="E1610" s="88"/>
      <c r="F1610" s="88"/>
      <c r="G1610" s="87"/>
    </row>
    <row r="1611">
      <c r="A1611" s="87"/>
      <c r="B1611" s="88"/>
      <c r="C1611" s="88"/>
      <c r="D1611" s="88"/>
      <c r="E1611" s="88"/>
      <c r="F1611" s="88"/>
      <c r="G1611" s="87"/>
    </row>
    <row r="1612">
      <c r="A1612" s="87"/>
      <c r="B1612" s="88"/>
      <c r="C1612" s="88"/>
      <c r="D1612" s="88"/>
      <c r="E1612" s="88"/>
      <c r="F1612" s="88"/>
      <c r="G1612" s="87"/>
    </row>
    <row r="1613">
      <c r="A1613" s="87"/>
      <c r="B1613" s="88"/>
      <c r="C1613" s="88"/>
      <c r="D1613" s="88"/>
      <c r="E1613" s="88"/>
      <c r="F1613" s="88"/>
      <c r="G1613" s="87"/>
    </row>
    <row r="1614">
      <c r="A1614" s="87"/>
      <c r="B1614" s="88"/>
      <c r="C1614" s="88"/>
      <c r="D1614" s="88"/>
      <c r="E1614" s="88"/>
      <c r="F1614" s="88"/>
      <c r="G1614" s="87"/>
    </row>
    <row r="1615">
      <c r="A1615" s="87"/>
      <c r="B1615" s="88"/>
      <c r="C1615" s="88"/>
      <c r="D1615" s="88"/>
      <c r="E1615" s="88"/>
      <c r="F1615" s="88"/>
      <c r="G1615" s="87"/>
    </row>
    <row r="1616">
      <c r="A1616" s="87"/>
      <c r="B1616" s="88"/>
      <c r="C1616" s="88"/>
      <c r="D1616" s="88"/>
      <c r="E1616" s="88"/>
      <c r="F1616" s="88"/>
      <c r="G1616" s="87"/>
    </row>
    <row r="1617">
      <c r="A1617" s="87"/>
      <c r="B1617" s="88"/>
      <c r="C1617" s="88"/>
      <c r="D1617" s="88"/>
      <c r="E1617" s="88"/>
      <c r="F1617" s="88"/>
      <c r="G1617" s="87"/>
    </row>
    <row r="1618">
      <c r="A1618" s="87"/>
      <c r="B1618" s="88"/>
      <c r="C1618" s="88"/>
      <c r="D1618" s="88"/>
      <c r="E1618" s="88"/>
      <c r="F1618" s="88"/>
      <c r="G1618" s="87"/>
    </row>
    <row r="1619">
      <c r="A1619" s="87"/>
      <c r="B1619" s="88"/>
      <c r="C1619" s="88"/>
      <c r="D1619" s="88"/>
      <c r="E1619" s="88"/>
      <c r="F1619" s="88"/>
      <c r="G1619" s="87"/>
    </row>
    <row r="1620">
      <c r="A1620" s="87"/>
      <c r="B1620" s="88"/>
      <c r="C1620" s="88"/>
      <c r="D1620" s="88"/>
      <c r="E1620" s="88"/>
      <c r="F1620" s="88"/>
      <c r="G1620" s="87"/>
    </row>
    <row r="1621">
      <c r="A1621" s="87"/>
      <c r="B1621" s="88"/>
      <c r="C1621" s="88"/>
      <c r="D1621" s="88"/>
      <c r="E1621" s="88"/>
      <c r="F1621" s="88"/>
      <c r="G1621" s="87"/>
    </row>
    <row r="1622">
      <c r="A1622" s="87"/>
      <c r="B1622" s="88"/>
      <c r="C1622" s="88"/>
      <c r="D1622" s="88"/>
      <c r="E1622" s="88"/>
      <c r="F1622" s="88"/>
      <c r="G1622" s="87"/>
    </row>
    <row r="1623">
      <c r="A1623" s="87"/>
      <c r="B1623" s="88"/>
      <c r="C1623" s="88"/>
      <c r="D1623" s="88"/>
      <c r="E1623" s="88"/>
      <c r="F1623" s="88"/>
      <c r="G1623" s="87"/>
    </row>
    <row r="1624">
      <c r="A1624" s="87"/>
      <c r="B1624" s="88"/>
      <c r="C1624" s="88"/>
      <c r="D1624" s="88"/>
      <c r="E1624" s="88"/>
      <c r="F1624" s="88"/>
      <c r="G1624" s="87"/>
    </row>
    <row r="1625">
      <c r="A1625" s="87"/>
      <c r="B1625" s="88"/>
      <c r="C1625" s="88"/>
      <c r="D1625" s="88"/>
      <c r="E1625" s="88"/>
      <c r="F1625" s="88"/>
      <c r="G1625" s="87"/>
    </row>
    <row r="1626">
      <c r="A1626" s="87"/>
      <c r="B1626" s="88"/>
      <c r="C1626" s="88"/>
      <c r="D1626" s="88"/>
      <c r="E1626" s="88"/>
      <c r="F1626" s="88"/>
      <c r="G1626" s="87"/>
    </row>
    <row r="1627">
      <c r="A1627" s="87"/>
      <c r="B1627" s="88"/>
      <c r="C1627" s="88"/>
      <c r="D1627" s="88"/>
      <c r="E1627" s="88"/>
      <c r="F1627" s="88"/>
      <c r="G1627" s="87"/>
    </row>
    <row r="1628">
      <c r="A1628" s="87"/>
      <c r="B1628" s="88"/>
      <c r="C1628" s="88"/>
      <c r="D1628" s="88"/>
      <c r="E1628" s="88"/>
      <c r="F1628" s="88"/>
      <c r="G1628" s="87"/>
    </row>
    <row r="1629">
      <c r="A1629" s="87"/>
      <c r="B1629" s="88"/>
      <c r="C1629" s="88"/>
      <c r="D1629" s="88"/>
      <c r="E1629" s="88"/>
      <c r="F1629" s="88"/>
      <c r="G1629" s="87"/>
    </row>
    <row r="1630">
      <c r="A1630" s="87"/>
      <c r="B1630" s="88"/>
      <c r="C1630" s="88"/>
      <c r="D1630" s="88"/>
      <c r="E1630" s="88"/>
      <c r="F1630" s="88"/>
      <c r="G1630" s="87"/>
    </row>
    <row r="1631">
      <c r="A1631" s="87"/>
      <c r="B1631" s="88"/>
      <c r="C1631" s="88"/>
      <c r="D1631" s="88"/>
      <c r="E1631" s="88"/>
      <c r="F1631" s="88"/>
      <c r="G1631" s="87"/>
    </row>
    <row r="1632">
      <c r="A1632" s="87"/>
      <c r="B1632" s="88"/>
      <c r="C1632" s="88"/>
      <c r="D1632" s="88"/>
      <c r="E1632" s="88"/>
      <c r="F1632" s="88"/>
      <c r="G1632" s="87"/>
    </row>
    <row r="1633">
      <c r="A1633" s="87"/>
      <c r="B1633" s="88"/>
      <c r="C1633" s="88"/>
      <c r="D1633" s="88"/>
      <c r="E1633" s="88"/>
      <c r="F1633" s="88"/>
      <c r="G1633" s="87"/>
    </row>
    <row r="1634">
      <c r="A1634" s="87"/>
      <c r="B1634" s="88"/>
      <c r="C1634" s="88"/>
      <c r="D1634" s="88"/>
      <c r="E1634" s="88"/>
      <c r="F1634" s="88"/>
      <c r="G1634" s="87"/>
    </row>
    <row r="1635">
      <c r="A1635" s="87"/>
      <c r="B1635" s="88"/>
      <c r="C1635" s="88"/>
      <c r="D1635" s="88"/>
      <c r="E1635" s="88"/>
      <c r="F1635" s="88"/>
      <c r="G1635" s="87"/>
    </row>
    <row r="1636">
      <c r="A1636" s="87"/>
      <c r="B1636" s="88"/>
      <c r="C1636" s="88"/>
      <c r="D1636" s="88"/>
      <c r="E1636" s="88"/>
      <c r="F1636" s="88"/>
      <c r="G1636" s="87"/>
    </row>
    <row r="1637">
      <c r="A1637" s="87"/>
      <c r="B1637" s="88"/>
      <c r="C1637" s="88"/>
      <c r="D1637" s="88"/>
      <c r="E1637" s="88"/>
      <c r="F1637" s="88"/>
      <c r="G1637" s="87"/>
    </row>
    <row r="1638">
      <c r="A1638" s="87"/>
      <c r="B1638" s="88"/>
      <c r="C1638" s="88"/>
      <c r="D1638" s="88"/>
      <c r="E1638" s="88"/>
      <c r="F1638" s="88"/>
      <c r="G1638" s="87"/>
    </row>
    <row r="1639">
      <c r="A1639" s="87"/>
      <c r="B1639" s="88"/>
      <c r="C1639" s="88"/>
      <c r="D1639" s="88"/>
      <c r="E1639" s="88"/>
      <c r="F1639" s="88"/>
      <c r="G1639" s="87"/>
    </row>
    <row r="1640">
      <c r="A1640" s="87"/>
      <c r="B1640" s="88"/>
      <c r="C1640" s="88"/>
      <c r="D1640" s="88"/>
      <c r="E1640" s="88"/>
      <c r="F1640" s="88"/>
      <c r="G1640" s="87"/>
    </row>
    <row r="1641">
      <c r="A1641" s="87"/>
      <c r="B1641" s="88"/>
      <c r="C1641" s="88"/>
      <c r="D1641" s="88"/>
      <c r="E1641" s="88"/>
      <c r="F1641" s="88"/>
      <c r="G1641" s="87"/>
    </row>
    <row r="1642">
      <c r="A1642" s="87"/>
      <c r="B1642" s="88"/>
      <c r="C1642" s="88"/>
      <c r="D1642" s="88"/>
      <c r="E1642" s="88"/>
      <c r="F1642" s="88"/>
      <c r="G1642" s="87"/>
    </row>
    <row r="1643">
      <c r="A1643" s="87"/>
      <c r="B1643" s="88"/>
      <c r="C1643" s="88"/>
      <c r="D1643" s="88"/>
      <c r="E1643" s="88"/>
      <c r="F1643" s="88"/>
      <c r="G1643" s="87"/>
    </row>
    <row r="1644">
      <c r="A1644" s="87"/>
      <c r="B1644" s="88"/>
      <c r="C1644" s="88"/>
      <c r="D1644" s="88"/>
      <c r="E1644" s="88"/>
      <c r="F1644" s="88"/>
      <c r="G1644" s="87"/>
    </row>
    <row r="1645">
      <c r="A1645" s="87"/>
      <c r="B1645" s="88"/>
      <c r="C1645" s="88"/>
      <c r="D1645" s="88"/>
      <c r="E1645" s="88"/>
      <c r="F1645" s="88"/>
      <c r="G1645" s="87"/>
    </row>
    <row r="1646">
      <c r="A1646" s="87"/>
      <c r="B1646" s="88"/>
      <c r="C1646" s="88"/>
      <c r="D1646" s="88"/>
      <c r="E1646" s="88"/>
      <c r="F1646" s="88"/>
      <c r="G1646" s="87"/>
    </row>
    <row r="1647">
      <c r="A1647" s="87"/>
      <c r="B1647" s="88"/>
      <c r="C1647" s="88"/>
      <c r="D1647" s="88"/>
      <c r="E1647" s="88"/>
      <c r="F1647" s="88"/>
      <c r="G1647" s="87"/>
    </row>
    <row r="1648">
      <c r="A1648" s="87"/>
      <c r="B1648" s="88"/>
      <c r="C1648" s="88"/>
      <c r="D1648" s="88"/>
      <c r="E1648" s="88"/>
      <c r="F1648" s="88"/>
      <c r="G1648" s="87"/>
    </row>
    <row r="1649">
      <c r="A1649" s="87"/>
      <c r="B1649" s="88"/>
      <c r="C1649" s="88"/>
      <c r="D1649" s="88"/>
      <c r="E1649" s="88"/>
      <c r="F1649" s="88"/>
      <c r="G1649" s="87"/>
    </row>
    <row r="1650">
      <c r="A1650" s="87"/>
      <c r="B1650" s="88"/>
      <c r="C1650" s="88"/>
      <c r="D1650" s="88"/>
      <c r="E1650" s="88"/>
      <c r="F1650" s="88"/>
      <c r="G1650" s="87"/>
    </row>
    <row r="1651">
      <c r="A1651" s="87"/>
      <c r="B1651" s="88"/>
      <c r="C1651" s="88"/>
      <c r="D1651" s="88"/>
      <c r="E1651" s="88"/>
      <c r="F1651" s="88"/>
      <c r="G1651" s="87"/>
    </row>
    <row r="1652">
      <c r="A1652" s="87"/>
      <c r="B1652" s="88"/>
      <c r="C1652" s="88"/>
      <c r="D1652" s="88"/>
      <c r="E1652" s="88"/>
      <c r="F1652" s="88"/>
      <c r="G1652" s="87"/>
    </row>
    <row r="1653">
      <c r="A1653" s="87"/>
      <c r="B1653" s="88"/>
      <c r="C1653" s="88"/>
      <c r="D1653" s="88"/>
      <c r="E1653" s="88"/>
      <c r="F1653" s="88"/>
      <c r="G1653" s="87"/>
    </row>
    <row r="1654">
      <c r="A1654" s="87"/>
      <c r="B1654" s="88"/>
      <c r="C1654" s="88"/>
      <c r="D1654" s="88"/>
      <c r="E1654" s="88"/>
      <c r="F1654" s="88"/>
      <c r="G1654" s="87"/>
    </row>
    <row r="1655">
      <c r="A1655" s="87"/>
      <c r="B1655" s="88"/>
      <c r="C1655" s="88"/>
      <c r="D1655" s="88"/>
      <c r="E1655" s="88"/>
      <c r="F1655" s="88"/>
      <c r="G1655" s="87"/>
    </row>
    <row r="1656">
      <c r="A1656" s="87"/>
      <c r="B1656" s="88"/>
      <c r="C1656" s="88"/>
      <c r="D1656" s="88"/>
      <c r="E1656" s="88"/>
      <c r="F1656" s="88"/>
      <c r="G1656" s="87"/>
    </row>
    <row r="1657">
      <c r="A1657" s="87"/>
      <c r="B1657" s="88"/>
      <c r="C1657" s="88"/>
      <c r="D1657" s="88"/>
      <c r="E1657" s="88"/>
      <c r="F1657" s="88"/>
      <c r="G1657" s="87"/>
    </row>
    <row r="1658">
      <c r="A1658" s="87"/>
      <c r="B1658" s="88"/>
      <c r="C1658" s="88"/>
      <c r="D1658" s="88"/>
      <c r="E1658" s="88"/>
      <c r="F1658" s="88"/>
      <c r="G1658" s="87"/>
    </row>
    <row r="1659">
      <c r="A1659" s="87"/>
      <c r="B1659" s="88"/>
      <c r="C1659" s="88"/>
      <c r="D1659" s="88"/>
      <c r="E1659" s="88"/>
      <c r="F1659" s="88"/>
      <c r="G1659" s="87"/>
    </row>
    <row r="1660">
      <c r="A1660" s="87"/>
      <c r="B1660" s="88"/>
      <c r="C1660" s="88"/>
      <c r="D1660" s="88"/>
      <c r="E1660" s="88"/>
      <c r="F1660" s="88"/>
      <c r="G1660" s="87"/>
    </row>
    <row r="1661">
      <c r="A1661" s="87"/>
      <c r="B1661" s="88"/>
      <c r="C1661" s="88"/>
      <c r="D1661" s="88"/>
      <c r="E1661" s="88"/>
      <c r="F1661" s="88"/>
      <c r="G1661" s="87"/>
    </row>
    <row r="1662">
      <c r="A1662" s="87"/>
      <c r="B1662" s="88"/>
      <c r="C1662" s="88"/>
      <c r="D1662" s="88"/>
      <c r="E1662" s="88"/>
      <c r="F1662" s="88"/>
      <c r="G1662" s="87"/>
    </row>
    <row r="1663">
      <c r="A1663" s="87"/>
      <c r="B1663" s="88"/>
      <c r="C1663" s="88"/>
      <c r="D1663" s="88"/>
      <c r="E1663" s="88"/>
      <c r="F1663" s="88"/>
      <c r="G1663" s="87"/>
    </row>
    <row r="1664">
      <c r="A1664" s="87"/>
      <c r="B1664" s="88"/>
      <c r="C1664" s="88"/>
      <c r="D1664" s="88"/>
      <c r="E1664" s="88"/>
      <c r="F1664" s="88"/>
      <c r="G1664" s="87"/>
    </row>
    <row r="1665">
      <c r="A1665" s="87"/>
      <c r="B1665" s="88"/>
      <c r="C1665" s="88"/>
      <c r="D1665" s="88"/>
      <c r="E1665" s="88"/>
      <c r="F1665" s="88"/>
      <c r="G1665" s="87"/>
    </row>
    <row r="1666">
      <c r="A1666" s="87"/>
      <c r="B1666" s="88"/>
      <c r="C1666" s="88"/>
      <c r="D1666" s="88"/>
      <c r="E1666" s="88"/>
      <c r="F1666" s="88"/>
      <c r="G1666" s="87"/>
    </row>
    <row r="1667">
      <c r="A1667" s="87"/>
      <c r="B1667" s="88"/>
      <c r="C1667" s="88"/>
      <c r="D1667" s="88"/>
      <c r="E1667" s="88"/>
      <c r="F1667" s="88"/>
      <c r="G1667" s="87"/>
    </row>
    <row r="1668">
      <c r="A1668" s="87"/>
      <c r="B1668" s="88"/>
      <c r="C1668" s="88"/>
      <c r="D1668" s="88"/>
      <c r="E1668" s="88"/>
      <c r="F1668" s="88"/>
      <c r="G1668" s="87"/>
    </row>
    <row r="1669">
      <c r="A1669" s="87"/>
      <c r="B1669" s="88"/>
      <c r="C1669" s="88"/>
      <c r="D1669" s="88"/>
      <c r="E1669" s="88"/>
      <c r="F1669" s="88"/>
      <c r="G1669" s="87"/>
    </row>
    <row r="1670">
      <c r="A1670" s="87"/>
      <c r="B1670" s="88"/>
      <c r="C1670" s="88"/>
      <c r="D1670" s="88"/>
      <c r="E1670" s="88"/>
      <c r="F1670" s="88"/>
      <c r="G1670" s="87"/>
    </row>
    <row r="1671">
      <c r="A1671" s="87"/>
      <c r="B1671" s="88"/>
      <c r="C1671" s="88"/>
      <c r="D1671" s="88"/>
      <c r="E1671" s="88"/>
      <c r="F1671" s="88"/>
      <c r="G1671" s="87"/>
    </row>
    <row r="1672">
      <c r="A1672" s="87"/>
      <c r="B1672" s="88"/>
      <c r="C1672" s="88"/>
      <c r="D1672" s="88"/>
      <c r="E1672" s="88"/>
      <c r="F1672" s="88"/>
      <c r="G1672" s="87"/>
    </row>
    <row r="1673">
      <c r="A1673" s="87"/>
      <c r="B1673" s="88"/>
      <c r="C1673" s="88"/>
      <c r="D1673" s="88"/>
      <c r="E1673" s="88"/>
      <c r="F1673" s="88"/>
      <c r="G1673" s="87"/>
    </row>
    <row r="1674">
      <c r="A1674" s="87"/>
      <c r="B1674" s="88"/>
      <c r="C1674" s="88"/>
      <c r="D1674" s="88"/>
      <c r="E1674" s="88"/>
      <c r="F1674" s="88"/>
      <c r="G1674" s="87"/>
    </row>
    <row r="1675">
      <c r="A1675" s="87"/>
      <c r="B1675" s="88"/>
      <c r="C1675" s="88"/>
      <c r="D1675" s="88"/>
      <c r="E1675" s="88"/>
      <c r="F1675" s="88"/>
      <c r="G1675" s="87"/>
    </row>
    <row r="1676">
      <c r="A1676" s="87"/>
      <c r="B1676" s="88"/>
      <c r="C1676" s="88"/>
      <c r="D1676" s="88"/>
      <c r="E1676" s="88"/>
      <c r="F1676" s="88"/>
      <c r="G1676" s="87"/>
    </row>
    <row r="1677">
      <c r="A1677" s="87"/>
      <c r="B1677" s="88"/>
      <c r="C1677" s="88"/>
      <c r="D1677" s="88"/>
      <c r="E1677" s="88"/>
      <c r="F1677" s="88"/>
      <c r="G1677" s="87"/>
    </row>
    <row r="1678">
      <c r="A1678" s="87"/>
      <c r="B1678" s="88"/>
      <c r="C1678" s="88"/>
      <c r="D1678" s="88"/>
      <c r="E1678" s="88"/>
      <c r="F1678" s="88"/>
      <c r="G1678" s="87"/>
    </row>
    <row r="1679">
      <c r="A1679" s="87"/>
      <c r="B1679" s="88"/>
      <c r="C1679" s="88"/>
      <c r="D1679" s="88"/>
      <c r="E1679" s="88"/>
      <c r="F1679" s="88"/>
      <c r="G1679" s="87"/>
    </row>
    <row r="1680">
      <c r="A1680" s="87"/>
      <c r="B1680" s="88"/>
      <c r="C1680" s="88"/>
      <c r="D1680" s="88"/>
      <c r="E1680" s="88"/>
      <c r="F1680" s="88"/>
      <c r="G1680" s="87"/>
    </row>
    <row r="1681">
      <c r="A1681" s="87"/>
      <c r="B1681" s="88"/>
      <c r="C1681" s="88"/>
      <c r="D1681" s="88"/>
      <c r="E1681" s="88"/>
      <c r="F1681" s="88"/>
      <c r="G1681" s="87"/>
    </row>
    <row r="1682">
      <c r="A1682" s="87"/>
      <c r="B1682" s="88"/>
      <c r="C1682" s="88"/>
      <c r="D1682" s="88"/>
      <c r="E1682" s="88"/>
      <c r="F1682" s="88"/>
      <c r="G1682" s="87"/>
    </row>
    <row r="1683">
      <c r="A1683" s="87"/>
      <c r="B1683" s="88"/>
      <c r="C1683" s="88"/>
      <c r="D1683" s="88"/>
      <c r="E1683" s="88"/>
      <c r="F1683" s="88"/>
      <c r="G1683" s="87"/>
    </row>
    <row r="1684">
      <c r="A1684" s="87"/>
      <c r="B1684" s="88"/>
      <c r="C1684" s="88"/>
      <c r="D1684" s="88"/>
      <c r="E1684" s="88"/>
      <c r="F1684" s="88"/>
      <c r="G1684" s="87"/>
    </row>
    <row r="1685">
      <c r="A1685" s="87"/>
      <c r="B1685" s="88"/>
      <c r="C1685" s="88"/>
      <c r="D1685" s="88"/>
      <c r="E1685" s="88"/>
      <c r="F1685" s="88"/>
      <c r="G1685" s="87"/>
    </row>
    <row r="1686">
      <c r="A1686" s="87"/>
      <c r="B1686" s="88"/>
      <c r="C1686" s="88"/>
      <c r="D1686" s="88"/>
      <c r="E1686" s="88"/>
      <c r="F1686" s="88"/>
      <c r="G1686" s="87"/>
    </row>
    <row r="1687">
      <c r="A1687" s="87"/>
      <c r="B1687" s="88"/>
      <c r="C1687" s="88"/>
      <c r="D1687" s="88"/>
      <c r="E1687" s="88"/>
      <c r="F1687" s="88"/>
      <c r="G1687" s="87"/>
    </row>
    <row r="1688">
      <c r="A1688" s="87"/>
      <c r="B1688" s="88"/>
      <c r="C1688" s="88"/>
      <c r="D1688" s="88"/>
      <c r="E1688" s="88"/>
      <c r="F1688" s="88"/>
      <c r="G1688" s="87"/>
    </row>
    <row r="1689">
      <c r="A1689" s="87"/>
      <c r="B1689" s="88"/>
      <c r="C1689" s="88"/>
      <c r="D1689" s="88"/>
      <c r="E1689" s="88"/>
      <c r="F1689" s="88"/>
      <c r="G1689" s="87"/>
    </row>
    <row r="1690">
      <c r="A1690" s="87"/>
      <c r="B1690" s="88"/>
      <c r="C1690" s="88"/>
      <c r="D1690" s="88"/>
      <c r="E1690" s="88"/>
      <c r="F1690" s="88"/>
      <c r="G1690" s="87"/>
    </row>
    <row r="1691">
      <c r="A1691" s="87"/>
      <c r="B1691" s="88"/>
      <c r="C1691" s="88"/>
      <c r="D1691" s="88"/>
      <c r="E1691" s="88"/>
      <c r="F1691" s="88"/>
      <c r="G1691" s="87"/>
    </row>
    <row r="1692">
      <c r="A1692" s="87"/>
      <c r="B1692" s="88"/>
      <c r="C1692" s="88"/>
      <c r="D1692" s="88"/>
      <c r="E1692" s="88"/>
      <c r="F1692" s="88"/>
      <c r="G1692" s="87"/>
    </row>
    <row r="1693">
      <c r="A1693" s="87"/>
      <c r="B1693" s="88"/>
      <c r="C1693" s="88"/>
      <c r="D1693" s="88"/>
      <c r="E1693" s="88"/>
      <c r="F1693" s="88"/>
      <c r="G1693" s="87"/>
    </row>
    <row r="1694">
      <c r="A1694" s="87"/>
      <c r="B1694" s="88"/>
      <c r="C1694" s="88"/>
      <c r="D1694" s="88"/>
      <c r="E1694" s="88"/>
      <c r="F1694" s="88"/>
      <c r="G1694" s="87"/>
    </row>
    <row r="1695">
      <c r="A1695" s="87"/>
      <c r="B1695" s="88"/>
      <c r="C1695" s="88"/>
      <c r="D1695" s="88"/>
      <c r="E1695" s="88"/>
      <c r="F1695" s="88"/>
      <c r="G1695" s="87"/>
    </row>
    <row r="1696">
      <c r="A1696" s="87"/>
      <c r="B1696" s="88"/>
      <c r="C1696" s="88"/>
      <c r="D1696" s="88"/>
      <c r="E1696" s="88"/>
      <c r="F1696" s="88"/>
      <c r="G1696" s="87"/>
    </row>
    <row r="1697">
      <c r="A1697" s="87"/>
      <c r="B1697" s="88"/>
      <c r="C1697" s="88"/>
      <c r="D1697" s="88"/>
      <c r="E1697" s="88"/>
      <c r="F1697" s="88"/>
      <c r="G1697" s="87"/>
    </row>
    <row r="1698">
      <c r="A1698" s="87"/>
      <c r="B1698" s="88"/>
      <c r="C1698" s="88"/>
      <c r="D1698" s="88"/>
      <c r="E1698" s="88"/>
      <c r="F1698" s="88"/>
      <c r="G1698" s="87"/>
    </row>
    <row r="1699">
      <c r="A1699" s="87"/>
      <c r="B1699" s="88"/>
      <c r="C1699" s="88"/>
      <c r="D1699" s="88"/>
      <c r="E1699" s="88"/>
      <c r="F1699" s="88"/>
      <c r="G1699" s="87"/>
    </row>
    <row r="1700">
      <c r="A1700" s="87"/>
      <c r="B1700" s="88"/>
      <c r="C1700" s="88"/>
      <c r="D1700" s="88"/>
      <c r="E1700" s="88"/>
      <c r="F1700" s="88"/>
      <c r="G1700" s="87"/>
    </row>
    <row r="1701">
      <c r="A1701" s="87"/>
      <c r="B1701" s="88"/>
      <c r="C1701" s="88"/>
      <c r="D1701" s="88"/>
      <c r="E1701" s="88"/>
      <c r="F1701" s="88"/>
      <c r="G1701" s="87"/>
    </row>
    <row r="1702">
      <c r="A1702" s="87"/>
      <c r="B1702" s="88"/>
      <c r="C1702" s="88"/>
      <c r="D1702" s="88"/>
      <c r="E1702" s="88"/>
      <c r="F1702" s="88"/>
      <c r="G1702" s="87"/>
    </row>
    <row r="1703">
      <c r="A1703" s="87"/>
      <c r="B1703" s="88"/>
      <c r="C1703" s="88"/>
      <c r="D1703" s="88"/>
      <c r="E1703" s="88"/>
      <c r="F1703" s="88"/>
      <c r="G1703" s="87"/>
    </row>
    <row r="1704">
      <c r="A1704" s="87"/>
      <c r="B1704" s="88"/>
      <c r="C1704" s="88"/>
      <c r="D1704" s="88"/>
      <c r="E1704" s="88"/>
      <c r="F1704" s="88"/>
      <c r="G1704" s="87"/>
    </row>
    <row r="1705">
      <c r="A1705" s="87"/>
      <c r="B1705" s="88"/>
      <c r="C1705" s="88"/>
      <c r="D1705" s="88"/>
      <c r="E1705" s="88"/>
      <c r="F1705" s="88"/>
      <c r="G1705" s="87"/>
    </row>
    <row r="1706">
      <c r="A1706" s="87"/>
      <c r="B1706" s="88"/>
      <c r="C1706" s="88"/>
      <c r="D1706" s="88"/>
      <c r="E1706" s="88"/>
      <c r="F1706" s="88"/>
      <c r="G1706" s="87"/>
    </row>
    <row r="1707">
      <c r="A1707" s="87"/>
      <c r="B1707" s="88"/>
      <c r="C1707" s="88"/>
      <c r="D1707" s="88"/>
      <c r="E1707" s="88"/>
      <c r="F1707" s="88"/>
      <c r="G1707" s="87"/>
    </row>
    <row r="1708">
      <c r="A1708" s="87"/>
      <c r="B1708" s="88"/>
      <c r="C1708" s="88"/>
      <c r="D1708" s="88"/>
      <c r="E1708" s="88"/>
      <c r="F1708" s="88"/>
      <c r="G1708" s="87"/>
    </row>
    <row r="1709">
      <c r="A1709" s="87"/>
      <c r="B1709" s="88"/>
      <c r="C1709" s="88"/>
      <c r="D1709" s="88"/>
      <c r="E1709" s="88"/>
      <c r="F1709" s="88"/>
      <c r="G1709" s="87"/>
    </row>
    <row r="1710">
      <c r="A1710" s="87"/>
      <c r="B1710" s="88"/>
      <c r="C1710" s="88"/>
      <c r="D1710" s="88"/>
      <c r="E1710" s="88"/>
      <c r="F1710" s="88"/>
      <c r="G1710" s="87"/>
    </row>
    <row r="1711">
      <c r="A1711" s="87"/>
      <c r="B1711" s="88"/>
      <c r="C1711" s="88"/>
      <c r="D1711" s="88"/>
      <c r="E1711" s="88"/>
      <c r="F1711" s="88"/>
      <c r="G1711" s="87"/>
    </row>
    <row r="1712">
      <c r="A1712" s="87"/>
      <c r="B1712" s="88"/>
      <c r="C1712" s="88"/>
      <c r="D1712" s="88"/>
      <c r="E1712" s="88"/>
      <c r="F1712" s="88"/>
      <c r="G1712" s="87"/>
    </row>
    <row r="1713">
      <c r="A1713" s="87"/>
      <c r="B1713" s="88"/>
      <c r="C1713" s="88"/>
      <c r="D1713" s="88"/>
      <c r="E1713" s="88"/>
      <c r="F1713" s="88"/>
      <c r="G1713" s="87"/>
    </row>
    <row r="1714">
      <c r="A1714" s="87"/>
      <c r="B1714" s="88"/>
      <c r="C1714" s="88"/>
      <c r="D1714" s="88"/>
      <c r="E1714" s="88"/>
      <c r="F1714" s="88"/>
      <c r="G1714" s="87"/>
    </row>
    <row r="1715">
      <c r="A1715" s="87"/>
      <c r="B1715" s="88"/>
      <c r="C1715" s="88"/>
      <c r="D1715" s="88"/>
      <c r="E1715" s="88"/>
      <c r="F1715" s="88"/>
      <c r="G1715" s="87"/>
    </row>
    <row r="1716">
      <c r="A1716" s="87"/>
      <c r="B1716" s="88"/>
      <c r="C1716" s="88"/>
      <c r="D1716" s="88"/>
      <c r="E1716" s="88"/>
      <c r="F1716" s="88"/>
      <c r="G1716" s="87"/>
    </row>
    <row r="1717">
      <c r="A1717" s="87"/>
      <c r="B1717" s="88"/>
      <c r="C1717" s="88"/>
      <c r="D1717" s="88"/>
      <c r="E1717" s="88"/>
      <c r="F1717" s="88"/>
      <c r="G1717" s="87"/>
    </row>
    <row r="1718">
      <c r="A1718" s="87"/>
      <c r="B1718" s="88"/>
      <c r="C1718" s="88"/>
      <c r="D1718" s="88"/>
      <c r="E1718" s="88"/>
      <c r="F1718" s="88"/>
      <c r="G1718" s="87"/>
    </row>
    <row r="1719">
      <c r="A1719" s="87"/>
      <c r="B1719" s="88"/>
      <c r="C1719" s="88"/>
      <c r="D1719" s="88"/>
      <c r="E1719" s="88"/>
      <c r="F1719" s="88"/>
      <c r="G1719" s="87"/>
    </row>
    <row r="1720">
      <c r="A1720" s="87"/>
      <c r="B1720" s="88"/>
      <c r="C1720" s="88"/>
      <c r="D1720" s="88"/>
      <c r="E1720" s="88"/>
      <c r="F1720" s="88"/>
      <c r="G1720" s="87"/>
    </row>
    <row r="1721">
      <c r="A1721" s="87"/>
      <c r="B1721" s="88"/>
      <c r="C1721" s="88"/>
      <c r="D1721" s="88"/>
      <c r="E1721" s="88"/>
      <c r="F1721" s="88"/>
      <c r="G1721" s="87"/>
    </row>
    <row r="1722">
      <c r="A1722" s="87"/>
      <c r="B1722" s="88"/>
      <c r="C1722" s="88"/>
      <c r="D1722" s="88"/>
      <c r="E1722" s="88"/>
      <c r="F1722" s="88"/>
      <c r="G1722" s="87"/>
    </row>
    <row r="1723">
      <c r="A1723" s="87"/>
      <c r="B1723" s="88"/>
      <c r="C1723" s="88"/>
      <c r="D1723" s="88"/>
      <c r="E1723" s="88"/>
      <c r="F1723" s="88"/>
      <c r="G1723" s="87"/>
    </row>
    <row r="1724">
      <c r="A1724" s="87"/>
      <c r="B1724" s="88"/>
      <c r="C1724" s="88"/>
      <c r="D1724" s="88"/>
      <c r="E1724" s="88"/>
      <c r="F1724" s="88"/>
      <c r="G1724" s="87"/>
    </row>
    <row r="1725">
      <c r="A1725" s="87"/>
      <c r="B1725" s="88"/>
      <c r="C1725" s="88"/>
      <c r="D1725" s="88"/>
      <c r="E1725" s="88"/>
      <c r="F1725" s="88"/>
      <c r="G1725" s="87"/>
    </row>
    <row r="1726">
      <c r="A1726" s="87"/>
      <c r="B1726" s="88"/>
      <c r="C1726" s="88"/>
      <c r="D1726" s="88"/>
      <c r="E1726" s="88"/>
      <c r="F1726" s="88"/>
      <c r="G1726" s="87"/>
    </row>
    <row r="1727">
      <c r="A1727" s="87"/>
      <c r="B1727" s="88"/>
      <c r="C1727" s="88"/>
      <c r="D1727" s="88"/>
      <c r="E1727" s="88"/>
      <c r="F1727" s="88"/>
      <c r="G1727" s="87"/>
    </row>
    <row r="1728">
      <c r="A1728" s="87"/>
      <c r="B1728" s="88"/>
      <c r="C1728" s="88"/>
      <c r="D1728" s="88"/>
      <c r="E1728" s="88"/>
      <c r="F1728" s="88"/>
      <c r="G1728" s="87"/>
    </row>
    <row r="1729">
      <c r="A1729" s="87"/>
      <c r="B1729" s="88"/>
      <c r="C1729" s="88"/>
      <c r="D1729" s="88"/>
      <c r="E1729" s="88"/>
      <c r="F1729" s="88"/>
      <c r="G1729" s="87"/>
    </row>
    <row r="1730">
      <c r="A1730" s="87"/>
      <c r="B1730" s="88"/>
      <c r="C1730" s="88"/>
      <c r="D1730" s="88"/>
      <c r="E1730" s="88"/>
      <c r="F1730" s="88"/>
      <c r="G1730" s="87"/>
    </row>
    <row r="1731">
      <c r="A1731" s="87"/>
      <c r="B1731" s="88"/>
      <c r="C1731" s="88"/>
      <c r="D1731" s="88"/>
      <c r="E1731" s="88"/>
      <c r="F1731" s="88"/>
      <c r="G1731" s="87"/>
    </row>
    <row r="1732">
      <c r="A1732" s="87"/>
      <c r="B1732" s="88"/>
      <c r="C1732" s="88"/>
      <c r="D1732" s="88"/>
      <c r="E1732" s="88"/>
      <c r="F1732" s="88"/>
      <c r="G1732" s="87"/>
    </row>
    <row r="1733">
      <c r="A1733" s="87"/>
      <c r="B1733" s="88"/>
      <c r="C1733" s="88"/>
      <c r="D1733" s="88"/>
      <c r="E1733" s="88"/>
      <c r="F1733" s="88"/>
      <c r="G1733" s="87"/>
    </row>
    <row r="1734">
      <c r="A1734" s="87"/>
      <c r="B1734" s="88"/>
      <c r="C1734" s="88"/>
      <c r="D1734" s="88"/>
      <c r="E1734" s="88"/>
      <c r="F1734" s="88"/>
      <c r="G1734" s="87"/>
    </row>
    <row r="1735">
      <c r="A1735" s="87"/>
      <c r="B1735" s="88"/>
      <c r="C1735" s="88"/>
      <c r="D1735" s="88"/>
      <c r="E1735" s="88"/>
      <c r="F1735" s="88"/>
      <c r="G1735" s="87"/>
    </row>
    <row r="1736">
      <c r="A1736" s="87"/>
      <c r="B1736" s="88"/>
      <c r="C1736" s="88"/>
      <c r="D1736" s="88"/>
      <c r="E1736" s="88"/>
      <c r="F1736" s="88"/>
      <c r="G1736" s="87"/>
    </row>
    <row r="1737">
      <c r="A1737" s="87"/>
      <c r="B1737" s="88"/>
      <c r="C1737" s="88"/>
      <c r="D1737" s="88"/>
      <c r="E1737" s="88"/>
      <c r="F1737" s="88"/>
      <c r="G1737" s="87"/>
    </row>
    <row r="1738">
      <c r="A1738" s="87"/>
      <c r="B1738" s="88"/>
      <c r="C1738" s="88"/>
      <c r="D1738" s="88"/>
      <c r="E1738" s="88"/>
      <c r="F1738" s="88"/>
      <c r="G1738" s="87"/>
    </row>
    <row r="1739">
      <c r="A1739" s="87"/>
      <c r="B1739" s="88"/>
      <c r="C1739" s="88"/>
      <c r="D1739" s="88"/>
      <c r="E1739" s="88"/>
      <c r="F1739" s="88"/>
      <c r="G1739" s="87"/>
    </row>
    <row r="1740">
      <c r="A1740" s="87"/>
      <c r="B1740" s="88"/>
      <c r="C1740" s="88"/>
      <c r="D1740" s="88"/>
      <c r="E1740" s="88"/>
      <c r="F1740" s="88"/>
      <c r="G1740" s="87"/>
    </row>
    <row r="1741">
      <c r="A1741" s="87"/>
      <c r="B1741" s="88"/>
      <c r="C1741" s="88"/>
      <c r="D1741" s="88"/>
      <c r="E1741" s="88"/>
      <c r="F1741" s="88"/>
      <c r="G1741" s="87"/>
    </row>
    <row r="1742">
      <c r="A1742" s="87"/>
      <c r="B1742" s="88"/>
      <c r="C1742" s="88"/>
      <c r="D1742" s="88"/>
      <c r="E1742" s="88"/>
      <c r="F1742" s="88"/>
      <c r="G1742" s="87"/>
    </row>
    <row r="1743">
      <c r="A1743" s="87"/>
      <c r="B1743" s="88"/>
      <c r="C1743" s="88"/>
      <c r="D1743" s="88"/>
      <c r="E1743" s="88"/>
      <c r="F1743" s="88"/>
      <c r="G1743" s="87"/>
    </row>
    <row r="1744">
      <c r="A1744" s="87"/>
      <c r="B1744" s="88"/>
      <c r="C1744" s="88"/>
      <c r="D1744" s="88"/>
      <c r="E1744" s="88"/>
      <c r="F1744" s="88"/>
      <c r="G1744" s="87"/>
    </row>
    <row r="1745">
      <c r="A1745" s="87"/>
      <c r="B1745" s="88"/>
      <c r="C1745" s="88"/>
      <c r="D1745" s="88"/>
      <c r="E1745" s="88"/>
      <c r="F1745" s="88"/>
      <c r="G1745" s="87"/>
    </row>
    <row r="1746">
      <c r="A1746" s="87"/>
      <c r="B1746" s="97"/>
      <c r="C1746" s="88"/>
      <c r="D1746" s="88"/>
      <c r="E1746" s="88"/>
      <c r="F1746" s="88"/>
      <c r="G1746" s="87"/>
    </row>
    <row r="1747">
      <c r="A1747" s="87"/>
      <c r="B1747" s="88"/>
      <c r="C1747" s="88"/>
      <c r="D1747" s="88"/>
      <c r="E1747" s="88"/>
      <c r="F1747" s="88"/>
      <c r="G1747" s="87"/>
    </row>
    <row r="1748">
      <c r="A1748" s="87"/>
      <c r="B1748" s="88"/>
      <c r="C1748" s="88"/>
      <c r="D1748" s="88"/>
      <c r="E1748" s="88"/>
      <c r="F1748" s="88"/>
      <c r="G1748" s="87"/>
    </row>
    <row r="1749">
      <c r="A1749" s="87"/>
      <c r="B1749" s="88"/>
      <c r="C1749" s="88"/>
      <c r="D1749" s="88"/>
      <c r="E1749" s="88"/>
      <c r="F1749" s="88"/>
      <c r="G1749" s="87"/>
    </row>
    <row r="1750">
      <c r="A1750" s="87"/>
      <c r="B1750" s="88"/>
      <c r="C1750" s="88"/>
      <c r="D1750" s="88"/>
      <c r="E1750" s="88"/>
      <c r="F1750" s="88"/>
      <c r="G1750" s="87"/>
    </row>
    <row r="1751">
      <c r="A1751" s="87"/>
      <c r="B1751" s="88"/>
      <c r="C1751" s="88"/>
      <c r="D1751" s="88"/>
      <c r="E1751" s="88"/>
      <c r="F1751" s="88"/>
      <c r="G1751" s="87"/>
    </row>
    <row r="1752">
      <c r="A1752" s="87"/>
      <c r="B1752" s="88"/>
      <c r="C1752" s="88"/>
      <c r="D1752" s="88"/>
      <c r="E1752" s="88"/>
      <c r="F1752" s="88"/>
      <c r="G1752" s="87"/>
    </row>
    <row r="1753">
      <c r="A1753" s="87"/>
      <c r="B1753" s="88"/>
      <c r="C1753" s="88"/>
      <c r="D1753" s="88"/>
      <c r="E1753" s="88"/>
      <c r="F1753" s="88"/>
      <c r="G1753" s="87"/>
    </row>
    <row r="1754">
      <c r="A1754" s="87"/>
      <c r="B1754" s="97"/>
      <c r="C1754" s="88"/>
      <c r="D1754" s="88"/>
      <c r="E1754" s="88"/>
      <c r="F1754" s="88"/>
      <c r="G1754" s="87"/>
    </row>
    <row r="1755">
      <c r="A1755" s="87"/>
      <c r="B1755" s="88"/>
      <c r="C1755" s="88"/>
      <c r="D1755" s="88"/>
      <c r="E1755" s="88"/>
      <c r="F1755" s="88"/>
      <c r="G1755" s="87"/>
    </row>
    <row r="1756">
      <c r="A1756" s="87"/>
      <c r="B1756" s="88"/>
      <c r="C1756" s="88"/>
      <c r="D1756" s="88"/>
      <c r="E1756" s="88"/>
      <c r="F1756" s="88"/>
      <c r="G1756" s="87"/>
    </row>
    <row r="1757">
      <c r="A1757" s="87"/>
      <c r="B1757" s="88"/>
      <c r="C1757" s="88"/>
      <c r="D1757" s="88"/>
      <c r="E1757" s="88"/>
      <c r="F1757" s="88"/>
      <c r="G1757" s="87"/>
    </row>
    <row r="1758">
      <c r="A1758" s="87"/>
      <c r="B1758" s="88"/>
      <c r="C1758" s="88"/>
      <c r="D1758" s="88"/>
      <c r="E1758" s="88"/>
      <c r="F1758" s="88"/>
      <c r="G1758" s="87"/>
    </row>
    <row r="1759">
      <c r="A1759" s="87"/>
      <c r="B1759" s="88"/>
      <c r="C1759" s="88"/>
      <c r="D1759" s="88"/>
      <c r="E1759" s="88"/>
      <c r="F1759" s="88"/>
      <c r="G1759" s="87"/>
    </row>
    <row r="1760">
      <c r="A1760" s="87"/>
      <c r="B1760" s="88"/>
      <c r="C1760" s="88"/>
      <c r="D1760" s="88"/>
      <c r="E1760" s="88"/>
      <c r="F1760" s="88"/>
      <c r="G1760" s="87"/>
    </row>
    <row r="1761">
      <c r="A1761" s="87"/>
      <c r="B1761" s="88"/>
      <c r="C1761" s="88"/>
      <c r="D1761" s="88"/>
      <c r="E1761" s="88"/>
      <c r="F1761" s="88"/>
      <c r="G1761" s="87"/>
    </row>
    <row r="1762">
      <c r="A1762" s="87"/>
      <c r="B1762" s="88"/>
      <c r="C1762" s="88"/>
      <c r="D1762" s="88"/>
      <c r="E1762" s="88"/>
      <c r="F1762" s="88"/>
      <c r="G1762" s="87"/>
    </row>
    <row r="1763">
      <c r="A1763" s="87"/>
      <c r="B1763" s="88"/>
      <c r="C1763" s="88"/>
      <c r="D1763" s="88"/>
      <c r="E1763" s="88"/>
      <c r="F1763" s="88"/>
      <c r="G1763" s="87"/>
    </row>
    <row r="1764">
      <c r="A1764" s="87"/>
      <c r="B1764" s="88"/>
      <c r="C1764" s="88"/>
      <c r="D1764" s="88"/>
      <c r="E1764" s="88"/>
      <c r="F1764" s="88"/>
      <c r="G1764" s="87"/>
    </row>
    <row r="1765">
      <c r="A1765" s="87"/>
      <c r="B1765" s="88"/>
      <c r="C1765" s="88"/>
      <c r="D1765" s="88"/>
      <c r="E1765" s="88"/>
      <c r="F1765" s="88"/>
      <c r="G1765" s="87"/>
    </row>
    <row r="1766">
      <c r="A1766" s="87"/>
      <c r="B1766" s="88"/>
      <c r="C1766" s="88"/>
      <c r="D1766" s="88"/>
      <c r="E1766" s="88"/>
      <c r="F1766" s="88"/>
      <c r="G1766" s="87"/>
    </row>
    <row r="1767">
      <c r="A1767" s="87"/>
      <c r="B1767" s="88"/>
      <c r="C1767" s="88"/>
      <c r="D1767" s="88"/>
      <c r="E1767" s="88"/>
      <c r="F1767" s="88"/>
      <c r="G1767" s="87"/>
    </row>
    <row r="1768">
      <c r="A1768" s="87"/>
      <c r="B1768" s="88"/>
      <c r="C1768" s="88"/>
      <c r="D1768" s="88"/>
      <c r="E1768" s="88"/>
      <c r="F1768" s="88"/>
      <c r="G1768" s="87"/>
    </row>
    <row r="1769">
      <c r="A1769" s="87"/>
      <c r="B1769" s="88"/>
      <c r="C1769" s="88"/>
      <c r="D1769" s="88"/>
      <c r="E1769" s="88"/>
      <c r="F1769" s="88"/>
      <c r="G1769" s="87"/>
    </row>
    <row r="1770">
      <c r="A1770" s="87"/>
      <c r="B1770" s="88"/>
      <c r="C1770" s="88"/>
      <c r="D1770" s="88"/>
      <c r="E1770" s="88"/>
      <c r="F1770" s="88"/>
      <c r="G1770" s="87"/>
    </row>
    <row r="1771">
      <c r="A1771" s="87"/>
      <c r="B1771" s="88"/>
      <c r="C1771" s="88"/>
      <c r="D1771" s="88"/>
      <c r="E1771" s="88"/>
      <c r="F1771" s="88"/>
      <c r="G1771" s="87"/>
    </row>
    <row r="1772">
      <c r="A1772" s="87"/>
      <c r="B1772" s="88"/>
      <c r="C1772" s="88"/>
      <c r="D1772" s="88"/>
      <c r="E1772" s="88"/>
      <c r="F1772" s="88"/>
      <c r="G1772" s="87"/>
    </row>
    <row r="1773">
      <c r="A1773" s="87"/>
      <c r="B1773" s="88"/>
      <c r="C1773" s="88"/>
      <c r="D1773" s="88"/>
      <c r="E1773" s="88"/>
      <c r="F1773" s="88"/>
      <c r="G1773" s="87"/>
    </row>
    <row r="1774">
      <c r="A1774" s="87"/>
      <c r="B1774" s="88"/>
      <c r="C1774" s="88"/>
      <c r="D1774" s="88"/>
      <c r="E1774" s="88"/>
      <c r="F1774" s="88"/>
      <c r="G1774" s="87"/>
    </row>
    <row r="1775">
      <c r="A1775" s="87"/>
      <c r="B1775" s="88"/>
      <c r="C1775" s="88"/>
      <c r="D1775" s="88"/>
      <c r="E1775" s="88"/>
      <c r="F1775" s="88"/>
      <c r="G1775" s="87"/>
    </row>
    <row r="1776">
      <c r="A1776" s="87"/>
      <c r="B1776" s="88"/>
      <c r="C1776" s="88"/>
      <c r="D1776" s="88"/>
      <c r="E1776" s="88"/>
      <c r="F1776" s="88"/>
      <c r="G1776" s="87"/>
    </row>
    <row r="1777">
      <c r="A1777" s="87"/>
      <c r="B1777" s="88"/>
      <c r="C1777" s="88"/>
      <c r="D1777" s="88"/>
      <c r="E1777" s="88"/>
      <c r="F1777" s="88"/>
      <c r="G1777" s="87"/>
    </row>
    <row r="1778">
      <c r="A1778" s="87"/>
      <c r="B1778" s="88"/>
      <c r="C1778" s="88"/>
      <c r="D1778" s="88"/>
      <c r="E1778" s="88"/>
      <c r="F1778" s="88"/>
      <c r="G1778" s="87"/>
    </row>
    <row r="1779">
      <c r="A1779" s="87"/>
      <c r="B1779" s="88"/>
      <c r="C1779" s="88"/>
      <c r="D1779" s="88"/>
      <c r="E1779" s="88"/>
      <c r="F1779" s="88"/>
      <c r="G1779" s="87"/>
    </row>
    <row r="1780">
      <c r="A1780" s="87"/>
      <c r="B1780" s="88"/>
      <c r="C1780" s="88"/>
      <c r="D1780" s="88"/>
      <c r="E1780" s="88"/>
      <c r="F1780" s="88"/>
      <c r="G1780" s="87"/>
    </row>
    <row r="1781">
      <c r="A1781" s="87"/>
      <c r="B1781" s="88"/>
      <c r="C1781" s="88"/>
      <c r="D1781" s="88"/>
      <c r="E1781" s="88"/>
      <c r="F1781" s="88"/>
      <c r="G1781" s="87"/>
    </row>
    <row r="1782">
      <c r="A1782" s="87"/>
      <c r="B1782" s="88"/>
      <c r="C1782" s="88"/>
      <c r="D1782" s="88"/>
      <c r="E1782" s="88"/>
      <c r="F1782" s="88"/>
      <c r="G1782" s="87"/>
    </row>
    <row r="1783">
      <c r="A1783" s="87"/>
      <c r="B1783" s="88"/>
      <c r="C1783" s="88"/>
      <c r="D1783" s="88"/>
      <c r="E1783" s="88"/>
      <c r="F1783" s="88"/>
      <c r="G1783" s="87"/>
    </row>
    <row r="1784">
      <c r="A1784" s="87"/>
      <c r="B1784" s="88"/>
      <c r="C1784" s="88"/>
      <c r="D1784" s="88"/>
      <c r="E1784" s="88"/>
      <c r="F1784" s="88"/>
      <c r="G1784" s="87"/>
    </row>
    <row r="1785">
      <c r="A1785" s="87"/>
      <c r="B1785" s="88"/>
      <c r="C1785" s="88"/>
      <c r="D1785" s="88"/>
      <c r="E1785" s="88"/>
      <c r="F1785" s="88"/>
      <c r="G1785" s="87"/>
    </row>
    <row r="1786">
      <c r="A1786" s="87"/>
      <c r="B1786" s="88"/>
      <c r="C1786" s="88"/>
      <c r="D1786" s="88"/>
      <c r="E1786" s="88"/>
      <c r="F1786" s="88"/>
      <c r="G1786" s="87"/>
    </row>
    <row r="1787">
      <c r="A1787" s="87"/>
      <c r="B1787" s="88"/>
      <c r="C1787" s="88"/>
      <c r="D1787" s="88"/>
      <c r="E1787" s="88"/>
      <c r="F1787" s="88"/>
      <c r="G1787" s="87"/>
    </row>
    <row r="1788">
      <c r="A1788" s="87"/>
      <c r="B1788" s="88"/>
      <c r="C1788" s="88"/>
      <c r="D1788" s="88"/>
      <c r="E1788" s="88"/>
      <c r="F1788" s="88"/>
      <c r="G1788" s="87"/>
    </row>
    <row r="1789">
      <c r="A1789" s="87"/>
      <c r="B1789" s="88"/>
      <c r="C1789" s="88"/>
      <c r="D1789" s="88"/>
      <c r="E1789" s="88"/>
      <c r="F1789" s="88"/>
      <c r="G1789" s="87"/>
    </row>
    <row r="1790">
      <c r="A1790" s="87"/>
      <c r="B1790" s="88"/>
      <c r="C1790" s="88"/>
      <c r="D1790" s="88"/>
      <c r="E1790" s="88"/>
      <c r="F1790" s="88"/>
      <c r="G1790" s="87"/>
    </row>
    <row r="1791">
      <c r="A1791" s="87"/>
      <c r="B1791" s="88"/>
      <c r="C1791" s="88"/>
      <c r="D1791" s="88"/>
      <c r="E1791" s="88"/>
      <c r="F1791" s="88"/>
      <c r="G1791" s="87"/>
    </row>
    <row r="1792">
      <c r="A1792" s="87"/>
      <c r="B1792" s="88"/>
      <c r="C1792" s="88"/>
      <c r="D1792" s="88"/>
      <c r="E1792" s="88"/>
      <c r="F1792" s="88"/>
      <c r="G1792" s="87"/>
    </row>
    <row r="1793">
      <c r="A1793" s="87"/>
      <c r="B1793" s="88"/>
      <c r="C1793" s="88"/>
      <c r="D1793" s="88"/>
      <c r="E1793" s="88"/>
      <c r="F1793" s="88"/>
      <c r="G1793" s="87"/>
    </row>
    <row r="1794">
      <c r="A1794" s="87"/>
      <c r="B1794" s="88"/>
      <c r="C1794" s="88"/>
      <c r="D1794" s="88"/>
      <c r="E1794" s="88"/>
      <c r="F1794" s="88"/>
      <c r="G1794" s="87"/>
    </row>
    <row r="1795">
      <c r="A1795" s="87"/>
      <c r="B1795" s="88"/>
      <c r="C1795" s="88"/>
      <c r="D1795" s="88"/>
      <c r="E1795" s="88"/>
      <c r="F1795" s="88"/>
      <c r="G1795" s="87"/>
    </row>
    <row r="1796">
      <c r="A1796" s="87"/>
      <c r="B1796" s="88"/>
      <c r="C1796" s="88"/>
      <c r="D1796" s="88"/>
      <c r="E1796" s="88"/>
      <c r="F1796" s="88"/>
      <c r="G1796" s="87"/>
    </row>
    <row r="1797">
      <c r="A1797" s="87"/>
      <c r="B1797" s="88"/>
      <c r="C1797" s="88"/>
      <c r="D1797" s="88"/>
      <c r="E1797" s="88"/>
      <c r="F1797" s="88"/>
      <c r="G1797" s="87"/>
    </row>
    <row r="1798">
      <c r="A1798" s="87"/>
      <c r="B1798" s="88"/>
      <c r="C1798" s="88"/>
      <c r="D1798" s="88"/>
      <c r="E1798" s="88"/>
      <c r="F1798" s="88"/>
      <c r="G1798" s="87"/>
    </row>
    <row r="1799">
      <c r="A1799" s="87"/>
      <c r="B1799" s="88"/>
      <c r="C1799" s="88"/>
      <c r="D1799" s="88"/>
      <c r="E1799" s="88"/>
      <c r="F1799" s="88"/>
      <c r="G1799" s="87"/>
    </row>
    <row r="1800">
      <c r="A1800" s="87"/>
      <c r="B1800" s="88"/>
      <c r="C1800" s="88"/>
      <c r="D1800" s="88"/>
      <c r="E1800" s="88"/>
      <c r="F1800" s="88"/>
      <c r="G1800" s="87"/>
    </row>
    <row r="1801">
      <c r="A1801" s="87"/>
      <c r="B1801" s="88"/>
      <c r="C1801" s="88"/>
      <c r="D1801" s="88"/>
      <c r="E1801" s="88"/>
      <c r="F1801" s="88"/>
      <c r="G1801" s="87"/>
    </row>
    <row r="1802">
      <c r="A1802" s="87"/>
      <c r="B1802" s="88"/>
      <c r="C1802" s="88"/>
      <c r="D1802" s="88"/>
      <c r="E1802" s="88"/>
      <c r="F1802" s="88"/>
      <c r="G1802" s="87"/>
    </row>
    <row r="1803">
      <c r="A1803" s="87"/>
      <c r="B1803" s="88"/>
      <c r="C1803" s="88"/>
      <c r="D1803" s="88"/>
      <c r="E1803" s="88"/>
      <c r="F1803" s="88"/>
      <c r="G1803" s="87"/>
    </row>
    <row r="1804">
      <c r="A1804" s="87"/>
      <c r="B1804" s="88"/>
      <c r="C1804" s="88"/>
      <c r="D1804" s="88"/>
      <c r="E1804" s="88"/>
      <c r="F1804" s="88"/>
      <c r="G1804" s="87"/>
    </row>
    <row r="1805">
      <c r="A1805" s="87"/>
      <c r="B1805" s="88"/>
      <c r="C1805" s="88"/>
      <c r="D1805" s="88"/>
      <c r="E1805" s="88"/>
      <c r="F1805" s="88"/>
      <c r="G1805" s="87"/>
    </row>
    <row r="1806">
      <c r="A1806" s="87"/>
      <c r="B1806" s="88"/>
      <c r="C1806" s="88"/>
      <c r="D1806" s="88"/>
      <c r="E1806" s="88"/>
      <c r="F1806" s="88"/>
      <c r="G1806" s="87"/>
    </row>
    <row r="1807">
      <c r="A1807" s="87"/>
      <c r="B1807" s="88"/>
      <c r="C1807" s="88"/>
      <c r="D1807" s="88"/>
      <c r="E1807" s="88"/>
      <c r="F1807" s="88"/>
      <c r="G1807" s="87"/>
    </row>
    <row r="1808">
      <c r="A1808" s="87"/>
      <c r="B1808" s="88"/>
      <c r="C1808" s="88"/>
      <c r="D1808" s="88"/>
      <c r="E1808" s="88"/>
      <c r="F1808" s="88"/>
      <c r="G1808" s="87"/>
    </row>
    <row r="1809">
      <c r="A1809" s="87"/>
      <c r="B1809" s="88"/>
      <c r="C1809" s="88"/>
      <c r="D1809" s="88"/>
      <c r="E1809" s="88"/>
      <c r="F1809" s="88"/>
      <c r="G1809" s="87"/>
    </row>
    <row r="1810">
      <c r="A1810" s="87"/>
      <c r="B1810" s="88"/>
      <c r="C1810" s="88"/>
      <c r="D1810" s="88"/>
      <c r="E1810" s="88"/>
      <c r="F1810" s="88"/>
      <c r="G1810" s="87"/>
    </row>
    <row r="1811">
      <c r="A1811" s="87"/>
      <c r="B1811" s="88"/>
      <c r="C1811" s="88"/>
      <c r="D1811" s="88"/>
      <c r="E1811" s="88"/>
      <c r="F1811" s="88"/>
      <c r="G1811" s="87"/>
    </row>
    <row r="1812">
      <c r="A1812" s="87"/>
      <c r="B1812" s="88"/>
      <c r="C1812" s="88"/>
      <c r="D1812" s="88"/>
      <c r="E1812" s="88"/>
      <c r="F1812" s="88"/>
      <c r="G1812" s="87"/>
    </row>
    <row r="1813">
      <c r="A1813" s="87"/>
      <c r="B1813" s="88"/>
      <c r="C1813" s="88"/>
      <c r="D1813" s="88"/>
      <c r="E1813" s="88"/>
      <c r="F1813" s="88"/>
      <c r="G1813" s="87"/>
    </row>
    <row r="1814">
      <c r="A1814" s="87"/>
      <c r="B1814" s="88"/>
      <c r="C1814" s="88"/>
      <c r="D1814" s="88"/>
      <c r="E1814" s="88"/>
      <c r="F1814" s="88"/>
      <c r="G1814" s="87"/>
    </row>
    <row r="1815">
      <c r="A1815" s="87"/>
      <c r="B1815" s="88"/>
      <c r="C1815" s="88"/>
      <c r="D1815" s="88"/>
      <c r="E1815" s="88"/>
      <c r="F1815" s="88"/>
      <c r="G1815" s="87"/>
    </row>
    <row r="1816">
      <c r="A1816" s="87"/>
      <c r="B1816" s="88"/>
      <c r="C1816" s="88"/>
      <c r="D1816" s="88"/>
      <c r="E1816" s="88"/>
      <c r="F1816" s="88"/>
      <c r="G1816" s="87"/>
    </row>
    <row r="1817">
      <c r="A1817" s="87"/>
      <c r="B1817" s="88"/>
      <c r="C1817" s="88"/>
      <c r="D1817" s="88"/>
      <c r="E1817" s="88"/>
      <c r="F1817" s="88"/>
      <c r="G1817" s="87"/>
    </row>
    <row r="1818">
      <c r="A1818" s="87"/>
      <c r="B1818" s="88"/>
      <c r="C1818" s="88"/>
      <c r="D1818" s="88"/>
      <c r="E1818" s="88"/>
      <c r="F1818" s="88"/>
      <c r="G1818" s="87"/>
    </row>
    <row r="1819">
      <c r="A1819" s="87"/>
      <c r="B1819" s="88"/>
      <c r="C1819" s="88"/>
      <c r="D1819" s="88"/>
      <c r="E1819" s="88"/>
      <c r="F1819" s="88"/>
      <c r="G1819" s="87"/>
    </row>
    <row r="1820">
      <c r="A1820" s="87"/>
      <c r="B1820" s="88"/>
      <c r="C1820" s="88"/>
      <c r="D1820" s="88"/>
      <c r="E1820" s="88"/>
      <c r="F1820" s="88"/>
      <c r="G1820" s="87"/>
    </row>
    <row r="1821">
      <c r="A1821" s="87"/>
      <c r="B1821" s="88"/>
      <c r="C1821" s="88"/>
      <c r="D1821" s="88"/>
      <c r="E1821" s="88"/>
      <c r="F1821" s="88"/>
      <c r="G1821" s="87"/>
    </row>
    <row r="1822">
      <c r="A1822" s="87"/>
      <c r="B1822" s="88"/>
      <c r="C1822" s="88"/>
      <c r="D1822" s="88"/>
      <c r="E1822" s="88"/>
      <c r="F1822" s="88"/>
      <c r="G1822" s="87"/>
    </row>
    <row r="1823">
      <c r="A1823" s="87"/>
      <c r="B1823" s="88"/>
      <c r="C1823" s="88"/>
      <c r="D1823" s="88"/>
      <c r="E1823" s="88"/>
      <c r="F1823" s="88"/>
      <c r="G1823" s="87"/>
    </row>
    <row r="1824">
      <c r="A1824" s="87"/>
      <c r="B1824" s="88"/>
      <c r="C1824" s="88"/>
      <c r="D1824" s="88"/>
      <c r="E1824" s="88"/>
      <c r="F1824" s="88"/>
      <c r="G1824" s="87"/>
    </row>
    <row r="1825">
      <c r="A1825" s="87"/>
      <c r="B1825" s="88"/>
      <c r="C1825" s="88"/>
      <c r="D1825" s="88"/>
      <c r="E1825" s="88"/>
      <c r="F1825" s="88"/>
      <c r="G1825" s="87"/>
    </row>
    <row r="1826">
      <c r="A1826" s="87"/>
      <c r="B1826" s="88"/>
      <c r="C1826" s="88"/>
      <c r="D1826" s="88"/>
      <c r="E1826" s="88"/>
      <c r="F1826" s="88"/>
      <c r="G1826" s="87"/>
    </row>
    <row r="1827">
      <c r="A1827" s="87"/>
      <c r="B1827" s="88"/>
      <c r="C1827" s="88"/>
      <c r="D1827" s="88"/>
      <c r="E1827" s="88"/>
      <c r="F1827" s="88"/>
      <c r="G1827" s="87"/>
    </row>
    <row r="1828">
      <c r="A1828" s="87"/>
      <c r="B1828" s="88"/>
      <c r="C1828" s="88"/>
      <c r="D1828" s="88"/>
      <c r="E1828" s="88"/>
      <c r="F1828" s="88"/>
      <c r="G1828" s="87"/>
    </row>
    <row r="1829">
      <c r="A1829" s="87"/>
      <c r="B1829" s="88"/>
      <c r="C1829" s="88"/>
      <c r="D1829" s="88"/>
      <c r="E1829" s="88"/>
      <c r="F1829" s="88"/>
      <c r="G1829" s="87"/>
    </row>
    <row r="1830">
      <c r="A1830" s="87"/>
      <c r="B1830" s="88"/>
      <c r="C1830" s="88"/>
      <c r="D1830" s="88"/>
      <c r="E1830" s="88"/>
      <c r="F1830" s="88"/>
      <c r="G1830" s="87"/>
    </row>
    <row r="1831">
      <c r="A1831" s="87"/>
      <c r="B1831" s="88"/>
      <c r="C1831" s="88"/>
      <c r="D1831" s="88"/>
      <c r="E1831" s="88"/>
      <c r="F1831" s="88"/>
      <c r="G1831" s="87"/>
    </row>
    <row r="1832">
      <c r="A1832" s="87"/>
      <c r="B1832" s="88"/>
      <c r="C1832" s="88"/>
      <c r="D1832" s="88"/>
      <c r="E1832" s="88"/>
      <c r="F1832" s="88"/>
      <c r="G1832" s="87"/>
    </row>
    <row r="1833">
      <c r="A1833" s="87"/>
      <c r="B1833" s="88"/>
      <c r="C1833" s="88"/>
      <c r="D1833" s="88"/>
      <c r="E1833" s="88"/>
      <c r="F1833" s="88"/>
      <c r="G1833" s="87"/>
    </row>
    <row r="1834">
      <c r="A1834" s="87"/>
      <c r="B1834" s="88"/>
      <c r="C1834" s="88"/>
      <c r="D1834" s="88"/>
      <c r="E1834" s="88"/>
      <c r="F1834" s="88"/>
      <c r="G1834" s="87"/>
    </row>
    <row r="1835">
      <c r="A1835" s="87"/>
      <c r="B1835" s="88"/>
      <c r="C1835" s="88"/>
      <c r="D1835" s="88"/>
      <c r="E1835" s="88"/>
      <c r="F1835" s="88"/>
      <c r="G1835" s="87"/>
    </row>
    <row r="1836">
      <c r="A1836" s="87"/>
      <c r="B1836" s="88"/>
      <c r="C1836" s="88"/>
      <c r="D1836" s="88"/>
      <c r="E1836" s="88"/>
      <c r="F1836" s="88"/>
      <c r="G1836" s="87"/>
    </row>
    <row r="1837">
      <c r="A1837" s="87"/>
      <c r="B1837" s="88"/>
      <c r="C1837" s="88"/>
      <c r="D1837" s="88"/>
      <c r="E1837" s="88"/>
      <c r="F1837" s="88"/>
      <c r="G1837" s="87"/>
    </row>
    <row r="1838">
      <c r="A1838" s="87"/>
      <c r="B1838" s="88"/>
      <c r="C1838" s="88"/>
      <c r="D1838" s="88"/>
      <c r="E1838" s="88"/>
      <c r="F1838" s="88"/>
      <c r="G1838" s="87"/>
    </row>
    <row r="1839">
      <c r="A1839" s="87"/>
      <c r="B1839" s="88"/>
      <c r="C1839" s="88"/>
      <c r="D1839" s="88"/>
      <c r="E1839" s="88"/>
      <c r="F1839" s="88"/>
      <c r="G1839" s="87"/>
    </row>
    <row r="1840">
      <c r="A1840" s="87"/>
      <c r="B1840" s="88"/>
      <c r="C1840" s="88"/>
      <c r="D1840" s="88"/>
      <c r="E1840" s="88"/>
      <c r="F1840" s="88"/>
      <c r="G1840" s="87"/>
    </row>
    <row r="1841">
      <c r="A1841" s="87"/>
      <c r="B1841" s="88"/>
      <c r="C1841" s="88"/>
      <c r="D1841" s="88"/>
      <c r="E1841" s="88"/>
      <c r="F1841" s="88"/>
      <c r="G1841" s="87"/>
    </row>
    <row r="1842">
      <c r="A1842" s="87"/>
      <c r="B1842" s="88"/>
      <c r="C1842" s="88"/>
      <c r="D1842" s="88"/>
      <c r="E1842" s="88"/>
      <c r="F1842" s="88"/>
      <c r="G1842" s="87"/>
    </row>
    <row r="1843">
      <c r="A1843" s="87"/>
      <c r="B1843" s="88"/>
      <c r="C1843" s="88"/>
      <c r="D1843" s="88"/>
      <c r="E1843" s="88"/>
      <c r="F1843" s="88"/>
      <c r="G1843" s="87"/>
    </row>
    <row r="1844">
      <c r="A1844" s="87"/>
      <c r="B1844" s="88"/>
      <c r="C1844" s="88"/>
      <c r="D1844" s="88"/>
      <c r="E1844" s="88"/>
      <c r="F1844" s="88"/>
      <c r="G1844" s="87"/>
    </row>
    <row r="1845">
      <c r="A1845" s="87"/>
      <c r="B1845" s="88"/>
      <c r="C1845" s="88"/>
      <c r="D1845" s="88"/>
      <c r="E1845" s="88"/>
      <c r="F1845" s="88"/>
      <c r="G1845" s="87"/>
    </row>
    <row r="1846">
      <c r="A1846" s="87"/>
      <c r="B1846" s="88"/>
      <c r="C1846" s="88"/>
      <c r="D1846" s="88"/>
      <c r="E1846" s="88"/>
      <c r="F1846" s="88"/>
      <c r="G1846" s="87"/>
    </row>
    <row r="1847">
      <c r="A1847" s="87"/>
      <c r="B1847" s="88"/>
      <c r="C1847" s="88"/>
      <c r="D1847" s="88"/>
      <c r="E1847" s="88"/>
      <c r="F1847" s="88"/>
      <c r="G1847" s="87"/>
    </row>
    <row r="1848">
      <c r="A1848" s="87"/>
      <c r="B1848" s="88"/>
      <c r="C1848" s="88"/>
      <c r="D1848" s="88"/>
      <c r="E1848" s="88"/>
      <c r="F1848" s="88"/>
      <c r="G1848" s="87"/>
    </row>
    <row r="1849">
      <c r="A1849" s="87"/>
      <c r="B1849" s="88"/>
      <c r="C1849" s="88"/>
      <c r="D1849" s="88"/>
      <c r="E1849" s="88"/>
      <c r="F1849" s="88"/>
      <c r="G1849" s="87"/>
    </row>
    <row r="1850">
      <c r="A1850" s="87"/>
      <c r="B1850" s="88"/>
      <c r="C1850" s="88"/>
      <c r="D1850" s="88"/>
      <c r="E1850" s="88"/>
      <c r="F1850" s="88"/>
      <c r="G1850" s="87"/>
    </row>
    <row r="1851">
      <c r="A1851" s="87"/>
      <c r="B1851" s="88"/>
      <c r="C1851" s="88"/>
      <c r="D1851" s="88"/>
      <c r="E1851" s="88"/>
      <c r="F1851" s="88"/>
      <c r="G1851" s="87"/>
    </row>
    <row r="1852">
      <c r="A1852" s="87"/>
      <c r="B1852" s="88"/>
      <c r="C1852" s="88"/>
      <c r="D1852" s="88"/>
      <c r="E1852" s="88"/>
      <c r="F1852" s="88"/>
      <c r="G1852" s="87"/>
    </row>
    <row r="1853">
      <c r="A1853" s="87"/>
      <c r="B1853" s="88"/>
      <c r="C1853" s="88"/>
      <c r="D1853" s="88"/>
      <c r="E1853" s="88"/>
      <c r="F1853" s="88"/>
      <c r="G1853" s="87"/>
    </row>
    <row r="1854">
      <c r="A1854" s="87"/>
      <c r="B1854" s="88"/>
      <c r="C1854" s="88"/>
      <c r="D1854" s="88"/>
      <c r="E1854" s="88"/>
      <c r="F1854" s="88"/>
      <c r="G1854" s="87"/>
    </row>
    <row r="1855">
      <c r="A1855" s="87"/>
      <c r="B1855" s="88"/>
      <c r="C1855" s="88"/>
      <c r="D1855" s="88"/>
      <c r="E1855" s="88"/>
      <c r="F1855" s="88"/>
      <c r="G1855" s="87"/>
    </row>
    <row r="1856">
      <c r="A1856" s="87"/>
      <c r="B1856" s="88"/>
      <c r="C1856" s="88"/>
      <c r="D1856" s="88"/>
      <c r="E1856" s="88"/>
      <c r="F1856" s="88"/>
      <c r="G1856" s="87"/>
    </row>
    <row r="1857">
      <c r="A1857" s="87"/>
      <c r="B1857" s="88"/>
      <c r="C1857" s="88"/>
      <c r="D1857" s="88"/>
      <c r="E1857" s="88"/>
      <c r="F1857" s="88"/>
      <c r="G1857" s="87"/>
    </row>
    <row r="1858">
      <c r="A1858" s="87"/>
      <c r="B1858" s="88"/>
      <c r="C1858" s="88"/>
      <c r="D1858" s="88"/>
      <c r="E1858" s="88"/>
      <c r="F1858" s="88"/>
      <c r="G1858" s="87"/>
    </row>
    <row r="1859">
      <c r="A1859" s="87"/>
      <c r="B1859" s="88"/>
      <c r="C1859" s="88"/>
      <c r="D1859" s="88"/>
      <c r="E1859" s="88"/>
      <c r="F1859" s="88"/>
      <c r="G1859" s="87"/>
    </row>
    <row r="1860">
      <c r="A1860" s="87"/>
      <c r="B1860" s="88"/>
      <c r="C1860" s="88"/>
      <c r="D1860" s="88"/>
      <c r="E1860" s="88"/>
      <c r="F1860" s="88"/>
      <c r="G1860" s="87"/>
    </row>
    <row r="1861">
      <c r="A1861" s="87"/>
      <c r="B1861" s="88"/>
      <c r="C1861" s="88"/>
      <c r="D1861" s="88"/>
      <c r="E1861" s="88"/>
      <c r="F1861" s="88"/>
      <c r="G1861" s="87"/>
    </row>
    <row r="1862">
      <c r="A1862" s="87"/>
      <c r="B1862" s="88"/>
      <c r="C1862" s="88"/>
      <c r="D1862" s="88"/>
      <c r="E1862" s="88"/>
      <c r="F1862" s="88"/>
      <c r="G1862" s="87"/>
    </row>
    <row r="1863">
      <c r="A1863" s="87"/>
      <c r="B1863" s="88"/>
      <c r="C1863" s="88"/>
      <c r="D1863" s="88"/>
      <c r="E1863" s="88"/>
      <c r="F1863" s="88"/>
      <c r="G1863" s="87"/>
    </row>
    <row r="1864">
      <c r="A1864" s="87"/>
      <c r="B1864" s="88"/>
      <c r="C1864" s="88"/>
      <c r="D1864" s="88"/>
      <c r="E1864" s="88"/>
      <c r="F1864" s="88"/>
      <c r="G1864" s="87"/>
    </row>
    <row r="1865">
      <c r="A1865" s="87"/>
      <c r="B1865" s="88"/>
      <c r="C1865" s="88"/>
      <c r="D1865" s="88"/>
      <c r="E1865" s="88"/>
      <c r="F1865" s="88"/>
      <c r="G1865" s="87"/>
    </row>
    <row r="1866">
      <c r="A1866" s="87"/>
      <c r="B1866" s="88"/>
      <c r="C1866" s="88"/>
      <c r="D1866" s="88"/>
      <c r="E1866" s="88"/>
      <c r="F1866" s="88"/>
      <c r="G1866" s="87"/>
    </row>
    <row r="1867">
      <c r="A1867" s="87"/>
      <c r="B1867" s="88"/>
      <c r="C1867" s="88"/>
      <c r="D1867" s="88"/>
      <c r="E1867" s="88"/>
      <c r="F1867" s="88"/>
      <c r="G1867" s="87"/>
    </row>
    <row r="1868">
      <c r="A1868" s="87"/>
      <c r="B1868" s="88"/>
      <c r="C1868" s="88"/>
      <c r="D1868" s="88"/>
      <c r="E1868" s="88"/>
      <c r="F1868" s="88"/>
      <c r="G1868" s="87"/>
    </row>
    <row r="1869">
      <c r="A1869" s="87"/>
      <c r="B1869" s="88"/>
      <c r="C1869" s="88"/>
      <c r="D1869" s="88"/>
      <c r="E1869" s="88"/>
      <c r="F1869" s="88"/>
      <c r="G1869" s="87"/>
    </row>
    <row r="1870">
      <c r="A1870" s="87"/>
      <c r="B1870" s="88"/>
      <c r="C1870" s="88"/>
      <c r="D1870" s="88"/>
      <c r="E1870" s="88"/>
      <c r="F1870" s="88"/>
      <c r="G1870" s="87"/>
    </row>
    <row r="1871">
      <c r="A1871" s="87"/>
      <c r="B1871" s="88"/>
      <c r="C1871" s="88"/>
      <c r="D1871" s="88"/>
      <c r="E1871" s="88"/>
      <c r="F1871" s="88"/>
      <c r="G1871" s="87"/>
    </row>
    <row r="1872">
      <c r="A1872" s="87"/>
      <c r="B1872" s="88"/>
      <c r="C1872" s="88"/>
      <c r="D1872" s="88"/>
      <c r="E1872" s="88"/>
      <c r="F1872" s="88"/>
      <c r="G1872" s="87"/>
    </row>
    <row r="1873">
      <c r="A1873" s="87"/>
      <c r="B1873" s="88"/>
      <c r="C1873" s="88"/>
      <c r="D1873" s="88"/>
      <c r="E1873" s="88"/>
      <c r="F1873" s="88"/>
      <c r="G1873" s="87"/>
    </row>
    <row r="1874">
      <c r="A1874" s="87"/>
      <c r="B1874" s="88"/>
      <c r="C1874" s="88"/>
      <c r="D1874" s="88"/>
      <c r="E1874" s="88"/>
      <c r="F1874" s="88"/>
      <c r="G1874" s="87"/>
    </row>
    <row r="1875">
      <c r="A1875" s="87"/>
      <c r="B1875" s="88"/>
      <c r="C1875" s="88"/>
      <c r="D1875" s="88"/>
      <c r="E1875" s="88"/>
      <c r="F1875" s="88"/>
      <c r="G1875" s="87"/>
    </row>
    <row r="1876">
      <c r="A1876" s="87"/>
      <c r="B1876" s="88"/>
      <c r="C1876" s="88"/>
      <c r="D1876" s="88"/>
      <c r="E1876" s="88"/>
      <c r="F1876" s="88"/>
      <c r="G1876" s="87"/>
    </row>
    <row r="1877">
      <c r="A1877" s="87"/>
      <c r="B1877" s="88"/>
      <c r="C1877" s="88"/>
      <c r="D1877" s="88"/>
      <c r="E1877" s="88"/>
      <c r="F1877" s="88"/>
      <c r="G1877" s="87"/>
    </row>
    <row r="1878">
      <c r="A1878" s="87"/>
      <c r="B1878" s="88"/>
      <c r="C1878" s="88"/>
      <c r="D1878" s="88"/>
      <c r="E1878" s="88"/>
      <c r="F1878" s="88"/>
      <c r="G1878" s="87"/>
    </row>
    <row r="1879">
      <c r="A1879" s="87"/>
      <c r="B1879" s="88"/>
      <c r="C1879" s="88"/>
      <c r="D1879" s="88"/>
      <c r="E1879" s="88"/>
      <c r="F1879" s="88"/>
      <c r="G1879" s="87"/>
    </row>
    <row r="1880">
      <c r="A1880" s="87"/>
      <c r="B1880" s="88"/>
      <c r="C1880" s="88"/>
      <c r="D1880" s="88"/>
      <c r="E1880" s="88"/>
      <c r="F1880" s="88"/>
      <c r="G1880" s="87"/>
    </row>
    <row r="1881">
      <c r="A1881" s="87"/>
      <c r="B1881" s="88"/>
      <c r="C1881" s="88"/>
      <c r="D1881" s="88"/>
      <c r="E1881" s="88"/>
      <c r="F1881" s="88"/>
      <c r="G1881" s="87"/>
    </row>
    <row r="1882">
      <c r="A1882" s="87"/>
      <c r="B1882" s="88"/>
      <c r="C1882" s="88"/>
      <c r="D1882" s="88"/>
      <c r="E1882" s="88"/>
      <c r="F1882" s="88"/>
      <c r="G1882" s="87"/>
    </row>
    <row r="1883">
      <c r="A1883" s="87"/>
      <c r="B1883" s="88"/>
      <c r="C1883" s="88"/>
      <c r="D1883" s="88"/>
      <c r="E1883" s="88"/>
      <c r="F1883" s="88"/>
      <c r="G1883" s="87"/>
    </row>
    <row r="1884">
      <c r="A1884" s="87"/>
      <c r="B1884" s="88"/>
      <c r="C1884" s="88"/>
      <c r="D1884" s="88"/>
      <c r="E1884" s="88"/>
      <c r="F1884" s="88"/>
      <c r="G1884" s="87"/>
    </row>
    <row r="1885">
      <c r="A1885" s="87"/>
      <c r="B1885" s="88"/>
      <c r="C1885" s="88"/>
      <c r="D1885" s="88"/>
      <c r="E1885" s="88"/>
      <c r="F1885" s="88"/>
      <c r="G1885" s="87"/>
    </row>
    <row r="1886">
      <c r="A1886" s="87"/>
      <c r="B1886" s="88"/>
      <c r="C1886" s="88"/>
      <c r="D1886" s="88"/>
      <c r="E1886" s="88"/>
      <c r="F1886" s="88"/>
      <c r="G1886" s="87"/>
    </row>
    <row r="1887">
      <c r="A1887" s="87"/>
      <c r="B1887" s="88"/>
      <c r="C1887" s="88"/>
      <c r="D1887" s="88"/>
      <c r="E1887" s="88"/>
      <c r="F1887" s="88"/>
      <c r="G1887" s="87"/>
    </row>
    <row r="1888">
      <c r="A1888" s="87"/>
      <c r="B1888" s="88"/>
      <c r="C1888" s="88"/>
      <c r="D1888" s="88"/>
      <c r="E1888" s="88"/>
      <c r="F1888" s="88"/>
      <c r="G1888" s="87"/>
    </row>
    <row r="1889">
      <c r="A1889" s="87"/>
      <c r="B1889" s="88"/>
      <c r="C1889" s="88"/>
      <c r="D1889" s="88"/>
      <c r="E1889" s="88"/>
      <c r="F1889" s="88"/>
      <c r="G1889" s="87"/>
    </row>
    <row r="1890">
      <c r="A1890" s="87"/>
      <c r="B1890" s="88"/>
      <c r="C1890" s="88"/>
      <c r="D1890" s="88"/>
      <c r="E1890" s="88"/>
      <c r="F1890" s="88"/>
      <c r="G1890" s="87"/>
    </row>
    <row r="1891">
      <c r="A1891" s="87"/>
      <c r="B1891" s="88"/>
      <c r="C1891" s="88"/>
      <c r="D1891" s="88"/>
      <c r="E1891" s="88"/>
      <c r="F1891" s="88"/>
      <c r="G1891" s="87"/>
    </row>
    <row r="1892">
      <c r="A1892" s="87"/>
      <c r="B1892" s="88"/>
      <c r="C1892" s="88"/>
      <c r="D1892" s="88"/>
      <c r="E1892" s="88"/>
      <c r="F1892" s="88"/>
      <c r="G1892" s="87"/>
    </row>
    <row r="1893">
      <c r="A1893" s="87"/>
      <c r="B1893" s="88"/>
      <c r="C1893" s="88"/>
      <c r="D1893" s="88"/>
      <c r="E1893" s="88"/>
      <c r="F1893" s="88"/>
      <c r="G1893" s="87"/>
    </row>
    <row r="1894">
      <c r="A1894" s="87"/>
      <c r="B1894" s="88"/>
      <c r="C1894" s="88"/>
      <c r="D1894" s="88"/>
      <c r="E1894" s="88"/>
      <c r="F1894" s="88"/>
      <c r="G1894" s="87"/>
    </row>
    <row r="1895">
      <c r="A1895" s="87"/>
      <c r="B1895" s="88"/>
      <c r="C1895" s="88"/>
      <c r="D1895" s="88"/>
      <c r="E1895" s="88"/>
      <c r="F1895" s="88"/>
      <c r="G1895" s="87"/>
    </row>
    <row r="1896">
      <c r="A1896" s="87"/>
      <c r="B1896" s="88"/>
      <c r="C1896" s="88"/>
      <c r="D1896" s="88"/>
      <c r="E1896" s="88"/>
      <c r="F1896" s="88"/>
      <c r="G1896" s="87"/>
    </row>
    <row r="1897">
      <c r="A1897" s="87"/>
      <c r="B1897" s="88"/>
      <c r="C1897" s="88"/>
      <c r="D1897" s="88"/>
      <c r="E1897" s="88"/>
      <c r="F1897" s="88"/>
      <c r="G1897" s="87"/>
    </row>
    <row r="1898">
      <c r="A1898" s="87"/>
      <c r="B1898" s="88"/>
      <c r="C1898" s="88"/>
      <c r="D1898" s="88"/>
      <c r="E1898" s="88"/>
      <c r="F1898" s="88"/>
      <c r="G1898" s="87"/>
    </row>
    <row r="1899">
      <c r="A1899" s="87"/>
      <c r="B1899" s="88"/>
      <c r="C1899" s="88"/>
      <c r="D1899" s="88"/>
      <c r="E1899" s="88"/>
      <c r="F1899" s="88"/>
      <c r="G1899" s="87"/>
    </row>
    <row r="1900">
      <c r="A1900" s="87"/>
      <c r="B1900" s="88"/>
      <c r="C1900" s="88"/>
      <c r="D1900" s="88"/>
      <c r="E1900" s="88"/>
      <c r="F1900" s="88"/>
      <c r="G1900" s="87"/>
    </row>
    <row r="1901">
      <c r="A1901" s="87"/>
      <c r="B1901" s="88"/>
      <c r="C1901" s="88"/>
      <c r="D1901" s="88"/>
      <c r="E1901" s="88"/>
      <c r="F1901" s="88"/>
      <c r="G1901" s="87"/>
    </row>
    <row r="1902">
      <c r="A1902" s="87"/>
      <c r="B1902" s="88"/>
      <c r="C1902" s="88"/>
      <c r="D1902" s="88"/>
      <c r="E1902" s="88"/>
      <c r="F1902" s="88"/>
      <c r="G1902" s="87"/>
    </row>
    <row r="1903">
      <c r="A1903" s="87"/>
      <c r="B1903" s="88"/>
      <c r="C1903" s="88"/>
      <c r="D1903" s="88"/>
      <c r="E1903" s="88"/>
      <c r="F1903" s="88"/>
      <c r="G1903" s="87"/>
    </row>
    <row r="1904">
      <c r="A1904" s="87"/>
      <c r="B1904" s="88"/>
      <c r="C1904" s="88"/>
      <c r="D1904" s="88"/>
      <c r="E1904" s="88"/>
      <c r="F1904" s="88"/>
      <c r="G1904" s="87"/>
    </row>
    <row r="1905">
      <c r="A1905" s="87"/>
      <c r="B1905" s="88"/>
      <c r="C1905" s="88"/>
      <c r="D1905" s="88"/>
      <c r="E1905" s="88"/>
      <c r="F1905" s="88"/>
      <c r="G1905" s="87"/>
    </row>
    <row r="1906">
      <c r="A1906" s="87"/>
      <c r="B1906" s="88"/>
      <c r="C1906" s="88"/>
      <c r="D1906" s="88"/>
      <c r="E1906" s="88"/>
      <c r="F1906" s="88"/>
      <c r="G1906" s="87"/>
    </row>
    <row r="1907">
      <c r="A1907" s="87"/>
      <c r="B1907" s="88"/>
      <c r="C1907" s="88"/>
      <c r="D1907" s="88"/>
      <c r="E1907" s="88"/>
      <c r="F1907" s="88"/>
      <c r="G1907" s="87"/>
    </row>
    <row r="1908">
      <c r="A1908" s="87"/>
      <c r="B1908" s="88"/>
      <c r="C1908" s="88"/>
      <c r="D1908" s="88"/>
      <c r="E1908" s="88"/>
      <c r="F1908" s="88"/>
      <c r="G1908" s="87"/>
    </row>
    <row r="1909">
      <c r="A1909" s="87"/>
      <c r="B1909" s="88"/>
      <c r="C1909" s="88"/>
      <c r="D1909" s="88"/>
      <c r="E1909" s="88"/>
      <c r="F1909" s="88"/>
      <c r="G1909" s="87"/>
    </row>
    <row r="1910">
      <c r="A1910" s="87"/>
      <c r="B1910" s="88"/>
      <c r="C1910" s="88"/>
      <c r="D1910" s="88"/>
      <c r="E1910" s="88"/>
      <c r="F1910" s="88"/>
      <c r="G1910" s="87"/>
    </row>
    <row r="1911">
      <c r="A1911" s="87"/>
      <c r="B1911" s="88"/>
      <c r="C1911" s="88"/>
      <c r="D1911" s="88"/>
      <c r="E1911" s="88"/>
      <c r="F1911" s="88"/>
      <c r="G1911" s="87"/>
    </row>
    <row r="1912">
      <c r="A1912" s="87"/>
      <c r="B1912" s="88"/>
      <c r="C1912" s="88"/>
      <c r="D1912" s="88"/>
      <c r="E1912" s="88"/>
      <c r="F1912" s="88"/>
      <c r="G1912" s="87"/>
    </row>
    <row r="1913">
      <c r="A1913" s="87"/>
      <c r="B1913" s="88"/>
      <c r="C1913" s="88"/>
      <c r="D1913" s="88"/>
      <c r="E1913" s="88"/>
      <c r="F1913" s="88"/>
      <c r="G1913" s="87"/>
    </row>
    <row r="1914">
      <c r="A1914" s="87"/>
      <c r="B1914" s="88"/>
      <c r="C1914" s="88"/>
      <c r="D1914" s="88"/>
      <c r="E1914" s="88"/>
      <c r="F1914" s="88"/>
      <c r="G1914" s="87"/>
    </row>
    <row r="1915">
      <c r="A1915" s="87"/>
      <c r="B1915" s="88"/>
      <c r="C1915" s="88"/>
      <c r="D1915" s="88"/>
      <c r="E1915" s="88"/>
      <c r="F1915" s="88"/>
      <c r="G1915" s="87"/>
    </row>
    <row r="1916">
      <c r="A1916" s="87"/>
      <c r="B1916" s="88"/>
      <c r="C1916" s="88"/>
      <c r="D1916" s="88"/>
      <c r="E1916" s="88"/>
      <c r="F1916" s="88"/>
      <c r="G1916" s="87"/>
    </row>
    <row r="1917">
      <c r="A1917" s="87"/>
      <c r="B1917" s="88"/>
      <c r="C1917" s="88"/>
      <c r="D1917" s="88"/>
      <c r="E1917" s="88"/>
      <c r="F1917" s="88"/>
      <c r="G1917" s="87"/>
    </row>
    <row r="1918">
      <c r="A1918" s="87"/>
      <c r="B1918" s="88"/>
      <c r="C1918" s="88"/>
      <c r="D1918" s="88"/>
      <c r="E1918" s="88"/>
      <c r="F1918" s="88"/>
      <c r="G1918" s="87"/>
    </row>
    <row r="1919">
      <c r="A1919" s="87"/>
      <c r="B1919" s="88"/>
      <c r="C1919" s="88"/>
      <c r="D1919" s="88"/>
      <c r="E1919" s="88"/>
      <c r="F1919" s="88"/>
      <c r="G1919" s="87"/>
    </row>
    <row r="1920">
      <c r="A1920" s="87"/>
      <c r="B1920" s="88"/>
      <c r="C1920" s="88"/>
      <c r="D1920" s="88"/>
      <c r="E1920" s="88"/>
      <c r="F1920" s="88"/>
      <c r="G1920" s="87"/>
    </row>
    <row r="1921">
      <c r="A1921" s="87"/>
      <c r="B1921" s="88"/>
      <c r="C1921" s="88"/>
      <c r="D1921" s="88"/>
      <c r="E1921" s="88"/>
      <c r="F1921" s="88"/>
      <c r="G1921" s="87"/>
    </row>
    <row r="1922">
      <c r="A1922" s="87"/>
      <c r="B1922" s="88"/>
      <c r="C1922" s="88"/>
      <c r="D1922" s="88"/>
      <c r="E1922" s="88"/>
      <c r="F1922" s="88"/>
      <c r="G1922" s="87"/>
    </row>
    <row r="1923">
      <c r="A1923" s="87"/>
      <c r="B1923" s="88"/>
      <c r="C1923" s="88"/>
      <c r="D1923" s="88"/>
      <c r="E1923" s="88"/>
      <c r="F1923" s="88"/>
      <c r="G1923" s="87"/>
    </row>
    <row r="1924">
      <c r="A1924" s="87"/>
      <c r="B1924" s="88"/>
      <c r="C1924" s="88"/>
      <c r="D1924" s="88"/>
      <c r="E1924" s="88"/>
      <c r="F1924" s="88"/>
      <c r="G1924" s="87"/>
    </row>
    <row r="1925">
      <c r="A1925" s="87"/>
      <c r="B1925" s="88"/>
      <c r="C1925" s="88"/>
      <c r="D1925" s="88"/>
      <c r="E1925" s="88"/>
      <c r="F1925" s="88"/>
      <c r="G1925" s="87"/>
    </row>
    <row r="1926">
      <c r="A1926" s="87"/>
      <c r="B1926" s="88"/>
      <c r="C1926" s="88"/>
      <c r="D1926" s="88"/>
      <c r="E1926" s="88"/>
      <c r="F1926" s="88"/>
      <c r="G1926" s="87"/>
    </row>
    <row r="1927">
      <c r="A1927" s="87"/>
      <c r="B1927" s="88"/>
      <c r="C1927" s="88"/>
      <c r="D1927" s="88"/>
      <c r="E1927" s="88"/>
      <c r="F1927" s="88"/>
      <c r="G1927" s="87"/>
    </row>
    <row r="1928">
      <c r="A1928" s="87"/>
      <c r="B1928" s="88"/>
      <c r="C1928" s="88"/>
      <c r="D1928" s="88"/>
      <c r="E1928" s="88"/>
      <c r="F1928" s="88"/>
      <c r="G1928" s="87"/>
    </row>
    <row r="1929">
      <c r="A1929" s="87"/>
      <c r="B1929" s="88"/>
      <c r="C1929" s="88"/>
      <c r="D1929" s="88"/>
      <c r="E1929" s="88"/>
      <c r="F1929" s="88"/>
      <c r="G1929" s="87"/>
    </row>
    <row r="1930">
      <c r="A1930" s="87"/>
      <c r="B1930" s="88"/>
      <c r="C1930" s="88"/>
      <c r="D1930" s="88"/>
      <c r="E1930" s="88"/>
      <c r="F1930" s="88"/>
      <c r="G1930" s="87"/>
    </row>
    <row r="1931">
      <c r="A1931" s="87"/>
      <c r="B1931" s="88"/>
      <c r="C1931" s="88"/>
      <c r="D1931" s="88"/>
      <c r="E1931" s="88"/>
      <c r="F1931" s="88"/>
      <c r="G1931" s="87"/>
    </row>
    <row r="1932">
      <c r="A1932" s="87"/>
      <c r="B1932" s="88"/>
      <c r="C1932" s="88"/>
      <c r="D1932" s="88"/>
      <c r="E1932" s="88"/>
      <c r="F1932" s="88"/>
      <c r="G1932" s="87"/>
    </row>
    <row r="1933">
      <c r="A1933" s="87"/>
      <c r="B1933" s="88"/>
      <c r="C1933" s="88"/>
      <c r="D1933" s="88"/>
      <c r="E1933" s="88"/>
      <c r="F1933" s="88"/>
      <c r="G1933" s="87"/>
    </row>
    <row r="1934">
      <c r="A1934" s="87"/>
      <c r="B1934" s="88"/>
      <c r="C1934" s="88"/>
      <c r="D1934" s="88"/>
      <c r="E1934" s="88"/>
      <c r="F1934" s="88"/>
      <c r="G1934" s="87"/>
    </row>
    <row r="1935">
      <c r="A1935" s="87"/>
      <c r="B1935" s="88"/>
      <c r="C1935" s="88"/>
      <c r="D1935" s="88"/>
      <c r="E1935" s="88"/>
      <c r="F1935" s="88"/>
      <c r="G1935" s="87"/>
    </row>
    <row r="1936">
      <c r="A1936" s="87"/>
      <c r="B1936" s="88"/>
      <c r="C1936" s="88"/>
      <c r="D1936" s="88"/>
      <c r="E1936" s="88"/>
      <c r="F1936" s="88"/>
      <c r="G1936" s="87"/>
    </row>
    <row r="1937">
      <c r="A1937" s="87"/>
      <c r="B1937" s="88"/>
      <c r="C1937" s="88"/>
      <c r="D1937" s="88"/>
      <c r="E1937" s="88"/>
      <c r="F1937" s="88"/>
      <c r="G1937" s="87"/>
    </row>
    <row r="1938">
      <c r="A1938" s="87"/>
      <c r="B1938" s="88"/>
      <c r="C1938" s="88"/>
      <c r="D1938" s="88"/>
      <c r="E1938" s="88"/>
      <c r="F1938" s="88"/>
      <c r="G1938" s="87"/>
    </row>
    <row r="1939">
      <c r="A1939" s="87"/>
      <c r="B1939" s="88"/>
      <c r="C1939" s="88"/>
      <c r="D1939" s="88"/>
      <c r="E1939" s="88"/>
      <c r="F1939" s="88"/>
      <c r="G1939" s="87"/>
    </row>
    <row r="1940">
      <c r="A1940" s="87"/>
      <c r="B1940" s="88"/>
      <c r="C1940" s="88"/>
      <c r="D1940" s="88"/>
      <c r="E1940" s="88"/>
      <c r="F1940" s="88"/>
      <c r="G1940" s="87"/>
    </row>
    <row r="1941">
      <c r="A1941" s="87"/>
      <c r="B1941" s="88"/>
      <c r="C1941" s="88"/>
      <c r="D1941" s="88"/>
      <c r="E1941" s="88"/>
      <c r="F1941" s="88"/>
      <c r="G1941" s="87"/>
    </row>
    <row r="1942">
      <c r="A1942" s="87"/>
      <c r="B1942" s="88"/>
      <c r="C1942" s="88"/>
      <c r="D1942" s="88"/>
      <c r="E1942" s="88"/>
      <c r="F1942" s="88"/>
      <c r="G1942" s="87"/>
    </row>
    <row r="1943">
      <c r="A1943" s="87"/>
      <c r="B1943" s="88"/>
      <c r="C1943" s="88"/>
      <c r="D1943" s="88"/>
      <c r="E1943" s="88"/>
      <c r="F1943" s="88"/>
      <c r="G1943" s="87"/>
    </row>
    <row r="1944">
      <c r="A1944" s="87"/>
      <c r="B1944" s="88"/>
      <c r="C1944" s="88"/>
      <c r="D1944" s="88"/>
      <c r="E1944" s="88"/>
      <c r="F1944" s="88"/>
      <c r="G1944" s="87"/>
    </row>
    <row r="1945">
      <c r="A1945" s="87"/>
      <c r="B1945" s="88"/>
      <c r="C1945" s="88"/>
      <c r="D1945" s="88"/>
      <c r="E1945" s="88"/>
      <c r="F1945" s="88"/>
      <c r="G1945" s="87"/>
    </row>
    <row r="1946">
      <c r="A1946" s="87"/>
      <c r="B1946" s="88"/>
      <c r="C1946" s="88"/>
      <c r="D1946" s="88"/>
      <c r="E1946" s="88"/>
      <c r="F1946" s="88"/>
      <c r="G1946" s="87"/>
    </row>
    <row r="1947">
      <c r="A1947" s="87"/>
      <c r="B1947" s="88"/>
      <c r="C1947" s="88"/>
      <c r="D1947" s="88"/>
      <c r="E1947" s="88"/>
      <c r="F1947" s="88"/>
      <c r="G1947" s="87"/>
    </row>
    <row r="1948">
      <c r="A1948" s="87"/>
      <c r="B1948" s="88"/>
      <c r="C1948" s="88"/>
      <c r="D1948" s="88"/>
      <c r="E1948" s="88"/>
      <c r="F1948" s="88"/>
      <c r="G1948" s="87"/>
    </row>
    <row r="1949">
      <c r="A1949" s="87"/>
      <c r="B1949" s="88"/>
      <c r="C1949" s="88"/>
      <c r="D1949" s="88"/>
      <c r="E1949" s="88"/>
      <c r="F1949" s="88"/>
      <c r="G1949" s="87"/>
    </row>
    <row r="1950">
      <c r="A1950" s="87"/>
      <c r="B1950" s="88"/>
      <c r="C1950" s="88"/>
      <c r="D1950" s="88"/>
      <c r="E1950" s="88"/>
      <c r="F1950" s="88"/>
      <c r="G1950" s="87"/>
    </row>
    <row r="1951">
      <c r="A1951" s="87"/>
      <c r="B1951" s="88"/>
      <c r="C1951" s="88"/>
      <c r="D1951" s="88"/>
      <c r="E1951" s="88"/>
      <c r="F1951" s="88"/>
      <c r="G1951" s="87"/>
    </row>
    <row r="1952">
      <c r="A1952" s="87"/>
      <c r="B1952" s="88"/>
      <c r="C1952" s="88"/>
      <c r="D1952" s="88"/>
      <c r="E1952" s="88"/>
      <c r="F1952" s="88"/>
      <c r="G1952" s="87"/>
    </row>
    <row r="1953">
      <c r="A1953" s="87"/>
      <c r="B1953" s="88"/>
      <c r="C1953" s="88"/>
      <c r="D1953" s="88"/>
      <c r="E1953" s="88"/>
      <c r="F1953" s="88"/>
      <c r="G1953" s="87"/>
    </row>
    <row r="1954">
      <c r="A1954" s="87"/>
      <c r="B1954" s="88"/>
      <c r="C1954" s="88"/>
      <c r="D1954" s="88"/>
      <c r="E1954" s="88"/>
      <c r="F1954" s="88"/>
      <c r="G1954" s="87"/>
    </row>
    <row r="1955">
      <c r="A1955" s="87"/>
      <c r="B1955" s="88"/>
      <c r="C1955" s="88"/>
      <c r="D1955" s="88"/>
      <c r="E1955" s="88"/>
      <c r="F1955" s="88"/>
      <c r="G1955" s="87"/>
    </row>
    <row r="1956">
      <c r="A1956" s="87"/>
      <c r="B1956" s="88"/>
      <c r="C1956" s="88"/>
      <c r="D1956" s="88"/>
      <c r="E1956" s="88"/>
      <c r="F1956" s="88"/>
      <c r="G1956" s="87"/>
    </row>
    <row r="1957">
      <c r="A1957" s="87"/>
      <c r="B1957" s="88"/>
      <c r="C1957" s="88"/>
      <c r="D1957" s="88"/>
      <c r="E1957" s="88"/>
      <c r="F1957" s="88"/>
      <c r="G1957" s="87"/>
    </row>
    <row r="1958">
      <c r="A1958" s="87"/>
      <c r="B1958" s="88"/>
      <c r="C1958" s="88"/>
      <c r="D1958" s="88"/>
      <c r="E1958" s="88"/>
      <c r="F1958" s="88"/>
      <c r="G1958" s="87"/>
    </row>
    <row r="1959">
      <c r="A1959" s="87"/>
      <c r="B1959" s="88"/>
      <c r="C1959" s="88"/>
      <c r="D1959" s="88"/>
      <c r="E1959" s="88"/>
      <c r="F1959" s="88"/>
      <c r="G1959" s="87"/>
    </row>
    <row r="1960">
      <c r="A1960" s="87"/>
      <c r="B1960" s="88"/>
      <c r="C1960" s="88"/>
      <c r="D1960" s="88"/>
      <c r="E1960" s="88"/>
      <c r="F1960" s="88"/>
      <c r="G1960" s="87"/>
    </row>
    <row r="1961">
      <c r="A1961" s="87"/>
      <c r="B1961" s="88"/>
      <c r="C1961" s="88"/>
      <c r="D1961" s="88"/>
      <c r="E1961" s="88"/>
      <c r="F1961" s="88"/>
      <c r="G1961" s="87"/>
    </row>
    <row r="1962">
      <c r="A1962" s="87"/>
      <c r="B1962" s="88"/>
      <c r="C1962" s="88"/>
      <c r="D1962" s="88"/>
      <c r="E1962" s="88"/>
      <c r="F1962" s="88"/>
      <c r="G1962" s="87"/>
    </row>
    <row r="1963">
      <c r="A1963" s="87"/>
      <c r="B1963" s="88"/>
      <c r="C1963" s="88"/>
      <c r="D1963" s="88"/>
      <c r="E1963" s="88"/>
      <c r="F1963" s="88"/>
      <c r="G1963" s="87"/>
    </row>
    <row r="1964">
      <c r="A1964" s="87"/>
      <c r="B1964" s="88"/>
      <c r="C1964" s="88"/>
      <c r="D1964" s="88"/>
      <c r="E1964" s="88"/>
      <c r="F1964" s="88"/>
      <c r="G1964" s="87"/>
    </row>
    <row r="1965">
      <c r="A1965" s="87"/>
      <c r="B1965" s="88"/>
      <c r="C1965" s="88"/>
      <c r="D1965" s="88"/>
      <c r="E1965" s="88"/>
      <c r="F1965" s="88"/>
      <c r="G1965" s="87"/>
    </row>
    <row r="1966">
      <c r="A1966" s="87"/>
      <c r="B1966" s="88"/>
      <c r="C1966" s="88"/>
      <c r="D1966" s="88"/>
      <c r="E1966" s="88"/>
      <c r="F1966" s="88"/>
      <c r="G1966" s="87"/>
    </row>
    <row r="1967">
      <c r="A1967" s="87"/>
      <c r="B1967" s="88"/>
      <c r="C1967" s="88"/>
      <c r="D1967" s="88"/>
      <c r="E1967" s="88"/>
      <c r="F1967" s="88"/>
      <c r="G1967" s="87"/>
    </row>
    <row r="1968">
      <c r="A1968" s="87"/>
      <c r="B1968" s="88"/>
      <c r="C1968" s="88"/>
      <c r="D1968" s="88"/>
      <c r="E1968" s="88"/>
      <c r="F1968" s="88"/>
      <c r="G1968" s="87"/>
    </row>
    <row r="1969">
      <c r="A1969" s="87"/>
      <c r="B1969" s="88"/>
      <c r="C1969" s="88"/>
      <c r="D1969" s="88"/>
      <c r="E1969" s="88"/>
      <c r="F1969" s="88"/>
      <c r="G1969" s="87"/>
    </row>
    <row r="1970">
      <c r="A1970" s="87"/>
      <c r="B1970" s="88"/>
      <c r="C1970" s="88"/>
      <c r="D1970" s="88"/>
      <c r="E1970" s="88"/>
      <c r="F1970" s="88"/>
      <c r="G1970" s="87"/>
    </row>
    <row r="1971">
      <c r="A1971" s="87"/>
      <c r="B1971" s="88"/>
      <c r="C1971" s="88"/>
      <c r="D1971" s="88"/>
      <c r="E1971" s="88"/>
      <c r="F1971" s="88"/>
      <c r="G1971" s="87"/>
    </row>
    <row r="1972">
      <c r="A1972" s="87"/>
      <c r="B1972" s="88"/>
      <c r="C1972" s="88"/>
      <c r="D1972" s="88"/>
      <c r="E1972" s="88"/>
      <c r="F1972" s="88"/>
      <c r="G1972" s="87"/>
    </row>
    <row r="1973">
      <c r="A1973" s="87"/>
      <c r="B1973" s="88"/>
      <c r="C1973" s="88"/>
      <c r="D1973" s="88"/>
      <c r="E1973" s="88"/>
      <c r="F1973" s="88"/>
      <c r="G1973" s="87"/>
    </row>
    <row r="1974">
      <c r="A1974" s="87"/>
      <c r="B1974" s="88"/>
      <c r="C1974" s="88"/>
      <c r="D1974" s="88"/>
      <c r="E1974" s="88"/>
      <c r="F1974" s="88"/>
      <c r="G1974" s="87"/>
    </row>
    <row r="1975">
      <c r="A1975" s="87"/>
      <c r="B1975" s="88"/>
      <c r="C1975" s="88"/>
      <c r="D1975" s="88"/>
      <c r="E1975" s="88"/>
      <c r="F1975" s="88"/>
      <c r="G1975" s="87"/>
    </row>
    <row r="1976">
      <c r="A1976" s="87"/>
      <c r="B1976" s="88"/>
      <c r="C1976" s="88"/>
      <c r="D1976" s="88"/>
      <c r="E1976" s="88"/>
      <c r="F1976" s="88"/>
      <c r="G1976" s="87"/>
    </row>
    <row r="1977">
      <c r="A1977" s="87"/>
      <c r="B1977" s="88"/>
      <c r="C1977" s="88"/>
      <c r="D1977" s="88"/>
      <c r="E1977" s="88"/>
      <c r="F1977" s="88"/>
      <c r="G1977" s="87"/>
    </row>
    <row r="1978">
      <c r="A1978" s="87"/>
      <c r="B1978" s="88"/>
      <c r="C1978" s="88"/>
      <c r="D1978" s="88"/>
      <c r="E1978" s="88"/>
      <c r="F1978" s="88"/>
      <c r="G1978" s="87"/>
    </row>
    <row r="1979">
      <c r="A1979" s="87"/>
      <c r="B1979" s="88"/>
      <c r="C1979" s="88"/>
      <c r="D1979" s="88"/>
      <c r="E1979" s="88"/>
      <c r="F1979" s="88"/>
      <c r="G1979" s="87"/>
    </row>
    <row r="1980">
      <c r="A1980" s="87"/>
      <c r="B1980" s="88"/>
      <c r="C1980" s="88"/>
      <c r="D1980" s="88"/>
      <c r="E1980" s="88"/>
      <c r="F1980" s="88"/>
      <c r="G1980" s="87"/>
    </row>
    <row r="1981">
      <c r="A1981" s="87"/>
      <c r="B1981" s="88"/>
      <c r="C1981" s="88"/>
      <c r="D1981" s="88"/>
      <c r="E1981" s="88"/>
      <c r="F1981" s="88"/>
      <c r="G1981" s="87"/>
    </row>
    <row r="1982">
      <c r="A1982" s="87"/>
      <c r="B1982" s="88"/>
      <c r="C1982" s="88"/>
      <c r="D1982" s="88"/>
      <c r="E1982" s="88"/>
      <c r="F1982" s="88"/>
      <c r="G1982" s="87"/>
    </row>
    <row r="1983">
      <c r="A1983" s="87"/>
      <c r="B1983" s="88"/>
      <c r="C1983" s="88"/>
      <c r="D1983" s="88"/>
      <c r="E1983" s="88"/>
      <c r="F1983" s="88"/>
      <c r="G1983" s="87"/>
    </row>
    <row r="1984">
      <c r="A1984" s="87"/>
      <c r="B1984" s="88"/>
      <c r="C1984" s="88"/>
      <c r="D1984" s="88"/>
      <c r="E1984" s="88"/>
      <c r="F1984" s="88"/>
      <c r="G1984" s="87"/>
    </row>
    <row r="1985">
      <c r="A1985" s="87"/>
      <c r="B1985" s="88"/>
      <c r="C1985" s="88"/>
      <c r="D1985" s="88"/>
      <c r="E1985" s="88"/>
      <c r="F1985" s="88"/>
      <c r="G1985" s="87"/>
    </row>
    <row r="1986">
      <c r="A1986" s="87"/>
      <c r="B1986" s="88"/>
      <c r="C1986" s="88"/>
      <c r="D1986" s="88"/>
      <c r="E1986" s="88"/>
      <c r="F1986" s="88"/>
      <c r="G1986" s="87"/>
    </row>
    <row r="1987">
      <c r="A1987" s="87"/>
      <c r="B1987" s="88"/>
      <c r="C1987" s="88"/>
      <c r="D1987" s="88"/>
      <c r="E1987" s="88"/>
      <c r="F1987" s="88"/>
      <c r="G1987" s="87"/>
    </row>
    <row r="1988">
      <c r="A1988" s="87"/>
      <c r="B1988" s="88"/>
      <c r="C1988" s="88"/>
      <c r="D1988" s="88"/>
      <c r="E1988" s="88"/>
      <c r="F1988" s="88"/>
      <c r="G1988" s="87"/>
    </row>
    <row r="1989">
      <c r="A1989" s="87"/>
      <c r="B1989" s="88"/>
      <c r="C1989" s="88"/>
      <c r="D1989" s="88"/>
      <c r="E1989" s="88"/>
      <c r="F1989" s="88"/>
      <c r="G1989" s="87"/>
    </row>
    <row r="1990">
      <c r="A1990" s="87"/>
      <c r="B1990" s="88"/>
      <c r="C1990" s="88"/>
      <c r="D1990" s="88"/>
      <c r="E1990" s="88"/>
      <c r="F1990" s="88"/>
      <c r="G1990" s="87"/>
    </row>
    <row r="1991">
      <c r="A1991" s="87"/>
      <c r="B1991" s="88"/>
      <c r="C1991" s="88"/>
      <c r="D1991" s="88"/>
      <c r="E1991" s="88"/>
      <c r="F1991" s="88"/>
      <c r="G1991" s="87"/>
    </row>
    <row r="1992">
      <c r="A1992" s="87"/>
      <c r="B1992" s="88"/>
      <c r="C1992" s="88"/>
      <c r="D1992" s="88"/>
      <c r="E1992" s="88"/>
      <c r="F1992" s="88"/>
      <c r="G1992" s="87"/>
    </row>
    <row r="1993">
      <c r="A1993" s="87"/>
      <c r="B1993" s="88"/>
      <c r="C1993" s="88"/>
      <c r="D1993" s="88"/>
      <c r="E1993" s="88"/>
      <c r="F1993" s="88"/>
      <c r="G1993" s="87"/>
    </row>
    <row r="1994">
      <c r="A1994" s="87"/>
      <c r="B1994" s="88"/>
      <c r="C1994" s="88"/>
      <c r="D1994" s="88"/>
      <c r="E1994" s="88"/>
      <c r="F1994" s="88"/>
      <c r="G1994" s="87"/>
    </row>
    <row r="1995">
      <c r="A1995" s="87"/>
      <c r="B1995" s="88"/>
      <c r="C1995" s="88"/>
      <c r="D1995" s="88"/>
      <c r="E1995" s="88"/>
      <c r="F1995" s="88"/>
      <c r="G1995" s="87"/>
    </row>
    <row r="1996">
      <c r="A1996" s="87"/>
      <c r="B1996" s="88"/>
      <c r="C1996" s="88"/>
      <c r="D1996" s="88"/>
      <c r="E1996" s="88"/>
      <c r="F1996" s="88"/>
      <c r="G1996" s="87"/>
    </row>
    <row r="1997">
      <c r="A1997" s="87"/>
      <c r="B1997" s="88"/>
      <c r="C1997" s="88"/>
      <c r="D1997" s="88"/>
      <c r="E1997" s="88"/>
      <c r="F1997" s="88"/>
      <c r="G1997" s="87"/>
    </row>
    <row r="1998">
      <c r="A1998" s="87"/>
      <c r="B1998" s="88"/>
      <c r="C1998" s="88"/>
      <c r="D1998" s="88"/>
      <c r="E1998" s="88"/>
      <c r="F1998" s="88"/>
      <c r="G1998" s="87"/>
    </row>
    <row r="1999">
      <c r="A1999" s="87"/>
      <c r="B1999" s="88"/>
      <c r="C1999" s="88"/>
      <c r="D1999" s="88"/>
      <c r="E1999" s="88"/>
      <c r="F1999" s="88"/>
      <c r="G1999" s="87"/>
    </row>
    <row r="2000">
      <c r="A2000" s="87"/>
      <c r="B2000" s="88"/>
      <c r="C2000" s="88"/>
      <c r="D2000" s="88"/>
      <c r="E2000" s="88"/>
      <c r="F2000" s="88"/>
      <c r="G2000" s="87"/>
    </row>
    <row r="2001">
      <c r="A2001" s="87"/>
      <c r="B2001" s="88"/>
      <c r="C2001" s="88"/>
      <c r="D2001" s="88"/>
      <c r="E2001" s="88"/>
      <c r="F2001" s="88"/>
      <c r="G2001" s="87"/>
    </row>
    <row r="2002">
      <c r="A2002" s="87"/>
      <c r="B2002" s="88"/>
      <c r="C2002" s="88"/>
      <c r="D2002" s="88"/>
      <c r="E2002" s="88"/>
      <c r="F2002" s="88"/>
      <c r="G2002" s="87"/>
    </row>
    <row r="2003">
      <c r="A2003" s="87"/>
      <c r="B2003" s="88"/>
      <c r="C2003" s="88"/>
      <c r="D2003" s="88"/>
      <c r="E2003" s="88"/>
      <c r="F2003" s="88"/>
      <c r="G2003" s="87"/>
    </row>
    <row r="2004">
      <c r="A2004" s="87"/>
      <c r="B2004" s="88"/>
      <c r="C2004" s="88"/>
      <c r="D2004" s="88"/>
      <c r="E2004" s="88"/>
      <c r="F2004" s="88"/>
      <c r="G2004" s="87"/>
    </row>
    <row r="2005">
      <c r="A2005" s="87"/>
      <c r="B2005" s="88"/>
      <c r="C2005" s="88"/>
      <c r="D2005" s="88"/>
      <c r="E2005" s="88"/>
      <c r="F2005" s="88"/>
      <c r="G2005" s="87"/>
    </row>
    <row r="2006">
      <c r="A2006" s="87"/>
      <c r="B2006" s="88"/>
      <c r="C2006" s="88"/>
      <c r="D2006" s="88"/>
      <c r="E2006" s="88"/>
      <c r="F2006" s="88"/>
      <c r="G2006" s="87"/>
    </row>
    <row r="2007">
      <c r="A2007" s="87"/>
      <c r="B2007" s="88"/>
      <c r="C2007" s="88"/>
      <c r="D2007" s="88"/>
      <c r="E2007" s="88"/>
      <c r="F2007" s="88"/>
      <c r="G2007" s="87"/>
    </row>
    <row r="2008">
      <c r="A2008" s="87"/>
      <c r="B2008" s="88"/>
      <c r="C2008" s="88"/>
      <c r="D2008" s="88"/>
      <c r="E2008" s="88"/>
      <c r="F2008" s="88"/>
      <c r="G2008" s="87"/>
    </row>
    <row r="2009">
      <c r="A2009" s="87"/>
      <c r="B2009" s="88"/>
      <c r="C2009" s="88"/>
      <c r="D2009" s="88"/>
      <c r="E2009" s="88"/>
      <c r="F2009" s="88"/>
      <c r="G2009" s="87"/>
    </row>
    <row r="2010">
      <c r="A2010" s="87"/>
      <c r="B2010" s="88"/>
      <c r="C2010" s="88"/>
      <c r="D2010" s="88"/>
      <c r="E2010" s="88"/>
      <c r="F2010" s="88"/>
      <c r="G2010" s="87"/>
    </row>
    <row r="2011">
      <c r="A2011" s="87"/>
      <c r="B2011" s="88"/>
      <c r="C2011" s="88"/>
      <c r="D2011" s="88"/>
      <c r="E2011" s="88"/>
      <c r="F2011" s="88"/>
      <c r="G2011" s="87"/>
    </row>
    <row r="2012">
      <c r="A2012" s="87"/>
      <c r="B2012" s="88"/>
      <c r="C2012" s="88"/>
      <c r="D2012" s="88"/>
      <c r="E2012" s="88"/>
      <c r="F2012" s="88"/>
      <c r="G2012" s="87"/>
    </row>
    <row r="2013">
      <c r="A2013" s="87"/>
      <c r="B2013" s="88"/>
      <c r="C2013" s="88"/>
      <c r="D2013" s="88"/>
      <c r="E2013" s="88"/>
      <c r="F2013" s="88"/>
      <c r="G2013" s="87"/>
    </row>
    <row r="2014">
      <c r="A2014" s="87"/>
      <c r="B2014" s="88"/>
      <c r="C2014" s="88"/>
      <c r="D2014" s="88"/>
      <c r="E2014" s="88"/>
      <c r="F2014" s="88"/>
      <c r="G2014" s="87"/>
    </row>
    <row r="2015">
      <c r="A2015" s="87"/>
      <c r="B2015" s="88"/>
      <c r="C2015" s="88"/>
      <c r="D2015" s="88"/>
      <c r="E2015" s="88"/>
      <c r="F2015" s="88"/>
      <c r="G2015" s="87"/>
    </row>
    <row r="2016">
      <c r="A2016" s="87"/>
      <c r="B2016" s="88"/>
      <c r="C2016" s="88"/>
      <c r="D2016" s="88"/>
      <c r="E2016" s="88"/>
      <c r="F2016" s="88"/>
      <c r="G2016" s="87"/>
    </row>
    <row r="2017">
      <c r="A2017" s="87"/>
      <c r="B2017" s="88"/>
      <c r="C2017" s="88"/>
      <c r="D2017" s="88"/>
      <c r="E2017" s="88"/>
      <c r="F2017" s="88"/>
      <c r="G2017" s="87"/>
    </row>
    <row r="2018">
      <c r="A2018" s="87"/>
      <c r="B2018" s="88"/>
      <c r="C2018" s="88"/>
      <c r="D2018" s="88"/>
      <c r="E2018" s="88"/>
      <c r="F2018" s="88"/>
      <c r="G2018" s="87"/>
    </row>
    <row r="2019">
      <c r="A2019" s="87"/>
      <c r="B2019" s="88"/>
      <c r="C2019" s="88"/>
      <c r="D2019" s="88"/>
      <c r="E2019" s="88"/>
      <c r="F2019" s="88"/>
      <c r="G2019" s="87"/>
    </row>
    <row r="2020">
      <c r="A2020" s="87"/>
      <c r="B2020" s="88"/>
      <c r="C2020" s="88"/>
      <c r="D2020" s="88"/>
      <c r="E2020" s="88"/>
      <c r="F2020" s="88"/>
      <c r="G2020" s="87"/>
    </row>
    <row r="2021">
      <c r="A2021" s="87"/>
      <c r="B2021" s="88"/>
      <c r="C2021" s="88"/>
      <c r="D2021" s="88"/>
      <c r="E2021" s="88"/>
      <c r="F2021" s="88"/>
      <c r="G2021" s="87"/>
    </row>
    <row r="2022">
      <c r="A2022" s="87"/>
      <c r="B2022" s="88"/>
      <c r="C2022" s="88"/>
      <c r="D2022" s="88"/>
      <c r="E2022" s="88"/>
      <c r="F2022" s="88"/>
      <c r="G2022" s="87"/>
    </row>
    <row r="2023">
      <c r="A2023" s="87"/>
      <c r="B2023" s="88"/>
      <c r="C2023" s="88"/>
      <c r="D2023" s="88"/>
      <c r="E2023" s="88"/>
      <c r="F2023" s="88"/>
      <c r="G2023" s="87"/>
    </row>
    <row r="2024">
      <c r="A2024" s="87"/>
      <c r="B2024" s="88"/>
      <c r="C2024" s="88"/>
      <c r="D2024" s="88"/>
      <c r="E2024" s="88"/>
      <c r="F2024" s="88"/>
      <c r="G2024" s="87"/>
    </row>
    <row r="2025">
      <c r="A2025" s="87"/>
      <c r="B2025" s="88"/>
      <c r="C2025" s="88"/>
      <c r="D2025" s="88"/>
      <c r="E2025" s="88"/>
      <c r="F2025" s="88"/>
      <c r="G2025" s="87"/>
    </row>
    <row r="2026">
      <c r="A2026" s="87"/>
      <c r="B2026" s="88"/>
      <c r="C2026" s="88"/>
      <c r="D2026" s="88"/>
      <c r="E2026" s="88"/>
      <c r="F2026" s="88"/>
      <c r="G2026" s="87"/>
    </row>
    <row r="2027">
      <c r="A2027" s="87"/>
      <c r="B2027" s="88"/>
      <c r="C2027" s="88"/>
      <c r="D2027" s="88"/>
      <c r="E2027" s="88"/>
      <c r="F2027" s="88"/>
      <c r="G2027" s="87"/>
    </row>
    <row r="2028">
      <c r="A2028" s="87"/>
      <c r="B2028" s="88"/>
      <c r="C2028" s="88"/>
      <c r="D2028" s="88"/>
      <c r="E2028" s="88"/>
      <c r="F2028" s="88"/>
      <c r="G2028" s="87"/>
    </row>
    <row r="2029">
      <c r="A2029" s="87"/>
      <c r="B2029" s="88"/>
      <c r="C2029" s="88"/>
      <c r="D2029" s="88"/>
      <c r="E2029" s="88"/>
      <c r="F2029" s="88"/>
      <c r="G2029" s="87"/>
    </row>
    <row r="2030">
      <c r="A2030" s="87"/>
      <c r="B2030" s="88"/>
      <c r="C2030" s="88"/>
      <c r="D2030" s="88"/>
      <c r="E2030" s="88"/>
      <c r="F2030" s="88"/>
      <c r="G2030" s="87"/>
    </row>
    <row r="2031">
      <c r="A2031" s="87"/>
      <c r="B2031" s="88"/>
      <c r="C2031" s="88"/>
      <c r="D2031" s="88"/>
      <c r="E2031" s="88"/>
      <c r="F2031" s="88"/>
      <c r="G2031" s="87"/>
    </row>
    <row r="2032">
      <c r="A2032" s="87"/>
      <c r="B2032" s="88"/>
      <c r="C2032" s="88"/>
      <c r="D2032" s="88"/>
      <c r="E2032" s="88"/>
      <c r="F2032" s="88"/>
      <c r="G2032" s="87"/>
    </row>
    <row r="2033">
      <c r="A2033" s="87"/>
      <c r="B2033" s="88"/>
      <c r="C2033" s="88"/>
      <c r="D2033" s="88"/>
      <c r="E2033" s="88"/>
      <c r="F2033" s="88"/>
      <c r="G2033" s="87"/>
    </row>
    <row r="2034">
      <c r="A2034" s="87"/>
      <c r="B2034" s="88"/>
      <c r="C2034" s="88"/>
      <c r="D2034" s="88"/>
      <c r="E2034" s="88"/>
      <c r="F2034" s="88"/>
      <c r="G2034" s="87"/>
    </row>
    <row r="2035">
      <c r="A2035" s="87"/>
      <c r="B2035" s="88"/>
      <c r="C2035" s="88"/>
      <c r="D2035" s="88"/>
      <c r="E2035" s="88"/>
      <c r="F2035" s="88"/>
      <c r="G2035" s="87"/>
    </row>
    <row r="2036">
      <c r="A2036" s="87"/>
      <c r="B2036" s="88"/>
      <c r="C2036" s="88"/>
      <c r="D2036" s="88"/>
      <c r="E2036" s="88"/>
      <c r="F2036" s="88"/>
      <c r="G2036" s="87"/>
    </row>
    <row r="2037">
      <c r="A2037" s="87"/>
      <c r="B2037" s="88"/>
      <c r="C2037" s="88"/>
      <c r="D2037" s="88"/>
      <c r="E2037" s="88"/>
      <c r="F2037" s="88"/>
      <c r="G2037" s="87"/>
    </row>
    <row r="2038">
      <c r="A2038" s="87"/>
      <c r="B2038" s="88"/>
      <c r="C2038" s="88"/>
      <c r="D2038" s="88"/>
      <c r="E2038" s="88"/>
      <c r="F2038" s="88"/>
      <c r="G2038" s="87"/>
    </row>
    <row r="2039">
      <c r="A2039" s="87"/>
      <c r="B2039" s="88"/>
      <c r="C2039" s="88"/>
      <c r="D2039" s="88"/>
      <c r="E2039" s="88"/>
      <c r="F2039" s="88"/>
      <c r="G2039" s="87"/>
    </row>
    <row r="2040">
      <c r="A2040" s="87"/>
      <c r="B2040" s="88"/>
      <c r="C2040" s="88"/>
      <c r="D2040" s="88"/>
      <c r="E2040" s="88"/>
      <c r="F2040" s="88"/>
      <c r="G2040" s="87"/>
    </row>
    <row r="2041">
      <c r="A2041" s="87"/>
      <c r="B2041" s="88"/>
      <c r="C2041" s="88"/>
      <c r="D2041" s="88"/>
      <c r="E2041" s="88"/>
      <c r="F2041" s="88"/>
      <c r="G2041" s="87"/>
    </row>
    <row r="2042">
      <c r="A2042" s="87"/>
      <c r="B2042" s="88"/>
      <c r="C2042" s="88"/>
      <c r="D2042" s="88"/>
      <c r="E2042" s="88"/>
      <c r="F2042" s="88"/>
      <c r="G2042" s="87"/>
    </row>
    <row r="2043">
      <c r="A2043" s="87"/>
      <c r="B2043" s="88"/>
      <c r="C2043" s="88"/>
      <c r="D2043" s="88"/>
      <c r="E2043" s="88"/>
      <c r="F2043" s="88"/>
      <c r="G2043" s="87"/>
    </row>
    <row r="2044">
      <c r="A2044" s="87"/>
      <c r="B2044" s="88"/>
      <c r="C2044" s="88"/>
      <c r="D2044" s="88"/>
      <c r="E2044" s="88"/>
      <c r="F2044" s="88"/>
      <c r="G2044" s="87"/>
    </row>
    <row r="2045">
      <c r="A2045" s="87"/>
      <c r="B2045" s="88"/>
      <c r="C2045" s="88"/>
      <c r="D2045" s="88"/>
      <c r="E2045" s="88"/>
      <c r="F2045" s="88"/>
      <c r="G2045" s="87"/>
    </row>
    <row r="2046">
      <c r="A2046" s="87"/>
      <c r="B2046" s="88"/>
      <c r="C2046" s="88"/>
      <c r="D2046" s="88"/>
      <c r="E2046" s="88"/>
      <c r="F2046" s="88"/>
      <c r="G2046" s="87"/>
    </row>
    <row r="2047">
      <c r="A2047" s="87"/>
      <c r="B2047" s="88"/>
      <c r="C2047" s="88"/>
      <c r="D2047" s="88"/>
      <c r="E2047" s="88"/>
      <c r="F2047" s="88"/>
      <c r="G2047" s="87"/>
    </row>
    <row r="2048">
      <c r="A2048" s="87"/>
      <c r="B2048" s="88"/>
      <c r="C2048" s="88"/>
      <c r="D2048" s="88"/>
      <c r="E2048" s="88"/>
      <c r="F2048" s="88"/>
      <c r="G2048" s="87"/>
    </row>
    <row r="2049">
      <c r="A2049" s="87"/>
      <c r="B2049" s="88"/>
      <c r="C2049" s="88"/>
      <c r="D2049" s="88"/>
      <c r="E2049" s="88"/>
      <c r="F2049" s="88"/>
      <c r="G2049" s="87"/>
    </row>
    <row r="2050">
      <c r="A2050" s="87"/>
      <c r="B2050" s="88"/>
      <c r="C2050" s="88"/>
      <c r="D2050" s="88"/>
      <c r="E2050" s="88"/>
      <c r="F2050" s="88"/>
      <c r="G2050" s="87"/>
    </row>
    <row r="2051">
      <c r="A2051" s="87"/>
      <c r="B2051" s="88"/>
      <c r="C2051" s="88"/>
      <c r="D2051" s="88"/>
      <c r="E2051" s="88"/>
      <c r="F2051" s="88"/>
      <c r="G2051" s="87"/>
    </row>
    <row r="2052">
      <c r="A2052" s="87"/>
      <c r="B2052" s="88"/>
      <c r="C2052" s="88"/>
      <c r="D2052" s="88"/>
      <c r="E2052" s="88"/>
      <c r="F2052" s="88"/>
      <c r="G2052" s="87"/>
    </row>
    <row r="2053">
      <c r="A2053" s="87"/>
      <c r="B2053" s="88"/>
      <c r="C2053" s="88"/>
      <c r="D2053" s="88"/>
      <c r="E2053" s="88"/>
      <c r="F2053" s="88"/>
      <c r="G2053" s="87"/>
    </row>
    <row r="2054">
      <c r="A2054" s="87"/>
      <c r="B2054" s="88"/>
      <c r="C2054" s="88"/>
      <c r="D2054" s="88"/>
      <c r="E2054" s="88"/>
      <c r="F2054" s="88"/>
      <c r="G2054" s="87"/>
    </row>
    <row r="2055">
      <c r="A2055" s="87"/>
      <c r="B2055" s="88"/>
      <c r="C2055" s="88"/>
      <c r="D2055" s="88"/>
      <c r="E2055" s="88"/>
      <c r="F2055" s="88"/>
      <c r="G2055" s="87"/>
    </row>
    <row r="2056">
      <c r="A2056" s="87"/>
      <c r="B2056" s="88"/>
      <c r="C2056" s="88"/>
      <c r="D2056" s="88"/>
      <c r="E2056" s="88"/>
      <c r="F2056" s="88"/>
      <c r="G2056" s="87"/>
    </row>
    <row r="2057">
      <c r="A2057" s="87"/>
      <c r="B2057" s="88"/>
      <c r="C2057" s="88"/>
      <c r="D2057" s="88"/>
      <c r="E2057" s="88"/>
      <c r="F2057" s="88"/>
      <c r="G2057" s="87"/>
    </row>
    <row r="2058">
      <c r="A2058" s="87"/>
      <c r="B2058" s="88"/>
      <c r="C2058" s="88"/>
      <c r="D2058" s="88"/>
      <c r="E2058" s="88"/>
      <c r="F2058" s="88"/>
      <c r="G2058" s="87"/>
    </row>
    <row r="2059">
      <c r="A2059" s="87"/>
      <c r="B2059" s="88"/>
      <c r="C2059" s="88"/>
      <c r="D2059" s="88"/>
      <c r="E2059" s="88"/>
      <c r="F2059" s="88"/>
      <c r="G2059" s="87"/>
    </row>
    <row r="2060">
      <c r="A2060" s="87"/>
      <c r="B2060" s="88"/>
      <c r="C2060" s="88"/>
      <c r="D2060" s="88"/>
      <c r="E2060" s="88"/>
      <c r="F2060" s="88"/>
      <c r="G2060" s="87"/>
    </row>
    <row r="2061">
      <c r="A2061" s="87"/>
      <c r="B2061" s="88"/>
      <c r="C2061" s="88"/>
      <c r="D2061" s="88"/>
      <c r="E2061" s="88"/>
      <c r="F2061" s="88"/>
      <c r="G2061" s="87"/>
    </row>
    <row r="2062">
      <c r="A2062" s="87"/>
      <c r="B2062" s="88"/>
      <c r="C2062" s="88"/>
      <c r="D2062" s="88"/>
      <c r="E2062" s="88"/>
      <c r="F2062" s="88"/>
      <c r="G2062" s="87"/>
    </row>
    <row r="2063">
      <c r="A2063" s="87"/>
      <c r="B2063" s="88"/>
      <c r="C2063" s="88"/>
      <c r="D2063" s="88"/>
      <c r="E2063" s="88"/>
      <c r="F2063" s="88"/>
      <c r="G2063" s="87"/>
    </row>
    <row r="2064">
      <c r="A2064" s="87"/>
      <c r="B2064" s="88"/>
      <c r="C2064" s="88"/>
      <c r="D2064" s="88"/>
      <c r="E2064" s="88"/>
      <c r="F2064" s="88"/>
      <c r="G2064" s="87"/>
    </row>
    <row r="2065">
      <c r="A2065" s="87"/>
      <c r="B2065" s="88"/>
      <c r="C2065" s="88"/>
      <c r="D2065" s="88"/>
      <c r="E2065" s="88"/>
      <c r="F2065" s="88"/>
      <c r="G2065" s="87"/>
    </row>
    <row r="2066">
      <c r="A2066" s="87"/>
      <c r="B2066" s="88"/>
      <c r="C2066" s="88"/>
      <c r="D2066" s="88"/>
      <c r="E2066" s="88"/>
      <c r="F2066" s="88"/>
      <c r="G2066" s="87"/>
    </row>
    <row r="2067">
      <c r="A2067" s="87"/>
      <c r="B2067" s="88"/>
      <c r="C2067" s="88"/>
      <c r="D2067" s="88"/>
      <c r="E2067" s="88"/>
      <c r="F2067" s="88"/>
      <c r="G2067" s="87"/>
    </row>
    <row r="2068">
      <c r="A2068" s="87"/>
      <c r="B2068" s="88"/>
      <c r="C2068" s="88"/>
      <c r="D2068" s="88"/>
      <c r="E2068" s="88"/>
      <c r="F2068" s="88"/>
      <c r="G2068" s="87"/>
    </row>
    <row r="2069">
      <c r="A2069" s="87"/>
      <c r="B2069" s="88"/>
      <c r="C2069" s="88"/>
      <c r="D2069" s="88"/>
      <c r="E2069" s="88"/>
      <c r="F2069" s="88"/>
      <c r="G2069" s="87"/>
    </row>
    <row r="2070">
      <c r="A2070" s="87"/>
      <c r="B2070" s="88"/>
      <c r="C2070" s="88"/>
      <c r="D2070" s="88"/>
      <c r="E2070" s="88"/>
      <c r="F2070" s="88"/>
      <c r="G2070" s="87"/>
    </row>
    <row r="2071">
      <c r="A2071" s="87"/>
      <c r="B2071" s="88"/>
      <c r="C2071" s="88"/>
      <c r="D2071" s="88"/>
      <c r="E2071" s="88"/>
      <c r="F2071" s="88"/>
      <c r="G2071" s="87"/>
    </row>
    <row r="2072">
      <c r="A2072" s="87"/>
      <c r="B2072" s="88"/>
      <c r="C2072" s="88"/>
      <c r="D2072" s="88"/>
      <c r="E2072" s="88"/>
      <c r="F2072" s="88"/>
      <c r="G2072" s="87"/>
    </row>
    <row r="2073">
      <c r="A2073" s="87"/>
      <c r="B2073" s="88"/>
      <c r="C2073" s="88"/>
      <c r="D2073" s="88"/>
      <c r="E2073" s="88"/>
      <c r="F2073" s="88"/>
      <c r="G2073" s="87"/>
    </row>
    <row r="2074">
      <c r="A2074" s="87"/>
      <c r="B2074" s="88"/>
      <c r="C2074" s="88"/>
      <c r="D2074" s="88"/>
      <c r="E2074" s="88"/>
      <c r="F2074" s="88"/>
      <c r="G2074" s="87"/>
    </row>
    <row r="2075">
      <c r="A2075" s="87"/>
      <c r="B2075" s="88"/>
      <c r="C2075" s="88"/>
      <c r="D2075" s="88"/>
      <c r="E2075" s="88"/>
      <c r="F2075" s="88"/>
      <c r="G2075" s="87"/>
    </row>
    <row r="2076">
      <c r="A2076" s="87"/>
      <c r="B2076" s="88"/>
      <c r="C2076" s="88"/>
      <c r="D2076" s="88"/>
      <c r="E2076" s="88"/>
      <c r="F2076" s="88"/>
      <c r="G2076" s="87"/>
    </row>
    <row r="2077">
      <c r="A2077" s="87"/>
      <c r="B2077" s="88"/>
      <c r="C2077" s="88"/>
      <c r="D2077" s="88"/>
      <c r="E2077" s="88"/>
      <c r="F2077" s="88"/>
      <c r="G2077" s="87"/>
    </row>
    <row r="2078">
      <c r="A2078" s="87"/>
      <c r="B2078" s="88"/>
      <c r="C2078" s="88"/>
      <c r="D2078" s="88"/>
      <c r="E2078" s="88"/>
      <c r="F2078" s="88"/>
      <c r="G2078" s="87"/>
    </row>
    <row r="2079">
      <c r="A2079" s="87"/>
      <c r="B2079" s="88"/>
      <c r="C2079" s="88"/>
      <c r="D2079" s="88"/>
      <c r="E2079" s="88"/>
      <c r="F2079" s="88"/>
      <c r="G2079" s="87"/>
    </row>
    <row r="2080">
      <c r="A2080" s="87"/>
      <c r="B2080" s="88"/>
      <c r="C2080" s="88"/>
      <c r="D2080" s="88"/>
      <c r="E2080" s="88"/>
      <c r="F2080" s="88"/>
      <c r="G2080" s="87"/>
    </row>
    <row r="2081">
      <c r="A2081" s="87"/>
      <c r="B2081" s="88"/>
      <c r="C2081" s="88"/>
      <c r="D2081" s="88"/>
      <c r="E2081" s="88"/>
      <c r="F2081" s="88"/>
      <c r="G2081" s="87"/>
    </row>
    <row r="2082">
      <c r="A2082" s="87"/>
      <c r="B2082" s="88"/>
      <c r="C2082" s="88"/>
      <c r="D2082" s="88"/>
      <c r="E2082" s="88"/>
      <c r="F2082" s="88"/>
      <c r="G2082" s="87"/>
    </row>
    <row r="2083">
      <c r="A2083" s="87"/>
      <c r="B2083" s="88"/>
      <c r="C2083" s="88"/>
      <c r="D2083" s="88"/>
      <c r="E2083" s="88"/>
      <c r="F2083" s="88"/>
      <c r="G2083" s="87"/>
    </row>
    <row r="2084">
      <c r="A2084" s="87"/>
      <c r="B2084" s="88"/>
      <c r="C2084" s="88"/>
      <c r="D2084" s="88"/>
      <c r="E2084" s="88"/>
      <c r="F2084" s="88"/>
      <c r="G2084" s="87"/>
    </row>
    <row r="2085">
      <c r="A2085" s="87"/>
      <c r="B2085" s="88"/>
      <c r="C2085" s="88"/>
      <c r="D2085" s="88"/>
      <c r="E2085" s="88"/>
      <c r="F2085" s="88"/>
      <c r="G2085" s="87"/>
    </row>
    <row r="2086">
      <c r="A2086" s="87"/>
      <c r="B2086" s="88"/>
      <c r="C2086" s="88"/>
      <c r="D2086" s="88"/>
      <c r="E2086" s="88"/>
      <c r="F2086" s="88"/>
      <c r="G2086" s="87"/>
    </row>
    <row r="2087">
      <c r="A2087" s="87"/>
      <c r="B2087" s="88"/>
      <c r="C2087" s="88"/>
      <c r="D2087" s="88"/>
      <c r="E2087" s="88"/>
      <c r="F2087" s="88"/>
      <c r="G2087" s="87"/>
    </row>
    <row r="2088">
      <c r="A2088" s="87"/>
      <c r="B2088" s="88"/>
      <c r="C2088" s="88"/>
      <c r="D2088" s="88"/>
      <c r="E2088" s="88"/>
      <c r="F2088" s="88"/>
      <c r="G2088" s="87"/>
    </row>
    <row r="2089">
      <c r="A2089" s="87"/>
      <c r="B2089" s="88"/>
      <c r="C2089" s="88"/>
      <c r="D2089" s="88"/>
      <c r="E2089" s="88"/>
      <c r="F2089" s="88"/>
      <c r="G2089" s="87"/>
    </row>
    <row r="2090">
      <c r="A2090" s="87"/>
      <c r="B2090" s="88"/>
      <c r="C2090" s="88"/>
      <c r="D2090" s="88"/>
      <c r="E2090" s="88"/>
      <c r="F2090" s="88"/>
      <c r="G2090" s="87"/>
    </row>
    <row r="2091">
      <c r="A2091" s="87"/>
      <c r="B2091" s="88"/>
      <c r="C2091" s="88"/>
      <c r="D2091" s="88"/>
      <c r="E2091" s="88"/>
      <c r="F2091" s="88"/>
      <c r="G2091" s="87"/>
    </row>
    <row r="2092">
      <c r="A2092" s="87"/>
      <c r="B2092" s="88"/>
      <c r="C2092" s="88"/>
      <c r="D2092" s="88"/>
      <c r="E2092" s="88"/>
      <c r="F2092" s="88"/>
      <c r="G2092" s="87"/>
    </row>
    <row r="2093">
      <c r="A2093" s="87"/>
      <c r="B2093" s="88"/>
      <c r="C2093" s="88"/>
      <c r="D2093" s="88"/>
      <c r="E2093" s="88"/>
      <c r="F2093" s="88"/>
      <c r="G2093" s="87"/>
    </row>
    <row r="2094">
      <c r="A2094" s="87"/>
      <c r="B2094" s="88"/>
      <c r="C2094" s="88"/>
      <c r="D2094" s="88"/>
      <c r="E2094" s="88"/>
      <c r="F2094" s="88"/>
      <c r="G2094" s="87"/>
    </row>
    <row r="2095">
      <c r="A2095" s="87"/>
      <c r="B2095" s="88"/>
      <c r="C2095" s="88"/>
      <c r="D2095" s="88"/>
      <c r="E2095" s="88"/>
      <c r="F2095" s="88"/>
      <c r="G2095" s="87"/>
    </row>
    <row r="2096">
      <c r="A2096" s="87"/>
      <c r="B2096" s="88"/>
      <c r="C2096" s="88"/>
      <c r="D2096" s="88"/>
      <c r="E2096" s="88"/>
      <c r="F2096" s="88"/>
      <c r="G2096" s="87"/>
    </row>
    <row r="2097">
      <c r="A2097" s="87"/>
      <c r="B2097" s="88"/>
      <c r="C2097" s="88"/>
      <c r="D2097" s="88"/>
      <c r="E2097" s="88"/>
      <c r="F2097" s="88"/>
      <c r="G2097" s="87"/>
    </row>
    <row r="2098">
      <c r="A2098" s="87"/>
      <c r="B2098" s="88"/>
      <c r="C2098" s="88"/>
      <c r="D2098" s="88"/>
      <c r="E2098" s="88"/>
      <c r="F2098" s="88"/>
      <c r="G2098" s="87"/>
    </row>
    <row r="2099">
      <c r="A2099" s="87"/>
      <c r="B2099" s="88"/>
      <c r="C2099" s="88"/>
      <c r="D2099" s="88"/>
      <c r="E2099" s="88"/>
      <c r="F2099" s="88"/>
      <c r="G2099" s="87"/>
    </row>
    <row r="2100">
      <c r="A2100" s="87"/>
      <c r="B2100" s="88"/>
      <c r="C2100" s="88"/>
      <c r="D2100" s="88"/>
      <c r="E2100" s="88"/>
      <c r="F2100" s="88"/>
      <c r="G2100" s="87"/>
    </row>
    <row r="2101">
      <c r="A2101" s="87"/>
      <c r="B2101" s="88"/>
      <c r="C2101" s="88"/>
      <c r="D2101" s="88"/>
      <c r="E2101" s="88"/>
      <c r="F2101" s="88"/>
      <c r="G2101" s="87"/>
    </row>
    <row r="2102">
      <c r="A2102" s="87"/>
      <c r="B2102" s="88"/>
      <c r="C2102" s="88"/>
      <c r="D2102" s="88"/>
      <c r="E2102" s="88"/>
      <c r="F2102" s="88"/>
      <c r="G2102" s="87"/>
    </row>
    <row r="2103">
      <c r="A2103" s="87"/>
      <c r="B2103" s="88"/>
      <c r="C2103" s="88"/>
      <c r="D2103" s="88"/>
      <c r="E2103" s="88"/>
      <c r="F2103" s="88"/>
      <c r="G2103" s="87"/>
    </row>
    <row r="2104">
      <c r="A2104" s="87"/>
      <c r="B2104" s="88"/>
      <c r="C2104" s="88"/>
      <c r="D2104" s="88"/>
      <c r="E2104" s="88"/>
      <c r="F2104" s="88"/>
      <c r="G2104" s="87"/>
    </row>
    <row r="2105">
      <c r="A2105" s="87"/>
      <c r="B2105" s="88"/>
      <c r="C2105" s="88"/>
      <c r="D2105" s="88"/>
      <c r="E2105" s="88"/>
      <c r="F2105" s="88"/>
      <c r="G2105" s="87"/>
    </row>
    <row r="2106">
      <c r="A2106" s="87"/>
      <c r="B2106" s="88"/>
      <c r="C2106" s="88"/>
      <c r="D2106" s="88"/>
      <c r="E2106" s="88"/>
      <c r="F2106" s="88"/>
      <c r="G2106" s="87"/>
    </row>
    <row r="2107">
      <c r="A2107" s="87"/>
      <c r="B2107" s="88"/>
      <c r="C2107" s="88"/>
      <c r="D2107" s="88"/>
      <c r="E2107" s="88"/>
      <c r="F2107" s="88"/>
      <c r="G2107" s="87"/>
    </row>
    <row r="2108">
      <c r="A2108" s="87"/>
      <c r="B2108" s="88"/>
      <c r="C2108" s="88"/>
      <c r="D2108" s="88"/>
      <c r="E2108" s="88"/>
      <c r="F2108" s="88"/>
      <c r="G2108" s="87"/>
    </row>
    <row r="2109">
      <c r="A2109" s="87"/>
      <c r="B2109" s="88"/>
      <c r="C2109" s="88"/>
      <c r="D2109" s="88"/>
      <c r="E2109" s="88"/>
      <c r="F2109" s="88"/>
      <c r="G2109" s="87"/>
    </row>
    <row r="2110">
      <c r="A2110" s="87"/>
      <c r="B2110" s="88"/>
      <c r="C2110" s="88"/>
      <c r="D2110" s="88"/>
      <c r="E2110" s="88"/>
      <c r="F2110" s="88"/>
      <c r="G2110" s="87"/>
    </row>
    <row r="2111">
      <c r="A2111" s="87"/>
      <c r="B2111" s="88"/>
      <c r="C2111" s="88"/>
      <c r="D2111" s="88"/>
      <c r="E2111" s="88"/>
      <c r="F2111" s="88"/>
      <c r="G2111" s="87"/>
    </row>
    <row r="2112">
      <c r="A2112" s="87"/>
      <c r="B2112" s="88"/>
      <c r="C2112" s="88"/>
      <c r="D2112" s="88"/>
      <c r="E2112" s="88"/>
      <c r="F2112" s="88"/>
      <c r="G2112" s="87"/>
    </row>
    <row r="2113">
      <c r="A2113" s="87"/>
      <c r="B2113" s="88"/>
      <c r="C2113" s="88"/>
      <c r="D2113" s="88"/>
      <c r="E2113" s="88"/>
      <c r="F2113" s="88"/>
      <c r="G2113" s="87"/>
    </row>
    <row r="2114">
      <c r="A2114" s="87"/>
      <c r="B2114" s="88"/>
      <c r="C2114" s="88"/>
      <c r="D2114" s="88"/>
      <c r="E2114" s="88"/>
      <c r="F2114" s="88"/>
      <c r="G2114" s="87"/>
    </row>
    <row r="2115">
      <c r="A2115" s="87"/>
      <c r="B2115" s="88"/>
      <c r="C2115" s="88"/>
      <c r="D2115" s="88"/>
      <c r="E2115" s="88"/>
      <c r="F2115" s="88"/>
      <c r="G2115" s="87"/>
    </row>
    <row r="2116">
      <c r="A2116" s="87"/>
      <c r="B2116" s="88"/>
      <c r="C2116" s="88"/>
      <c r="D2116" s="88"/>
      <c r="E2116" s="88"/>
      <c r="F2116" s="88"/>
      <c r="G2116" s="87"/>
    </row>
    <row r="2117">
      <c r="A2117" s="87"/>
      <c r="B2117" s="88"/>
      <c r="C2117" s="88"/>
      <c r="D2117" s="88"/>
      <c r="E2117" s="88"/>
      <c r="F2117" s="88"/>
      <c r="G2117" s="87"/>
    </row>
    <row r="2118">
      <c r="A2118" s="87"/>
      <c r="B2118" s="88"/>
      <c r="C2118" s="88"/>
      <c r="D2118" s="88"/>
      <c r="E2118" s="88"/>
      <c r="F2118" s="88"/>
      <c r="G2118" s="87"/>
    </row>
    <row r="2119">
      <c r="A2119" s="87"/>
      <c r="B2119" s="88"/>
      <c r="C2119" s="88"/>
      <c r="D2119" s="88"/>
      <c r="E2119" s="88"/>
      <c r="F2119" s="88"/>
      <c r="G2119" s="87"/>
    </row>
    <row r="2120">
      <c r="A2120" s="87"/>
      <c r="B2120" s="88"/>
      <c r="C2120" s="88"/>
      <c r="D2120" s="88"/>
      <c r="E2120" s="88"/>
      <c r="F2120" s="88"/>
      <c r="G2120" s="87"/>
    </row>
    <row r="2121">
      <c r="A2121" s="87"/>
      <c r="B2121" s="88"/>
      <c r="C2121" s="88"/>
      <c r="D2121" s="88"/>
      <c r="E2121" s="88"/>
      <c r="F2121" s="88"/>
      <c r="G2121" s="87"/>
    </row>
    <row r="2122">
      <c r="A2122" s="87"/>
      <c r="B2122" s="88"/>
      <c r="C2122" s="88"/>
      <c r="D2122" s="88"/>
      <c r="E2122" s="88"/>
      <c r="F2122" s="88"/>
      <c r="G2122" s="87"/>
    </row>
    <row r="2123">
      <c r="A2123" s="87"/>
      <c r="B2123" s="88"/>
      <c r="C2123" s="88"/>
      <c r="D2123" s="88"/>
      <c r="E2123" s="88"/>
      <c r="F2123" s="88"/>
      <c r="G2123" s="87"/>
    </row>
    <row r="2124">
      <c r="A2124" s="87"/>
      <c r="B2124" s="88"/>
      <c r="C2124" s="88"/>
      <c r="D2124" s="88"/>
      <c r="E2124" s="88"/>
      <c r="F2124" s="88"/>
      <c r="G2124" s="87"/>
    </row>
    <row r="2125">
      <c r="A2125" s="87"/>
      <c r="B2125" s="88"/>
      <c r="C2125" s="88"/>
      <c r="D2125" s="88"/>
      <c r="E2125" s="88"/>
      <c r="F2125" s="88"/>
      <c r="G2125" s="87"/>
    </row>
    <row r="2126">
      <c r="A2126" s="87"/>
      <c r="B2126" s="88"/>
      <c r="C2126" s="88"/>
      <c r="D2126" s="88"/>
      <c r="E2126" s="88"/>
      <c r="F2126" s="88"/>
      <c r="G2126" s="87"/>
    </row>
    <row r="2127">
      <c r="A2127" s="87"/>
      <c r="B2127" s="88"/>
      <c r="C2127" s="88"/>
      <c r="D2127" s="88"/>
      <c r="E2127" s="88"/>
      <c r="F2127" s="88"/>
      <c r="G2127" s="87"/>
    </row>
    <row r="2128">
      <c r="A2128" s="87"/>
      <c r="B2128" s="88"/>
      <c r="C2128" s="88"/>
      <c r="D2128" s="88"/>
      <c r="E2128" s="88"/>
      <c r="F2128" s="88"/>
      <c r="G2128" s="87"/>
    </row>
    <row r="2129">
      <c r="A2129" s="87"/>
      <c r="B2129" s="88"/>
      <c r="C2129" s="88"/>
      <c r="D2129" s="88"/>
      <c r="E2129" s="88"/>
      <c r="F2129" s="88"/>
      <c r="G2129" s="87"/>
    </row>
    <row r="2130">
      <c r="A2130" s="87"/>
      <c r="B2130" s="88"/>
      <c r="C2130" s="88"/>
      <c r="D2130" s="88"/>
      <c r="E2130" s="88"/>
      <c r="F2130" s="88"/>
      <c r="G2130" s="87"/>
    </row>
    <row r="2131">
      <c r="A2131" s="87"/>
      <c r="B2131" s="88"/>
      <c r="C2131" s="88"/>
      <c r="D2131" s="88"/>
      <c r="E2131" s="88"/>
      <c r="F2131" s="88"/>
      <c r="G2131" s="87"/>
    </row>
    <row r="2132">
      <c r="A2132" s="87"/>
      <c r="B2132" s="88"/>
      <c r="C2132" s="88"/>
      <c r="D2132" s="88"/>
      <c r="E2132" s="88"/>
      <c r="F2132" s="88"/>
      <c r="G2132" s="87"/>
    </row>
    <row r="2133">
      <c r="A2133" s="87"/>
      <c r="B2133" s="88"/>
      <c r="C2133" s="88"/>
      <c r="D2133" s="88"/>
      <c r="E2133" s="88"/>
      <c r="F2133" s="88"/>
      <c r="G2133" s="87"/>
    </row>
    <row r="2134">
      <c r="A2134" s="87"/>
      <c r="B2134" s="88"/>
      <c r="C2134" s="88"/>
      <c r="D2134" s="88"/>
      <c r="E2134" s="88"/>
      <c r="F2134" s="88"/>
      <c r="G2134" s="87"/>
    </row>
    <row r="2135">
      <c r="A2135" s="87"/>
      <c r="B2135" s="88"/>
      <c r="C2135" s="88"/>
      <c r="D2135" s="88"/>
      <c r="E2135" s="88"/>
      <c r="F2135" s="88"/>
      <c r="G2135" s="87"/>
    </row>
    <row r="2136">
      <c r="A2136" s="87"/>
      <c r="B2136" s="88"/>
      <c r="C2136" s="88"/>
      <c r="D2136" s="88"/>
      <c r="E2136" s="88"/>
      <c r="F2136" s="88"/>
      <c r="G2136" s="87"/>
    </row>
    <row r="2137">
      <c r="A2137" s="87"/>
      <c r="B2137" s="88"/>
      <c r="C2137" s="88"/>
      <c r="D2137" s="88"/>
      <c r="E2137" s="88"/>
      <c r="F2137" s="88"/>
      <c r="G2137" s="87"/>
    </row>
    <row r="2138">
      <c r="A2138" s="87"/>
      <c r="B2138" s="88"/>
      <c r="C2138" s="88"/>
      <c r="D2138" s="88"/>
      <c r="E2138" s="88"/>
      <c r="F2138" s="88"/>
      <c r="G2138" s="87"/>
    </row>
    <row r="2139">
      <c r="A2139" s="87"/>
      <c r="B2139" s="88"/>
      <c r="C2139" s="88"/>
      <c r="D2139" s="88"/>
      <c r="E2139" s="88"/>
      <c r="F2139" s="88"/>
      <c r="G2139" s="87"/>
    </row>
    <row r="2140">
      <c r="A2140" s="87"/>
      <c r="B2140" s="88"/>
      <c r="C2140" s="88"/>
      <c r="D2140" s="88"/>
      <c r="E2140" s="88"/>
      <c r="F2140" s="88"/>
      <c r="G2140" s="87"/>
    </row>
    <row r="2141">
      <c r="A2141" s="87"/>
      <c r="B2141" s="88"/>
      <c r="C2141" s="88"/>
      <c r="D2141" s="88"/>
      <c r="E2141" s="88"/>
      <c r="F2141" s="88"/>
      <c r="G2141" s="87"/>
    </row>
    <row r="2142">
      <c r="A2142" s="87"/>
      <c r="B2142" s="88"/>
      <c r="C2142" s="88"/>
      <c r="D2142" s="88"/>
      <c r="E2142" s="88"/>
      <c r="F2142" s="88"/>
      <c r="G2142" s="87"/>
    </row>
    <row r="2143">
      <c r="A2143" s="87"/>
      <c r="B2143" s="88"/>
      <c r="C2143" s="88"/>
      <c r="D2143" s="88"/>
      <c r="E2143" s="88"/>
      <c r="F2143" s="88"/>
      <c r="G2143" s="87"/>
    </row>
    <row r="2144">
      <c r="A2144" s="87"/>
      <c r="B2144" s="88"/>
      <c r="C2144" s="88"/>
      <c r="D2144" s="88"/>
      <c r="E2144" s="88"/>
      <c r="F2144" s="88"/>
      <c r="G2144" s="87"/>
    </row>
    <row r="2145">
      <c r="A2145" s="87"/>
      <c r="B2145" s="88"/>
      <c r="C2145" s="88"/>
      <c r="D2145" s="88"/>
      <c r="E2145" s="88"/>
      <c r="F2145" s="88"/>
      <c r="G2145" s="87"/>
    </row>
    <row r="2146">
      <c r="A2146" s="87"/>
      <c r="B2146" s="88"/>
      <c r="C2146" s="88"/>
      <c r="D2146" s="88"/>
      <c r="E2146" s="88"/>
      <c r="F2146" s="88"/>
      <c r="G2146" s="87"/>
    </row>
    <row r="2147">
      <c r="A2147" s="87"/>
      <c r="B2147" s="88"/>
      <c r="C2147" s="88"/>
      <c r="D2147" s="88"/>
      <c r="E2147" s="88"/>
      <c r="F2147" s="88"/>
      <c r="G2147" s="87"/>
    </row>
    <row r="2148">
      <c r="A2148" s="87"/>
      <c r="B2148" s="88"/>
      <c r="C2148" s="88"/>
      <c r="D2148" s="88"/>
      <c r="E2148" s="88"/>
      <c r="F2148" s="88"/>
      <c r="G2148" s="87"/>
    </row>
    <row r="2149">
      <c r="A2149" s="87"/>
      <c r="B2149" s="88"/>
      <c r="C2149" s="88"/>
      <c r="D2149" s="88"/>
      <c r="E2149" s="88"/>
      <c r="F2149" s="88"/>
      <c r="G2149" s="87"/>
    </row>
    <row r="2150">
      <c r="A2150" s="87"/>
      <c r="B2150" s="88"/>
      <c r="C2150" s="88"/>
      <c r="D2150" s="88"/>
      <c r="E2150" s="88"/>
      <c r="F2150" s="88"/>
      <c r="G2150" s="87"/>
    </row>
    <row r="2151">
      <c r="A2151" s="87"/>
      <c r="B2151" s="88"/>
      <c r="C2151" s="88"/>
      <c r="D2151" s="88"/>
      <c r="E2151" s="88"/>
      <c r="F2151" s="88"/>
      <c r="G2151" s="87"/>
    </row>
    <row r="2152">
      <c r="A2152" s="87"/>
      <c r="B2152" s="98"/>
      <c r="C2152" s="88"/>
      <c r="D2152" s="88"/>
      <c r="E2152" s="88"/>
      <c r="F2152" s="88"/>
      <c r="G2152" s="87"/>
    </row>
    <row r="2153">
      <c r="A2153" s="87"/>
      <c r="B2153" s="88"/>
      <c r="C2153" s="88"/>
      <c r="D2153" s="88"/>
      <c r="E2153" s="88"/>
      <c r="F2153" s="88"/>
      <c r="G2153" s="87"/>
    </row>
    <row r="2154">
      <c r="A2154" s="87"/>
      <c r="B2154" s="88"/>
      <c r="C2154" s="88"/>
      <c r="D2154" s="88"/>
      <c r="E2154" s="88"/>
      <c r="F2154" s="88"/>
      <c r="G2154" s="87"/>
    </row>
    <row r="2155">
      <c r="A2155" s="87"/>
      <c r="B2155" s="88"/>
      <c r="C2155" s="88"/>
      <c r="D2155" s="88"/>
      <c r="E2155" s="88"/>
      <c r="F2155" s="88"/>
      <c r="G2155" s="87"/>
    </row>
    <row r="2156">
      <c r="A2156" s="87"/>
      <c r="B2156" s="88"/>
      <c r="C2156" s="88"/>
      <c r="D2156" s="88"/>
      <c r="E2156" s="88"/>
      <c r="F2156" s="88"/>
      <c r="G2156" s="87"/>
    </row>
    <row r="2157">
      <c r="A2157" s="87"/>
      <c r="B2157" s="88"/>
      <c r="C2157" s="88"/>
      <c r="D2157" s="88"/>
      <c r="E2157" s="88"/>
      <c r="F2157" s="88"/>
      <c r="G2157" s="87"/>
    </row>
    <row r="2158">
      <c r="A2158" s="87"/>
      <c r="B2158" s="98"/>
      <c r="C2158" s="88"/>
      <c r="D2158" s="88"/>
      <c r="E2158" s="88"/>
      <c r="F2158" s="88"/>
      <c r="G2158" s="87"/>
    </row>
    <row r="2159">
      <c r="A2159" s="87"/>
      <c r="B2159" s="88"/>
      <c r="C2159" s="88"/>
      <c r="D2159" s="88"/>
      <c r="E2159" s="88"/>
      <c r="F2159" s="88"/>
      <c r="G2159" s="87"/>
    </row>
    <row r="2160">
      <c r="A2160" s="87"/>
      <c r="B2160" s="88"/>
      <c r="C2160" s="88"/>
      <c r="D2160" s="88"/>
      <c r="E2160" s="88"/>
      <c r="F2160" s="88"/>
      <c r="G2160" s="87"/>
    </row>
    <row r="2161">
      <c r="A2161" s="87"/>
      <c r="B2161" s="88"/>
      <c r="C2161" s="88"/>
      <c r="D2161" s="88"/>
      <c r="E2161" s="88"/>
      <c r="F2161" s="88"/>
      <c r="G2161" s="87"/>
    </row>
    <row r="2162">
      <c r="A2162" s="87"/>
      <c r="B2162" s="88"/>
      <c r="C2162" s="88"/>
      <c r="D2162" s="88"/>
      <c r="E2162" s="88"/>
      <c r="F2162" s="88"/>
      <c r="G2162" s="87"/>
    </row>
    <row r="2163">
      <c r="A2163" s="87"/>
      <c r="B2163" s="88"/>
      <c r="C2163" s="88"/>
      <c r="D2163" s="88"/>
      <c r="E2163" s="88"/>
      <c r="F2163" s="88"/>
      <c r="G2163" s="87"/>
    </row>
    <row r="2164">
      <c r="A2164" s="87"/>
      <c r="B2164" s="88"/>
      <c r="C2164" s="88"/>
      <c r="D2164" s="88"/>
      <c r="E2164" s="88"/>
      <c r="F2164" s="88"/>
      <c r="G2164" s="87"/>
    </row>
    <row r="2165">
      <c r="A2165" s="87"/>
      <c r="B2165" s="88"/>
      <c r="C2165" s="88"/>
      <c r="D2165" s="88"/>
      <c r="E2165" s="88"/>
      <c r="F2165" s="88"/>
      <c r="G2165" s="87"/>
    </row>
    <row r="2166">
      <c r="A2166" s="87"/>
      <c r="B2166" s="88"/>
      <c r="C2166" s="88"/>
      <c r="D2166" s="88"/>
      <c r="E2166" s="88"/>
      <c r="F2166" s="88"/>
      <c r="G2166" s="87"/>
    </row>
    <row r="2167">
      <c r="A2167" s="87"/>
      <c r="B2167" s="88"/>
      <c r="C2167" s="88"/>
      <c r="D2167" s="88"/>
      <c r="E2167" s="88"/>
      <c r="F2167" s="88"/>
      <c r="G2167" s="87"/>
    </row>
    <row r="2168">
      <c r="A2168" s="87"/>
      <c r="B2168" s="88"/>
      <c r="C2168" s="88"/>
      <c r="D2168" s="88"/>
      <c r="E2168" s="88"/>
      <c r="F2168" s="88"/>
      <c r="G2168" s="87"/>
    </row>
    <row r="2169">
      <c r="A2169" s="87"/>
      <c r="B2169" s="88"/>
      <c r="C2169" s="88"/>
      <c r="D2169" s="88"/>
      <c r="E2169" s="88"/>
      <c r="F2169" s="88"/>
      <c r="G2169" s="87"/>
    </row>
    <row r="2170">
      <c r="A2170" s="87"/>
      <c r="B2170" s="88"/>
      <c r="C2170" s="88"/>
      <c r="D2170" s="88"/>
      <c r="E2170" s="88"/>
      <c r="F2170" s="88"/>
      <c r="G2170" s="87"/>
    </row>
    <row r="2171">
      <c r="A2171" s="87"/>
      <c r="B2171" s="88"/>
      <c r="C2171" s="88"/>
      <c r="D2171" s="88"/>
      <c r="E2171" s="88"/>
      <c r="F2171" s="88"/>
      <c r="G2171" s="87"/>
    </row>
    <row r="2172">
      <c r="A2172" s="87"/>
      <c r="B2172" s="88"/>
      <c r="C2172" s="88"/>
      <c r="D2172" s="88"/>
      <c r="E2172" s="88"/>
      <c r="F2172" s="88"/>
      <c r="G2172" s="87"/>
    </row>
    <row r="2173">
      <c r="A2173" s="87"/>
      <c r="B2173" s="88"/>
      <c r="C2173" s="88"/>
      <c r="D2173" s="88"/>
      <c r="E2173" s="88"/>
      <c r="F2173" s="88"/>
      <c r="G2173" s="87"/>
    </row>
    <row r="2174">
      <c r="A2174" s="87"/>
      <c r="B2174" s="88"/>
      <c r="C2174" s="88"/>
      <c r="D2174" s="88"/>
      <c r="E2174" s="88"/>
      <c r="F2174" s="88"/>
      <c r="G2174" s="87"/>
    </row>
    <row r="2175">
      <c r="A2175" s="87"/>
      <c r="B2175" s="88"/>
      <c r="C2175" s="88"/>
      <c r="D2175" s="88"/>
      <c r="E2175" s="88"/>
      <c r="F2175" s="88"/>
      <c r="G2175" s="87"/>
    </row>
    <row r="2176">
      <c r="A2176" s="87"/>
      <c r="B2176" s="88"/>
      <c r="C2176" s="88"/>
      <c r="D2176" s="88"/>
      <c r="E2176" s="88"/>
      <c r="F2176" s="88"/>
      <c r="G2176" s="87"/>
    </row>
    <row r="2177">
      <c r="A2177" s="87"/>
      <c r="B2177" s="88"/>
      <c r="C2177" s="88"/>
      <c r="D2177" s="88"/>
      <c r="E2177" s="88"/>
      <c r="F2177" s="88"/>
      <c r="G2177" s="87"/>
    </row>
    <row r="2178">
      <c r="A2178" s="87"/>
      <c r="B2178" s="88"/>
      <c r="C2178" s="88"/>
      <c r="D2178" s="88"/>
      <c r="E2178" s="88"/>
      <c r="F2178" s="88"/>
      <c r="G2178" s="87"/>
    </row>
    <row r="2179">
      <c r="A2179" s="87"/>
      <c r="B2179" s="88"/>
      <c r="C2179" s="88"/>
      <c r="D2179" s="88"/>
      <c r="E2179" s="88"/>
      <c r="F2179" s="88"/>
      <c r="G2179" s="87"/>
    </row>
    <row r="2180">
      <c r="A2180" s="87"/>
      <c r="B2180" s="88"/>
      <c r="C2180" s="88"/>
      <c r="D2180" s="88"/>
      <c r="E2180" s="88"/>
      <c r="F2180" s="88"/>
      <c r="G2180" s="87"/>
    </row>
    <row r="2181">
      <c r="A2181" s="87"/>
      <c r="B2181" s="88"/>
      <c r="C2181" s="88"/>
      <c r="D2181" s="88"/>
      <c r="E2181" s="88"/>
      <c r="F2181" s="88"/>
      <c r="G2181" s="87"/>
    </row>
    <row r="2182">
      <c r="A2182" s="87"/>
      <c r="B2182" s="88"/>
      <c r="C2182" s="88"/>
      <c r="D2182" s="88"/>
      <c r="E2182" s="88"/>
      <c r="F2182" s="88"/>
      <c r="G2182" s="87"/>
    </row>
    <row r="2183">
      <c r="A2183" s="87"/>
      <c r="B2183" s="88"/>
      <c r="C2183" s="88"/>
      <c r="D2183" s="88"/>
      <c r="E2183" s="88"/>
      <c r="F2183" s="88"/>
      <c r="G2183" s="87"/>
    </row>
    <row r="2184">
      <c r="A2184" s="87"/>
      <c r="B2184" s="88"/>
      <c r="C2184" s="88"/>
      <c r="D2184" s="88"/>
      <c r="E2184" s="88"/>
      <c r="F2184" s="88"/>
      <c r="G2184" s="87"/>
    </row>
    <row r="2185">
      <c r="A2185" s="87"/>
      <c r="B2185" s="88"/>
      <c r="C2185" s="88"/>
      <c r="D2185" s="88"/>
      <c r="E2185" s="88"/>
      <c r="F2185" s="88"/>
      <c r="G2185" s="87"/>
    </row>
    <row r="2186">
      <c r="A2186" s="87"/>
      <c r="B2186" s="88"/>
      <c r="C2186" s="88"/>
      <c r="D2186" s="88"/>
      <c r="E2186" s="88"/>
      <c r="F2186" s="88"/>
      <c r="G2186" s="87"/>
    </row>
    <row r="2187">
      <c r="A2187" s="87"/>
      <c r="B2187" s="88"/>
      <c r="C2187" s="88"/>
      <c r="D2187" s="88"/>
      <c r="E2187" s="88"/>
      <c r="F2187" s="88"/>
      <c r="G2187" s="87"/>
    </row>
    <row r="2188">
      <c r="A2188" s="87"/>
      <c r="B2188" s="88"/>
      <c r="C2188" s="88"/>
      <c r="D2188" s="88"/>
      <c r="E2188" s="88"/>
      <c r="F2188" s="88"/>
      <c r="G2188" s="87"/>
    </row>
    <row r="2189">
      <c r="A2189" s="87"/>
      <c r="B2189" s="88"/>
      <c r="C2189" s="88"/>
      <c r="D2189" s="88"/>
      <c r="E2189" s="88"/>
      <c r="F2189" s="88"/>
      <c r="G2189" s="87"/>
    </row>
    <row r="2190">
      <c r="A2190" s="87"/>
      <c r="B2190" s="88"/>
      <c r="C2190" s="88"/>
      <c r="D2190" s="88"/>
      <c r="E2190" s="88"/>
      <c r="F2190" s="88"/>
      <c r="G2190" s="87"/>
    </row>
    <row r="2191">
      <c r="A2191" s="87"/>
      <c r="B2191" s="88"/>
      <c r="C2191" s="88"/>
      <c r="D2191" s="88"/>
      <c r="E2191" s="88"/>
      <c r="F2191" s="88"/>
      <c r="G2191" s="87"/>
    </row>
    <row r="2192">
      <c r="A2192" s="87"/>
      <c r="B2192" s="88"/>
      <c r="C2192" s="88"/>
      <c r="D2192" s="88"/>
      <c r="E2192" s="88"/>
      <c r="F2192" s="88"/>
      <c r="G2192" s="87"/>
    </row>
    <row r="2193">
      <c r="A2193" s="87"/>
      <c r="B2193" s="88"/>
      <c r="C2193" s="88"/>
      <c r="D2193" s="88"/>
      <c r="E2193" s="88"/>
      <c r="F2193" s="88"/>
      <c r="G2193" s="87"/>
    </row>
    <row r="2194">
      <c r="A2194" s="87"/>
      <c r="B2194" s="88"/>
      <c r="C2194" s="88"/>
      <c r="D2194" s="88"/>
      <c r="E2194" s="88"/>
      <c r="F2194" s="88"/>
      <c r="G2194" s="87"/>
    </row>
    <row r="2195">
      <c r="A2195" s="87"/>
      <c r="B2195" s="88"/>
      <c r="C2195" s="88"/>
      <c r="D2195" s="88"/>
      <c r="E2195" s="88"/>
      <c r="F2195" s="88"/>
      <c r="G2195" s="87"/>
    </row>
    <row r="2196">
      <c r="A2196" s="87"/>
      <c r="B2196" s="88"/>
      <c r="C2196" s="88"/>
      <c r="D2196" s="88"/>
      <c r="E2196" s="88"/>
      <c r="F2196" s="88"/>
      <c r="G2196" s="87"/>
    </row>
    <row r="2197">
      <c r="A2197" s="87"/>
      <c r="B2197" s="88"/>
      <c r="C2197" s="88"/>
      <c r="D2197" s="88"/>
      <c r="E2197" s="88"/>
      <c r="F2197" s="88"/>
      <c r="G2197" s="87"/>
    </row>
    <row r="2198">
      <c r="A2198" s="87"/>
      <c r="B2198" s="88"/>
      <c r="C2198" s="88"/>
      <c r="D2198" s="88"/>
      <c r="E2198" s="88"/>
      <c r="F2198" s="88"/>
      <c r="G2198" s="87"/>
    </row>
    <row r="2199">
      <c r="A2199" s="87"/>
      <c r="B2199" s="88"/>
      <c r="C2199" s="88"/>
      <c r="D2199" s="88"/>
      <c r="E2199" s="88"/>
      <c r="F2199" s="88"/>
      <c r="G2199" s="87"/>
    </row>
    <row r="2200">
      <c r="A2200" s="87"/>
      <c r="B2200" s="88"/>
      <c r="C2200" s="88"/>
      <c r="D2200" s="88"/>
      <c r="E2200" s="88"/>
      <c r="F2200" s="88"/>
      <c r="G2200" s="87"/>
    </row>
    <row r="2201">
      <c r="A2201" s="87"/>
      <c r="B2201" s="88"/>
      <c r="C2201" s="88"/>
      <c r="D2201" s="88"/>
      <c r="E2201" s="88"/>
      <c r="F2201" s="88"/>
      <c r="G2201" s="87"/>
    </row>
    <row r="2202">
      <c r="A2202" s="87"/>
      <c r="B2202" s="88"/>
      <c r="C2202" s="88"/>
      <c r="D2202" s="88"/>
      <c r="E2202" s="88"/>
      <c r="F2202" s="88"/>
      <c r="G2202" s="87"/>
    </row>
    <row r="2203">
      <c r="A2203" s="87"/>
      <c r="B2203" s="88"/>
      <c r="C2203" s="88"/>
      <c r="D2203" s="88"/>
      <c r="E2203" s="88"/>
      <c r="F2203" s="88"/>
      <c r="G2203" s="87"/>
    </row>
    <row r="2204">
      <c r="A2204" s="87"/>
      <c r="B2204" s="88"/>
      <c r="C2204" s="88"/>
      <c r="D2204" s="88"/>
      <c r="E2204" s="88"/>
      <c r="F2204" s="88"/>
      <c r="G2204" s="87"/>
    </row>
    <row r="2205">
      <c r="A2205" s="87"/>
      <c r="B2205" s="88"/>
      <c r="C2205" s="88"/>
      <c r="D2205" s="88"/>
      <c r="E2205" s="88"/>
      <c r="F2205" s="88"/>
      <c r="G2205" s="87"/>
    </row>
    <row r="2206">
      <c r="A2206" s="87"/>
      <c r="B2206" s="88"/>
      <c r="C2206" s="88"/>
      <c r="D2206" s="88"/>
      <c r="E2206" s="88"/>
      <c r="F2206" s="88"/>
      <c r="G2206" s="87"/>
    </row>
    <row r="2207">
      <c r="A2207" s="87"/>
      <c r="B2207" s="88"/>
      <c r="C2207" s="88"/>
      <c r="D2207" s="88"/>
      <c r="E2207" s="88"/>
      <c r="F2207" s="88"/>
      <c r="G2207" s="87"/>
    </row>
    <row r="2208">
      <c r="A2208" s="87"/>
      <c r="B2208" s="88"/>
      <c r="C2208" s="88"/>
      <c r="D2208" s="88"/>
      <c r="E2208" s="88"/>
      <c r="F2208" s="88"/>
      <c r="G2208" s="87"/>
    </row>
    <row r="2209">
      <c r="A2209" s="87"/>
      <c r="B2209" s="88"/>
      <c r="C2209" s="88"/>
      <c r="D2209" s="88"/>
      <c r="E2209" s="88"/>
      <c r="F2209" s="88"/>
      <c r="G2209" s="87"/>
    </row>
    <row r="2210">
      <c r="A2210" s="87"/>
      <c r="B2210" s="88"/>
      <c r="C2210" s="88"/>
      <c r="D2210" s="88"/>
      <c r="E2210" s="88"/>
      <c r="F2210" s="88"/>
      <c r="G2210" s="87"/>
    </row>
    <row r="2211">
      <c r="A2211" s="87"/>
      <c r="B2211" s="88"/>
      <c r="C2211" s="88"/>
      <c r="D2211" s="88"/>
      <c r="E2211" s="88"/>
      <c r="F2211" s="88"/>
      <c r="G2211" s="87"/>
    </row>
    <row r="2212">
      <c r="A2212" s="87"/>
      <c r="B2212" s="88"/>
      <c r="C2212" s="88"/>
      <c r="D2212" s="88"/>
      <c r="E2212" s="88"/>
      <c r="F2212" s="88"/>
      <c r="G2212" s="87"/>
    </row>
    <row r="2213">
      <c r="A2213" s="87"/>
      <c r="B2213" s="88"/>
      <c r="C2213" s="88"/>
      <c r="D2213" s="88"/>
      <c r="E2213" s="88"/>
      <c r="F2213" s="88"/>
      <c r="G2213" s="87"/>
    </row>
    <row r="2214">
      <c r="A2214" s="87"/>
      <c r="B2214" s="88"/>
      <c r="C2214" s="88"/>
      <c r="D2214" s="88"/>
      <c r="E2214" s="88"/>
      <c r="F2214" s="88"/>
      <c r="G2214" s="87"/>
    </row>
    <row r="2215">
      <c r="A2215" s="87"/>
      <c r="B2215" s="88"/>
      <c r="C2215" s="88"/>
      <c r="D2215" s="88"/>
      <c r="E2215" s="88"/>
      <c r="F2215" s="88"/>
      <c r="G2215" s="87"/>
    </row>
    <row r="2216">
      <c r="A2216" s="87"/>
      <c r="B2216" s="88"/>
      <c r="C2216" s="88"/>
      <c r="D2216" s="88"/>
      <c r="E2216" s="88"/>
      <c r="F2216" s="88"/>
      <c r="G2216" s="87"/>
    </row>
    <row r="2217">
      <c r="A2217" s="87"/>
      <c r="B2217" s="88"/>
      <c r="C2217" s="88"/>
      <c r="D2217" s="88"/>
      <c r="E2217" s="88"/>
      <c r="F2217" s="88"/>
      <c r="G2217" s="87"/>
    </row>
    <row r="2218">
      <c r="A2218" s="87"/>
      <c r="B2218" s="88"/>
      <c r="C2218" s="88"/>
      <c r="D2218" s="88"/>
      <c r="E2218" s="88"/>
      <c r="F2218" s="88"/>
      <c r="G2218" s="87"/>
    </row>
    <row r="2219">
      <c r="A2219" s="87"/>
      <c r="B2219" s="88"/>
      <c r="C2219" s="88"/>
      <c r="D2219" s="88"/>
      <c r="E2219" s="88"/>
      <c r="F2219" s="88"/>
      <c r="G2219" s="87"/>
    </row>
    <row r="2220">
      <c r="A2220" s="87"/>
      <c r="B2220" s="88"/>
      <c r="C2220" s="88"/>
      <c r="D2220" s="88"/>
      <c r="E2220" s="88"/>
      <c r="F2220" s="88"/>
      <c r="G2220" s="87"/>
    </row>
    <row r="2221">
      <c r="A2221" s="87"/>
      <c r="B2221" s="88"/>
      <c r="C2221" s="88"/>
      <c r="D2221" s="88"/>
      <c r="E2221" s="88"/>
      <c r="F2221" s="88"/>
      <c r="G2221" s="87"/>
    </row>
    <row r="2222">
      <c r="A2222" s="87"/>
      <c r="B2222" s="88"/>
      <c r="C2222" s="88"/>
      <c r="D2222" s="88"/>
      <c r="E2222" s="88"/>
      <c r="F2222" s="88"/>
      <c r="G2222" s="87"/>
    </row>
    <row r="2223">
      <c r="A2223" s="87"/>
      <c r="B2223" s="88"/>
      <c r="C2223" s="88"/>
      <c r="D2223" s="88"/>
      <c r="E2223" s="88"/>
      <c r="F2223" s="88"/>
      <c r="G2223" s="87"/>
    </row>
    <row r="2224">
      <c r="A2224" s="87"/>
      <c r="B2224" s="88"/>
      <c r="C2224" s="88"/>
      <c r="D2224" s="88"/>
      <c r="E2224" s="88"/>
      <c r="F2224" s="88"/>
      <c r="G2224" s="87"/>
    </row>
    <row r="2225">
      <c r="A2225" s="87"/>
      <c r="B2225" s="88"/>
      <c r="C2225" s="88"/>
      <c r="D2225" s="88"/>
      <c r="E2225" s="88"/>
      <c r="F2225" s="88"/>
      <c r="G2225" s="87"/>
    </row>
    <row r="2226">
      <c r="A2226" s="87"/>
      <c r="B2226" s="88"/>
      <c r="C2226" s="88"/>
      <c r="D2226" s="88"/>
      <c r="E2226" s="88"/>
      <c r="F2226" s="88"/>
      <c r="G2226" s="87"/>
    </row>
    <row r="2227">
      <c r="A2227" s="87"/>
      <c r="B2227" s="88"/>
      <c r="C2227" s="88"/>
      <c r="D2227" s="88"/>
      <c r="E2227" s="88"/>
      <c r="F2227" s="88"/>
      <c r="G2227" s="87"/>
    </row>
    <row r="2228">
      <c r="A2228" s="87"/>
      <c r="B2228" s="88"/>
      <c r="C2228" s="88"/>
      <c r="D2228" s="88"/>
      <c r="E2228" s="88"/>
      <c r="F2228" s="88"/>
      <c r="G2228" s="87"/>
    </row>
    <row r="2229">
      <c r="A2229" s="87"/>
      <c r="B2229" s="88"/>
      <c r="C2229" s="88"/>
      <c r="D2229" s="88"/>
      <c r="E2229" s="88"/>
      <c r="F2229" s="88"/>
      <c r="G2229" s="87"/>
    </row>
    <row r="2230">
      <c r="A2230" s="87"/>
      <c r="B2230" s="88"/>
      <c r="C2230" s="88"/>
      <c r="D2230" s="88"/>
      <c r="E2230" s="88"/>
      <c r="F2230" s="88"/>
      <c r="G2230" s="87"/>
    </row>
    <row r="2231">
      <c r="A2231" s="87"/>
      <c r="B2231" s="88"/>
      <c r="C2231" s="88"/>
      <c r="D2231" s="88"/>
      <c r="E2231" s="88"/>
      <c r="F2231" s="88"/>
      <c r="G2231" s="87"/>
    </row>
    <row r="2232">
      <c r="A2232" s="87"/>
      <c r="B2232" s="88"/>
      <c r="C2232" s="88"/>
      <c r="D2232" s="88"/>
      <c r="E2232" s="88"/>
      <c r="F2232" s="88"/>
      <c r="G2232" s="87"/>
    </row>
    <row r="2233">
      <c r="A2233" s="87"/>
      <c r="B2233" s="88"/>
      <c r="C2233" s="88"/>
      <c r="D2233" s="88"/>
      <c r="E2233" s="88"/>
      <c r="F2233" s="88"/>
      <c r="G2233" s="87"/>
    </row>
    <row r="2234">
      <c r="A2234" s="87"/>
      <c r="B2234" s="88"/>
      <c r="C2234" s="88"/>
      <c r="D2234" s="88"/>
      <c r="E2234" s="88"/>
      <c r="F2234" s="88"/>
      <c r="G2234" s="87"/>
    </row>
    <row r="2235">
      <c r="A2235" s="87"/>
      <c r="B2235" s="88"/>
      <c r="C2235" s="88"/>
      <c r="D2235" s="88"/>
      <c r="E2235" s="88"/>
      <c r="F2235" s="88"/>
      <c r="G2235" s="87"/>
    </row>
    <row r="2236">
      <c r="A2236" s="87"/>
      <c r="B2236" s="88"/>
      <c r="C2236" s="88"/>
      <c r="D2236" s="88"/>
      <c r="E2236" s="88"/>
      <c r="F2236" s="88"/>
      <c r="G2236" s="87"/>
    </row>
    <row r="2237">
      <c r="A2237" s="87"/>
      <c r="B2237" s="88"/>
      <c r="C2237" s="88"/>
      <c r="D2237" s="88"/>
      <c r="E2237" s="88"/>
      <c r="F2237" s="88"/>
      <c r="G2237" s="87"/>
    </row>
    <row r="2238">
      <c r="A2238" s="87"/>
      <c r="B2238" s="88"/>
      <c r="C2238" s="88"/>
      <c r="D2238" s="88"/>
      <c r="E2238" s="88"/>
      <c r="F2238" s="88"/>
      <c r="G2238" s="87"/>
    </row>
    <row r="2239">
      <c r="A2239" s="87"/>
      <c r="B2239" s="88"/>
      <c r="C2239" s="88"/>
      <c r="D2239" s="88"/>
      <c r="E2239" s="88"/>
      <c r="F2239" s="88"/>
      <c r="G2239" s="87"/>
    </row>
    <row r="2240">
      <c r="A2240" s="87"/>
      <c r="B2240" s="88"/>
      <c r="C2240" s="88"/>
      <c r="D2240" s="88"/>
      <c r="E2240" s="88"/>
      <c r="F2240" s="88"/>
      <c r="G2240" s="87"/>
    </row>
    <row r="2241">
      <c r="A2241" s="87"/>
      <c r="B2241" s="88"/>
      <c r="C2241" s="88"/>
      <c r="D2241" s="88"/>
      <c r="E2241" s="88"/>
      <c r="F2241" s="88"/>
      <c r="G2241" s="87"/>
    </row>
    <row r="2242">
      <c r="A2242" s="87"/>
      <c r="B2242" s="88"/>
      <c r="C2242" s="88"/>
      <c r="D2242" s="88"/>
      <c r="E2242" s="88"/>
      <c r="F2242" s="88"/>
      <c r="G2242" s="87"/>
    </row>
    <row r="2243">
      <c r="A2243" s="87"/>
      <c r="B2243" s="88"/>
      <c r="C2243" s="88"/>
      <c r="D2243" s="88"/>
      <c r="E2243" s="88"/>
      <c r="F2243" s="88"/>
      <c r="G2243" s="87"/>
    </row>
    <row r="2244">
      <c r="A2244" s="87"/>
      <c r="B2244" s="88"/>
      <c r="C2244" s="88"/>
      <c r="D2244" s="88"/>
      <c r="E2244" s="88"/>
      <c r="F2244" s="88"/>
      <c r="G2244" s="87"/>
    </row>
    <row r="2245">
      <c r="A2245" s="87"/>
      <c r="B2245" s="88"/>
      <c r="C2245" s="88"/>
      <c r="D2245" s="88"/>
      <c r="E2245" s="88"/>
      <c r="F2245" s="88"/>
      <c r="G2245" s="87"/>
    </row>
    <row r="2246">
      <c r="A2246" s="87"/>
      <c r="B2246" s="88"/>
      <c r="C2246" s="88"/>
      <c r="D2246" s="88"/>
      <c r="E2246" s="88"/>
      <c r="F2246" s="88"/>
      <c r="G2246" s="87"/>
    </row>
    <row r="2247">
      <c r="A2247" s="87"/>
      <c r="B2247" s="88"/>
      <c r="C2247" s="88"/>
      <c r="D2247" s="88"/>
      <c r="E2247" s="88"/>
      <c r="F2247" s="88"/>
      <c r="G2247" s="87"/>
    </row>
    <row r="2248">
      <c r="A2248" s="87"/>
      <c r="B2248" s="88"/>
      <c r="C2248" s="88"/>
      <c r="D2248" s="88"/>
      <c r="E2248" s="88"/>
      <c r="F2248" s="88"/>
      <c r="G2248" s="87"/>
    </row>
    <row r="2249">
      <c r="A2249" s="87"/>
      <c r="B2249" s="88"/>
      <c r="C2249" s="88"/>
      <c r="D2249" s="88"/>
      <c r="E2249" s="88"/>
      <c r="F2249" s="88"/>
      <c r="G2249" s="87"/>
    </row>
    <row r="2250">
      <c r="A2250" s="87"/>
      <c r="B2250" s="88"/>
      <c r="C2250" s="88"/>
      <c r="D2250" s="88"/>
      <c r="E2250" s="88"/>
      <c r="F2250" s="88"/>
      <c r="G2250" s="87"/>
    </row>
    <row r="2251">
      <c r="A2251" s="87"/>
      <c r="B2251" s="88"/>
      <c r="C2251" s="88"/>
      <c r="D2251" s="88"/>
      <c r="E2251" s="88"/>
      <c r="F2251" s="88"/>
      <c r="G2251" s="87"/>
    </row>
    <row r="2252">
      <c r="A2252" s="87"/>
      <c r="B2252" s="88"/>
      <c r="C2252" s="88"/>
      <c r="D2252" s="88"/>
      <c r="E2252" s="88"/>
      <c r="F2252" s="88"/>
      <c r="G2252" s="87"/>
    </row>
    <row r="2253">
      <c r="A2253" s="87"/>
      <c r="B2253" s="88"/>
      <c r="C2253" s="88"/>
      <c r="D2253" s="88"/>
      <c r="E2253" s="88"/>
      <c r="F2253" s="88"/>
      <c r="G2253" s="87"/>
    </row>
    <row r="2254">
      <c r="A2254" s="87"/>
      <c r="B2254" s="88"/>
      <c r="C2254" s="88"/>
      <c r="D2254" s="88"/>
      <c r="E2254" s="88"/>
      <c r="F2254" s="88"/>
      <c r="G2254" s="87"/>
    </row>
    <row r="2255">
      <c r="A2255" s="87"/>
      <c r="B2255" s="88"/>
      <c r="C2255" s="88"/>
      <c r="D2255" s="88"/>
      <c r="E2255" s="88"/>
      <c r="F2255" s="88"/>
      <c r="G2255" s="87"/>
    </row>
    <row r="2256">
      <c r="A2256" s="87"/>
      <c r="B2256" s="88"/>
      <c r="C2256" s="88"/>
      <c r="D2256" s="88"/>
      <c r="E2256" s="88"/>
      <c r="F2256" s="88"/>
      <c r="G2256" s="87"/>
    </row>
    <row r="2257">
      <c r="A2257" s="87"/>
      <c r="B2257" s="88"/>
      <c r="C2257" s="88"/>
      <c r="D2257" s="88"/>
      <c r="E2257" s="88"/>
      <c r="F2257" s="88"/>
      <c r="G2257" s="87"/>
    </row>
    <row r="2258">
      <c r="A2258" s="87"/>
      <c r="B2258" s="88"/>
      <c r="C2258" s="88"/>
      <c r="D2258" s="88"/>
      <c r="E2258" s="88"/>
      <c r="F2258" s="88"/>
      <c r="G2258" s="87"/>
    </row>
    <row r="2259">
      <c r="A2259" s="87"/>
      <c r="B2259" s="88"/>
      <c r="C2259" s="88"/>
      <c r="D2259" s="88"/>
      <c r="E2259" s="88"/>
      <c r="F2259" s="88"/>
      <c r="G2259" s="87"/>
    </row>
    <row r="2260">
      <c r="A2260" s="87"/>
      <c r="B2260" s="88"/>
      <c r="C2260" s="88"/>
      <c r="D2260" s="88"/>
      <c r="E2260" s="88"/>
      <c r="F2260" s="88"/>
      <c r="G2260" s="87"/>
    </row>
    <row r="2261">
      <c r="A2261" s="87"/>
      <c r="B2261" s="88"/>
      <c r="C2261" s="88"/>
      <c r="D2261" s="88"/>
      <c r="E2261" s="88"/>
      <c r="F2261" s="88"/>
      <c r="G2261" s="87"/>
    </row>
    <row r="2262">
      <c r="A2262" s="87"/>
      <c r="B2262" s="88"/>
      <c r="C2262" s="88"/>
      <c r="D2262" s="88"/>
      <c r="E2262" s="88"/>
      <c r="F2262" s="88"/>
      <c r="G2262" s="87"/>
    </row>
    <row r="2263">
      <c r="A2263" s="87"/>
      <c r="B2263" s="88"/>
      <c r="C2263" s="88"/>
      <c r="D2263" s="88"/>
      <c r="E2263" s="88"/>
      <c r="F2263" s="88"/>
      <c r="G2263" s="87"/>
    </row>
    <row r="2264">
      <c r="A2264" s="87"/>
      <c r="B2264" s="88"/>
      <c r="C2264" s="88"/>
      <c r="D2264" s="88"/>
      <c r="E2264" s="88"/>
      <c r="F2264" s="88"/>
      <c r="G2264" s="87"/>
    </row>
    <row r="2265">
      <c r="A2265" s="87"/>
      <c r="B2265" s="88"/>
      <c r="C2265" s="88"/>
      <c r="D2265" s="88"/>
      <c r="E2265" s="88"/>
      <c r="F2265" s="88"/>
      <c r="G2265" s="87"/>
    </row>
    <row r="2266">
      <c r="A2266" s="87"/>
      <c r="B2266" s="88"/>
      <c r="C2266" s="88"/>
      <c r="D2266" s="88"/>
      <c r="E2266" s="88"/>
      <c r="F2266" s="88"/>
      <c r="G2266" s="87"/>
    </row>
    <row r="2267">
      <c r="A2267" s="87"/>
      <c r="B2267" s="88"/>
      <c r="C2267" s="88"/>
      <c r="D2267" s="88"/>
      <c r="E2267" s="88"/>
      <c r="F2267" s="88"/>
      <c r="G2267" s="87"/>
    </row>
    <row r="2268">
      <c r="A2268" s="87"/>
      <c r="B2268" s="88"/>
      <c r="C2268" s="88"/>
      <c r="D2268" s="88"/>
      <c r="E2268" s="88"/>
      <c r="F2268" s="88"/>
      <c r="G2268" s="87"/>
    </row>
    <row r="2269">
      <c r="A2269" s="87"/>
      <c r="B2269" s="88"/>
      <c r="C2269" s="88"/>
      <c r="D2269" s="88"/>
      <c r="E2269" s="88"/>
      <c r="F2269" s="88"/>
      <c r="G2269" s="87"/>
    </row>
    <row r="2270">
      <c r="A2270" s="87"/>
      <c r="B2270" s="88"/>
      <c r="C2270" s="88"/>
      <c r="D2270" s="88"/>
      <c r="E2270" s="88"/>
      <c r="F2270" s="88"/>
      <c r="G2270" s="87"/>
    </row>
    <row r="2271">
      <c r="A2271" s="87"/>
      <c r="B2271" s="88"/>
      <c r="C2271" s="88"/>
      <c r="D2271" s="88"/>
      <c r="E2271" s="88"/>
      <c r="F2271" s="88"/>
      <c r="G2271" s="87"/>
    </row>
    <row r="2272">
      <c r="A2272" s="87"/>
      <c r="B2272" s="88"/>
      <c r="C2272" s="88"/>
      <c r="D2272" s="88"/>
      <c r="E2272" s="88"/>
      <c r="F2272" s="88"/>
      <c r="G2272" s="87"/>
    </row>
    <row r="2273">
      <c r="A2273" s="87"/>
      <c r="B2273" s="88"/>
      <c r="C2273" s="88"/>
      <c r="D2273" s="88"/>
      <c r="E2273" s="88"/>
      <c r="F2273" s="88"/>
      <c r="G2273" s="87"/>
    </row>
    <row r="2274">
      <c r="A2274" s="87"/>
      <c r="B2274" s="88"/>
      <c r="C2274" s="88"/>
      <c r="D2274" s="88"/>
      <c r="E2274" s="88"/>
      <c r="F2274" s="88"/>
      <c r="G2274" s="87"/>
    </row>
    <row r="2275">
      <c r="A2275" s="87"/>
      <c r="B2275" s="88"/>
      <c r="C2275" s="88"/>
      <c r="D2275" s="88"/>
      <c r="E2275" s="88"/>
      <c r="F2275" s="88"/>
      <c r="G2275" s="87"/>
    </row>
    <row r="2276">
      <c r="A2276" s="87"/>
      <c r="B2276" s="88"/>
      <c r="C2276" s="88"/>
      <c r="D2276" s="88"/>
      <c r="E2276" s="88"/>
      <c r="F2276" s="88"/>
      <c r="G2276" s="87"/>
    </row>
    <row r="2277">
      <c r="A2277" s="87"/>
      <c r="B2277" s="88"/>
      <c r="C2277" s="88"/>
      <c r="D2277" s="88"/>
      <c r="E2277" s="88"/>
      <c r="F2277" s="88"/>
      <c r="G2277" s="87"/>
    </row>
    <row r="2278">
      <c r="A2278" s="87"/>
      <c r="B2278" s="88"/>
      <c r="C2278" s="88"/>
      <c r="D2278" s="88"/>
      <c r="E2278" s="88"/>
      <c r="F2278" s="88"/>
      <c r="G2278" s="87"/>
    </row>
    <row r="2279">
      <c r="A2279" s="87"/>
      <c r="B2279" s="88"/>
      <c r="C2279" s="88"/>
      <c r="D2279" s="88"/>
      <c r="E2279" s="88"/>
      <c r="F2279" s="88"/>
      <c r="G2279" s="87"/>
    </row>
    <row r="2280">
      <c r="A2280" s="87"/>
      <c r="B2280" s="88"/>
      <c r="C2280" s="88"/>
      <c r="D2280" s="88"/>
      <c r="E2280" s="88"/>
      <c r="F2280" s="88"/>
      <c r="G2280" s="87"/>
    </row>
    <row r="2281">
      <c r="A2281" s="87"/>
      <c r="B2281" s="88"/>
      <c r="C2281" s="88"/>
      <c r="D2281" s="88"/>
      <c r="E2281" s="88"/>
      <c r="F2281" s="88"/>
      <c r="G2281" s="87"/>
    </row>
    <row r="2282">
      <c r="A2282" s="87"/>
      <c r="B2282" s="88"/>
      <c r="C2282" s="88"/>
      <c r="D2282" s="88"/>
      <c r="E2282" s="88"/>
      <c r="F2282" s="88"/>
      <c r="G2282" s="87"/>
    </row>
    <row r="2283">
      <c r="A2283" s="87"/>
      <c r="B2283" s="88"/>
      <c r="C2283" s="88"/>
      <c r="D2283" s="88"/>
      <c r="E2283" s="88"/>
      <c r="F2283" s="88"/>
      <c r="G2283" s="87"/>
    </row>
    <row r="2284">
      <c r="A2284" s="87"/>
      <c r="B2284" s="88"/>
      <c r="C2284" s="88"/>
      <c r="D2284" s="88"/>
      <c r="E2284" s="88"/>
      <c r="F2284" s="88"/>
      <c r="G2284" s="87"/>
    </row>
    <row r="2285">
      <c r="A2285" s="87"/>
      <c r="B2285" s="88"/>
      <c r="C2285" s="88"/>
      <c r="D2285" s="88"/>
      <c r="E2285" s="88"/>
      <c r="F2285" s="88"/>
      <c r="G2285" s="87"/>
    </row>
    <row r="2286">
      <c r="A2286" s="87"/>
      <c r="B2286" s="88"/>
      <c r="C2286" s="88"/>
      <c r="D2286" s="88"/>
      <c r="E2286" s="88"/>
      <c r="F2286" s="88"/>
      <c r="G2286" s="87"/>
    </row>
    <row r="2287">
      <c r="A2287" s="87"/>
      <c r="B2287" s="88"/>
      <c r="C2287" s="88"/>
      <c r="D2287" s="88"/>
      <c r="E2287" s="88"/>
      <c r="F2287" s="88"/>
      <c r="G2287" s="87"/>
    </row>
    <row r="2288">
      <c r="A2288" s="87"/>
      <c r="B2288" s="88"/>
      <c r="C2288" s="88"/>
      <c r="D2288" s="88"/>
      <c r="E2288" s="88"/>
      <c r="F2288" s="88"/>
      <c r="G2288" s="87"/>
    </row>
    <row r="2289">
      <c r="A2289" s="87"/>
      <c r="B2289" s="88"/>
      <c r="C2289" s="88"/>
      <c r="D2289" s="88"/>
      <c r="E2289" s="88"/>
      <c r="F2289" s="88"/>
      <c r="G2289" s="87"/>
    </row>
    <row r="2290">
      <c r="A2290" s="87"/>
      <c r="B2290" s="88"/>
      <c r="C2290" s="88"/>
      <c r="D2290" s="88"/>
      <c r="E2290" s="88"/>
      <c r="F2290" s="88"/>
      <c r="G2290" s="87"/>
    </row>
    <row r="2291">
      <c r="A2291" s="87"/>
      <c r="B2291" s="88"/>
      <c r="C2291" s="88"/>
      <c r="D2291" s="88"/>
      <c r="E2291" s="88"/>
      <c r="F2291" s="88"/>
      <c r="G2291" s="87"/>
    </row>
    <row r="2292">
      <c r="A2292" s="87"/>
      <c r="B2292" s="88"/>
      <c r="C2292" s="88"/>
      <c r="D2292" s="88"/>
      <c r="E2292" s="88"/>
      <c r="F2292" s="88"/>
      <c r="G2292" s="87"/>
    </row>
    <row r="2293">
      <c r="A2293" s="87"/>
      <c r="B2293" s="88"/>
      <c r="C2293" s="88"/>
      <c r="D2293" s="88"/>
      <c r="E2293" s="88"/>
      <c r="F2293" s="88"/>
      <c r="G2293" s="87"/>
    </row>
    <row r="2294">
      <c r="A2294" s="87"/>
      <c r="B2294" s="88"/>
      <c r="C2294" s="88"/>
      <c r="D2294" s="88"/>
      <c r="E2294" s="88"/>
      <c r="F2294" s="88"/>
      <c r="G2294" s="87"/>
    </row>
    <row r="2295">
      <c r="A2295" s="87"/>
      <c r="B2295" s="88"/>
      <c r="C2295" s="88"/>
      <c r="D2295" s="88"/>
      <c r="E2295" s="88"/>
      <c r="F2295" s="88"/>
      <c r="G2295" s="87"/>
    </row>
    <row r="2296">
      <c r="A2296" s="87"/>
      <c r="B2296" s="88"/>
      <c r="C2296" s="88"/>
      <c r="D2296" s="88"/>
      <c r="E2296" s="88"/>
      <c r="F2296" s="88"/>
      <c r="G2296" s="87"/>
    </row>
    <row r="2297">
      <c r="A2297" s="87"/>
      <c r="B2297" s="88"/>
      <c r="C2297" s="88"/>
      <c r="D2297" s="88"/>
      <c r="E2297" s="88"/>
      <c r="F2297" s="88"/>
      <c r="G2297" s="87"/>
    </row>
    <row r="2298">
      <c r="A2298" s="87"/>
      <c r="B2298" s="88"/>
      <c r="C2298" s="88"/>
      <c r="D2298" s="88"/>
      <c r="E2298" s="88"/>
      <c r="F2298" s="88"/>
      <c r="G2298" s="87"/>
    </row>
    <row r="2299">
      <c r="A2299" s="87"/>
      <c r="B2299" s="88"/>
      <c r="C2299" s="88"/>
      <c r="D2299" s="88"/>
      <c r="E2299" s="88"/>
      <c r="F2299" s="88"/>
      <c r="G2299" s="87"/>
    </row>
    <row r="2300">
      <c r="A2300" s="87"/>
      <c r="B2300" s="88"/>
      <c r="C2300" s="88"/>
      <c r="D2300" s="88"/>
      <c r="E2300" s="88"/>
      <c r="F2300" s="88"/>
      <c r="G2300" s="87"/>
    </row>
    <row r="2301">
      <c r="A2301" s="87"/>
      <c r="B2301" s="88"/>
      <c r="C2301" s="88"/>
      <c r="D2301" s="88"/>
      <c r="E2301" s="88"/>
      <c r="F2301" s="88"/>
      <c r="G2301" s="87"/>
    </row>
    <row r="2302">
      <c r="A2302" s="87"/>
      <c r="B2302" s="88"/>
      <c r="C2302" s="88"/>
      <c r="D2302" s="88"/>
      <c r="E2302" s="88"/>
      <c r="F2302" s="88"/>
      <c r="G2302" s="87"/>
    </row>
    <row r="2303">
      <c r="A2303" s="87"/>
      <c r="B2303" s="88"/>
      <c r="C2303" s="88"/>
      <c r="D2303" s="88"/>
      <c r="E2303" s="88"/>
      <c r="F2303" s="88"/>
      <c r="G2303" s="87"/>
    </row>
    <row r="2304">
      <c r="A2304" s="87"/>
      <c r="B2304" s="88"/>
      <c r="C2304" s="88"/>
      <c r="D2304" s="88"/>
      <c r="E2304" s="88"/>
      <c r="F2304" s="88"/>
      <c r="G2304" s="87"/>
    </row>
    <row r="2305">
      <c r="A2305" s="87"/>
      <c r="B2305" s="88"/>
      <c r="C2305" s="88"/>
      <c r="D2305" s="88"/>
      <c r="E2305" s="88"/>
      <c r="F2305" s="88"/>
      <c r="G2305" s="87"/>
    </row>
    <row r="2306">
      <c r="A2306" s="87"/>
      <c r="B2306" s="88"/>
      <c r="C2306" s="88"/>
      <c r="D2306" s="88"/>
      <c r="E2306" s="88"/>
      <c r="F2306" s="88"/>
      <c r="G2306" s="87"/>
    </row>
    <row r="2307">
      <c r="A2307" s="87"/>
      <c r="B2307" s="88"/>
      <c r="C2307" s="88"/>
      <c r="D2307" s="88"/>
      <c r="E2307" s="88"/>
      <c r="F2307" s="88"/>
      <c r="G2307" s="87"/>
    </row>
    <row r="2308">
      <c r="A2308" s="87"/>
      <c r="B2308" s="88"/>
      <c r="C2308" s="88"/>
      <c r="D2308" s="88"/>
      <c r="E2308" s="88"/>
      <c r="F2308" s="88"/>
      <c r="G2308" s="87"/>
    </row>
    <row r="2309">
      <c r="A2309" s="87"/>
      <c r="B2309" s="88"/>
      <c r="C2309" s="88"/>
      <c r="D2309" s="88"/>
      <c r="E2309" s="88"/>
      <c r="F2309" s="88"/>
      <c r="G2309" s="87"/>
    </row>
    <row r="2310">
      <c r="A2310" s="87"/>
      <c r="B2310" s="88"/>
      <c r="C2310" s="88"/>
      <c r="D2310" s="88"/>
      <c r="E2310" s="88"/>
      <c r="F2310" s="88"/>
      <c r="G2310" s="87"/>
    </row>
    <row r="2311">
      <c r="A2311" s="87"/>
      <c r="B2311" s="88"/>
      <c r="C2311" s="88"/>
      <c r="D2311" s="88"/>
      <c r="E2311" s="88"/>
      <c r="F2311" s="88"/>
      <c r="G2311" s="87"/>
    </row>
    <row r="2312">
      <c r="A2312" s="87"/>
      <c r="B2312" s="88"/>
      <c r="C2312" s="88"/>
      <c r="D2312" s="88"/>
      <c r="E2312" s="88"/>
      <c r="F2312" s="88"/>
      <c r="G2312" s="87"/>
    </row>
    <row r="2313">
      <c r="A2313" s="87"/>
      <c r="B2313" s="88"/>
      <c r="C2313" s="88"/>
      <c r="D2313" s="88"/>
      <c r="E2313" s="88"/>
      <c r="F2313" s="88"/>
      <c r="G2313" s="87"/>
    </row>
    <row r="2314">
      <c r="A2314" s="87"/>
      <c r="B2314" s="88"/>
      <c r="C2314" s="88"/>
      <c r="D2314" s="88"/>
      <c r="E2314" s="88"/>
      <c r="F2314" s="88"/>
      <c r="G2314" s="87"/>
    </row>
    <row r="2315">
      <c r="A2315" s="87"/>
      <c r="B2315" s="88"/>
      <c r="C2315" s="88"/>
      <c r="D2315" s="88"/>
      <c r="E2315" s="88"/>
      <c r="F2315" s="88"/>
      <c r="G2315" s="87"/>
    </row>
    <row r="2316">
      <c r="A2316" s="87"/>
      <c r="B2316" s="88"/>
      <c r="C2316" s="88"/>
      <c r="D2316" s="88"/>
      <c r="E2316" s="88"/>
      <c r="F2316" s="88"/>
      <c r="G2316" s="87"/>
    </row>
    <row r="2317">
      <c r="A2317" s="87"/>
      <c r="B2317" s="88"/>
      <c r="C2317" s="88"/>
      <c r="D2317" s="88"/>
      <c r="E2317" s="88"/>
      <c r="F2317" s="88"/>
      <c r="G2317" s="87"/>
    </row>
    <row r="2318">
      <c r="A2318" s="87"/>
      <c r="B2318" s="88"/>
      <c r="C2318" s="88"/>
      <c r="D2318" s="88"/>
      <c r="E2318" s="88"/>
      <c r="F2318" s="88"/>
      <c r="G2318" s="87"/>
    </row>
    <row r="2319">
      <c r="A2319" s="87"/>
      <c r="B2319" s="88"/>
      <c r="C2319" s="88"/>
      <c r="D2319" s="88"/>
      <c r="E2319" s="88"/>
      <c r="F2319" s="88"/>
      <c r="G2319" s="87"/>
    </row>
    <row r="2320">
      <c r="A2320" s="87"/>
      <c r="B2320" s="88"/>
      <c r="C2320" s="88"/>
      <c r="D2320" s="88"/>
      <c r="E2320" s="88"/>
      <c r="F2320" s="88"/>
      <c r="G2320" s="87"/>
    </row>
    <row r="2321">
      <c r="A2321" s="87"/>
      <c r="B2321" s="88"/>
      <c r="C2321" s="88"/>
      <c r="D2321" s="88"/>
      <c r="E2321" s="88"/>
      <c r="F2321" s="88"/>
      <c r="G2321" s="87"/>
    </row>
    <row r="2322">
      <c r="A2322" s="87"/>
      <c r="B2322" s="88"/>
      <c r="C2322" s="88"/>
      <c r="D2322" s="88"/>
      <c r="E2322" s="88"/>
      <c r="F2322" s="88"/>
      <c r="G2322" s="87"/>
    </row>
    <row r="2323">
      <c r="A2323" s="87"/>
      <c r="B2323" s="88"/>
      <c r="C2323" s="88"/>
      <c r="D2323" s="88"/>
      <c r="E2323" s="88"/>
      <c r="F2323" s="88"/>
      <c r="G2323" s="87"/>
    </row>
    <row r="2324">
      <c r="A2324" s="87"/>
      <c r="B2324" s="88"/>
      <c r="C2324" s="88"/>
      <c r="D2324" s="88"/>
      <c r="E2324" s="88"/>
      <c r="F2324" s="88"/>
      <c r="G2324" s="87"/>
    </row>
    <row r="2325">
      <c r="A2325" s="87"/>
      <c r="B2325" s="88"/>
      <c r="C2325" s="88"/>
      <c r="D2325" s="88"/>
      <c r="E2325" s="88"/>
      <c r="F2325" s="88"/>
      <c r="G2325" s="87"/>
    </row>
    <row r="2326">
      <c r="A2326" s="87"/>
      <c r="B2326" s="88"/>
      <c r="C2326" s="88"/>
      <c r="D2326" s="88"/>
      <c r="E2326" s="88"/>
      <c r="F2326" s="88"/>
      <c r="G2326" s="87"/>
    </row>
    <row r="2327">
      <c r="A2327" s="87"/>
      <c r="B2327" s="88"/>
      <c r="C2327" s="88"/>
      <c r="D2327" s="88"/>
      <c r="E2327" s="88"/>
      <c r="F2327" s="88"/>
      <c r="G2327" s="87"/>
    </row>
    <row r="2328">
      <c r="A2328" s="87"/>
      <c r="B2328" s="88"/>
      <c r="C2328" s="88"/>
      <c r="D2328" s="88"/>
      <c r="E2328" s="88"/>
      <c r="F2328" s="88"/>
      <c r="G2328" s="87"/>
    </row>
    <row r="2329">
      <c r="A2329" s="87"/>
      <c r="B2329" s="88"/>
      <c r="C2329" s="88"/>
      <c r="D2329" s="88"/>
      <c r="E2329" s="88"/>
      <c r="F2329" s="88"/>
      <c r="G2329" s="87"/>
    </row>
    <row r="2330">
      <c r="A2330" s="87"/>
      <c r="B2330" s="88"/>
      <c r="C2330" s="88"/>
      <c r="D2330" s="88"/>
      <c r="E2330" s="88"/>
      <c r="F2330" s="88"/>
      <c r="G2330" s="87"/>
    </row>
    <row r="2331">
      <c r="A2331" s="87"/>
      <c r="B2331" s="88"/>
      <c r="C2331" s="88"/>
      <c r="D2331" s="88"/>
      <c r="E2331" s="88"/>
      <c r="F2331" s="88"/>
      <c r="G2331" s="87"/>
    </row>
    <row r="2332">
      <c r="A2332" s="87"/>
      <c r="B2332" s="88"/>
      <c r="C2332" s="88"/>
      <c r="D2332" s="88"/>
      <c r="E2332" s="88"/>
      <c r="F2332" s="88"/>
      <c r="G2332" s="87"/>
    </row>
    <row r="2333">
      <c r="A2333" s="87"/>
      <c r="B2333" s="88"/>
      <c r="C2333" s="88"/>
      <c r="D2333" s="88"/>
      <c r="E2333" s="88"/>
      <c r="F2333" s="88"/>
      <c r="G2333" s="87"/>
    </row>
    <row r="2334">
      <c r="A2334" s="87"/>
      <c r="B2334" s="88"/>
      <c r="C2334" s="88"/>
      <c r="D2334" s="88"/>
      <c r="E2334" s="88"/>
      <c r="F2334" s="88"/>
      <c r="G2334" s="87"/>
    </row>
    <row r="2335">
      <c r="A2335" s="87"/>
      <c r="B2335" s="88"/>
      <c r="C2335" s="88"/>
      <c r="D2335" s="88"/>
      <c r="E2335" s="88"/>
      <c r="F2335" s="88"/>
      <c r="G2335" s="87"/>
    </row>
    <row r="2336">
      <c r="A2336" s="87"/>
      <c r="B2336" s="88"/>
      <c r="C2336" s="88"/>
      <c r="D2336" s="88"/>
      <c r="E2336" s="88"/>
      <c r="F2336" s="88"/>
      <c r="G2336" s="87"/>
    </row>
    <row r="2337">
      <c r="A2337" s="87"/>
      <c r="B2337" s="88"/>
      <c r="C2337" s="88"/>
      <c r="D2337" s="88"/>
      <c r="E2337" s="88"/>
      <c r="F2337" s="88"/>
      <c r="G2337" s="87"/>
    </row>
    <row r="2338">
      <c r="A2338" s="87"/>
      <c r="B2338" s="88"/>
      <c r="C2338" s="88"/>
      <c r="D2338" s="88"/>
      <c r="E2338" s="88"/>
      <c r="F2338" s="88"/>
      <c r="G2338" s="87"/>
    </row>
    <row r="2339">
      <c r="A2339" s="87"/>
      <c r="B2339" s="88"/>
      <c r="C2339" s="88"/>
      <c r="D2339" s="88"/>
      <c r="E2339" s="88"/>
      <c r="F2339" s="88"/>
      <c r="G2339" s="87"/>
    </row>
    <row r="2340">
      <c r="A2340" s="87"/>
      <c r="B2340" s="88"/>
      <c r="C2340" s="88"/>
      <c r="D2340" s="88"/>
      <c r="E2340" s="88"/>
      <c r="F2340" s="88"/>
      <c r="G2340" s="87"/>
    </row>
    <row r="2341">
      <c r="A2341" s="87"/>
      <c r="B2341" s="88"/>
      <c r="C2341" s="88"/>
      <c r="D2341" s="88"/>
      <c r="E2341" s="88"/>
      <c r="F2341" s="88"/>
      <c r="G2341" s="87"/>
    </row>
    <row r="2342">
      <c r="A2342" s="87"/>
      <c r="B2342" s="88"/>
      <c r="C2342" s="88"/>
      <c r="D2342" s="88"/>
      <c r="E2342" s="88"/>
      <c r="F2342" s="88"/>
      <c r="G2342" s="87"/>
    </row>
    <row r="2343">
      <c r="A2343" s="87"/>
      <c r="B2343" s="88"/>
      <c r="C2343" s="88"/>
      <c r="D2343" s="88"/>
      <c r="E2343" s="88"/>
      <c r="F2343" s="88"/>
      <c r="G2343" s="87"/>
    </row>
    <row r="2344">
      <c r="A2344" s="87"/>
      <c r="B2344" s="88"/>
      <c r="C2344" s="88"/>
      <c r="D2344" s="88"/>
      <c r="E2344" s="88"/>
      <c r="F2344" s="88"/>
      <c r="G2344" s="87"/>
    </row>
    <row r="2345">
      <c r="A2345" s="87"/>
      <c r="B2345" s="88"/>
      <c r="C2345" s="88"/>
      <c r="D2345" s="88"/>
      <c r="E2345" s="88"/>
      <c r="F2345" s="88"/>
      <c r="G2345" s="87"/>
    </row>
    <row r="2346">
      <c r="A2346" s="87"/>
      <c r="B2346" s="88"/>
      <c r="C2346" s="88"/>
      <c r="D2346" s="88"/>
      <c r="E2346" s="88"/>
      <c r="F2346" s="88"/>
      <c r="G2346" s="87"/>
    </row>
    <row r="2347">
      <c r="A2347" s="87"/>
      <c r="B2347" s="88"/>
      <c r="C2347" s="88"/>
      <c r="D2347" s="88"/>
      <c r="E2347" s="88"/>
      <c r="F2347" s="88"/>
      <c r="G2347" s="87"/>
    </row>
    <row r="2348">
      <c r="A2348" s="87"/>
      <c r="B2348" s="88"/>
      <c r="C2348" s="88"/>
      <c r="D2348" s="88"/>
      <c r="E2348" s="88"/>
      <c r="F2348" s="88"/>
      <c r="G2348" s="87"/>
    </row>
    <row r="2349">
      <c r="A2349" s="87"/>
      <c r="B2349" s="88"/>
      <c r="C2349" s="88"/>
      <c r="D2349" s="88"/>
      <c r="E2349" s="88"/>
      <c r="F2349" s="88"/>
      <c r="G2349" s="87"/>
    </row>
    <row r="2350">
      <c r="A2350" s="87"/>
      <c r="B2350" s="88"/>
      <c r="C2350" s="88"/>
      <c r="D2350" s="88"/>
      <c r="E2350" s="88"/>
      <c r="F2350" s="88"/>
      <c r="G2350" s="87"/>
    </row>
    <row r="2351">
      <c r="A2351" s="87"/>
      <c r="B2351" s="88"/>
      <c r="C2351" s="88"/>
      <c r="D2351" s="88"/>
      <c r="E2351" s="88"/>
      <c r="F2351" s="88"/>
      <c r="G2351" s="87"/>
    </row>
    <row r="2352">
      <c r="A2352" s="87"/>
      <c r="B2352" s="88"/>
      <c r="C2352" s="88"/>
      <c r="D2352" s="88"/>
      <c r="E2352" s="88"/>
      <c r="F2352" s="88"/>
      <c r="G2352" s="87"/>
    </row>
    <row r="2353">
      <c r="A2353" s="87"/>
      <c r="B2353" s="88"/>
      <c r="C2353" s="88"/>
      <c r="D2353" s="88"/>
      <c r="E2353" s="88"/>
      <c r="F2353" s="88"/>
      <c r="G2353" s="87"/>
    </row>
    <row r="2354">
      <c r="A2354" s="87"/>
      <c r="B2354" s="88"/>
      <c r="C2354" s="88"/>
      <c r="D2354" s="88"/>
      <c r="E2354" s="88"/>
      <c r="F2354" s="88"/>
      <c r="G2354" s="87"/>
    </row>
    <row r="2355">
      <c r="A2355" s="87"/>
      <c r="B2355" s="88"/>
      <c r="C2355" s="88"/>
      <c r="D2355" s="88"/>
      <c r="E2355" s="88"/>
      <c r="F2355" s="88"/>
      <c r="G2355" s="87"/>
    </row>
    <row r="2356">
      <c r="A2356" s="87"/>
      <c r="B2356" s="88"/>
      <c r="C2356" s="88"/>
      <c r="D2356" s="88"/>
      <c r="E2356" s="88"/>
      <c r="F2356" s="88"/>
      <c r="G2356" s="87"/>
    </row>
    <row r="2357">
      <c r="A2357" s="87"/>
      <c r="B2357" s="88"/>
      <c r="C2357" s="88"/>
      <c r="D2357" s="88"/>
      <c r="E2357" s="88"/>
      <c r="F2357" s="88"/>
      <c r="G2357" s="87"/>
    </row>
    <row r="2358">
      <c r="A2358" s="87"/>
      <c r="B2358" s="88"/>
      <c r="C2358" s="88"/>
      <c r="D2358" s="88"/>
      <c r="E2358" s="88"/>
      <c r="F2358" s="88"/>
      <c r="G2358" s="87"/>
    </row>
    <row r="2359">
      <c r="A2359" s="87"/>
      <c r="B2359" s="88"/>
      <c r="C2359" s="88"/>
      <c r="D2359" s="88"/>
      <c r="E2359" s="88"/>
      <c r="F2359" s="88"/>
      <c r="G2359" s="87"/>
    </row>
    <row r="2360">
      <c r="A2360" s="87"/>
      <c r="B2360" s="88"/>
      <c r="C2360" s="88"/>
      <c r="D2360" s="88"/>
      <c r="E2360" s="88"/>
      <c r="F2360" s="88"/>
      <c r="G2360" s="87"/>
    </row>
    <row r="2361">
      <c r="A2361" s="87"/>
      <c r="B2361" s="88"/>
      <c r="C2361" s="88"/>
      <c r="D2361" s="88"/>
      <c r="E2361" s="88"/>
      <c r="F2361" s="88"/>
      <c r="G2361" s="87"/>
    </row>
    <row r="2362">
      <c r="A2362" s="87"/>
      <c r="B2362" s="88"/>
      <c r="C2362" s="88"/>
      <c r="D2362" s="88"/>
      <c r="E2362" s="88"/>
      <c r="F2362" s="88"/>
      <c r="G2362" s="87"/>
    </row>
    <row r="2363">
      <c r="A2363" s="87"/>
      <c r="B2363" s="88"/>
      <c r="C2363" s="88"/>
      <c r="D2363" s="88"/>
      <c r="E2363" s="88"/>
      <c r="F2363" s="88"/>
      <c r="G2363" s="87"/>
    </row>
    <row r="2364">
      <c r="A2364" s="87"/>
      <c r="B2364" s="88"/>
      <c r="C2364" s="88"/>
      <c r="D2364" s="88"/>
      <c r="E2364" s="88"/>
      <c r="F2364" s="88"/>
      <c r="G2364" s="87"/>
    </row>
    <row r="2365">
      <c r="A2365" s="87"/>
      <c r="B2365" s="88"/>
      <c r="C2365" s="88"/>
      <c r="D2365" s="88"/>
      <c r="E2365" s="88"/>
      <c r="F2365" s="88"/>
      <c r="G2365" s="87"/>
    </row>
    <row r="2366">
      <c r="A2366" s="87"/>
      <c r="B2366" s="88"/>
      <c r="C2366" s="88"/>
      <c r="D2366" s="88"/>
      <c r="E2366" s="88"/>
      <c r="F2366" s="88"/>
      <c r="G2366" s="87"/>
    </row>
    <row r="2367">
      <c r="A2367" s="87"/>
      <c r="B2367" s="88"/>
      <c r="C2367" s="88"/>
      <c r="D2367" s="88"/>
      <c r="E2367" s="88"/>
      <c r="F2367" s="88"/>
      <c r="G2367" s="87"/>
    </row>
    <row r="2368">
      <c r="A2368" s="87"/>
      <c r="B2368" s="88"/>
      <c r="C2368" s="88"/>
      <c r="D2368" s="88"/>
      <c r="E2368" s="88"/>
      <c r="F2368" s="88"/>
      <c r="G2368" s="87"/>
    </row>
    <row r="2369">
      <c r="A2369" s="87"/>
      <c r="B2369" s="88"/>
      <c r="C2369" s="88"/>
      <c r="D2369" s="88"/>
      <c r="E2369" s="88"/>
      <c r="F2369" s="88"/>
      <c r="G2369" s="87"/>
    </row>
    <row r="2370">
      <c r="A2370" s="87"/>
      <c r="B2370" s="88"/>
      <c r="C2370" s="88"/>
      <c r="D2370" s="88"/>
      <c r="E2370" s="88"/>
      <c r="F2370" s="88"/>
      <c r="G2370" s="87"/>
    </row>
    <row r="2371">
      <c r="A2371" s="87"/>
      <c r="B2371" s="88"/>
      <c r="C2371" s="88"/>
      <c r="D2371" s="88"/>
      <c r="E2371" s="88"/>
      <c r="F2371" s="88"/>
      <c r="G2371" s="87"/>
    </row>
    <row r="2372">
      <c r="A2372" s="87"/>
      <c r="B2372" s="88"/>
      <c r="C2372" s="88"/>
      <c r="D2372" s="88"/>
      <c r="E2372" s="88"/>
      <c r="F2372" s="88"/>
      <c r="G2372" s="87"/>
    </row>
    <row r="2373">
      <c r="A2373" s="87"/>
      <c r="B2373" s="88"/>
      <c r="C2373" s="88"/>
      <c r="D2373" s="88"/>
      <c r="E2373" s="88"/>
      <c r="F2373" s="88"/>
      <c r="G2373" s="87"/>
    </row>
    <row r="2374">
      <c r="A2374" s="87"/>
      <c r="B2374" s="88"/>
      <c r="C2374" s="88"/>
      <c r="D2374" s="88"/>
      <c r="E2374" s="88"/>
      <c r="F2374" s="88"/>
      <c r="G2374" s="87"/>
    </row>
    <row r="2375">
      <c r="A2375" s="87"/>
      <c r="B2375" s="88"/>
      <c r="C2375" s="88"/>
      <c r="D2375" s="88"/>
      <c r="E2375" s="88"/>
      <c r="F2375" s="88"/>
      <c r="G2375" s="87"/>
    </row>
    <row r="2376">
      <c r="A2376" s="87"/>
      <c r="B2376" s="88"/>
      <c r="C2376" s="88"/>
      <c r="D2376" s="88"/>
      <c r="E2376" s="88"/>
      <c r="F2376" s="88"/>
      <c r="G2376" s="87"/>
    </row>
    <row r="2377">
      <c r="A2377" s="87"/>
      <c r="B2377" s="88"/>
      <c r="C2377" s="88"/>
      <c r="D2377" s="88"/>
      <c r="E2377" s="88"/>
      <c r="F2377" s="88"/>
      <c r="G2377" s="87"/>
    </row>
    <row r="2378">
      <c r="A2378" s="87"/>
      <c r="B2378" s="88"/>
      <c r="C2378" s="88"/>
      <c r="D2378" s="88"/>
      <c r="E2378" s="88"/>
      <c r="F2378" s="88"/>
      <c r="G2378" s="87"/>
    </row>
    <row r="2379">
      <c r="A2379" s="87"/>
      <c r="B2379" s="88"/>
      <c r="C2379" s="88"/>
      <c r="D2379" s="88"/>
      <c r="E2379" s="88"/>
      <c r="F2379" s="88"/>
      <c r="G2379" s="87"/>
    </row>
    <row r="2380">
      <c r="A2380" s="87"/>
      <c r="B2380" s="88"/>
      <c r="C2380" s="88"/>
      <c r="D2380" s="88"/>
      <c r="E2380" s="88"/>
      <c r="F2380" s="88"/>
      <c r="G2380" s="87"/>
    </row>
    <row r="2381">
      <c r="A2381" s="87"/>
      <c r="B2381" s="88"/>
      <c r="C2381" s="88"/>
      <c r="D2381" s="88"/>
      <c r="E2381" s="88"/>
      <c r="F2381" s="88"/>
      <c r="G2381" s="87"/>
    </row>
    <row r="2382">
      <c r="A2382" s="87"/>
      <c r="B2382" s="88"/>
      <c r="C2382" s="88"/>
      <c r="D2382" s="88"/>
      <c r="E2382" s="88"/>
      <c r="F2382" s="88"/>
      <c r="G2382" s="87"/>
    </row>
    <row r="2383">
      <c r="A2383" s="87"/>
      <c r="B2383" s="88"/>
      <c r="C2383" s="88"/>
      <c r="D2383" s="88"/>
      <c r="E2383" s="88"/>
      <c r="F2383" s="88"/>
      <c r="G2383" s="87"/>
    </row>
    <row r="2384">
      <c r="A2384" s="87"/>
      <c r="B2384" s="88"/>
      <c r="C2384" s="88"/>
      <c r="D2384" s="88"/>
      <c r="E2384" s="88"/>
      <c r="F2384" s="88"/>
      <c r="G2384" s="87"/>
    </row>
    <row r="2385">
      <c r="A2385" s="87"/>
      <c r="B2385" s="88"/>
      <c r="C2385" s="88"/>
      <c r="D2385" s="88"/>
      <c r="E2385" s="88"/>
      <c r="F2385" s="88"/>
      <c r="G2385" s="87"/>
    </row>
    <row r="2386">
      <c r="A2386" s="87"/>
      <c r="B2386" s="88"/>
      <c r="C2386" s="88"/>
      <c r="D2386" s="88"/>
      <c r="E2386" s="88"/>
      <c r="F2386" s="88"/>
      <c r="G2386" s="87"/>
    </row>
    <row r="2387">
      <c r="A2387" s="87"/>
      <c r="B2387" s="88"/>
      <c r="C2387" s="88"/>
      <c r="D2387" s="88"/>
      <c r="E2387" s="88"/>
      <c r="F2387" s="88"/>
      <c r="G2387" s="87"/>
    </row>
    <row r="2388">
      <c r="A2388" s="87"/>
      <c r="B2388" s="88"/>
      <c r="C2388" s="88"/>
      <c r="D2388" s="88"/>
      <c r="E2388" s="88"/>
      <c r="F2388" s="88"/>
      <c r="G2388" s="87"/>
    </row>
    <row r="2389">
      <c r="A2389" s="87"/>
      <c r="B2389" s="88"/>
      <c r="C2389" s="88"/>
      <c r="D2389" s="88"/>
      <c r="E2389" s="88"/>
      <c r="F2389" s="88"/>
      <c r="G2389" s="87"/>
    </row>
    <row r="2390">
      <c r="A2390" s="87"/>
      <c r="B2390" s="88"/>
      <c r="C2390" s="88"/>
      <c r="D2390" s="88"/>
      <c r="E2390" s="88"/>
      <c r="F2390" s="88"/>
      <c r="G2390" s="87"/>
    </row>
    <row r="2391">
      <c r="A2391" s="87"/>
      <c r="B2391" s="88"/>
      <c r="C2391" s="88"/>
      <c r="D2391" s="88"/>
      <c r="E2391" s="88"/>
      <c r="F2391" s="88"/>
      <c r="G2391" s="87"/>
    </row>
    <row r="2392">
      <c r="A2392" s="87"/>
      <c r="B2392" s="88"/>
      <c r="C2392" s="88"/>
      <c r="D2392" s="88"/>
      <c r="E2392" s="88"/>
      <c r="F2392" s="88"/>
      <c r="G2392" s="87"/>
    </row>
    <row r="2393">
      <c r="A2393" s="87"/>
      <c r="B2393" s="88"/>
      <c r="C2393" s="88"/>
      <c r="D2393" s="88"/>
      <c r="E2393" s="88"/>
      <c r="F2393" s="88"/>
      <c r="G2393" s="87"/>
    </row>
    <row r="2394">
      <c r="A2394" s="87"/>
      <c r="B2394" s="88"/>
      <c r="C2394" s="88"/>
      <c r="D2394" s="88"/>
      <c r="E2394" s="88"/>
      <c r="F2394" s="88"/>
      <c r="G2394" s="87"/>
    </row>
    <row r="2395">
      <c r="A2395" s="87"/>
      <c r="B2395" s="88"/>
      <c r="C2395" s="88"/>
      <c r="D2395" s="88"/>
      <c r="E2395" s="88"/>
      <c r="F2395" s="88"/>
      <c r="G2395" s="87"/>
    </row>
    <row r="2396">
      <c r="A2396" s="87"/>
      <c r="B2396" s="88"/>
      <c r="C2396" s="88"/>
      <c r="D2396" s="88"/>
      <c r="E2396" s="88"/>
      <c r="F2396" s="88"/>
      <c r="G2396" s="87"/>
    </row>
    <row r="2397">
      <c r="A2397" s="87"/>
      <c r="B2397" s="88"/>
      <c r="C2397" s="88"/>
      <c r="D2397" s="88"/>
      <c r="E2397" s="88"/>
      <c r="F2397" s="88"/>
      <c r="G2397" s="87"/>
    </row>
  </sheetData>
  <drawing r:id="rId4"/>
  <legacyDrawing r:id="rId5"/>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4.0"/>
    <col customWidth="1" min="2" max="2" width="33.25"/>
    <col customWidth="1" min="3" max="3" width="47.88"/>
    <col customWidth="1" min="4" max="5" width="22.63"/>
    <col customWidth="1" hidden="1" min="6" max="6" width="22.88"/>
    <col customWidth="1" hidden="1" min="7" max="7" width="21.38"/>
    <col hidden="1" min="8" max="8" width="12.63"/>
    <col customWidth="1" hidden="1" min="9" max="9" width="22.13"/>
    <col customWidth="1" min="10" max="10" width="42.13"/>
    <col customWidth="1" min="11" max="11" width="38.63"/>
    <col customWidth="1" min="12" max="12" width="25.13"/>
    <col customWidth="1" min="13" max="13" width="29.88"/>
  </cols>
  <sheetData>
    <row r="1">
      <c r="A1" s="2" t="s">
        <v>5662</v>
      </c>
      <c r="B1" s="66" t="s">
        <v>5663</v>
      </c>
      <c r="C1" s="66" t="s">
        <v>5664</v>
      </c>
      <c r="D1" s="7" t="str">
        <f> "Last Column " &amp; Checks!$D$5</f>
        <v>Last Column D</v>
      </c>
      <c r="E1" s="67"/>
      <c r="F1" s="67" t="s">
        <v>5665</v>
      </c>
      <c r="G1" s="68" t="s">
        <v>5666</v>
      </c>
      <c r="H1" s="68" t="s">
        <v>5667</v>
      </c>
      <c r="I1" s="9" t="s">
        <v>5668</v>
      </c>
      <c r="J1" s="69"/>
      <c r="K1" s="9"/>
      <c r="L1" s="70"/>
      <c r="M1" s="70"/>
      <c r="N1" s="70"/>
      <c r="O1" s="70"/>
      <c r="P1" s="70"/>
      <c r="Q1" s="70"/>
      <c r="R1" s="70"/>
      <c r="S1" s="70"/>
      <c r="T1" s="70"/>
      <c r="U1" s="70"/>
      <c r="V1" s="70"/>
      <c r="W1" s="70"/>
      <c r="X1" s="70"/>
      <c r="Y1" s="70"/>
      <c r="Z1" s="70"/>
      <c r="AA1" s="70"/>
      <c r="AB1" s="70"/>
      <c r="AC1" s="70"/>
      <c r="AD1" s="70"/>
    </row>
    <row r="2">
      <c r="A2" s="11" t="s">
        <v>5669</v>
      </c>
      <c r="B2" s="71" t="s">
        <v>5670</v>
      </c>
      <c r="C2" s="13" t="s">
        <v>5671</v>
      </c>
      <c r="D2" s="15"/>
      <c r="E2" s="15"/>
      <c r="F2" s="15" t="s">
        <v>5672</v>
      </c>
      <c r="G2" s="72" t="s">
        <v>5673</v>
      </c>
      <c r="H2" s="50"/>
      <c r="I2" s="42" t="s">
        <v>5674</v>
      </c>
      <c r="J2" s="50"/>
      <c r="L2" s="73"/>
    </row>
    <row r="3">
      <c r="A3" s="11" t="s">
        <v>5669</v>
      </c>
      <c r="B3" s="71" t="s">
        <v>5675</v>
      </c>
      <c r="C3" s="13" t="s">
        <v>5676</v>
      </c>
      <c r="D3" s="15"/>
      <c r="E3" s="15"/>
      <c r="F3" s="15" t="s">
        <v>5672</v>
      </c>
      <c r="G3" s="72" t="s">
        <v>5673</v>
      </c>
      <c r="H3" s="50"/>
      <c r="I3" s="42" t="s">
        <v>5674</v>
      </c>
      <c r="J3" s="50"/>
      <c r="L3" s="73"/>
    </row>
    <row r="4">
      <c r="A4" s="11" t="s">
        <v>7484</v>
      </c>
      <c r="B4" s="71" t="s">
        <v>7485</v>
      </c>
      <c r="C4" s="13" t="s">
        <v>7486</v>
      </c>
      <c r="D4" s="15"/>
      <c r="E4" s="15"/>
      <c r="F4" s="15" t="s">
        <v>5672</v>
      </c>
      <c r="G4" s="72" t="s">
        <v>5673</v>
      </c>
      <c r="H4" s="50"/>
      <c r="I4" s="42" t="s">
        <v>5674</v>
      </c>
      <c r="J4" s="50"/>
      <c r="L4" s="73"/>
    </row>
    <row r="5">
      <c r="A5" s="11" t="s">
        <v>7484</v>
      </c>
      <c r="B5" s="71" t="s">
        <v>7487</v>
      </c>
      <c r="C5" s="13" t="s">
        <v>7488</v>
      </c>
      <c r="D5" s="15"/>
      <c r="E5" s="15"/>
      <c r="F5" s="15" t="s">
        <v>5672</v>
      </c>
      <c r="G5" s="72" t="s">
        <v>5673</v>
      </c>
      <c r="H5" s="50"/>
      <c r="I5" s="42" t="s">
        <v>5674</v>
      </c>
      <c r="J5" s="50"/>
      <c r="L5" s="73"/>
    </row>
    <row r="6">
      <c r="A6" s="11" t="s">
        <v>7489</v>
      </c>
      <c r="B6" s="71" t="s">
        <v>7490</v>
      </c>
      <c r="C6" s="13" t="s">
        <v>7491</v>
      </c>
      <c r="D6" s="15"/>
      <c r="E6" s="15"/>
      <c r="F6" s="15" t="s">
        <v>5672</v>
      </c>
      <c r="G6" s="72" t="s">
        <v>5673</v>
      </c>
      <c r="H6" s="50"/>
      <c r="I6" s="42" t="s">
        <v>5674</v>
      </c>
      <c r="J6" s="50"/>
      <c r="L6" s="73"/>
    </row>
    <row r="7">
      <c r="A7" s="11" t="s">
        <v>7489</v>
      </c>
      <c r="B7" s="71" t="s">
        <v>7492</v>
      </c>
      <c r="C7" s="13" t="s">
        <v>7493</v>
      </c>
      <c r="D7" s="15"/>
      <c r="E7" s="15"/>
      <c r="F7" s="15" t="s">
        <v>5672</v>
      </c>
      <c r="G7" s="72" t="s">
        <v>5673</v>
      </c>
      <c r="H7" s="50"/>
      <c r="I7" s="42" t="s">
        <v>5674</v>
      </c>
      <c r="J7" s="50"/>
      <c r="L7" s="73"/>
    </row>
    <row r="8">
      <c r="A8" s="11" t="s">
        <v>7494</v>
      </c>
      <c r="B8" s="71" t="s">
        <v>7495</v>
      </c>
      <c r="C8" s="13" t="s">
        <v>7496</v>
      </c>
      <c r="D8" s="15"/>
      <c r="E8" s="15"/>
      <c r="F8" s="15" t="s">
        <v>5672</v>
      </c>
      <c r="G8" s="72" t="s">
        <v>5673</v>
      </c>
      <c r="H8" s="50"/>
      <c r="I8" s="42" t="s">
        <v>5674</v>
      </c>
      <c r="J8" s="50"/>
      <c r="L8" s="73"/>
    </row>
    <row r="9">
      <c r="A9" s="11" t="s">
        <v>7489</v>
      </c>
      <c r="B9" s="71" t="s">
        <v>7497</v>
      </c>
      <c r="C9" s="13" t="s">
        <v>7498</v>
      </c>
      <c r="D9" s="15"/>
      <c r="E9" s="15"/>
      <c r="F9" s="15" t="s">
        <v>5672</v>
      </c>
      <c r="G9" s="72" t="s">
        <v>5673</v>
      </c>
      <c r="H9" s="50"/>
      <c r="I9" s="42" t="s">
        <v>5674</v>
      </c>
      <c r="J9" s="50"/>
      <c r="L9" s="73"/>
    </row>
    <row r="10">
      <c r="A10" s="11" t="s">
        <v>7499</v>
      </c>
      <c r="B10" s="71" t="s">
        <v>7500</v>
      </c>
      <c r="C10" s="13" t="s">
        <v>7501</v>
      </c>
      <c r="D10" s="15"/>
      <c r="E10" s="15"/>
      <c r="F10" s="15" t="s">
        <v>5672</v>
      </c>
      <c r="G10" s="72" t="s">
        <v>5673</v>
      </c>
      <c r="H10" s="50"/>
      <c r="I10" s="42" t="s">
        <v>5674</v>
      </c>
      <c r="J10" s="50"/>
      <c r="L10" s="73"/>
    </row>
    <row r="11">
      <c r="A11" s="11" t="s">
        <v>7499</v>
      </c>
      <c r="B11" s="71" t="s">
        <v>7502</v>
      </c>
      <c r="C11" s="13" t="s">
        <v>7503</v>
      </c>
      <c r="D11" s="15"/>
      <c r="E11" s="15"/>
      <c r="F11" s="15" t="s">
        <v>5672</v>
      </c>
      <c r="G11" s="72" t="s">
        <v>5673</v>
      </c>
      <c r="H11" s="50"/>
      <c r="I11" s="42" t="s">
        <v>5674</v>
      </c>
      <c r="J11" s="50"/>
      <c r="L11" s="73"/>
    </row>
    <row r="12">
      <c r="A12" s="11" t="s">
        <v>7484</v>
      </c>
      <c r="B12" s="71" t="s">
        <v>7504</v>
      </c>
      <c r="C12" s="13" t="s">
        <v>7505</v>
      </c>
      <c r="D12" s="15"/>
      <c r="E12" s="15"/>
      <c r="F12" s="15" t="s">
        <v>5672</v>
      </c>
      <c r="G12" s="72" t="s">
        <v>5673</v>
      </c>
      <c r="H12" s="50"/>
      <c r="I12" s="42" t="s">
        <v>5674</v>
      </c>
      <c r="J12" s="50"/>
      <c r="L12" s="73"/>
    </row>
    <row r="13">
      <c r="A13" s="11" t="s">
        <v>7489</v>
      </c>
      <c r="B13" s="71" t="s">
        <v>7506</v>
      </c>
      <c r="C13" s="13" t="s">
        <v>7507</v>
      </c>
      <c r="D13" s="15"/>
      <c r="E13" s="15"/>
      <c r="F13" s="15" t="s">
        <v>5672</v>
      </c>
      <c r="G13" s="72" t="s">
        <v>5673</v>
      </c>
      <c r="H13" s="50"/>
      <c r="I13" s="42" t="s">
        <v>5674</v>
      </c>
      <c r="J13" s="50"/>
      <c r="L13" s="73"/>
    </row>
    <row r="14">
      <c r="A14" s="11" t="s">
        <v>7484</v>
      </c>
      <c r="B14" s="71" t="s">
        <v>7508</v>
      </c>
      <c r="C14" s="13" t="s">
        <v>7509</v>
      </c>
      <c r="D14" s="15"/>
      <c r="E14" s="15"/>
      <c r="F14" s="15" t="s">
        <v>5672</v>
      </c>
      <c r="G14" s="72" t="s">
        <v>5673</v>
      </c>
      <c r="H14" s="50"/>
      <c r="I14" s="42" t="s">
        <v>5674</v>
      </c>
      <c r="J14" s="50"/>
      <c r="L14" s="73"/>
    </row>
    <row r="15">
      <c r="A15" s="11" t="s">
        <v>7510</v>
      </c>
      <c r="B15" s="71" t="s">
        <v>7511</v>
      </c>
      <c r="C15" s="13" t="s">
        <v>7512</v>
      </c>
      <c r="D15" s="15"/>
      <c r="E15" s="15"/>
      <c r="F15" s="15" t="s">
        <v>5672</v>
      </c>
      <c r="G15" s="72" t="s">
        <v>5673</v>
      </c>
      <c r="H15" s="50"/>
      <c r="I15" s="42" t="s">
        <v>5674</v>
      </c>
      <c r="J15" s="50"/>
      <c r="L15" s="73"/>
    </row>
    <row r="16">
      <c r="A16" s="11" t="s">
        <v>7510</v>
      </c>
      <c r="B16" s="71" t="s">
        <v>7513</v>
      </c>
      <c r="C16" s="13" t="s">
        <v>7514</v>
      </c>
      <c r="D16" s="15"/>
      <c r="E16" s="15"/>
      <c r="F16" s="15" t="s">
        <v>5672</v>
      </c>
      <c r="G16" s="72" t="s">
        <v>5673</v>
      </c>
      <c r="H16" s="50"/>
      <c r="I16" s="42" t="s">
        <v>5674</v>
      </c>
      <c r="J16" s="50"/>
      <c r="L16" s="73"/>
    </row>
    <row r="17">
      <c r="A17" s="11" t="s">
        <v>7484</v>
      </c>
      <c r="B17" s="71" t="s">
        <v>7515</v>
      </c>
      <c r="C17" s="13" t="s">
        <v>7516</v>
      </c>
      <c r="D17" s="15"/>
      <c r="E17" s="15"/>
      <c r="F17" s="15" t="s">
        <v>5672</v>
      </c>
      <c r="G17" s="72" t="s">
        <v>5673</v>
      </c>
      <c r="H17" s="50"/>
      <c r="I17" s="42" t="s">
        <v>5674</v>
      </c>
      <c r="J17" s="50"/>
      <c r="L17" s="73"/>
    </row>
    <row r="18">
      <c r="A18" s="11" t="s">
        <v>7517</v>
      </c>
      <c r="B18" s="71" t="s">
        <v>7518</v>
      </c>
      <c r="C18" s="13" t="s">
        <v>7519</v>
      </c>
      <c r="D18" s="15"/>
      <c r="E18" s="15"/>
      <c r="F18" s="15" t="s">
        <v>5672</v>
      </c>
      <c r="G18" s="72" t="s">
        <v>5673</v>
      </c>
      <c r="H18" s="50"/>
      <c r="I18" s="42" t="s">
        <v>5674</v>
      </c>
      <c r="J18" s="50"/>
      <c r="L18" s="73"/>
    </row>
    <row r="19">
      <c r="A19" s="11" t="s">
        <v>7494</v>
      </c>
      <c r="B19" s="71" t="s">
        <v>7520</v>
      </c>
      <c r="C19" s="13" t="s">
        <v>7521</v>
      </c>
      <c r="D19" s="15"/>
      <c r="E19" s="15"/>
      <c r="F19" s="15" t="s">
        <v>5672</v>
      </c>
      <c r="G19" s="72" t="s">
        <v>5673</v>
      </c>
      <c r="H19" s="50"/>
      <c r="I19" s="42" t="s">
        <v>5674</v>
      </c>
      <c r="J19" s="50"/>
      <c r="L19" s="73"/>
    </row>
    <row r="20">
      <c r="A20" s="11" t="s">
        <v>7484</v>
      </c>
      <c r="B20" s="71" t="s">
        <v>7522</v>
      </c>
      <c r="C20" s="13" t="s">
        <v>7523</v>
      </c>
      <c r="D20" s="15"/>
      <c r="E20" s="15"/>
      <c r="F20" s="15" t="s">
        <v>5672</v>
      </c>
      <c r="G20" s="72" t="s">
        <v>5673</v>
      </c>
      <c r="H20" s="50"/>
      <c r="I20" s="42" t="s">
        <v>5674</v>
      </c>
      <c r="J20" s="50"/>
      <c r="L20" s="73"/>
    </row>
    <row r="21">
      <c r="A21" s="11" t="s">
        <v>7499</v>
      </c>
      <c r="B21" s="71" t="s">
        <v>7524</v>
      </c>
      <c r="C21" s="13" t="s">
        <v>7525</v>
      </c>
      <c r="D21" s="15"/>
      <c r="E21" s="15"/>
      <c r="F21" s="15" t="s">
        <v>5672</v>
      </c>
      <c r="G21" s="72" t="s">
        <v>5673</v>
      </c>
      <c r="H21" s="50"/>
      <c r="I21" s="42" t="s">
        <v>5674</v>
      </c>
      <c r="J21" s="50"/>
      <c r="L21" s="73"/>
    </row>
    <row r="22">
      <c r="A22" s="11" t="s">
        <v>7484</v>
      </c>
      <c r="B22" s="71" t="s">
        <v>7526</v>
      </c>
      <c r="C22" s="13" t="s">
        <v>7527</v>
      </c>
      <c r="D22" s="15"/>
      <c r="E22" s="15"/>
      <c r="F22" s="15" t="s">
        <v>5672</v>
      </c>
      <c r="G22" s="72" t="s">
        <v>5673</v>
      </c>
      <c r="H22" s="50"/>
      <c r="I22" s="42" t="s">
        <v>5674</v>
      </c>
      <c r="J22" s="50"/>
      <c r="L22" s="73"/>
    </row>
    <row r="23">
      <c r="A23" s="11" t="s">
        <v>7484</v>
      </c>
      <c r="B23" s="71" t="s">
        <v>7528</v>
      </c>
      <c r="C23" s="13" t="s">
        <v>7529</v>
      </c>
      <c r="D23" s="15"/>
      <c r="E23" s="15"/>
      <c r="F23" s="15" t="s">
        <v>5672</v>
      </c>
      <c r="G23" s="72" t="s">
        <v>5673</v>
      </c>
      <c r="H23" s="50"/>
      <c r="I23" s="42" t="s">
        <v>5674</v>
      </c>
      <c r="J23" s="50"/>
      <c r="L23" s="73"/>
    </row>
    <row r="24">
      <c r="A24" s="11" t="s">
        <v>7517</v>
      </c>
      <c r="B24" s="71" t="s">
        <v>7530</v>
      </c>
      <c r="C24" s="13" t="s">
        <v>7531</v>
      </c>
      <c r="D24" s="15"/>
      <c r="E24" s="15"/>
      <c r="F24" s="15" t="s">
        <v>5672</v>
      </c>
      <c r="G24" s="72" t="s">
        <v>5673</v>
      </c>
      <c r="H24" s="50"/>
      <c r="I24" s="42" t="s">
        <v>5674</v>
      </c>
      <c r="J24" s="50"/>
      <c r="L24" s="73"/>
    </row>
    <row r="25">
      <c r="A25" s="11" t="s">
        <v>7517</v>
      </c>
      <c r="B25" s="71" t="s">
        <v>7532</v>
      </c>
      <c r="C25" s="13" t="s">
        <v>7533</v>
      </c>
      <c r="D25" s="15"/>
      <c r="E25" s="15"/>
      <c r="F25" s="15" t="s">
        <v>5672</v>
      </c>
      <c r="G25" s="72" t="s">
        <v>5673</v>
      </c>
      <c r="H25" s="50"/>
      <c r="I25" s="42" t="s">
        <v>5674</v>
      </c>
      <c r="J25" s="50"/>
      <c r="L25" s="73"/>
    </row>
    <row r="26">
      <c r="A26" s="11" t="s">
        <v>7510</v>
      </c>
      <c r="B26" s="71" t="s">
        <v>7534</v>
      </c>
      <c r="C26" s="13" t="s">
        <v>7535</v>
      </c>
      <c r="D26" s="15"/>
      <c r="E26" s="15"/>
      <c r="F26" s="15" t="s">
        <v>5672</v>
      </c>
      <c r="G26" s="72" t="s">
        <v>5673</v>
      </c>
      <c r="H26" s="50"/>
      <c r="I26" s="42" t="s">
        <v>5674</v>
      </c>
      <c r="J26" s="50"/>
      <c r="L26" s="73"/>
    </row>
    <row r="27">
      <c r="A27" s="11" t="s">
        <v>7510</v>
      </c>
      <c r="B27" s="71" t="s">
        <v>7536</v>
      </c>
      <c r="C27" s="13" t="s">
        <v>7537</v>
      </c>
      <c r="D27" s="15"/>
      <c r="E27" s="15"/>
      <c r="F27" s="15" t="s">
        <v>5672</v>
      </c>
      <c r="G27" s="72" t="s">
        <v>5673</v>
      </c>
      <c r="H27" s="50"/>
      <c r="I27" s="42" t="s">
        <v>5674</v>
      </c>
      <c r="J27" s="50"/>
      <c r="L27" s="73"/>
    </row>
    <row r="28">
      <c r="A28" s="11" t="s">
        <v>7538</v>
      </c>
      <c r="B28" s="71" t="s">
        <v>7539</v>
      </c>
      <c r="C28" s="13" t="s">
        <v>7540</v>
      </c>
      <c r="D28" s="15"/>
      <c r="E28" s="15"/>
      <c r="F28" s="15" t="s">
        <v>5672</v>
      </c>
      <c r="G28" s="72" t="s">
        <v>5673</v>
      </c>
      <c r="H28" s="50"/>
      <c r="I28" s="42" t="s">
        <v>5674</v>
      </c>
      <c r="J28" s="50"/>
      <c r="L28" s="73"/>
    </row>
    <row r="29">
      <c r="A29" s="11" t="s">
        <v>7541</v>
      </c>
      <c r="B29" s="71" t="s">
        <v>7542</v>
      </c>
      <c r="C29" s="13" t="s">
        <v>7543</v>
      </c>
      <c r="D29" s="15"/>
      <c r="E29" s="15"/>
      <c r="F29" s="15" t="s">
        <v>5672</v>
      </c>
      <c r="G29" s="72" t="s">
        <v>5673</v>
      </c>
      <c r="H29" s="50"/>
      <c r="I29" s="42" t="s">
        <v>5674</v>
      </c>
      <c r="J29" s="50"/>
      <c r="L29" s="73"/>
    </row>
    <row r="30">
      <c r="A30" s="11" t="s">
        <v>7510</v>
      </c>
      <c r="B30" s="71" t="s">
        <v>7544</v>
      </c>
      <c r="C30" s="13" t="s">
        <v>7545</v>
      </c>
      <c r="D30" s="15"/>
      <c r="E30" s="15"/>
      <c r="F30" s="15" t="s">
        <v>5672</v>
      </c>
      <c r="G30" s="72" t="s">
        <v>5673</v>
      </c>
      <c r="H30" s="50"/>
      <c r="I30" s="42" t="s">
        <v>5674</v>
      </c>
      <c r="J30" s="50"/>
      <c r="L30" s="73"/>
    </row>
    <row r="31">
      <c r="A31" s="11" t="s">
        <v>7510</v>
      </c>
      <c r="B31" s="71" t="s">
        <v>7546</v>
      </c>
      <c r="C31" s="13" t="s">
        <v>7547</v>
      </c>
      <c r="D31" s="10"/>
      <c r="E31" s="10"/>
      <c r="F31" s="10"/>
      <c r="G31" s="72"/>
      <c r="H31" s="50"/>
      <c r="I31" s="42"/>
      <c r="J31" s="50"/>
      <c r="L31" s="73"/>
    </row>
    <row r="32">
      <c r="A32" s="11" t="s">
        <v>7510</v>
      </c>
      <c r="B32" s="71" t="s">
        <v>7548</v>
      </c>
      <c r="C32" s="13" t="s">
        <v>7549</v>
      </c>
      <c r="D32" s="10"/>
      <c r="E32" s="10"/>
      <c r="F32" s="10" t="s">
        <v>5737</v>
      </c>
      <c r="G32" s="72" t="s">
        <v>5673</v>
      </c>
      <c r="H32" s="50"/>
      <c r="I32" s="42" t="s">
        <v>5674</v>
      </c>
      <c r="J32" s="50"/>
      <c r="L32" s="73"/>
    </row>
    <row r="33">
      <c r="A33" s="11" t="s">
        <v>7489</v>
      </c>
      <c r="B33" s="71" t="s">
        <v>7550</v>
      </c>
      <c r="C33" s="13" t="s">
        <v>7551</v>
      </c>
      <c r="D33" s="10"/>
      <c r="E33" s="10"/>
      <c r="F33" s="10" t="s">
        <v>5737</v>
      </c>
      <c r="G33" s="72" t="s">
        <v>5673</v>
      </c>
      <c r="H33" s="50"/>
      <c r="I33" s="42" t="s">
        <v>5674</v>
      </c>
      <c r="J33" s="50"/>
      <c r="L33" s="73"/>
    </row>
    <row r="34">
      <c r="A34" s="11" t="s">
        <v>7494</v>
      </c>
      <c r="B34" s="71" t="s">
        <v>7552</v>
      </c>
      <c r="C34" s="13" t="s">
        <v>7553</v>
      </c>
      <c r="D34" s="10"/>
      <c r="E34" s="10"/>
      <c r="F34" s="10" t="s">
        <v>5737</v>
      </c>
      <c r="G34" s="72" t="s">
        <v>5673</v>
      </c>
      <c r="H34" s="50"/>
      <c r="I34" s="42" t="s">
        <v>5674</v>
      </c>
      <c r="J34" s="50"/>
      <c r="L34" s="73"/>
    </row>
    <row r="35">
      <c r="A35" s="11" t="s">
        <v>7517</v>
      </c>
      <c r="B35" s="71" t="s">
        <v>7554</v>
      </c>
      <c r="C35" s="13" t="s">
        <v>7555</v>
      </c>
      <c r="D35" s="10"/>
      <c r="E35" s="10"/>
      <c r="F35" s="10" t="s">
        <v>5737</v>
      </c>
      <c r="G35" s="72" t="s">
        <v>5673</v>
      </c>
      <c r="H35" s="50"/>
      <c r="I35" s="42" t="s">
        <v>5674</v>
      </c>
      <c r="J35" s="50"/>
      <c r="L35" s="73"/>
    </row>
    <row r="36">
      <c r="A36" s="11" t="s">
        <v>7517</v>
      </c>
      <c r="B36" s="71" t="s">
        <v>7556</v>
      </c>
      <c r="C36" s="13" t="s">
        <v>7557</v>
      </c>
      <c r="D36" s="10"/>
      <c r="E36" s="10"/>
      <c r="F36" s="10" t="s">
        <v>5737</v>
      </c>
      <c r="G36" s="72" t="s">
        <v>5673</v>
      </c>
      <c r="H36" s="50"/>
      <c r="I36" s="42" t="s">
        <v>5674</v>
      </c>
      <c r="J36" s="50"/>
      <c r="L36" s="73"/>
    </row>
    <row r="37">
      <c r="A37" s="11" t="s">
        <v>7484</v>
      </c>
      <c r="B37" s="71" t="s">
        <v>7558</v>
      </c>
      <c r="C37" s="13" t="s">
        <v>7559</v>
      </c>
      <c r="D37" s="10"/>
      <c r="E37" s="10"/>
      <c r="F37" s="10" t="s">
        <v>5737</v>
      </c>
      <c r="G37" s="72" t="s">
        <v>5673</v>
      </c>
      <c r="H37" s="50"/>
      <c r="I37" s="42" t="s">
        <v>5674</v>
      </c>
      <c r="J37" s="50"/>
      <c r="L37" s="73"/>
    </row>
    <row r="38">
      <c r="A38" s="11" t="s">
        <v>7484</v>
      </c>
      <c r="B38" s="71" t="s">
        <v>7560</v>
      </c>
      <c r="C38" s="13" t="s">
        <v>7561</v>
      </c>
      <c r="D38" s="10"/>
      <c r="E38" s="10"/>
      <c r="F38" s="10" t="s">
        <v>5737</v>
      </c>
      <c r="G38" s="72" t="s">
        <v>5673</v>
      </c>
      <c r="H38" s="50"/>
      <c r="I38" s="42" t="s">
        <v>5674</v>
      </c>
      <c r="J38" s="50"/>
      <c r="L38" s="73"/>
    </row>
    <row r="39">
      <c r="A39" s="11" t="s">
        <v>7484</v>
      </c>
      <c r="B39" s="71" t="s">
        <v>7562</v>
      </c>
      <c r="C39" s="13" t="s">
        <v>7563</v>
      </c>
      <c r="D39" s="10"/>
      <c r="E39" s="10"/>
      <c r="F39" s="10" t="s">
        <v>5737</v>
      </c>
      <c r="G39" s="72" t="s">
        <v>5673</v>
      </c>
      <c r="H39" s="50"/>
      <c r="I39" s="42" t="s">
        <v>5674</v>
      </c>
      <c r="J39" s="50"/>
      <c r="L39" s="73"/>
    </row>
    <row r="40">
      <c r="A40" s="11" t="s">
        <v>7517</v>
      </c>
      <c r="B40" s="75" t="s">
        <v>7564</v>
      </c>
      <c r="C40" s="13" t="s">
        <v>7565</v>
      </c>
      <c r="D40" s="15"/>
      <c r="E40" s="15"/>
      <c r="F40" s="15" t="s">
        <v>5672</v>
      </c>
      <c r="G40" s="72" t="s">
        <v>5673</v>
      </c>
      <c r="H40" s="50"/>
      <c r="I40" s="42" t="s">
        <v>5674</v>
      </c>
      <c r="J40" s="50"/>
      <c r="L40" s="73"/>
    </row>
    <row r="41">
      <c r="A41" s="11" t="s">
        <v>7517</v>
      </c>
      <c r="B41" s="75" t="s">
        <v>7566</v>
      </c>
      <c r="C41" s="13" t="s">
        <v>7567</v>
      </c>
      <c r="D41" s="15"/>
      <c r="E41" s="15"/>
      <c r="F41" s="15" t="s">
        <v>5672</v>
      </c>
      <c r="G41" s="72" t="s">
        <v>5673</v>
      </c>
      <c r="H41" s="50"/>
      <c r="I41" s="42" t="s">
        <v>5674</v>
      </c>
      <c r="J41" s="50"/>
      <c r="L41" s="73"/>
    </row>
    <row r="42">
      <c r="A42" s="11" t="s">
        <v>7538</v>
      </c>
      <c r="B42" s="71" t="s">
        <v>7568</v>
      </c>
      <c r="C42" s="13" t="s">
        <v>7569</v>
      </c>
      <c r="D42" s="15"/>
      <c r="E42" s="15"/>
      <c r="F42" s="15" t="s">
        <v>5672</v>
      </c>
      <c r="G42" s="72" t="s">
        <v>5673</v>
      </c>
      <c r="H42" s="50"/>
      <c r="I42" s="42" t="s">
        <v>5674</v>
      </c>
      <c r="J42" s="50"/>
      <c r="L42" s="73"/>
    </row>
    <row r="43">
      <c r="A43" s="11" t="s">
        <v>7510</v>
      </c>
      <c r="B43" s="75" t="s">
        <v>7570</v>
      </c>
      <c r="C43" s="13" t="s">
        <v>7571</v>
      </c>
      <c r="D43" s="15"/>
      <c r="E43" s="15"/>
      <c r="F43" s="15" t="s">
        <v>5672</v>
      </c>
      <c r="G43" s="72" t="s">
        <v>5673</v>
      </c>
      <c r="H43" s="50"/>
      <c r="I43" s="42" t="s">
        <v>5674</v>
      </c>
      <c r="J43" s="50"/>
      <c r="L43" s="73"/>
    </row>
    <row r="44">
      <c r="A44" s="11" t="s">
        <v>7538</v>
      </c>
      <c r="B44" s="71" t="s">
        <v>7572</v>
      </c>
      <c r="C44" s="13" t="s">
        <v>7573</v>
      </c>
      <c r="D44" s="15"/>
      <c r="E44" s="15"/>
      <c r="F44" s="15" t="s">
        <v>5764</v>
      </c>
      <c r="G44" s="72" t="s">
        <v>5673</v>
      </c>
      <c r="H44" s="50"/>
      <c r="I44" s="42" t="s">
        <v>5674</v>
      </c>
      <c r="J44" s="50"/>
      <c r="L44" s="73"/>
    </row>
    <row r="45">
      <c r="A45" s="11" t="s">
        <v>7484</v>
      </c>
      <c r="B45" s="71" t="s">
        <v>7574</v>
      </c>
      <c r="C45" s="13" t="s">
        <v>7575</v>
      </c>
      <c r="D45" s="15"/>
      <c r="E45" s="15"/>
      <c r="F45" s="15" t="s">
        <v>5764</v>
      </c>
      <c r="G45" s="72" t="s">
        <v>5673</v>
      </c>
      <c r="H45" s="50"/>
      <c r="I45" s="42" t="s">
        <v>5674</v>
      </c>
      <c r="J45" s="50"/>
      <c r="L45" s="73"/>
    </row>
    <row r="46">
      <c r="A46" s="11" t="s">
        <v>7489</v>
      </c>
      <c r="B46" s="71" t="s">
        <v>7576</v>
      </c>
      <c r="C46" s="13" t="s">
        <v>7577</v>
      </c>
      <c r="D46" s="15"/>
      <c r="E46" s="15"/>
      <c r="F46" s="15" t="s">
        <v>5764</v>
      </c>
      <c r="G46" s="72" t="s">
        <v>5673</v>
      </c>
      <c r="H46" s="50"/>
      <c r="I46" s="42" t="s">
        <v>5674</v>
      </c>
      <c r="J46" s="50"/>
      <c r="L46" s="73"/>
    </row>
    <row r="47">
      <c r="A47" s="11" t="s">
        <v>7484</v>
      </c>
      <c r="B47" s="71" t="s">
        <v>7578</v>
      </c>
      <c r="C47" s="13" t="s">
        <v>7579</v>
      </c>
      <c r="D47" s="15"/>
      <c r="E47" s="15"/>
      <c r="F47" s="15" t="s">
        <v>5764</v>
      </c>
      <c r="G47" s="72" t="s">
        <v>5673</v>
      </c>
      <c r="H47" s="50"/>
      <c r="I47" s="42" t="s">
        <v>5674</v>
      </c>
      <c r="J47" s="50"/>
      <c r="L47" s="73"/>
    </row>
    <row r="48">
      <c r="A48" s="11" t="s">
        <v>7517</v>
      </c>
      <c r="B48" s="71" t="s">
        <v>7580</v>
      </c>
      <c r="C48" s="13" t="s">
        <v>7581</v>
      </c>
      <c r="D48" s="15"/>
      <c r="E48" s="15"/>
      <c r="F48" s="15" t="s">
        <v>5764</v>
      </c>
      <c r="G48" s="72" t="s">
        <v>5673</v>
      </c>
      <c r="H48" s="50"/>
      <c r="I48" s="42" t="s">
        <v>5674</v>
      </c>
      <c r="J48" s="50"/>
      <c r="L48" s="73"/>
    </row>
    <row r="49">
      <c r="A49" s="11" t="s">
        <v>7489</v>
      </c>
      <c r="B49" s="71" t="s">
        <v>7582</v>
      </c>
      <c r="C49" s="13" t="s">
        <v>7583</v>
      </c>
      <c r="D49" s="15"/>
      <c r="E49" s="15"/>
      <c r="F49" s="15" t="s">
        <v>5764</v>
      </c>
      <c r="G49" s="72" t="s">
        <v>5673</v>
      </c>
      <c r="H49" s="50"/>
      <c r="I49" s="42" t="s">
        <v>5674</v>
      </c>
      <c r="J49" s="50"/>
      <c r="L49" s="73"/>
    </row>
    <row r="50">
      <c r="A50" s="11" t="s">
        <v>7517</v>
      </c>
      <c r="B50" s="71" t="s">
        <v>7584</v>
      </c>
      <c r="C50" s="13" t="s">
        <v>7585</v>
      </c>
      <c r="D50" s="15"/>
      <c r="E50" s="15"/>
      <c r="F50" s="15" t="s">
        <v>5764</v>
      </c>
      <c r="G50" s="72" t="s">
        <v>5673</v>
      </c>
      <c r="H50" s="50"/>
      <c r="I50" s="42" t="s">
        <v>5674</v>
      </c>
      <c r="J50" s="50"/>
      <c r="L50" s="73"/>
    </row>
    <row r="51">
      <c r="A51" s="11" t="s">
        <v>7510</v>
      </c>
      <c r="B51" s="71" t="s">
        <v>7586</v>
      </c>
      <c r="C51" s="13" t="s">
        <v>7587</v>
      </c>
      <c r="D51" s="15"/>
      <c r="E51" s="15"/>
      <c r="F51" s="15" t="s">
        <v>5764</v>
      </c>
      <c r="G51" s="72" t="s">
        <v>5673</v>
      </c>
      <c r="H51" s="50"/>
      <c r="I51" s="42" t="s">
        <v>5674</v>
      </c>
      <c r="J51" s="50"/>
      <c r="L51" s="73"/>
    </row>
    <row r="52">
      <c r="A52" s="11" t="s">
        <v>7484</v>
      </c>
      <c r="B52" s="71" t="s">
        <v>7588</v>
      </c>
      <c r="C52" s="13" t="s">
        <v>7589</v>
      </c>
      <c r="D52" s="15"/>
      <c r="E52" s="15"/>
      <c r="F52" s="15" t="s">
        <v>5764</v>
      </c>
      <c r="G52" s="72" t="s">
        <v>5673</v>
      </c>
      <c r="H52" s="50"/>
      <c r="I52" s="42" t="s">
        <v>5674</v>
      </c>
      <c r="J52" s="50"/>
      <c r="L52" s="73"/>
    </row>
    <row r="53">
      <c r="A53" s="11" t="s">
        <v>7590</v>
      </c>
      <c r="B53" s="71" t="s">
        <v>7591</v>
      </c>
      <c r="C53" s="13" t="s">
        <v>7592</v>
      </c>
      <c r="D53" s="15"/>
      <c r="E53" s="15"/>
      <c r="F53" s="15" t="s">
        <v>5764</v>
      </c>
      <c r="G53" s="72" t="s">
        <v>5673</v>
      </c>
      <c r="H53" s="50"/>
      <c r="I53" s="42" t="s">
        <v>5674</v>
      </c>
      <c r="J53" s="50"/>
      <c r="L53" s="73"/>
    </row>
    <row r="54">
      <c r="A54" s="11" t="s">
        <v>7590</v>
      </c>
      <c r="B54" s="71" t="s">
        <v>7593</v>
      </c>
      <c r="C54" s="13" t="s">
        <v>7594</v>
      </c>
      <c r="D54" s="15"/>
      <c r="E54" s="15"/>
      <c r="F54" s="15" t="s">
        <v>5764</v>
      </c>
      <c r="G54" s="72" t="s">
        <v>5673</v>
      </c>
      <c r="H54" s="50"/>
      <c r="I54" s="42" t="s">
        <v>5674</v>
      </c>
      <c r="J54" s="50"/>
      <c r="L54" s="73"/>
    </row>
    <row r="55">
      <c r="A55" s="12" t="s">
        <v>7517</v>
      </c>
      <c r="B55" s="13" t="s">
        <v>7595</v>
      </c>
      <c r="C55" s="76" t="s">
        <v>7596</v>
      </c>
      <c r="D55" s="10"/>
      <c r="E55" s="10"/>
      <c r="F55" s="10" t="s">
        <v>5788</v>
      </c>
      <c r="G55" s="11" t="s">
        <v>5786</v>
      </c>
      <c r="I55" s="13" t="s">
        <v>5674</v>
      </c>
      <c r="L55" s="73"/>
    </row>
    <row r="56">
      <c r="A56" s="12" t="s">
        <v>7590</v>
      </c>
      <c r="B56" s="10" t="s">
        <v>7597</v>
      </c>
      <c r="C56" s="13" t="s">
        <v>7598</v>
      </c>
      <c r="D56" s="10"/>
      <c r="E56" s="10"/>
      <c r="F56" s="10" t="s">
        <v>5792</v>
      </c>
      <c r="G56" s="11" t="s">
        <v>5793</v>
      </c>
      <c r="H56" s="13">
        <v>12884.0</v>
      </c>
      <c r="I56" s="13" t="s">
        <v>5674</v>
      </c>
      <c r="L56" s="73"/>
    </row>
    <row r="57">
      <c r="A57" s="12" t="s">
        <v>7517</v>
      </c>
      <c r="B57" s="10" t="s">
        <v>7599</v>
      </c>
      <c r="C57" s="13" t="s">
        <v>7600</v>
      </c>
      <c r="D57" s="10"/>
      <c r="E57" s="10"/>
      <c r="F57" s="10" t="s">
        <v>5792</v>
      </c>
      <c r="G57" s="11" t="s">
        <v>5793</v>
      </c>
      <c r="H57" s="13">
        <v>411041.0</v>
      </c>
      <c r="I57" s="13" t="s">
        <v>5674</v>
      </c>
      <c r="L57" s="73"/>
    </row>
    <row r="58">
      <c r="A58" s="12" t="s">
        <v>7484</v>
      </c>
      <c r="B58" s="10" t="s">
        <v>7601</v>
      </c>
      <c r="C58" s="13" t="s">
        <v>7602</v>
      </c>
      <c r="D58" s="10"/>
      <c r="E58" s="10"/>
      <c r="F58" s="10" t="s">
        <v>5792</v>
      </c>
      <c r="G58" s="11" t="s">
        <v>5793</v>
      </c>
      <c r="H58" s="13" t="s">
        <v>5798</v>
      </c>
      <c r="I58" s="13" t="s">
        <v>5674</v>
      </c>
      <c r="L58" s="73"/>
    </row>
    <row r="59">
      <c r="A59" s="12" t="s">
        <v>7484</v>
      </c>
      <c r="B59" s="10" t="s">
        <v>7603</v>
      </c>
      <c r="C59" s="13" t="s">
        <v>7604</v>
      </c>
      <c r="D59" s="10"/>
      <c r="E59" s="10"/>
      <c r="F59" s="10" t="s">
        <v>5792</v>
      </c>
      <c r="G59" s="11" t="s">
        <v>5793</v>
      </c>
      <c r="H59" s="13">
        <v>910602.0</v>
      </c>
      <c r="I59" s="13" t="s">
        <v>5674</v>
      </c>
      <c r="L59" s="73"/>
    </row>
    <row r="60">
      <c r="A60" s="12" t="s">
        <v>7517</v>
      </c>
      <c r="B60" s="10" t="s">
        <v>7605</v>
      </c>
      <c r="C60" s="13" t="s">
        <v>7606</v>
      </c>
      <c r="D60" s="10"/>
      <c r="E60" s="10"/>
      <c r="F60" s="10" t="s">
        <v>5792</v>
      </c>
      <c r="G60" s="11" t="s">
        <v>5793</v>
      </c>
      <c r="H60" s="13">
        <v>90462.0</v>
      </c>
      <c r="I60" s="13" t="s">
        <v>5674</v>
      </c>
      <c r="L60" s="73"/>
    </row>
    <row r="61">
      <c r="A61" s="12" t="s">
        <v>7517</v>
      </c>
      <c r="B61" s="10" t="s">
        <v>7607</v>
      </c>
      <c r="C61" s="13" t="s">
        <v>7608</v>
      </c>
      <c r="D61" s="10"/>
      <c r="E61" s="10"/>
      <c r="F61" s="10" t="s">
        <v>5792</v>
      </c>
      <c r="G61" s="11" t="s">
        <v>5793</v>
      </c>
      <c r="H61" s="13">
        <v>910603.0</v>
      </c>
      <c r="I61" s="13" t="s">
        <v>5674</v>
      </c>
      <c r="L61" s="73"/>
    </row>
    <row r="62">
      <c r="A62" s="12" t="s">
        <v>7499</v>
      </c>
      <c r="B62" s="10" t="s">
        <v>7609</v>
      </c>
      <c r="C62" s="13" t="s">
        <v>7610</v>
      </c>
      <c r="D62" s="10"/>
      <c r="E62" s="10"/>
      <c r="F62" s="10" t="s">
        <v>5792</v>
      </c>
      <c r="G62" s="11" t="s">
        <v>5793</v>
      </c>
      <c r="H62" s="13">
        <v>910604.0</v>
      </c>
      <c r="I62" s="13" t="s">
        <v>5674</v>
      </c>
      <c r="L62" s="73"/>
    </row>
    <row r="63">
      <c r="A63" s="12" t="s">
        <v>7484</v>
      </c>
      <c r="B63" s="10" t="s">
        <v>7611</v>
      </c>
      <c r="C63" s="13" t="s">
        <v>7612</v>
      </c>
      <c r="D63" s="10"/>
      <c r="E63" s="10"/>
      <c r="F63" s="10" t="s">
        <v>5792</v>
      </c>
      <c r="G63" s="11" t="s">
        <v>5793</v>
      </c>
      <c r="H63" s="13" t="s">
        <v>5809</v>
      </c>
      <c r="I63" s="13" t="s">
        <v>5674</v>
      </c>
      <c r="L63" s="73"/>
    </row>
    <row r="64">
      <c r="A64" s="12" t="s">
        <v>7484</v>
      </c>
      <c r="B64" s="10" t="s">
        <v>7613</v>
      </c>
      <c r="C64" s="13" t="s">
        <v>7614</v>
      </c>
      <c r="D64" s="10"/>
      <c r="E64" s="10"/>
      <c r="F64" s="10" t="s">
        <v>5792</v>
      </c>
      <c r="G64" s="11" t="s">
        <v>5793</v>
      </c>
      <c r="H64" s="13">
        <v>910606.0</v>
      </c>
      <c r="I64" s="13" t="s">
        <v>5674</v>
      </c>
      <c r="L64" s="73"/>
    </row>
    <row r="65">
      <c r="A65" s="12" t="s">
        <v>7484</v>
      </c>
      <c r="B65" s="10" t="s">
        <v>7615</v>
      </c>
      <c r="C65" s="13" t="s">
        <v>7616</v>
      </c>
      <c r="D65" s="10"/>
      <c r="E65" s="10"/>
      <c r="F65" s="10" t="s">
        <v>5792</v>
      </c>
      <c r="G65" s="11" t="s">
        <v>5793</v>
      </c>
      <c r="H65" s="13">
        <v>85190.0</v>
      </c>
      <c r="I65" s="13" t="s">
        <v>5674</v>
      </c>
      <c r="L65" s="73"/>
    </row>
    <row r="66">
      <c r="A66" s="12" t="s">
        <v>7517</v>
      </c>
      <c r="B66" s="10" t="s">
        <v>7617</v>
      </c>
      <c r="C66" s="13" t="s">
        <v>7618</v>
      </c>
      <c r="D66" s="15"/>
      <c r="E66" s="15"/>
      <c r="F66" s="15" t="s">
        <v>5817</v>
      </c>
      <c r="G66" s="11" t="s">
        <v>5793</v>
      </c>
      <c r="I66" s="13" t="s">
        <v>5674</v>
      </c>
      <c r="L66" s="73"/>
    </row>
    <row r="67">
      <c r="A67" s="12" t="s">
        <v>7510</v>
      </c>
      <c r="B67" s="10" t="s">
        <v>7619</v>
      </c>
      <c r="C67" s="13" t="s">
        <v>7620</v>
      </c>
      <c r="D67" s="15"/>
      <c r="E67" s="15"/>
      <c r="F67" s="15" t="s">
        <v>5817</v>
      </c>
      <c r="G67" s="11" t="s">
        <v>5793</v>
      </c>
      <c r="I67" s="13" t="s">
        <v>5674</v>
      </c>
      <c r="L67" s="73"/>
    </row>
    <row r="68">
      <c r="A68" s="12" t="s">
        <v>7538</v>
      </c>
      <c r="B68" s="10" t="s">
        <v>7621</v>
      </c>
      <c r="C68" s="13" t="s">
        <v>7622</v>
      </c>
      <c r="D68" s="15"/>
      <c r="E68" s="15"/>
      <c r="F68" s="15" t="s">
        <v>5817</v>
      </c>
      <c r="G68" s="11" t="s">
        <v>5793</v>
      </c>
      <c r="I68" s="13" t="s">
        <v>5674</v>
      </c>
      <c r="L68" s="73"/>
    </row>
    <row r="69">
      <c r="A69" s="12" t="s">
        <v>7590</v>
      </c>
      <c r="B69" s="10" t="s">
        <v>7623</v>
      </c>
      <c r="C69" s="13" t="s">
        <v>7624</v>
      </c>
      <c r="D69" s="15"/>
      <c r="E69" s="15"/>
      <c r="F69" s="15" t="s">
        <v>5817</v>
      </c>
      <c r="G69" s="11" t="s">
        <v>5793</v>
      </c>
      <c r="I69" s="13" t="s">
        <v>5674</v>
      </c>
      <c r="L69" s="73"/>
      <c r="M69" s="73"/>
    </row>
    <row r="70">
      <c r="A70" s="12" t="s">
        <v>7484</v>
      </c>
      <c r="B70" s="10" t="s">
        <v>7625</v>
      </c>
      <c r="C70" s="13" t="s">
        <v>7626</v>
      </c>
      <c r="D70" s="15"/>
      <c r="E70" s="15"/>
      <c r="F70" s="15" t="s">
        <v>5817</v>
      </c>
      <c r="G70" s="11" t="s">
        <v>5793</v>
      </c>
      <c r="I70" s="13" t="s">
        <v>5674</v>
      </c>
      <c r="L70" s="73"/>
    </row>
    <row r="71">
      <c r="A71" s="12" t="s">
        <v>7517</v>
      </c>
      <c r="B71" s="10" t="s">
        <v>7627</v>
      </c>
      <c r="C71" s="13" t="s">
        <v>7628</v>
      </c>
      <c r="D71" s="15"/>
      <c r="E71" s="15"/>
      <c r="F71" s="15" t="s">
        <v>5817</v>
      </c>
      <c r="G71" s="11" t="s">
        <v>5793</v>
      </c>
      <c r="I71" s="13" t="s">
        <v>5674</v>
      </c>
      <c r="L71" s="73"/>
    </row>
    <row r="72">
      <c r="A72" s="12" t="s">
        <v>7484</v>
      </c>
      <c r="B72" s="10" t="s">
        <v>7629</v>
      </c>
      <c r="C72" s="13" t="s">
        <v>7630</v>
      </c>
      <c r="D72" s="15"/>
      <c r="E72" s="15"/>
      <c r="F72" s="15" t="s">
        <v>5817</v>
      </c>
      <c r="G72" s="11" t="s">
        <v>5793</v>
      </c>
      <c r="I72" s="13" t="s">
        <v>5674</v>
      </c>
      <c r="L72" s="73"/>
    </row>
    <row r="73">
      <c r="A73" s="12" t="s">
        <v>7484</v>
      </c>
      <c r="B73" s="10" t="s">
        <v>7631</v>
      </c>
      <c r="C73" s="13" t="s">
        <v>7632</v>
      </c>
      <c r="D73" s="15"/>
      <c r="E73" s="15"/>
      <c r="F73" s="15" t="s">
        <v>5817</v>
      </c>
      <c r="G73" s="11" t="s">
        <v>5793</v>
      </c>
      <c r="I73" s="13" t="s">
        <v>5674</v>
      </c>
      <c r="L73" s="73"/>
      <c r="M73" s="73"/>
    </row>
    <row r="74">
      <c r="A74" s="12" t="s">
        <v>7517</v>
      </c>
      <c r="B74" s="10" t="s">
        <v>7633</v>
      </c>
      <c r="C74" s="13" t="s">
        <v>7634</v>
      </c>
      <c r="D74" s="15"/>
      <c r="E74" s="15"/>
      <c r="F74" s="15" t="s">
        <v>5817</v>
      </c>
      <c r="G74" s="11" t="s">
        <v>5793</v>
      </c>
      <c r="I74" s="13" t="s">
        <v>5674</v>
      </c>
      <c r="L74" s="73"/>
    </row>
    <row r="75">
      <c r="A75" s="12" t="s">
        <v>7517</v>
      </c>
      <c r="B75" s="10" t="s">
        <v>7635</v>
      </c>
      <c r="C75" s="13" t="s">
        <v>7636</v>
      </c>
      <c r="D75" s="15"/>
      <c r="E75" s="15"/>
      <c r="F75" s="15" t="s">
        <v>5817</v>
      </c>
      <c r="G75" s="11" t="s">
        <v>5793</v>
      </c>
      <c r="I75" s="13" t="s">
        <v>5674</v>
      </c>
      <c r="L75" s="73"/>
    </row>
    <row r="76">
      <c r="A76" s="12" t="s">
        <v>7517</v>
      </c>
      <c r="B76" s="10" t="s">
        <v>7637</v>
      </c>
      <c r="C76" s="13" t="s">
        <v>7638</v>
      </c>
      <c r="D76" s="15"/>
      <c r="E76" s="15"/>
      <c r="F76" s="15" t="s">
        <v>5817</v>
      </c>
      <c r="G76" s="11" t="s">
        <v>5793</v>
      </c>
      <c r="I76" s="13" t="s">
        <v>5674</v>
      </c>
      <c r="L76" s="73"/>
    </row>
    <row r="77">
      <c r="A77" s="12" t="s">
        <v>7538</v>
      </c>
      <c r="B77" s="10" t="s">
        <v>7639</v>
      </c>
      <c r="C77" s="13" t="s">
        <v>7640</v>
      </c>
      <c r="D77" s="15"/>
      <c r="E77" s="15"/>
      <c r="F77" s="15" t="s">
        <v>5817</v>
      </c>
      <c r="G77" s="11" t="s">
        <v>5793</v>
      </c>
      <c r="I77" s="13" t="s">
        <v>5674</v>
      </c>
      <c r="L77" s="73"/>
      <c r="M77" s="73"/>
    </row>
    <row r="78">
      <c r="A78" s="12" t="s">
        <v>7489</v>
      </c>
      <c r="B78" s="10" t="s">
        <v>7641</v>
      </c>
      <c r="C78" s="13" t="s">
        <v>7642</v>
      </c>
      <c r="D78" s="15"/>
      <c r="E78" s="15"/>
      <c r="F78" s="15" t="s">
        <v>5817</v>
      </c>
      <c r="G78" s="11" t="s">
        <v>5793</v>
      </c>
      <c r="I78" s="13" t="s">
        <v>5674</v>
      </c>
      <c r="L78" s="73"/>
      <c r="M78" s="73"/>
    </row>
    <row r="79">
      <c r="A79" s="12" t="s">
        <v>7484</v>
      </c>
      <c r="B79" s="10" t="s">
        <v>7643</v>
      </c>
      <c r="C79" s="13" t="s">
        <v>7644</v>
      </c>
      <c r="D79" s="15"/>
      <c r="E79" s="15"/>
      <c r="F79" s="15" t="s">
        <v>5817</v>
      </c>
      <c r="G79" s="11" t="s">
        <v>5793</v>
      </c>
      <c r="I79" s="13" t="s">
        <v>5674</v>
      </c>
      <c r="L79" s="73"/>
      <c r="M79" s="73"/>
    </row>
    <row r="80">
      <c r="A80" s="12" t="s">
        <v>7484</v>
      </c>
      <c r="B80" s="10" t="s">
        <v>7645</v>
      </c>
      <c r="C80" s="13" t="s">
        <v>7646</v>
      </c>
      <c r="D80" s="15"/>
      <c r="E80" s="15"/>
      <c r="F80" s="15" t="s">
        <v>5817</v>
      </c>
      <c r="G80" s="11" t="s">
        <v>5793</v>
      </c>
      <c r="I80" s="13" t="s">
        <v>5674</v>
      </c>
      <c r="L80" s="73"/>
      <c r="M80" s="73"/>
    </row>
    <row r="81">
      <c r="A81" s="12" t="s">
        <v>7484</v>
      </c>
      <c r="B81" s="10" t="s">
        <v>7647</v>
      </c>
      <c r="C81" s="13" t="s">
        <v>7648</v>
      </c>
      <c r="D81" s="15"/>
      <c r="E81" s="15"/>
      <c r="F81" s="15" t="s">
        <v>5817</v>
      </c>
      <c r="G81" s="11" t="s">
        <v>5793</v>
      </c>
      <c r="I81" s="13" t="s">
        <v>5674</v>
      </c>
      <c r="L81" s="73"/>
      <c r="M81" s="73"/>
    </row>
    <row r="82">
      <c r="A82" s="12" t="s">
        <v>7517</v>
      </c>
      <c r="B82" s="10" t="s">
        <v>7649</v>
      </c>
      <c r="C82" s="13" t="s">
        <v>7650</v>
      </c>
      <c r="D82" s="15"/>
      <c r="E82" s="15"/>
      <c r="F82" s="15" t="s">
        <v>5817</v>
      </c>
      <c r="G82" s="11" t="s">
        <v>5793</v>
      </c>
      <c r="I82" s="13" t="s">
        <v>5674</v>
      </c>
      <c r="L82" s="73"/>
      <c r="M82" s="73"/>
    </row>
    <row r="83">
      <c r="A83" s="12" t="s">
        <v>7489</v>
      </c>
      <c r="B83" s="10" t="s">
        <v>7651</v>
      </c>
      <c r="C83" s="13" t="s">
        <v>7652</v>
      </c>
      <c r="D83" s="15"/>
      <c r="E83" s="15"/>
      <c r="F83" s="15" t="s">
        <v>5817</v>
      </c>
      <c r="G83" s="11" t="s">
        <v>5793</v>
      </c>
      <c r="I83" s="13" t="s">
        <v>5674</v>
      </c>
      <c r="L83" s="73"/>
      <c r="M83" s="73"/>
    </row>
    <row r="84">
      <c r="A84" s="12" t="s">
        <v>7484</v>
      </c>
      <c r="B84" s="10" t="s">
        <v>7653</v>
      </c>
      <c r="C84" s="13" t="s">
        <v>7654</v>
      </c>
      <c r="D84" s="15"/>
      <c r="E84" s="15"/>
      <c r="F84" s="15" t="s">
        <v>5817</v>
      </c>
      <c r="G84" s="11" t="s">
        <v>5793</v>
      </c>
      <c r="I84" s="13" t="s">
        <v>5674</v>
      </c>
      <c r="L84" s="73"/>
      <c r="M84" s="73"/>
    </row>
    <row r="85">
      <c r="A85" s="12" t="s">
        <v>7510</v>
      </c>
      <c r="B85" s="10" t="s">
        <v>7655</v>
      </c>
      <c r="C85" s="13" t="s">
        <v>7656</v>
      </c>
      <c r="D85" s="15"/>
      <c r="E85" s="15"/>
      <c r="F85" s="15" t="s">
        <v>5817</v>
      </c>
      <c r="G85" s="11" t="s">
        <v>5793</v>
      </c>
      <c r="I85" s="13" t="s">
        <v>5674</v>
      </c>
      <c r="L85" s="73"/>
      <c r="M85" s="73"/>
    </row>
    <row r="86">
      <c r="A86" s="12" t="s">
        <v>7484</v>
      </c>
      <c r="B86" s="10" t="s">
        <v>7657</v>
      </c>
      <c r="C86" s="13" t="s">
        <v>7658</v>
      </c>
      <c r="D86" s="15"/>
      <c r="E86" s="15"/>
      <c r="F86" s="15" t="s">
        <v>5817</v>
      </c>
      <c r="G86" s="11" t="s">
        <v>5793</v>
      </c>
      <c r="I86" s="13" t="s">
        <v>5674</v>
      </c>
      <c r="L86" s="73"/>
      <c r="M86" s="73"/>
    </row>
    <row r="87">
      <c r="A87" s="12" t="s">
        <v>7484</v>
      </c>
      <c r="B87" s="10" t="s">
        <v>7659</v>
      </c>
      <c r="C87" s="13" t="s">
        <v>7660</v>
      </c>
      <c r="D87" s="15"/>
      <c r="E87" s="15"/>
      <c r="F87" s="15" t="s">
        <v>5817</v>
      </c>
      <c r="G87" s="11" t="s">
        <v>5793</v>
      </c>
      <c r="I87" s="13" t="s">
        <v>5674</v>
      </c>
      <c r="L87" s="73"/>
      <c r="M87" s="73"/>
    </row>
    <row r="88">
      <c r="A88" s="12" t="s">
        <v>7517</v>
      </c>
      <c r="B88" s="10" t="s">
        <v>7661</v>
      </c>
      <c r="C88" s="13" t="s">
        <v>7662</v>
      </c>
      <c r="D88" s="15"/>
      <c r="E88" s="15"/>
      <c r="F88" s="15" t="s">
        <v>5817</v>
      </c>
      <c r="G88" s="11" t="s">
        <v>5793</v>
      </c>
      <c r="I88" s="13" t="s">
        <v>5674</v>
      </c>
      <c r="L88" s="73"/>
      <c r="M88" s="73"/>
    </row>
    <row r="89">
      <c r="A89" s="12" t="s">
        <v>7489</v>
      </c>
      <c r="B89" s="10" t="s">
        <v>7663</v>
      </c>
      <c r="C89" s="13" t="s">
        <v>7664</v>
      </c>
      <c r="D89" s="15"/>
      <c r="E89" s="15"/>
      <c r="F89" s="15" t="s">
        <v>5817</v>
      </c>
      <c r="G89" s="11" t="s">
        <v>5793</v>
      </c>
      <c r="I89" s="13" t="s">
        <v>5674</v>
      </c>
      <c r="L89" s="73"/>
      <c r="M89" s="73"/>
    </row>
    <row r="90">
      <c r="A90" s="12" t="s">
        <v>7489</v>
      </c>
      <c r="B90" s="10" t="s">
        <v>7665</v>
      </c>
      <c r="C90" s="13" t="s">
        <v>7666</v>
      </c>
      <c r="D90" s="15"/>
      <c r="E90" s="15"/>
      <c r="F90" s="15" t="s">
        <v>5817</v>
      </c>
      <c r="G90" s="11" t="s">
        <v>5793</v>
      </c>
      <c r="I90" s="13" t="s">
        <v>5674</v>
      </c>
      <c r="L90" s="73"/>
      <c r="M90" s="73"/>
    </row>
    <row r="91">
      <c r="A91" s="12" t="s">
        <v>7484</v>
      </c>
      <c r="B91" s="10" t="s">
        <v>7667</v>
      </c>
      <c r="C91" s="13" t="s">
        <v>7668</v>
      </c>
      <c r="D91" s="15"/>
      <c r="E91" s="15"/>
      <c r="F91" s="15" t="s">
        <v>5817</v>
      </c>
      <c r="G91" s="11" t="s">
        <v>5793</v>
      </c>
      <c r="I91" s="13" t="s">
        <v>5674</v>
      </c>
      <c r="L91" s="73"/>
      <c r="M91" s="73"/>
    </row>
    <row r="92">
      <c r="A92" s="12" t="s">
        <v>7484</v>
      </c>
      <c r="B92" s="10" t="s">
        <v>7669</v>
      </c>
      <c r="C92" s="13" t="s">
        <v>7670</v>
      </c>
      <c r="D92" s="15"/>
      <c r="E92" s="15"/>
      <c r="F92" s="15" t="s">
        <v>5817</v>
      </c>
      <c r="G92" s="11" t="s">
        <v>5793</v>
      </c>
      <c r="I92" s="13" t="s">
        <v>5674</v>
      </c>
      <c r="L92" s="73"/>
      <c r="M92" s="73"/>
    </row>
    <row r="93">
      <c r="A93" s="12" t="s">
        <v>7484</v>
      </c>
      <c r="B93" s="10" t="s">
        <v>7671</v>
      </c>
      <c r="C93" s="13" t="s">
        <v>7672</v>
      </c>
      <c r="D93" s="15"/>
      <c r="E93" s="15"/>
      <c r="F93" s="15" t="s">
        <v>5817</v>
      </c>
      <c r="G93" s="11" t="s">
        <v>5793</v>
      </c>
      <c r="I93" s="13" t="s">
        <v>5674</v>
      </c>
      <c r="L93" s="73"/>
      <c r="M93" s="73"/>
    </row>
    <row r="94">
      <c r="A94" s="12" t="s">
        <v>7489</v>
      </c>
      <c r="B94" s="10" t="s">
        <v>7673</v>
      </c>
      <c r="C94" s="13" t="s">
        <v>7674</v>
      </c>
      <c r="D94" s="15"/>
      <c r="E94" s="15"/>
      <c r="F94" s="15" t="s">
        <v>5817</v>
      </c>
      <c r="G94" s="11" t="s">
        <v>5793</v>
      </c>
      <c r="I94" s="13" t="s">
        <v>5674</v>
      </c>
      <c r="L94" s="73"/>
      <c r="M94" s="73"/>
    </row>
    <row r="95">
      <c r="A95" s="12" t="s">
        <v>7484</v>
      </c>
      <c r="B95" s="10" t="s">
        <v>7675</v>
      </c>
      <c r="C95" s="13" t="s">
        <v>7676</v>
      </c>
      <c r="D95" s="15"/>
      <c r="E95" s="15"/>
      <c r="F95" s="15" t="s">
        <v>5817</v>
      </c>
      <c r="G95" s="11" t="s">
        <v>5793</v>
      </c>
      <c r="I95" s="13" t="s">
        <v>5674</v>
      </c>
      <c r="L95" s="73"/>
      <c r="M95" s="73"/>
    </row>
    <row r="96">
      <c r="A96" s="12" t="s">
        <v>7484</v>
      </c>
      <c r="B96" s="10" t="s">
        <v>7677</v>
      </c>
      <c r="C96" s="13" t="s">
        <v>7678</v>
      </c>
      <c r="D96" s="15"/>
      <c r="E96" s="15"/>
      <c r="F96" s="15" t="s">
        <v>5817</v>
      </c>
      <c r="G96" s="11" t="s">
        <v>5793</v>
      </c>
      <c r="I96" s="13" t="s">
        <v>5674</v>
      </c>
      <c r="L96" s="73"/>
      <c r="M96" s="73"/>
    </row>
    <row r="97">
      <c r="A97" s="12" t="s">
        <v>7517</v>
      </c>
      <c r="B97" s="10" t="s">
        <v>7679</v>
      </c>
      <c r="C97" s="13" t="s">
        <v>7680</v>
      </c>
      <c r="D97" s="15"/>
      <c r="E97" s="15"/>
      <c r="F97" s="15" t="s">
        <v>5817</v>
      </c>
      <c r="G97" s="11" t="s">
        <v>5793</v>
      </c>
      <c r="I97" s="13" t="s">
        <v>5674</v>
      </c>
      <c r="L97" s="73"/>
      <c r="M97" s="73"/>
    </row>
    <row r="98">
      <c r="A98" s="12" t="s">
        <v>7484</v>
      </c>
      <c r="B98" s="10" t="s">
        <v>7681</v>
      </c>
      <c r="C98" s="13" t="s">
        <v>7682</v>
      </c>
      <c r="D98" s="15"/>
      <c r="E98" s="15"/>
      <c r="F98" s="15" t="s">
        <v>5817</v>
      </c>
      <c r="G98" s="11" t="s">
        <v>5793</v>
      </c>
      <c r="I98" s="13" t="s">
        <v>5674</v>
      </c>
      <c r="L98" s="73"/>
      <c r="M98" s="73"/>
    </row>
    <row r="99">
      <c r="A99" s="12" t="s">
        <v>7484</v>
      </c>
      <c r="B99" s="10" t="s">
        <v>7683</v>
      </c>
      <c r="C99" s="13" t="s">
        <v>7684</v>
      </c>
      <c r="D99" s="15"/>
      <c r="E99" s="15"/>
      <c r="F99" s="15" t="s">
        <v>5817</v>
      </c>
      <c r="G99" s="11" t="s">
        <v>5793</v>
      </c>
      <c r="I99" s="13" t="s">
        <v>5674</v>
      </c>
      <c r="L99" s="73"/>
      <c r="M99" s="73"/>
    </row>
    <row r="100">
      <c r="A100" s="12" t="s">
        <v>7510</v>
      </c>
      <c r="B100" s="10" t="s">
        <v>7685</v>
      </c>
      <c r="C100" s="13" t="s">
        <v>7686</v>
      </c>
      <c r="D100" s="15"/>
      <c r="E100" s="15"/>
      <c r="F100" s="15" t="s">
        <v>5817</v>
      </c>
      <c r="G100" s="11" t="s">
        <v>5793</v>
      </c>
      <c r="I100" s="13" t="s">
        <v>5674</v>
      </c>
      <c r="L100" s="73"/>
      <c r="M100" s="73"/>
    </row>
    <row r="101">
      <c r="A101" s="12" t="s">
        <v>7517</v>
      </c>
      <c r="B101" s="10" t="s">
        <v>7687</v>
      </c>
      <c r="C101" s="13" t="s">
        <v>7688</v>
      </c>
      <c r="D101" s="15"/>
      <c r="E101" s="15"/>
      <c r="F101" s="15" t="s">
        <v>5817</v>
      </c>
      <c r="G101" s="11" t="s">
        <v>5793</v>
      </c>
      <c r="I101" s="13" t="s">
        <v>5674</v>
      </c>
      <c r="L101" s="73"/>
      <c r="M101" s="73"/>
    </row>
    <row r="102">
      <c r="A102" s="12" t="s">
        <v>7489</v>
      </c>
      <c r="B102" s="10" t="s">
        <v>7689</v>
      </c>
      <c r="C102" s="13" t="s">
        <v>7690</v>
      </c>
      <c r="D102" s="15"/>
      <c r="E102" s="15"/>
      <c r="F102" s="15" t="s">
        <v>5817</v>
      </c>
      <c r="G102" s="11" t="s">
        <v>5793</v>
      </c>
      <c r="I102" s="13" t="s">
        <v>5674</v>
      </c>
      <c r="L102" s="73"/>
      <c r="M102" s="73"/>
    </row>
    <row r="103">
      <c r="A103" s="12" t="s">
        <v>7484</v>
      </c>
      <c r="B103" s="10" t="s">
        <v>7691</v>
      </c>
      <c r="C103" s="13" t="s">
        <v>7692</v>
      </c>
      <c r="D103" s="15"/>
      <c r="E103" s="15"/>
      <c r="F103" s="15" t="s">
        <v>5817</v>
      </c>
      <c r="G103" s="11" t="s">
        <v>5793</v>
      </c>
      <c r="I103" s="13" t="s">
        <v>5674</v>
      </c>
      <c r="L103" s="73"/>
      <c r="M103" s="73"/>
    </row>
    <row r="104">
      <c r="A104" s="12" t="s">
        <v>7499</v>
      </c>
      <c r="B104" s="10" t="s">
        <v>7693</v>
      </c>
      <c r="C104" s="13" t="s">
        <v>7694</v>
      </c>
      <c r="D104" s="15"/>
      <c r="E104" s="15"/>
      <c r="F104" s="15" t="s">
        <v>5817</v>
      </c>
      <c r="G104" s="11" t="s">
        <v>5793</v>
      </c>
      <c r="I104" s="13" t="s">
        <v>5674</v>
      </c>
      <c r="L104" s="73"/>
      <c r="M104" s="73"/>
    </row>
    <row r="105">
      <c r="A105" s="12"/>
      <c r="B105" s="10"/>
      <c r="D105" s="15"/>
      <c r="E105" s="15"/>
      <c r="F105" s="15" t="s">
        <v>5817</v>
      </c>
      <c r="G105" s="11" t="s">
        <v>5793</v>
      </c>
      <c r="I105" s="13" t="s">
        <v>5674</v>
      </c>
      <c r="L105" s="73"/>
      <c r="M105" s="73"/>
    </row>
    <row r="106">
      <c r="A106" s="12"/>
      <c r="B106" s="10"/>
      <c r="D106" s="15"/>
      <c r="E106" s="15"/>
      <c r="F106" s="15" t="s">
        <v>5817</v>
      </c>
      <c r="G106" s="11" t="s">
        <v>5793</v>
      </c>
      <c r="I106" s="13" t="s">
        <v>5674</v>
      </c>
      <c r="L106" s="73"/>
      <c r="M106" s="73"/>
    </row>
    <row r="107">
      <c r="A107" s="12"/>
      <c r="B107" s="10"/>
      <c r="D107" s="15"/>
      <c r="E107" s="15"/>
      <c r="F107" s="15" t="s">
        <v>5817</v>
      </c>
      <c r="G107" s="11" t="s">
        <v>5793</v>
      </c>
      <c r="I107" s="13" t="s">
        <v>5674</v>
      </c>
      <c r="L107" s="73"/>
      <c r="M107" s="73"/>
    </row>
    <row r="108">
      <c r="A108" s="12"/>
      <c r="B108" s="10"/>
      <c r="D108" s="15"/>
      <c r="E108" s="15"/>
      <c r="F108" s="15" t="s">
        <v>5817</v>
      </c>
      <c r="G108" s="11" t="s">
        <v>5793</v>
      </c>
      <c r="I108" s="13" t="s">
        <v>5674</v>
      </c>
      <c r="L108" s="73"/>
      <c r="M108" s="73"/>
    </row>
    <row r="109">
      <c r="A109" s="12"/>
      <c r="B109" s="10"/>
      <c r="D109" s="15"/>
      <c r="E109" s="15"/>
      <c r="F109" s="15" t="s">
        <v>5817</v>
      </c>
      <c r="G109" s="11" t="s">
        <v>5793</v>
      </c>
      <c r="I109" s="13" t="s">
        <v>5674</v>
      </c>
      <c r="L109" s="73"/>
    </row>
    <row r="110">
      <c r="A110" s="12"/>
      <c r="B110" s="10"/>
      <c r="D110" s="15"/>
      <c r="E110" s="15"/>
      <c r="F110" s="15" t="s">
        <v>5817</v>
      </c>
      <c r="G110" s="11" t="s">
        <v>5793</v>
      </c>
      <c r="I110" s="13" t="s">
        <v>5674</v>
      </c>
      <c r="L110" s="73"/>
    </row>
    <row r="111">
      <c r="A111" s="12"/>
      <c r="B111" s="10"/>
      <c r="D111" s="15"/>
      <c r="E111" s="15"/>
      <c r="F111" s="15" t="s">
        <v>5817</v>
      </c>
      <c r="G111" s="11" t="s">
        <v>5793</v>
      </c>
      <c r="I111" s="13" t="s">
        <v>5674</v>
      </c>
      <c r="L111" s="73"/>
      <c r="M111" s="73"/>
    </row>
    <row r="112">
      <c r="A112" s="12"/>
      <c r="B112" s="10"/>
      <c r="D112" s="15"/>
      <c r="E112" s="15"/>
      <c r="F112" s="15" t="s">
        <v>5817</v>
      </c>
      <c r="G112" s="11" t="s">
        <v>5793</v>
      </c>
      <c r="I112" s="13" t="s">
        <v>5674</v>
      </c>
      <c r="L112" s="73"/>
    </row>
    <row r="113">
      <c r="A113" s="12"/>
      <c r="B113" s="10"/>
      <c r="D113" s="15"/>
      <c r="E113" s="15"/>
      <c r="F113" s="15" t="s">
        <v>5817</v>
      </c>
      <c r="G113" s="11" t="s">
        <v>5793</v>
      </c>
      <c r="I113" s="13" t="s">
        <v>5674</v>
      </c>
      <c r="L113" s="73"/>
    </row>
    <row r="114">
      <c r="A114" s="12"/>
      <c r="B114" s="10"/>
      <c r="D114" s="15"/>
      <c r="E114" s="15"/>
      <c r="F114" s="15" t="s">
        <v>5817</v>
      </c>
      <c r="G114" s="11" t="s">
        <v>5793</v>
      </c>
      <c r="I114" s="13" t="s">
        <v>5674</v>
      </c>
      <c r="L114" s="73"/>
    </row>
    <row r="115">
      <c r="A115" s="12"/>
      <c r="B115" s="10"/>
      <c r="D115" s="15"/>
      <c r="E115" s="15"/>
      <c r="F115" s="15" t="s">
        <v>5817</v>
      </c>
      <c r="G115" s="11" t="s">
        <v>5793</v>
      </c>
      <c r="I115" s="13" t="s">
        <v>5674</v>
      </c>
      <c r="L115" s="73"/>
      <c r="M115" s="73"/>
    </row>
    <row r="116">
      <c r="A116" s="12"/>
      <c r="B116" s="10"/>
      <c r="D116" s="15"/>
      <c r="E116" s="15"/>
      <c r="F116" s="15" t="s">
        <v>5817</v>
      </c>
      <c r="G116" s="11" t="s">
        <v>5793</v>
      </c>
      <c r="I116" s="13" t="s">
        <v>5674</v>
      </c>
      <c r="L116" s="73"/>
      <c r="M116" s="73"/>
    </row>
    <row r="117">
      <c r="A117" s="12"/>
      <c r="B117" s="10"/>
      <c r="D117" s="15"/>
      <c r="E117" s="15"/>
      <c r="F117" s="15" t="s">
        <v>5817</v>
      </c>
      <c r="G117" s="11" t="s">
        <v>5793</v>
      </c>
      <c r="I117" s="13" t="s">
        <v>5674</v>
      </c>
      <c r="L117" s="73"/>
      <c r="M117" s="73"/>
    </row>
    <row r="118">
      <c r="A118" s="12"/>
      <c r="B118" s="10"/>
      <c r="D118" s="15"/>
      <c r="E118" s="15"/>
      <c r="F118" s="15" t="s">
        <v>5817</v>
      </c>
      <c r="G118" s="11" t="s">
        <v>5793</v>
      </c>
      <c r="I118" s="13" t="s">
        <v>5674</v>
      </c>
      <c r="L118" s="73"/>
      <c r="M118" s="73"/>
    </row>
    <row r="119">
      <c r="A119" s="12"/>
      <c r="B119" s="10"/>
      <c r="D119" s="15"/>
      <c r="E119" s="15"/>
      <c r="F119" s="15" t="s">
        <v>5817</v>
      </c>
      <c r="G119" s="11" t="s">
        <v>5793</v>
      </c>
      <c r="I119" s="13" t="s">
        <v>5674</v>
      </c>
      <c r="L119" s="73"/>
    </row>
    <row r="120">
      <c r="A120" s="12"/>
      <c r="B120" s="10"/>
      <c r="D120" s="15"/>
      <c r="E120" s="15"/>
      <c r="F120" s="15" t="s">
        <v>5817</v>
      </c>
      <c r="G120" s="11" t="s">
        <v>5793</v>
      </c>
      <c r="I120" s="13" t="s">
        <v>5674</v>
      </c>
      <c r="L120" s="73"/>
    </row>
    <row r="121">
      <c r="A121" s="12"/>
      <c r="B121" s="10"/>
      <c r="D121" s="15"/>
      <c r="E121" s="15"/>
      <c r="F121" s="15" t="s">
        <v>5817</v>
      </c>
      <c r="G121" s="11" t="s">
        <v>5793</v>
      </c>
      <c r="I121" s="13" t="s">
        <v>5674</v>
      </c>
      <c r="L121" s="73"/>
    </row>
    <row r="122">
      <c r="A122" s="12"/>
      <c r="B122" s="10"/>
      <c r="D122" s="15"/>
      <c r="E122" s="15"/>
      <c r="F122" s="15" t="s">
        <v>5817</v>
      </c>
      <c r="G122" s="11" t="s">
        <v>5793</v>
      </c>
      <c r="I122" s="13" t="s">
        <v>5674</v>
      </c>
      <c r="L122" s="73"/>
      <c r="M122" s="73"/>
    </row>
    <row r="123">
      <c r="A123" s="12"/>
      <c r="B123" s="10"/>
      <c r="D123" s="15"/>
      <c r="E123" s="15"/>
      <c r="F123" s="15" t="s">
        <v>5817</v>
      </c>
      <c r="G123" s="11" t="s">
        <v>5793</v>
      </c>
      <c r="H123" s="13" t="s">
        <v>5932</v>
      </c>
      <c r="I123" s="13" t="s">
        <v>5674</v>
      </c>
      <c r="L123" s="73"/>
    </row>
    <row r="124">
      <c r="A124" s="12"/>
      <c r="B124" s="10"/>
      <c r="D124" s="15"/>
      <c r="E124" s="15"/>
      <c r="F124" s="15" t="s">
        <v>5817</v>
      </c>
      <c r="G124" s="11" t="s">
        <v>5793</v>
      </c>
      <c r="I124" s="13" t="s">
        <v>5674</v>
      </c>
      <c r="L124" s="73"/>
    </row>
    <row r="125">
      <c r="A125" s="12"/>
      <c r="B125" s="10"/>
      <c r="D125" s="15"/>
      <c r="E125" s="15"/>
      <c r="F125" s="15" t="s">
        <v>5817</v>
      </c>
      <c r="G125" s="11" t="s">
        <v>5793</v>
      </c>
      <c r="I125" s="13" t="s">
        <v>5674</v>
      </c>
      <c r="L125" s="73"/>
      <c r="M125" s="73"/>
    </row>
    <row r="126">
      <c r="A126" s="12"/>
      <c r="B126" s="10"/>
      <c r="D126" s="15"/>
      <c r="E126" s="15"/>
      <c r="F126" s="15" t="s">
        <v>5817</v>
      </c>
      <c r="G126" s="11" t="s">
        <v>5793</v>
      </c>
      <c r="I126" s="13" t="s">
        <v>5674</v>
      </c>
      <c r="L126" s="73"/>
      <c r="M126" s="73"/>
    </row>
    <row r="127">
      <c r="A127" s="12"/>
      <c r="B127" s="10"/>
      <c r="D127" s="15"/>
      <c r="E127" s="15"/>
      <c r="F127" s="15" t="s">
        <v>5817</v>
      </c>
      <c r="G127" s="11" t="s">
        <v>5793</v>
      </c>
      <c r="I127" s="13" t="s">
        <v>5674</v>
      </c>
      <c r="L127" s="73"/>
      <c r="M127" s="73"/>
    </row>
    <row r="128">
      <c r="A128" s="12"/>
      <c r="B128" s="10"/>
      <c r="D128" s="15"/>
      <c r="E128" s="15"/>
      <c r="F128" s="15" t="s">
        <v>5817</v>
      </c>
      <c r="G128" s="11" t="s">
        <v>5793</v>
      </c>
      <c r="I128" s="13" t="s">
        <v>5674</v>
      </c>
      <c r="L128" s="73"/>
    </row>
    <row r="129">
      <c r="A129" s="12"/>
      <c r="B129" s="10"/>
      <c r="D129" s="15"/>
      <c r="E129" s="15"/>
      <c r="F129" s="15" t="s">
        <v>5817</v>
      </c>
      <c r="G129" s="11" t="s">
        <v>5793</v>
      </c>
      <c r="I129" s="13" t="s">
        <v>5674</v>
      </c>
      <c r="L129" s="73"/>
      <c r="M129" s="73"/>
    </row>
    <row r="130">
      <c r="A130" s="12"/>
      <c r="B130" s="10"/>
      <c r="D130" s="15"/>
      <c r="E130" s="15"/>
      <c r="F130" s="15" t="s">
        <v>5817</v>
      </c>
      <c r="G130" s="11" t="s">
        <v>5793</v>
      </c>
      <c r="I130" s="13" t="s">
        <v>5674</v>
      </c>
      <c r="L130" s="73"/>
      <c r="M130" s="73"/>
    </row>
    <row r="131">
      <c r="A131" s="12"/>
      <c r="B131" s="10"/>
      <c r="D131" s="15"/>
      <c r="E131" s="15"/>
      <c r="F131" s="15" t="s">
        <v>5817</v>
      </c>
      <c r="G131" s="11" t="s">
        <v>5793</v>
      </c>
      <c r="I131" s="13" t="s">
        <v>5674</v>
      </c>
      <c r="L131" s="73"/>
      <c r="M131" s="73"/>
    </row>
    <row r="132">
      <c r="A132" s="12"/>
      <c r="B132" s="10"/>
      <c r="D132" s="15"/>
      <c r="E132" s="15"/>
      <c r="F132" s="15" t="s">
        <v>5817</v>
      </c>
      <c r="G132" s="11" t="s">
        <v>5793</v>
      </c>
      <c r="I132" s="13" t="s">
        <v>5674</v>
      </c>
      <c r="L132" s="73"/>
      <c r="M132" s="73"/>
    </row>
    <row r="133">
      <c r="A133" s="12"/>
      <c r="B133" s="10"/>
      <c r="D133" s="15"/>
      <c r="E133" s="15"/>
      <c r="F133" s="15" t="s">
        <v>5817</v>
      </c>
      <c r="G133" s="11" t="s">
        <v>5793</v>
      </c>
      <c r="I133" s="13" t="s">
        <v>5674</v>
      </c>
      <c r="L133" s="73"/>
    </row>
    <row r="134">
      <c r="A134" s="12"/>
      <c r="B134" s="10"/>
      <c r="D134" s="15"/>
      <c r="E134" s="15"/>
      <c r="F134" s="15" t="s">
        <v>5817</v>
      </c>
      <c r="G134" s="11" t="s">
        <v>5793</v>
      </c>
      <c r="I134" s="13" t="s">
        <v>5674</v>
      </c>
      <c r="L134" s="73"/>
    </row>
    <row r="135">
      <c r="A135" s="12"/>
      <c r="B135" s="10"/>
      <c r="D135" s="15"/>
      <c r="E135" s="15"/>
      <c r="F135" s="15" t="s">
        <v>5817</v>
      </c>
      <c r="G135" s="11" t="s">
        <v>5793</v>
      </c>
      <c r="I135" s="13" t="s">
        <v>5674</v>
      </c>
      <c r="L135" s="73"/>
    </row>
    <row r="136">
      <c r="A136" s="12"/>
      <c r="B136" s="10"/>
      <c r="D136" s="10"/>
      <c r="E136" s="10"/>
      <c r="F136" s="10" t="s">
        <v>5960</v>
      </c>
      <c r="G136" s="11" t="s">
        <v>5793</v>
      </c>
      <c r="H136" s="13" t="s">
        <v>5932</v>
      </c>
      <c r="I136" s="13" t="s">
        <v>5674</v>
      </c>
      <c r="L136" s="73"/>
    </row>
    <row r="137">
      <c r="A137" s="12"/>
      <c r="B137" s="10"/>
      <c r="D137" s="10"/>
      <c r="E137" s="10"/>
      <c r="F137" s="10" t="s">
        <v>5960</v>
      </c>
      <c r="G137" s="11" t="s">
        <v>5793</v>
      </c>
      <c r="I137" s="13" t="s">
        <v>5674</v>
      </c>
      <c r="L137" s="73"/>
    </row>
    <row r="138">
      <c r="A138" s="12"/>
      <c r="B138" s="10"/>
      <c r="D138" s="15"/>
      <c r="E138" s="15"/>
      <c r="F138" s="15" t="s">
        <v>5966</v>
      </c>
      <c r="G138" s="11" t="s">
        <v>5793</v>
      </c>
      <c r="I138" s="13" t="s">
        <v>5674</v>
      </c>
      <c r="L138" s="73"/>
      <c r="M138" s="73"/>
    </row>
    <row r="139">
      <c r="A139" s="12"/>
      <c r="B139" s="10"/>
      <c r="D139" s="15"/>
      <c r="E139" s="15"/>
      <c r="F139" s="15" t="s">
        <v>5966</v>
      </c>
      <c r="G139" s="11" t="s">
        <v>5793</v>
      </c>
      <c r="I139" s="13" t="s">
        <v>5674</v>
      </c>
      <c r="L139" s="73"/>
      <c r="M139" s="73"/>
    </row>
    <row r="140">
      <c r="A140" s="12"/>
      <c r="B140" s="10"/>
      <c r="D140" s="15"/>
      <c r="E140" s="15"/>
      <c r="F140" s="15" t="s">
        <v>5966</v>
      </c>
      <c r="G140" s="11" t="s">
        <v>5793</v>
      </c>
      <c r="I140" s="13" t="s">
        <v>5674</v>
      </c>
      <c r="L140" s="73"/>
      <c r="M140" s="73"/>
    </row>
    <row r="141">
      <c r="A141" s="12"/>
      <c r="B141" s="10"/>
      <c r="D141" s="15"/>
      <c r="E141" s="15"/>
      <c r="F141" s="15" t="s">
        <v>5966</v>
      </c>
      <c r="G141" s="11" t="s">
        <v>5793</v>
      </c>
      <c r="H141" s="13" t="s">
        <v>5932</v>
      </c>
      <c r="I141" s="13" t="s">
        <v>5674</v>
      </c>
      <c r="L141" s="73"/>
      <c r="M141" s="73"/>
    </row>
    <row r="142">
      <c r="A142" s="12"/>
      <c r="B142" s="10"/>
      <c r="D142" s="15"/>
      <c r="E142" s="15"/>
      <c r="F142" s="15" t="s">
        <v>5966</v>
      </c>
      <c r="G142" s="11" t="s">
        <v>5793</v>
      </c>
      <c r="I142" s="13" t="s">
        <v>5674</v>
      </c>
      <c r="L142" s="73"/>
      <c r="M142" s="73"/>
    </row>
    <row r="143">
      <c r="A143" s="12"/>
      <c r="B143" s="10"/>
      <c r="D143" s="15"/>
      <c r="E143" s="15"/>
      <c r="F143" s="15" t="s">
        <v>5966</v>
      </c>
      <c r="G143" s="11" t="s">
        <v>5793</v>
      </c>
      <c r="I143" s="13" t="s">
        <v>5674</v>
      </c>
      <c r="L143" s="73"/>
      <c r="M143" s="73"/>
    </row>
    <row r="144">
      <c r="A144" s="12"/>
      <c r="B144" s="10"/>
      <c r="D144" s="15"/>
      <c r="E144" s="15"/>
      <c r="F144" s="15" t="s">
        <v>5966</v>
      </c>
      <c r="G144" s="11" t="s">
        <v>5793</v>
      </c>
      <c r="I144" s="13" t="s">
        <v>5674</v>
      </c>
      <c r="L144" s="73"/>
      <c r="M144" s="73"/>
    </row>
    <row r="145">
      <c r="A145" s="12"/>
      <c r="B145" s="10"/>
      <c r="D145" s="15"/>
      <c r="E145" s="15"/>
      <c r="F145" s="15" t="s">
        <v>5966</v>
      </c>
      <c r="G145" s="11" t="s">
        <v>5793</v>
      </c>
      <c r="H145" s="13" t="s">
        <v>5932</v>
      </c>
      <c r="I145" s="13" t="s">
        <v>5674</v>
      </c>
      <c r="L145" s="73"/>
      <c r="M145" s="73"/>
    </row>
    <row r="146">
      <c r="A146" s="12"/>
      <c r="B146" s="10"/>
      <c r="D146" s="15"/>
      <c r="E146" s="15"/>
      <c r="F146" s="15" t="s">
        <v>5966</v>
      </c>
      <c r="G146" s="11" t="s">
        <v>5793</v>
      </c>
      <c r="H146" s="13" t="s">
        <v>5932</v>
      </c>
      <c r="I146" s="13" t="s">
        <v>5674</v>
      </c>
      <c r="L146" s="73"/>
      <c r="M146" s="73"/>
    </row>
    <row r="147">
      <c r="A147" s="12"/>
      <c r="B147" s="10"/>
      <c r="D147" s="10"/>
      <c r="E147" s="10"/>
      <c r="F147" s="10" t="s">
        <v>5986</v>
      </c>
      <c r="G147" s="11" t="s">
        <v>5793</v>
      </c>
      <c r="H147" s="13" t="s">
        <v>5932</v>
      </c>
      <c r="I147" s="13" t="s">
        <v>5674</v>
      </c>
      <c r="L147" s="73"/>
      <c r="M147" s="73"/>
    </row>
    <row r="148">
      <c r="A148" s="12"/>
      <c r="B148" s="10"/>
      <c r="D148" s="10"/>
      <c r="E148" s="10"/>
      <c r="F148" s="10" t="s">
        <v>5986</v>
      </c>
      <c r="G148" s="11" t="s">
        <v>5793</v>
      </c>
      <c r="I148" s="13" t="s">
        <v>5674</v>
      </c>
      <c r="L148" s="73"/>
      <c r="M148" s="73"/>
    </row>
    <row r="149">
      <c r="A149" s="12"/>
      <c r="B149" s="10"/>
      <c r="D149" s="10"/>
      <c r="E149" s="10"/>
      <c r="F149" s="10" t="s">
        <v>5986</v>
      </c>
      <c r="G149" s="11" t="s">
        <v>5793</v>
      </c>
      <c r="I149" s="13" t="s">
        <v>5674</v>
      </c>
      <c r="L149" s="73"/>
      <c r="M149" s="73"/>
    </row>
    <row r="150">
      <c r="A150" s="12"/>
      <c r="B150" s="10"/>
      <c r="D150" s="10"/>
      <c r="E150" s="10"/>
      <c r="F150" s="10" t="s">
        <v>5986</v>
      </c>
      <c r="G150" s="11" t="s">
        <v>5793</v>
      </c>
      <c r="I150" s="13" t="s">
        <v>5674</v>
      </c>
      <c r="L150" s="73"/>
      <c r="M150" s="73"/>
    </row>
    <row r="151">
      <c r="A151" s="12"/>
      <c r="B151" s="10"/>
      <c r="D151" s="10"/>
      <c r="E151" s="10"/>
      <c r="F151" s="10" t="s">
        <v>5986</v>
      </c>
      <c r="G151" s="11" t="s">
        <v>5793</v>
      </c>
      <c r="I151" s="13" t="s">
        <v>5674</v>
      </c>
      <c r="L151" s="73"/>
      <c r="M151" s="73"/>
    </row>
    <row r="152">
      <c r="A152" s="12"/>
      <c r="B152" s="10"/>
      <c r="D152" s="15"/>
      <c r="E152" s="15"/>
      <c r="F152" s="15" t="s">
        <v>5994</v>
      </c>
      <c r="G152" s="11" t="s">
        <v>5793</v>
      </c>
      <c r="H152" s="13" t="s">
        <v>5932</v>
      </c>
      <c r="I152" s="13" t="s">
        <v>5674</v>
      </c>
      <c r="L152" s="73"/>
      <c r="M152" s="73"/>
    </row>
    <row r="153">
      <c r="A153" s="12"/>
      <c r="B153" s="10"/>
      <c r="D153" s="15"/>
      <c r="E153" s="15"/>
      <c r="F153" s="15" t="s">
        <v>5994</v>
      </c>
      <c r="G153" s="11" t="s">
        <v>5793</v>
      </c>
      <c r="I153" s="13" t="s">
        <v>5674</v>
      </c>
      <c r="L153" s="73"/>
      <c r="M153" s="73"/>
    </row>
    <row r="154">
      <c r="A154" s="12"/>
      <c r="B154" s="10"/>
      <c r="D154" s="15"/>
      <c r="E154" s="15"/>
      <c r="F154" s="15" t="s">
        <v>5994</v>
      </c>
      <c r="G154" s="11" t="s">
        <v>5793</v>
      </c>
      <c r="I154" s="13" t="s">
        <v>5674</v>
      </c>
      <c r="L154" s="73"/>
      <c r="M154" s="73"/>
    </row>
    <row r="155">
      <c r="A155" s="12"/>
      <c r="B155" s="10"/>
      <c r="D155" s="15"/>
      <c r="E155" s="15"/>
      <c r="F155" s="15" t="s">
        <v>5994</v>
      </c>
      <c r="G155" s="11" t="s">
        <v>5793</v>
      </c>
      <c r="I155" s="13" t="s">
        <v>5674</v>
      </c>
      <c r="L155" s="73"/>
      <c r="M155" s="73"/>
    </row>
    <row r="156">
      <c r="A156" s="12"/>
      <c r="B156" s="10"/>
      <c r="D156" s="10"/>
      <c r="E156" s="10"/>
      <c r="F156" s="10" t="s">
        <v>6001</v>
      </c>
      <c r="G156" s="11" t="s">
        <v>5793</v>
      </c>
      <c r="H156" s="13" t="s">
        <v>5932</v>
      </c>
      <c r="I156" s="13" t="s">
        <v>5674</v>
      </c>
      <c r="L156" s="73"/>
      <c r="M156" s="73"/>
    </row>
    <row r="157">
      <c r="A157" s="12"/>
      <c r="B157" s="10"/>
      <c r="D157" s="10"/>
      <c r="E157" s="10"/>
      <c r="F157" s="10" t="s">
        <v>6001</v>
      </c>
      <c r="G157" s="11" t="s">
        <v>5793</v>
      </c>
      <c r="I157" s="13" t="s">
        <v>5674</v>
      </c>
      <c r="L157" s="73"/>
      <c r="M157" s="73"/>
    </row>
    <row r="158">
      <c r="A158" s="12"/>
      <c r="B158" s="10"/>
      <c r="D158" s="10"/>
      <c r="E158" s="10"/>
      <c r="F158" s="10" t="s">
        <v>6001</v>
      </c>
      <c r="G158" s="11" t="s">
        <v>5793</v>
      </c>
      <c r="I158" s="13" t="s">
        <v>5674</v>
      </c>
      <c r="L158" s="73"/>
      <c r="M158" s="73"/>
    </row>
    <row r="159">
      <c r="A159" s="12"/>
      <c r="B159" s="10"/>
      <c r="C159" s="84"/>
      <c r="D159" s="10"/>
      <c r="E159" s="10"/>
      <c r="F159" s="10" t="s">
        <v>6007</v>
      </c>
      <c r="G159" s="11" t="s">
        <v>5793</v>
      </c>
      <c r="H159" s="13" t="s">
        <v>6008</v>
      </c>
      <c r="I159" s="13" t="s">
        <v>5674</v>
      </c>
      <c r="L159" s="73"/>
    </row>
    <row r="160">
      <c r="A160" s="12"/>
      <c r="B160" s="10"/>
      <c r="C160" s="84"/>
      <c r="D160" s="10"/>
      <c r="E160" s="10"/>
      <c r="F160" s="10" t="s">
        <v>6007</v>
      </c>
      <c r="G160" s="11" t="s">
        <v>5793</v>
      </c>
      <c r="H160" s="13" t="s">
        <v>6008</v>
      </c>
      <c r="I160" s="13" t="s">
        <v>5674</v>
      </c>
      <c r="L160" s="73"/>
    </row>
    <row r="161">
      <c r="A161" s="12"/>
      <c r="B161" s="10"/>
      <c r="D161" s="10"/>
      <c r="E161" s="10"/>
      <c r="F161" s="10" t="s">
        <v>6007</v>
      </c>
      <c r="G161" s="11" t="s">
        <v>5793</v>
      </c>
      <c r="H161" s="13" t="s">
        <v>6008</v>
      </c>
      <c r="I161" s="13" t="s">
        <v>5674</v>
      </c>
      <c r="L161" s="73"/>
    </row>
    <row r="162">
      <c r="A162" s="12"/>
      <c r="D162" s="15"/>
      <c r="E162" s="15"/>
      <c r="F162" s="15" t="s">
        <v>6015</v>
      </c>
      <c r="G162" s="11" t="s">
        <v>5793</v>
      </c>
      <c r="I162" s="13" t="s">
        <v>5674</v>
      </c>
      <c r="L162" s="73"/>
    </row>
    <row r="163">
      <c r="A163" s="12"/>
      <c r="D163" s="25"/>
      <c r="E163" s="25"/>
      <c r="F163" s="25" t="s">
        <v>6015</v>
      </c>
      <c r="G163" s="11" t="s">
        <v>5793</v>
      </c>
      <c r="I163" s="13" t="s">
        <v>5674</v>
      </c>
      <c r="L163" s="73"/>
    </row>
    <row r="164">
      <c r="A164" s="12"/>
      <c r="B164" s="10"/>
      <c r="C164" s="84"/>
      <c r="D164" s="10"/>
      <c r="E164" s="10"/>
      <c r="F164" s="10" t="s">
        <v>6020</v>
      </c>
      <c r="G164" s="11" t="s">
        <v>5793</v>
      </c>
      <c r="H164" s="13" t="s">
        <v>6008</v>
      </c>
      <c r="I164" s="13" t="s">
        <v>5674</v>
      </c>
      <c r="L164" s="73"/>
      <c r="M164" s="73"/>
    </row>
    <row r="165">
      <c r="A165" s="12"/>
      <c r="B165" s="10"/>
      <c r="C165" s="84"/>
      <c r="D165" s="10"/>
      <c r="E165" s="10"/>
      <c r="F165" s="10" t="s">
        <v>6020</v>
      </c>
      <c r="G165" s="11" t="s">
        <v>5793</v>
      </c>
      <c r="H165" s="13" t="s">
        <v>6008</v>
      </c>
      <c r="I165" s="13" t="s">
        <v>5674</v>
      </c>
      <c r="L165" s="73"/>
    </row>
    <row r="166">
      <c r="A166" s="12"/>
      <c r="B166" s="10"/>
      <c r="C166" s="84"/>
      <c r="D166" s="10"/>
      <c r="E166" s="10"/>
      <c r="F166" s="10" t="s">
        <v>6020</v>
      </c>
      <c r="G166" s="11" t="s">
        <v>5793</v>
      </c>
      <c r="H166" s="13" t="s">
        <v>6008</v>
      </c>
      <c r="I166" s="13" t="s">
        <v>5674</v>
      </c>
      <c r="L166" s="73"/>
    </row>
    <row r="167">
      <c r="A167" s="12"/>
      <c r="C167" s="76"/>
      <c r="D167" s="10"/>
      <c r="E167" s="10"/>
      <c r="F167" s="10" t="s">
        <v>6028</v>
      </c>
      <c r="G167" s="11" t="s">
        <v>5793</v>
      </c>
      <c r="I167" s="13" t="s">
        <v>5674</v>
      </c>
      <c r="L167" s="73"/>
    </row>
    <row r="168">
      <c r="A168" s="12"/>
      <c r="C168" s="76"/>
      <c r="D168" s="10"/>
      <c r="E168" s="10"/>
      <c r="F168" s="10" t="s">
        <v>6028</v>
      </c>
      <c r="G168" s="11" t="s">
        <v>5793</v>
      </c>
      <c r="I168" s="13" t="s">
        <v>5674</v>
      </c>
      <c r="L168" s="73"/>
    </row>
    <row r="169">
      <c r="A169" s="12"/>
      <c r="C169" s="76"/>
      <c r="D169" s="10"/>
      <c r="E169" s="10"/>
      <c r="F169" s="10" t="s">
        <v>6028</v>
      </c>
      <c r="G169" s="11" t="s">
        <v>5793</v>
      </c>
      <c r="I169" s="13" t="s">
        <v>5674</v>
      </c>
      <c r="L169" s="73"/>
    </row>
    <row r="170">
      <c r="A170" s="12"/>
      <c r="C170" s="76"/>
      <c r="D170" s="15"/>
      <c r="E170" s="15"/>
      <c r="F170" s="15" t="s">
        <v>6036</v>
      </c>
      <c r="G170" s="11" t="s">
        <v>5793</v>
      </c>
      <c r="I170" s="13" t="s">
        <v>5674</v>
      </c>
      <c r="L170" s="73"/>
    </row>
    <row r="171">
      <c r="A171" s="12"/>
      <c r="C171" s="76"/>
      <c r="D171" s="15"/>
      <c r="E171" s="15"/>
      <c r="F171" s="15" t="s">
        <v>6036</v>
      </c>
      <c r="G171" s="11" t="s">
        <v>5793</v>
      </c>
      <c r="I171" s="13" t="s">
        <v>5674</v>
      </c>
      <c r="L171" s="73"/>
    </row>
    <row r="172" ht="18.0" customHeight="1">
      <c r="A172" s="12"/>
      <c r="C172" s="76"/>
      <c r="D172" s="15"/>
      <c r="E172" s="15"/>
      <c r="F172" s="15" t="s">
        <v>6036</v>
      </c>
      <c r="G172" s="11" t="s">
        <v>5793</v>
      </c>
      <c r="I172" s="13" t="s">
        <v>5674</v>
      </c>
      <c r="L172" s="73"/>
    </row>
    <row r="173" ht="18.0" customHeight="1">
      <c r="A173" s="12"/>
      <c r="C173" s="76"/>
      <c r="D173" s="15"/>
      <c r="E173" s="15"/>
      <c r="F173" s="15" t="s">
        <v>6036</v>
      </c>
      <c r="G173" s="11" t="s">
        <v>5793</v>
      </c>
      <c r="I173" s="13" t="s">
        <v>5674</v>
      </c>
      <c r="L173" s="73"/>
    </row>
    <row r="174">
      <c r="A174" s="12"/>
      <c r="C174" s="76"/>
      <c r="D174" s="15"/>
      <c r="E174" s="15"/>
      <c r="F174" s="15" t="s">
        <v>6036</v>
      </c>
      <c r="G174" s="11" t="s">
        <v>5793</v>
      </c>
      <c r="I174" s="13" t="s">
        <v>5674</v>
      </c>
      <c r="L174" s="73"/>
    </row>
    <row r="175">
      <c r="A175" s="12"/>
      <c r="C175" s="76"/>
      <c r="D175" s="15"/>
      <c r="E175" s="15"/>
      <c r="F175" s="15" t="s">
        <v>6036</v>
      </c>
      <c r="G175" s="11" t="s">
        <v>5793</v>
      </c>
      <c r="I175" s="13" t="s">
        <v>5674</v>
      </c>
      <c r="L175" s="73"/>
    </row>
    <row r="176">
      <c r="A176" s="12"/>
      <c r="C176" s="76"/>
      <c r="D176" s="15"/>
      <c r="E176" s="15"/>
      <c r="F176" s="15" t="s">
        <v>6036</v>
      </c>
      <c r="G176" s="11" t="s">
        <v>5793</v>
      </c>
      <c r="I176" s="13" t="s">
        <v>5674</v>
      </c>
      <c r="L176" s="73"/>
    </row>
    <row r="177">
      <c r="A177" s="12"/>
      <c r="C177" s="76"/>
      <c r="D177" s="15"/>
      <c r="E177" s="15"/>
      <c r="F177" s="15" t="s">
        <v>6036</v>
      </c>
      <c r="G177" s="11" t="s">
        <v>5793</v>
      </c>
      <c r="I177" s="13" t="s">
        <v>5674</v>
      </c>
      <c r="L177" s="73"/>
    </row>
    <row r="178">
      <c r="A178" s="12"/>
      <c r="C178" s="76"/>
      <c r="D178" s="15"/>
      <c r="E178" s="15"/>
      <c r="F178" s="15" t="s">
        <v>6036</v>
      </c>
      <c r="G178" s="11" t="s">
        <v>5793</v>
      </c>
      <c r="I178" s="13" t="s">
        <v>5674</v>
      </c>
      <c r="L178" s="73"/>
    </row>
    <row r="179">
      <c r="A179" s="12"/>
      <c r="C179" s="76"/>
      <c r="D179" s="15"/>
      <c r="E179" s="15"/>
      <c r="F179" s="15" t="s">
        <v>6056</v>
      </c>
      <c r="G179" s="11" t="s">
        <v>5793</v>
      </c>
      <c r="I179" s="13" t="s">
        <v>5674</v>
      </c>
      <c r="L179" s="73"/>
    </row>
    <row r="180">
      <c r="A180" s="12"/>
      <c r="C180" s="76"/>
      <c r="D180" s="15"/>
      <c r="E180" s="15"/>
      <c r="F180" s="15" t="s">
        <v>6056</v>
      </c>
      <c r="G180" s="11" t="s">
        <v>5793</v>
      </c>
      <c r="I180" s="13" t="s">
        <v>5674</v>
      </c>
      <c r="L180" s="73"/>
    </row>
    <row r="181">
      <c r="A181" s="12"/>
      <c r="C181" s="76"/>
      <c r="D181" s="15"/>
      <c r="E181" s="15"/>
      <c r="F181" s="15" t="s">
        <v>6056</v>
      </c>
      <c r="G181" s="11" t="s">
        <v>5793</v>
      </c>
      <c r="I181" s="13" t="s">
        <v>5674</v>
      </c>
      <c r="L181" s="73"/>
    </row>
    <row r="182">
      <c r="A182" s="12"/>
      <c r="C182" s="76"/>
      <c r="D182" s="15"/>
      <c r="E182" s="15"/>
      <c r="F182" s="15" t="s">
        <v>6056</v>
      </c>
      <c r="G182" s="11" t="s">
        <v>5793</v>
      </c>
      <c r="I182" s="13" t="s">
        <v>5674</v>
      </c>
      <c r="L182" s="73"/>
    </row>
    <row r="183">
      <c r="A183" s="12"/>
      <c r="C183" s="76"/>
      <c r="D183" s="15"/>
      <c r="E183" s="15"/>
      <c r="F183" s="15" t="s">
        <v>6056</v>
      </c>
      <c r="G183" s="11" t="s">
        <v>5793</v>
      </c>
      <c r="I183" s="13" t="s">
        <v>5674</v>
      </c>
      <c r="L183" s="73"/>
    </row>
    <row r="184">
      <c r="A184" s="12"/>
      <c r="C184" s="76"/>
      <c r="D184" s="15"/>
      <c r="E184" s="15"/>
      <c r="F184" s="15" t="s">
        <v>6056</v>
      </c>
      <c r="G184" s="11" t="s">
        <v>5793</v>
      </c>
      <c r="I184" s="13" t="s">
        <v>5674</v>
      </c>
      <c r="L184" s="73"/>
    </row>
    <row r="185">
      <c r="A185" s="12"/>
      <c r="B185" s="10"/>
      <c r="D185" s="15"/>
      <c r="E185" s="15"/>
      <c r="F185" s="15" t="s">
        <v>6070</v>
      </c>
      <c r="G185" s="11" t="s">
        <v>5793</v>
      </c>
      <c r="H185" s="13"/>
      <c r="I185" s="13" t="s">
        <v>5674</v>
      </c>
      <c r="L185" s="73"/>
    </row>
    <row r="186">
      <c r="A186" s="12"/>
      <c r="B186" s="10"/>
      <c r="D186" s="15"/>
      <c r="E186" s="15"/>
      <c r="F186" s="15" t="s">
        <v>6070</v>
      </c>
      <c r="G186" s="11" t="s">
        <v>5793</v>
      </c>
      <c r="H186" s="13"/>
      <c r="I186" s="13" t="s">
        <v>5674</v>
      </c>
      <c r="L186" s="73"/>
    </row>
    <row r="187">
      <c r="A187" s="12"/>
      <c r="B187" s="10"/>
      <c r="D187" s="15"/>
      <c r="E187" s="15"/>
      <c r="F187" s="15" t="s">
        <v>6070</v>
      </c>
      <c r="G187" s="11" t="s">
        <v>5793</v>
      </c>
      <c r="H187" s="13"/>
      <c r="I187" s="13" t="s">
        <v>5674</v>
      </c>
      <c r="L187" s="73"/>
    </row>
    <row r="188">
      <c r="A188" s="12"/>
      <c r="B188" s="10"/>
      <c r="D188" s="15"/>
      <c r="E188" s="15"/>
      <c r="F188" s="15" t="s">
        <v>6070</v>
      </c>
      <c r="G188" s="11" t="s">
        <v>5793</v>
      </c>
      <c r="H188" s="13"/>
      <c r="I188" s="13" t="s">
        <v>5674</v>
      </c>
      <c r="L188" s="73"/>
    </row>
    <row r="189">
      <c r="A189" s="12"/>
      <c r="B189" s="10"/>
      <c r="D189" s="15"/>
      <c r="E189" s="15"/>
      <c r="F189" s="15" t="s">
        <v>6070</v>
      </c>
      <c r="G189" s="11" t="s">
        <v>5793</v>
      </c>
      <c r="H189" s="13"/>
      <c r="I189" s="13" t="s">
        <v>5674</v>
      </c>
      <c r="L189" s="73"/>
    </row>
    <row r="190">
      <c r="A190" s="12"/>
      <c r="B190" s="10"/>
      <c r="D190" s="15"/>
      <c r="E190" s="15"/>
      <c r="F190" s="15" t="s">
        <v>6070</v>
      </c>
      <c r="G190" s="11" t="s">
        <v>5793</v>
      </c>
      <c r="H190" s="13"/>
      <c r="I190" s="13" t="s">
        <v>5674</v>
      </c>
      <c r="L190" s="73"/>
    </row>
    <row r="191">
      <c r="A191" s="12"/>
      <c r="B191" s="10"/>
      <c r="D191" s="15"/>
      <c r="E191" s="15"/>
      <c r="F191" s="15" t="s">
        <v>6070</v>
      </c>
      <c r="G191" s="11" t="s">
        <v>5793</v>
      </c>
      <c r="H191" s="13"/>
      <c r="I191" s="13" t="s">
        <v>5674</v>
      </c>
      <c r="L191" s="73"/>
    </row>
    <row r="192">
      <c r="A192" s="12"/>
      <c r="B192" s="10"/>
      <c r="D192" s="15"/>
      <c r="E192" s="15"/>
      <c r="F192" s="15" t="s">
        <v>6086</v>
      </c>
      <c r="G192" s="11" t="s">
        <v>5793</v>
      </c>
      <c r="H192" s="13"/>
      <c r="I192" s="13" t="s">
        <v>5674</v>
      </c>
      <c r="L192" s="73"/>
    </row>
    <row r="193">
      <c r="A193" s="12"/>
      <c r="B193" s="10"/>
      <c r="D193" s="15"/>
      <c r="E193" s="15"/>
      <c r="F193" s="15" t="s">
        <v>6086</v>
      </c>
      <c r="G193" s="11" t="s">
        <v>5793</v>
      </c>
      <c r="H193" s="13"/>
      <c r="I193" s="13" t="s">
        <v>5674</v>
      </c>
      <c r="L193" s="73"/>
    </row>
    <row r="194">
      <c r="A194" s="12"/>
      <c r="B194" s="10"/>
      <c r="D194" s="15"/>
      <c r="E194" s="15"/>
      <c r="F194" s="15" t="s">
        <v>6086</v>
      </c>
      <c r="G194" s="11" t="s">
        <v>5793</v>
      </c>
      <c r="H194" s="13"/>
      <c r="I194" s="13" t="s">
        <v>5674</v>
      </c>
      <c r="L194" s="73"/>
    </row>
    <row r="195">
      <c r="A195" s="12"/>
      <c r="B195" s="10"/>
      <c r="D195" s="15"/>
      <c r="E195" s="15"/>
      <c r="F195" s="15" t="s">
        <v>6086</v>
      </c>
      <c r="G195" s="11" t="s">
        <v>5793</v>
      </c>
      <c r="H195" s="13"/>
      <c r="I195" s="13" t="s">
        <v>5674</v>
      </c>
      <c r="L195" s="73"/>
    </row>
    <row r="196">
      <c r="A196" s="12"/>
      <c r="B196" s="10"/>
      <c r="D196" s="15"/>
      <c r="E196" s="15"/>
      <c r="F196" s="15" t="s">
        <v>6086</v>
      </c>
      <c r="G196" s="11" t="s">
        <v>5793</v>
      </c>
      <c r="H196" s="13"/>
      <c r="I196" s="13" t="s">
        <v>5674</v>
      </c>
      <c r="L196" s="73"/>
    </row>
    <row r="197">
      <c r="A197" s="12"/>
      <c r="B197" s="10"/>
      <c r="D197" s="15"/>
      <c r="E197" s="15"/>
      <c r="F197" s="15" t="s">
        <v>6086</v>
      </c>
      <c r="G197" s="11" t="s">
        <v>5793</v>
      </c>
      <c r="H197" s="13"/>
      <c r="I197" s="13" t="s">
        <v>5674</v>
      </c>
      <c r="L197" s="73"/>
    </row>
    <row r="198">
      <c r="A198" s="12"/>
      <c r="B198" s="10"/>
      <c r="D198" s="15"/>
      <c r="E198" s="15"/>
      <c r="F198" s="15" t="s">
        <v>6086</v>
      </c>
      <c r="G198" s="11" t="s">
        <v>5793</v>
      </c>
      <c r="H198" s="13"/>
      <c r="I198" s="13" t="s">
        <v>5674</v>
      </c>
      <c r="L198" s="73"/>
    </row>
    <row r="199">
      <c r="A199" s="12"/>
      <c r="B199" s="10"/>
      <c r="D199" s="15"/>
      <c r="E199" s="15"/>
      <c r="F199" s="15" t="s">
        <v>6086</v>
      </c>
      <c r="G199" s="11" t="s">
        <v>5793</v>
      </c>
      <c r="H199" s="13"/>
      <c r="I199" s="13" t="s">
        <v>5674</v>
      </c>
      <c r="L199" s="73"/>
    </row>
    <row r="200">
      <c r="A200" s="12"/>
      <c r="B200" s="10"/>
      <c r="D200" s="15"/>
      <c r="E200" s="15"/>
      <c r="F200" s="15" t="s">
        <v>6086</v>
      </c>
      <c r="G200" s="11" t="s">
        <v>5793</v>
      </c>
      <c r="H200" s="13"/>
      <c r="I200" s="13" t="s">
        <v>5674</v>
      </c>
      <c r="L200" s="73"/>
    </row>
    <row r="201">
      <c r="A201" s="12"/>
      <c r="B201" s="10"/>
      <c r="D201" s="15"/>
      <c r="E201" s="15"/>
      <c r="F201" s="15" t="s">
        <v>6086</v>
      </c>
      <c r="G201" s="11" t="s">
        <v>5793</v>
      </c>
      <c r="H201" s="13"/>
      <c r="I201" s="13" t="s">
        <v>5674</v>
      </c>
      <c r="L201" s="73"/>
    </row>
    <row r="202">
      <c r="A202" s="12"/>
      <c r="B202" s="10"/>
      <c r="D202" s="15"/>
      <c r="E202" s="15"/>
      <c r="F202" s="15" t="s">
        <v>6086</v>
      </c>
      <c r="G202" s="11" t="s">
        <v>5793</v>
      </c>
      <c r="H202" s="13"/>
      <c r="I202" s="13" t="s">
        <v>5674</v>
      </c>
      <c r="L202" s="73"/>
    </row>
    <row r="203">
      <c r="A203" s="12"/>
      <c r="B203" s="10"/>
      <c r="D203" s="15"/>
      <c r="E203" s="15"/>
      <c r="F203" s="15" t="s">
        <v>6086</v>
      </c>
      <c r="G203" s="11" t="s">
        <v>5793</v>
      </c>
      <c r="H203" s="13"/>
      <c r="I203" s="13" t="s">
        <v>5674</v>
      </c>
      <c r="L203" s="73"/>
    </row>
    <row r="204">
      <c r="A204" s="12"/>
      <c r="B204" s="10"/>
      <c r="D204" s="15"/>
      <c r="E204" s="15"/>
      <c r="F204" s="15" t="s">
        <v>6086</v>
      </c>
      <c r="G204" s="11" t="s">
        <v>5793</v>
      </c>
      <c r="H204" s="13"/>
      <c r="I204" s="13" t="s">
        <v>5674</v>
      </c>
      <c r="L204" s="73"/>
    </row>
    <row r="205">
      <c r="A205" s="12"/>
      <c r="C205" s="76"/>
      <c r="D205" s="15"/>
      <c r="E205" s="15"/>
      <c r="F205" s="15" t="s">
        <v>6113</v>
      </c>
      <c r="G205" s="11" t="s">
        <v>5793</v>
      </c>
      <c r="I205" s="13" t="s">
        <v>5674</v>
      </c>
      <c r="L205" s="73"/>
    </row>
    <row r="206">
      <c r="A206" s="12"/>
      <c r="C206" s="76"/>
      <c r="D206" s="15"/>
      <c r="E206" s="15"/>
      <c r="F206" s="15" t="s">
        <v>6113</v>
      </c>
      <c r="G206" s="11" t="s">
        <v>5793</v>
      </c>
      <c r="I206" s="13" t="s">
        <v>5674</v>
      </c>
      <c r="L206" s="73"/>
    </row>
    <row r="207">
      <c r="A207" s="12"/>
      <c r="C207" s="76"/>
      <c r="D207" s="15"/>
      <c r="E207" s="15"/>
      <c r="F207" s="15" t="s">
        <v>6113</v>
      </c>
      <c r="G207" s="11" t="s">
        <v>5793</v>
      </c>
      <c r="I207" s="13" t="s">
        <v>5674</v>
      </c>
      <c r="L207" s="73"/>
    </row>
    <row r="208">
      <c r="A208" s="12"/>
      <c r="C208" s="76"/>
      <c r="D208" s="15"/>
      <c r="E208" s="15"/>
      <c r="F208" s="15" t="s">
        <v>6113</v>
      </c>
      <c r="G208" s="11" t="s">
        <v>5793</v>
      </c>
      <c r="I208" s="13" t="s">
        <v>5674</v>
      </c>
      <c r="L208" s="73"/>
    </row>
    <row r="209">
      <c r="A209" s="12"/>
      <c r="C209" s="76"/>
      <c r="D209" s="15"/>
      <c r="E209" s="15"/>
      <c r="F209" s="15" t="s">
        <v>6113</v>
      </c>
      <c r="G209" s="11" t="s">
        <v>5793</v>
      </c>
      <c r="I209" s="13" t="s">
        <v>5674</v>
      </c>
      <c r="L209" s="73"/>
    </row>
    <row r="210">
      <c r="A210" s="12"/>
      <c r="C210" s="76"/>
      <c r="D210" s="15"/>
      <c r="E210" s="15"/>
      <c r="F210" s="15" t="s">
        <v>6113</v>
      </c>
      <c r="G210" s="11" t="s">
        <v>5793</v>
      </c>
      <c r="I210" s="13" t="s">
        <v>5674</v>
      </c>
      <c r="L210" s="73"/>
    </row>
    <row r="211">
      <c r="A211" s="12"/>
      <c r="C211" s="76"/>
      <c r="D211" s="15"/>
      <c r="E211" s="15"/>
      <c r="F211" s="15" t="s">
        <v>6113</v>
      </c>
      <c r="G211" s="11" t="s">
        <v>5793</v>
      </c>
      <c r="I211" s="13" t="s">
        <v>5674</v>
      </c>
      <c r="L211" s="73"/>
    </row>
    <row r="212">
      <c r="A212" s="12"/>
      <c r="B212" s="10"/>
      <c r="C212" s="76"/>
      <c r="D212" s="15"/>
      <c r="E212" s="15"/>
      <c r="F212" s="15" t="s">
        <v>6113</v>
      </c>
      <c r="G212" s="11" t="s">
        <v>5793</v>
      </c>
      <c r="I212" s="13" t="s">
        <v>5674</v>
      </c>
      <c r="L212" s="73"/>
    </row>
    <row r="213">
      <c r="A213" s="85"/>
      <c r="B213" s="86"/>
      <c r="C213" s="86"/>
      <c r="D213" s="22"/>
      <c r="E213" s="22"/>
      <c r="F213" s="22" t="s">
        <v>6128</v>
      </c>
      <c r="G213" s="85" t="s">
        <v>5793</v>
      </c>
      <c r="H213" s="58"/>
      <c r="I213" s="59"/>
      <c r="J213" s="58"/>
      <c r="L213" s="73"/>
    </row>
    <row r="214">
      <c r="A214" s="12"/>
      <c r="C214" s="76"/>
      <c r="D214" s="10"/>
      <c r="E214" s="10"/>
      <c r="F214" s="10" t="s">
        <v>6132</v>
      </c>
      <c r="G214" s="11" t="s">
        <v>5793</v>
      </c>
      <c r="I214" s="13" t="s">
        <v>5674</v>
      </c>
      <c r="L214" s="73"/>
    </row>
    <row r="215">
      <c r="A215" s="12"/>
      <c r="C215" s="76"/>
      <c r="D215" s="10"/>
      <c r="E215" s="10"/>
      <c r="F215" s="10" t="s">
        <v>6132</v>
      </c>
      <c r="G215" s="11" t="s">
        <v>5793</v>
      </c>
      <c r="I215" s="13" t="s">
        <v>5674</v>
      </c>
      <c r="L215" s="73"/>
    </row>
    <row r="216">
      <c r="A216" s="12"/>
      <c r="C216" s="76"/>
      <c r="D216" s="10"/>
      <c r="E216" s="10"/>
      <c r="F216" s="10" t="s">
        <v>6132</v>
      </c>
      <c r="G216" s="11" t="s">
        <v>5793</v>
      </c>
      <c r="I216" s="13" t="s">
        <v>5674</v>
      </c>
      <c r="L216" s="73"/>
    </row>
    <row r="217">
      <c r="A217" s="12"/>
      <c r="C217" s="76"/>
      <c r="D217" s="10"/>
      <c r="E217" s="10"/>
      <c r="F217" s="10" t="s">
        <v>6132</v>
      </c>
      <c r="G217" s="11" t="s">
        <v>5793</v>
      </c>
      <c r="I217" s="13" t="s">
        <v>5674</v>
      </c>
      <c r="L217" s="73"/>
    </row>
    <row r="218">
      <c r="A218" s="12"/>
      <c r="C218" s="76"/>
      <c r="D218" s="10"/>
      <c r="E218" s="10"/>
      <c r="F218" s="10" t="s">
        <v>6132</v>
      </c>
      <c r="G218" s="11" t="s">
        <v>5793</v>
      </c>
      <c r="I218" s="13" t="s">
        <v>5674</v>
      </c>
      <c r="L218" s="73"/>
    </row>
    <row r="219">
      <c r="A219" s="12"/>
      <c r="C219" s="76"/>
      <c r="D219" s="10"/>
      <c r="E219" s="10"/>
      <c r="F219" s="10" t="s">
        <v>6132</v>
      </c>
      <c r="G219" s="11" t="s">
        <v>5793</v>
      </c>
      <c r="I219" s="13" t="s">
        <v>5674</v>
      </c>
      <c r="L219" s="73"/>
    </row>
    <row r="220">
      <c r="A220" s="87"/>
      <c r="B220" s="75"/>
      <c r="C220" s="88"/>
      <c r="D220" s="15"/>
      <c r="E220" s="15"/>
      <c r="F220" s="10" t="s">
        <v>6132</v>
      </c>
      <c r="G220" s="11" t="s">
        <v>5793</v>
      </c>
      <c r="I220" s="13" t="s">
        <v>5674</v>
      </c>
      <c r="L220" s="76"/>
      <c r="M220" s="73"/>
    </row>
    <row r="221">
      <c r="A221" s="87"/>
      <c r="B221" s="75"/>
      <c r="C221" s="88"/>
      <c r="D221" s="15"/>
      <c r="E221" s="15"/>
      <c r="F221" s="10" t="s">
        <v>6132</v>
      </c>
      <c r="G221" s="11" t="s">
        <v>5793</v>
      </c>
      <c r="I221" s="13" t="s">
        <v>5674</v>
      </c>
      <c r="L221" s="73"/>
    </row>
    <row r="222">
      <c r="A222" s="87"/>
      <c r="B222" s="75"/>
      <c r="C222" s="88"/>
      <c r="D222" s="15"/>
      <c r="E222" s="15"/>
      <c r="F222" s="10" t="s">
        <v>6132</v>
      </c>
      <c r="G222" s="11" t="s">
        <v>5793</v>
      </c>
      <c r="I222" s="13" t="s">
        <v>5674</v>
      </c>
      <c r="L222" s="73"/>
    </row>
    <row r="223">
      <c r="A223" s="87"/>
      <c r="B223" s="75"/>
      <c r="C223" s="88"/>
      <c r="D223" s="15"/>
      <c r="E223" s="15"/>
      <c r="F223" s="10" t="s">
        <v>6132</v>
      </c>
      <c r="G223" s="11" t="s">
        <v>5793</v>
      </c>
      <c r="I223" s="13" t="s">
        <v>5674</v>
      </c>
      <c r="L223" s="73"/>
    </row>
    <row r="224">
      <c r="A224" s="87"/>
      <c r="B224" s="75"/>
      <c r="C224" s="88"/>
      <c r="D224" s="15"/>
      <c r="E224" s="15"/>
      <c r="F224" s="10" t="s">
        <v>6132</v>
      </c>
      <c r="G224" s="11" t="s">
        <v>5793</v>
      </c>
      <c r="I224" s="13" t="s">
        <v>5674</v>
      </c>
      <c r="L224" s="73"/>
    </row>
    <row r="225">
      <c r="A225" s="87"/>
      <c r="B225" s="75"/>
      <c r="C225" s="88"/>
      <c r="D225" s="15"/>
      <c r="E225" s="15"/>
      <c r="F225" s="10" t="s">
        <v>6132</v>
      </c>
      <c r="G225" s="11" t="s">
        <v>5793</v>
      </c>
      <c r="I225" s="13" t="s">
        <v>5674</v>
      </c>
      <c r="L225" s="73"/>
    </row>
    <row r="226">
      <c r="A226" s="87"/>
      <c r="B226" s="75"/>
      <c r="C226" s="88"/>
      <c r="D226" s="15"/>
      <c r="E226" s="15"/>
      <c r="F226" s="10" t="s">
        <v>6132</v>
      </c>
      <c r="G226" s="11" t="s">
        <v>5793</v>
      </c>
      <c r="I226" s="13" t="s">
        <v>5674</v>
      </c>
      <c r="L226" s="73"/>
    </row>
    <row r="227">
      <c r="A227" s="87"/>
      <c r="B227" s="75"/>
      <c r="C227" s="88"/>
      <c r="D227" s="15"/>
      <c r="E227" s="15"/>
      <c r="F227" s="10" t="s">
        <v>6132</v>
      </c>
      <c r="G227" s="11" t="s">
        <v>5793</v>
      </c>
      <c r="I227" s="13" t="s">
        <v>5674</v>
      </c>
      <c r="L227" s="73"/>
    </row>
    <row r="228">
      <c r="A228" s="87"/>
      <c r="B228" s="75"/>
      <c r="C228" s="88"/>
      <c r="D228" s="15"/>
      <c r="E228" s="15"/>
      <c r="F228" s="10" t="s">
        <v>6132</v>
      </c>
      <c r="G228" s="11" t="s">
        <v>5793</v>
      </c>
      <c r="I228" s="13" t="s">
        <v>5674</v>
      </c>
      <c r="L228" s="73"/>
    </row>
    <row r="229">
      <c r="A229" s="87"/>
      <c r="B229" s="75"/>
      <c r="C229" s="88"/>
      <c r="D229" s="15"/>
      <c r="E229" s="15"/>
      <c r="F229" s="10" t="s">
        <v>6132</v>
      </c>
      <c r="G229" s="11" t="s">
        <v>5793</v>
      </c>
      <c r="I229" s="13" t="s">
        <v>5674</v>
      </c>
      <c r="L229" s="73"/>
    </row>
    <row r="230">
      <c r="A230" s="87"/>
      <c r="B230" s="75"/>
      <c r="C230" s="88"/>
      <c r="D230" s="15"/>
      <c r="E230" s="15"/>
      <c r="F230" s="10" t="s">
        <v>6132</v>
      </c>
      <c r="G230" s="11" t="s">
        <v>5793</v>
      </c>
      <c r="I230" s="13" t="s">
        <v>5674</v>
      </c>
      <c r="L230" s="73"/>
    </row>
    <row r="231">
      <c r="A231" s="87"/>
      <c r="B231" s="75"/>
      <c r="C231" s="88"/>
      <c r="D231" s="15"/>
      <c r="E231" s="15"/>
      <c r="F231" s="10" t="s">
        <v>6132</v>
      </c>
      <c r="G231" s="11" t="s">
        <v>5793</v>
      </c>
      <c r="I231" s="13" t="s">
        <v>5674</v>
      </c>
      <c r="L231" s="73"/>
    </row>
    <row r="232">
      <c r="A232" s="87"/>
      <c r="B232" s="75"/>
      <c r="C232" s="88"/>
      <c r="D232" s="15"/>
      <c r="E232" s="15"/>
      <c r="F232" s="10" t="s">
        <v>6132</v>
      </c>
      <c r="G232" s="11" t="s">
        <v>5793</v>
      </c>
      <c r="I232" s="13" t="s">
        <v>5674</v>
      </c>
      <c r="L232" s="73"/>
    </row>
    <row r="233">
      <c r="A233" s="87"/>
      <c r="B233" s="75"/>
      <c r="C233" s="88"/>
      <c r="D233" s="15"/>
      <c r="E233" s="15"/>
      <c r="F233" s="10" t="s">
        <v>6132</v>
      </c>
      <c r="G233" s="11" t="s">
        <v>5793</v>
      </c>
      <c r="I233" s="13" t="s">
        <v>5674</v>
      </c>
      <c r="L233" s="73"/>
    </row>
    <row r="234">
      <c r="A234" s="87"/>
      <c r="B234" s="75"/>
      <c r="C234" s="88"/>
      <c r="D234" s="15"/>
      <c r="E234" s="15"/>
      <c r="F234" s="10" t="s">
        <v>6132</v>
      </c>
      <c r="G234" s="11" t="s">
        <v>5793</v>
      </c>
      <c r="I234" s="13" t="s">
        <v>5674</v>
      </c>
      <c r="L234" s="73"/>
    </row>
    <row r="235">
      <c r="A235" s="87"/>
      <c r="B235" s="75"/>
      <c r="C235" s="88"/>
      <c r="D235" s="15"/>
      <c r="E235" s="15"/>
      <c r="F235" s="10" t="s">
        <v>6132</v>
      </c>
      <c r="G235" s="11" t="s">
        <v>5793</v>
      </c>
      <c r="I235" s="13" t="s">
        <v>5674</v>
      </c>
      <c r="L235" s="73"/>
    </row>
    <row r="236">
      <c r="A236" s="87"/>
      <c r="B236" s="75"/>
      <c r="C236" s="88"/>
      <c r="D236" s="15"/>
      <c r="E236" s="15"/>
      <c r="F236" s="10" t="s">
        <v>6132</v>
      </c>
      <c r="G236" s="11" t="s">
        <v>5793</v>
      </c>
      <c r="I236" s="13" t="s">
        <v>5674</v>
      </c>
      <c r="L236" s="73"/>
    </row>
    <row r="237">
      <c r="A237" s="87"/>
      <c r="B237" s="75"/>
      <c r="C237" s="88"/>
      <c r="D237" s="15"/>
      <c r="E237" s="15"/>
      <c r="F237" s="10" t="s">
        <v>6132</v>
      </c>
      <c r="G237" s="11" t="s">
        <v>5793</v>
      </c>
      <c r="I237" s="13" t="s">
        <v>5674</v>
      </c>
      <c r="L237" s="73"/>
    </row>
    <row r="238">
      <c r="A238" s="87"/>
      <c r="B238" s="75"/>
      <c r="C238" s="88"/>
      <c r="D238" s="15"/>
      <c r="E238" s="15"/>
      <c r="F238" s="10" t="s">
        <v>6132</v>
      </c>
      <c r="G238" s="11" t="s">
        <v>5793</v>
      </c>
      <c r="I238" s="13" t="s">
        <v>5674</v>
      </c>
      <c r="L238" s="73"/>
    </row>
    <row r="239">
      <c r="A239" s="87"/>
      <c r="B239" s="75"/>
      <c r="C239" s="88"/>
      <c r="D239" s="15"/>
      <c r="E239" s="15"/>
      <c r="F239" s="10" t="s">
        <v>6132</v>
      </c>
      <c r="G239" s="11" t="s">
        <v>5793</v>
      </c>
      <c r="I239" s="13" t="s">
        <v>5674</v>
      </c>
      <c r="L239" s="73"/>
    </row>
    <row r="240">
      <c r="A240" s="87"/>
      <c r="B240" s="75"/>
      <c r="C240" s="88"/>
      <c r="D240" s="15"/>
      <c r="E240" s="15"/>
      <c r="F240" s="10" t="s">
        <v>6132</v>
      </c>
      <c r="G240" s="11" t="s">
        <v>5793</v>
      </c>
      <c r="I240" s="13" t="s">
        <v>5674</v>
      </c>
      <c r="L240" s="73"/>
    </row>
    <row r="241">
      <c r="A241" s="87"/>
      <c r="B241" s="75"/>
      <c r="C241" s="88"/>
      <c r="D241" s="15"/>
      <c r="E241" s="15"/>
      <c r="F241" s="10" t="s">
        <v>6132</v>
      </c>
      <c r="G241" s="11" t="s">
        <v>5793</v>
      </c>
      <c r="I241" s="13" t="s">
        <v>5674</v>
      </c>
      <c r="L241" s="73"/>
    </row>
    <row r="242">
      <c r="A242" s="87"/>
      <c r="B242" s="75"/>
      <c r="C242" s="88"/>
      <c r="D242" s="15"/>
      <c r="E242" s="15"/>
      <c r="F242" s="10" t="s">
        <v>6132</v>
      </c>
      <c r="G242" s="11" t="s">
        <v>5793</v>
      </c>
      <c r="I242" s="13" t="s">
        <v>5674</v>
      </c>
      <c r="L242" s="73"/>
    </row>
    <row r="243">
      <c r="A243" s="87"/>
      <c r="B243" s="75"/>
      <c r="C243" s="88"/>
      <c r="D243" s="15"/>
      <c r="E243" s="15"/>
      <c r="F243" s="10" t="s">
        <v>6132</v>
      </c>
      <c r="G243" s="11" t="s">
        <v>5793</v>
      </c>
      <c r="I243" s="13" t="s">
        <v>5674</v>
      </c>
      <c r="L243" s="73"/>
    </row>
    <row r="244">
      <c r="A244" s="87"/>
      <c r="B244" s="75"/>
      <c r="C244" s="88"/>
      <c r="D244" s="15"/>
      <c r="E244" s="15"/>
      <c r="F244" s="10" t="s">
        <v>6132</v>
      </c>
      <c r="G244" s="11" t="s">
        <v>5793</v>
      </c>
      <c r="I244" s="13" t="s">
        <v>5674</v>
      </c>
      <c r="L244" s="73"/>
    </row>
    <row r="245">
      <c r="A245" s="87"/>
      <c r="B245" s="75"/>
      <c r="C245" s="88"/>
      <c r="D245" s="15"/>
      <c r="E245" s="15"/>
      <c r="F245" s="10" t="s">
        <v>6132</v>
      </c>
      <c r="G245" s="11" t="s">
        <v>5793</v>
      </c>
      <c r="I245" s="13" t="s">
        <v>5674</v>
      </c>
      <c r="L245" s="73"/>
    </row>
    <row r="246">
      <c r="A246" s="87"/>
      <c r="B246" s="88"/>
      <c r="C246" s="88"/>
      <c r="D246" s="10"/>
      <c r="E246" s="10"/>
      <c r="F246" s="10" t="s">
        <v>6132</v>
      </c>
      <c r="G246" s="11" t="s">
        <v>5793</v>
      </c>
      <c r="I246" s="13" t="s">
        <v>5674</v>
      </c>
      <c r="L246" s="73"/>
    </row>
    <row r="247">
      <c r="A247" s="87"/>
      <c r="B247" s="75"/>
      <c r="C247" s="88"/>
      <c r="D247" s="15"/>
      <c r="E247" s="15"/>
      <c r="F247" s="10" t="s">
        <v>6132</v>
      </c>
      <c r="G247" s="11" t="s">
        <v>5793</v>
      </c>
      <c r="I247" s="13" t="s">
        <v>5674</v>
      </c>
      <c r="L247" s="73"/>
    </row>
    <row r="248">
      <c r="A248" s="87"/>
      <c r="B248" s="75"/>
      <c r="C248" s="88"/>
      <c r="D248" s="15"/>
      <c r="E248" s="15"/>
      <c r="F248" s="10" t="s">
        <v>6132</v>
      </c>
      <c r="G248" s="11" t="s">
        <v>5793</v>
      </c>
      <c r="I248" s="13" t="s">
        <v>5674</v>
      </c>
      <c r="L248" s="73"/>
    </row>
    <row r="249">
      <c r="A249" s="87"/>
      <c r="B249" s="75"/>
      <c r="C249" s="88"/>
      <c r="D249" s="15"/>
      <c r="E249" s="15"/>
      <c r="F249" s="10" t="s">
        <v>6132</v>
      </c>
      <c r="G249" s="11" t="s">
        <v>5793</v>
      </c>
      <c r="I249" s="13" t="s">
        <v>5674</v>
      </c>
      <c r="L249" s="73"/>
    </row>
    <row r="250">
      <c r="A250" s="87"/>
      <c r="B250" s="75"/>
      <c r="C250" s="88"/>
      <c r="D250" s="15"/>
      <c r="E250" s="15"/>
      <c r="F250" s="10" t="s">
        <v>6132</v>
      </c>
      <c r="G250" s="11" t="s">
        <v>5793</v>
      </c>
      <c r="I250" s="13" t="s">
        <v>5674</v>
      </c>
      <c r="L250" s="73"/>
    </row>
    <row r="251">
      <c r="A251" s="87"/>
      <c r="B251" s="75"/>
      <c r="C251" s="88"/>
      <c r="D251" s="15"/>
      <c r="E251" s="15"/>
      <c r="F251" s="10" t="s">
        <v>6132</v>
      </c>
      <c r="G251" s="11" t="s">
        <v>5793</v>
      </c>
      <c r="I251" s="13" t="s">
        <v>5674</v>
      </c>
      <c r="L251" s="73"/>
    </row>
    <row r="252">
      <c r="A252" s="87"/>
      <c r="B252" s="75"/>
      <c r="C252" s="88"/>
      <c r="D252" s="15"/>
      <c r="E252" s="15"/>
      <c r="F252" s="10" t="s">
        <v>6132</v>
      </c>
      <c r="G252" s="11" t="s">
        <v>5793</v>
      </c>
      <c r="I252" s="13" t="s">
        <v>5674</v>
      </c>
    </row>
    <row r="253" ht="16.5" customHeight="1">
      <c r="A253" s="87"/>
      <c r="B253" s="75"/>
      <c r="C253" s="88"/>
      <c r="D253" s="15"/>
      <c r="E253" s="15"/>
      <c r="F253" s="10" t="s">
        <v>6132</v>
      </c>
      <c r="G253" s="11" t="s">
        <v>5793</v>
      </c>
      <c r="I253" s="13" t="s">
        <v>5674</v>
      </c>
      <c r="L253" s="76"/>
      <c r="M253" s="73"/>
    </row>
    <row r="254">
      <c r="A254" s="87"/>
      <c r="B254" s="75"/>
      <c r="C254" s="88"/>
      <c r="D254" s="15"/>
      <c r="E254" s="15"/>
      <c r="F254" s="10" t="s">
        <v>6132</v>
      </c>
      <c r="G254" s="11" t="s">
        <v>5793</v>
      </c>
      <c r="I254" s="13" t="s">
        <v>5674</v>
      </c>
      <c r="L254" s="76"/>
      <c r="M254" s="73"/>
    </row>
    <row r="255">
      <c r="A255" s="87"/>
      <c r="B255" s="75"/>
      <c r="C255" s="88"/>
      <c r="D255" s="15"/>
      <c r="E255" s="15"/>
      <c r="F255" s="10" t="s">
        <v>6132</v>
      </c>
      <c r="G255" s="11" t="s">
        <v>5793</v>
      </c>
      <c r="I255" s="13" t="s">
        <v>5674</v>
      </c>
      <c r="L255" s="76"/>
      <c r="M255" s="73"/>
    </row>
    <row r="256">
      <c r="A256" s="87"/>
      <c r="B256" s="75"/>
      <c r="C256" s="88"/>
      <c r="D256" s="15"/>
      <c r="E256" s="15"/>
      <c r="F256" s="10" t="s">
        <v>6132</v>
      </c>
      <c r="G256" s="11" t="s">
        <v>5793</v>
      </c>
      <c r="I256" s="13" t="s">
        <v>5674</v>
      </c>
      <c r="L256" s="76"/>
      <c r="M256" s="73"/>
    </row>
    <row r="257">
      <c r="A257" s="87"/>
      <c r="B257" s="75"/>
      <c r="C257" s="88"/>
      <c r="D257" s="15"/>
      <c r="E257" s="15"/>
      <c r="F257" s="10" t="s">
        <v>6132</v>
      </c>
      <c r="G257" s="11" t="s">
        <v>5793</v>
      </c>
      <c r="I257" s="13" t="s">
        <v>5674</v>
      </c>
      <c r="L257" s="76"/>
      <c r="M257" s="73"/>
    </row>
    <row r="258">
      <c r="A258" s="87"/>
      <c r="B258" s="75"/>
      <c r="C258" s="88"/>
      <c r="D258" s="15"/>
      <c r="E258" s="15"/>
      <c r="F258" s="10" t="s">
        <v>6132</v>
      </c>
      <c r="G258" s="11" t="s">
        <v>5793</v>
      </c>
      <c r="I258" s="13" t="s">
        <v>5674</v>
      </c>
      <c r="L258" s="76"/>
      <c r="M258" s="73"/>
    </row>
    <row r="259">
      <c r="A259" s="87"/>
      <c r="B259" s="75"/>
      <c r="C259" s="88"/>
      <c r="D259" s="15"/>
      <c r="E259" s="15"/>
      <c r="F259" s="10" t="s">
        <v>6132</v>
      </c>
      <c r="G259" s="11" t="s">
        <v>5793</v>
      </c>
      <c r="I259" s="13" t="s">
        <v>5674</v>
      </c>
      <c r="L259" s="76"/>
      <c r="M259" s="73"/>
    </row>
    <row r="260">
      <c r="A260" s="87"/>
      <c r="B260" s="75"/>
      <c r="C260" s="88"/>
      <c r="D260" s="15"/>
      <c r="E260" s="15"/>
      <c r="F260" s="10" t="s">
        <v>6132</v>
      </c>
      <c r="G260" s="11" t="s">
        <v>5793</v>
      </c>
      <c r="I260" s="13" t="s">
        <v>5674</v>
      </c>
      <c r="L260" s="76"/>
      <c r="M260" s="73"/>
    </row>
    <row r="261">
      <c r="A261" s="87"/>
      <c r="B261" s="75"/>
      <c r="C261" s="88"/>
      <c r="D261" s="15"/>
      <c r="E261" s="15"/>
      <c r="F261" s="10" t="s">
        <v>6132</v>
      </c>
      <c r="G261" s="11" t="s">
        <v>5793</v>
      </c>
      <c r="I261" s="13" t="s">
        <v>5674</v>
      </c>
      <c r="L261" s="76"/>
      <c r="M261" s="73"/>
    </row>
    <row r="262">
      <c r="A262" s="87"/>
      <c r="B262" s="75"/>
      <c r="C262" s="88"/>
      <c r="D262" s="15"/>
      <c r="E262" s="15"/>
      <c r="F262" s="10" t="s">
        <v>6132</v>
      </c>
      <c r="G262" s="11" t="s">
        <v>5793</v>
      </c>
      <c r="I262" s="13" t="s">
        <v>5674</v>
      </c>
      <c r="L262" s="76"/>
      <c r="M262" s="73"/>
    </row>
    <row r="263">
      <c r="A263" s="87"/>
      <c r="B263" s="75"/>
      <c r="C263" s="88"/>
      <c r="D263" s="15"/>
      <c r="E263" s="15"/>
      <c r="F263" s="10" t="s">
        <v>6132</v>
      </c>
      <c r="G263" s="11" t="s">
        <v>5793</v>
      </c>
      <c r="I263" s="13" t="s">
        <v>5674</v>
      </c>
      <c r="L263" s="76"/>
      <c r="M263" s="73"/>
    </row>
    <row r="264">
      <c r="A264" s="87"/>
      <c r="B264" s="75"/>
      <c r="C264" s="88"/>
      <c r="D264" s="15"/>
      <c r="E264" s="15"/>
      <c r="F264" s="10" t="s">
        <v>6132</v>
      </c>
      <c r="G264" s="11" t="s">
        <v>5793</v>
      </c>
      <c r="I264" s="13" t="s">
        <v>5674</v>
      </c>
      <c r="L264" s="76"/>
      <c r="M264" s="73"/>
    </row>
    <row r="265">
      <c r="A265" s="87"/>
      <c r="B265" s="75"/>
      <c r="C265" s="88"/>
      <c r="D265" s="15"/>
      <c r="E265" s="15"/>
      <c r="F265" s="10" t="s">
        <v>6132</v>
      </c>
      <c r="G265" s="11" t="s">
        <v>5793</v>
      </c>
      <c r="I265" s="13" t="s">
        <v>5674</v>
      </c>
      <c r="L265" s="76"/>
      <c r="M265" s="73"/>
    </row>
    <row r="266">
      <c r="A266" s="87"/>
      <c r="B266" s="75"/>
      <c r="C266" s="88"/>
      <c r="D266" s="15"/>
      <c r="E266" s="15"/>
      <c r="F266" s="10" t="s">
        <v>6132</v>
      </c>
      <c r="G266" s="11" t="s">
        <v>5793</v>
      </c>
      <c r="I266" s="13" t="s">
        <v>5674</v>
      </c>
      <c r="L266" s="76"/>
      <c r="M266" s="73"/>
    </row>
    <row r="267">
      <c r="A267" s="87"/>
      <c r="B267" s="75"/>
      <c r="C267" s="88"/>
      <c r="D267" s="15"/>
      <c r="E267" s="15"/>
      <c r="F267" s="10" t="s">
        <v>6132</v>
      </c>
      <c r="G267" s="11" t="s">
        <v>5793</v>
      </c>
      <c r="I267" s="13" t="s">
        <v>5674</v>
      </c>
      <c r="L267" s="76"/>
      <c r="M267" s="73"/>
    </row>
    <row r="268">
      <c r="A268" s="87"/>
      <c r="B268" s="75"/>
      <c r="C268" s="88"/>
      <c r="D268" s="15"/>
      <c r="E268" s="15"/>
      <c r="F268" s="10" t="s">
        <v>6132</v>
      </c>
      <c r="G268" s="11" t="s">
        <v>5793</v>
      </c>
      <c r="I268" s="13" t="s">
        <v>5674</v>
      </c>
      <c r="L268" s="76"/>
      <c r="M268" s="73"/>
    </row>
    <row r="269">
      <c r="A269" s="87"/>
      <c r="B269" s="75"/>
      <c r="C269" s="88"/>
      <c r="D269" s="15"/>
      <c r="E269" s="15"/>
      <c r="F269" s="10" t="s">
        <v>6132</v>
      </c>
      <c r="G269" s="11" t="s">
        <v>5793</v>
      </c>
      <c r="I269" s="13" t="s">
        <v>5674</v>
      </c>
      <c r="L269" s="76"/>
      <c r="M269" s="73"/>
    </row>
    <row r="270">
      <c r="A270" s="87"/>
      <c r="B270" s="75"/>
      <c r="C270" s="88"/>
      <c r="D270" s="15"/>
      <c r="E270" s="15"/>
      <c r="F270" s="10" t="s">
        <v>6132</v>
      </c>
      <c r="G270" s="11" t="s">
        <v>5793</v>
      </c>
      <c r="I270" s="13" t="s">
        <v>5674</v>
      </c>
      <c r="L270" s="76"/>
      <c r="M270" s="73"/>
    </row>
    <row r="271">
      <c r="A271" s="87"/>
      <c r="B271" s="75"/>
      <c r="C271" s="88"/>
      <c r="D271" s="15"/>
      <c r="E271" s="15"/>
      <c r="F271" s="10" t="s">
        <v>6132</v>
      </c>
      <c r="G271" s="11" t="s">
        <v>5793</v>
      </c>
      <c r="I271" s="13" t="s">
        <v>5674</v>
      </c>
      <c r="L271" s="76"/>
      <c r="M271" s="73"/>
    </row>
    <row r="272">
      <c r="A272" s="87"/>
      <c r="B272" s="75"/>
      <c r="C272" s="88"/>
      <c r="D272" s="15"/>
      <c r="E272" s="15"/>
      <c r="F272" s="10" t="s">
        <v>6132</v>
      </c>
      <c r="G272" s="11" t="s">
        <v>5793</v>
      </c>
      <c r="I272" s="13" t="s">
        <v>5674</v>
      </c>
      <c r="L272" s="76"/>
      <c r="M272" s="73"/>
    </row>
    <row r="273">
      <c r="A273" s="87"/>
      <c r="B273" s="75"/>
      <c r="C273" s="88"/>
      <c r="D273" s="15"/>
      <c r="E273" s="15"/>
      <c r="F273" s="10" t="s">
        <v>6132</v>
      </c>
      <c r="G273" s="11" t="s">
        <v>5793</v>
      </c>
      <c r="I273" s="13" t="s">
        <v>5674</v>
      </c>
      <c r="L273" s="76"/>
      <c r="M273" s="73"/>
    </row>
    <row r="274">
      <c r="A274" s="87"/>
      <c r="B274" s="75"/>
      <c r="C274" s="88"/>
      <c r="D274" s="15"/>
      <c r="E274" s="15"/>
      <c r="F274" s="10" t="s">
        <v>6132</v>
      </c>
      <c r="G274" s="11" t="s">
        <v>5793</v>
      </c>
      <c r="I274" s="13" t="s">
        <v>5674</v>
      </c>
      <c r="L274" s="76"/>
      <c r="M274" s="73"/>
    </row>
    <row r="275">
      <c r="A275" s="87"/>
      <c r="B275" s="75"/>
      <c r="C275" s="88"/>
      <c r="D275" s="15"/>
      <c r="E275" s="15"/>
      <c r="F275" s="10" t="s">
        <v>6132</v>
      </c>
      <c r="G275" s="11" t="s">
        <v>5793</v>
      </c>
      <c r="I275" s="13" t="s">
        <v>5674</v>
      </c>
      <c r="L275" s="76"/>
      <c r="M275" s="73"/>
    </row>
    <row r="276">
      <c r="A276" s="87"/>
      <c r="B276" s="75"/>
      <c r="C276" s="88"/>
      <c r="D276" s="15"/>
      <c r="E276" s="15"/>
      <c r="F276" s="10" t="s">
        <v>6132</v>
      </c>
      <c r="G276" s="11" t="s">
        <v>5793</v>
      </c>
      <c r="I276" s="13" t="s">
        <v>5674</v>
      </c>
      <c r="L276" s="76"/>
      <c r="M276" s="73"/>
    </row>
    <row r="277">
      <c r="A277" s="87"/>
      <c r="B277" s="75"/>
      <c r="C277" s="88"/>
      <c r="D277" s="15"/>
      <c r="E277" s="15"/>
      <c r="F277" s="10" t="s">
        <v>6132</v>
      </c>
      <c r="G277" s="11" t="s">
        <v>5793</v>
      </c>
      <c r="I277" s="13" t="s">
        <v>5674</v>
      </c>
      <c r="L277" s="76"/>
      <c r="M277" s="73"/>
    </row>
    <row r="278">
      <c r="A278" s="87"/>
      <c r="B278" s="75"/>
      <c r="C278" s="88"/>
      <c r="D278" s="15"/>
      <c r="E278" s="15"/>
      <c r="F278" s="10" t="s">
        <v>6132</v>
      </c>
      <c r="G278" s="11" t="s">
        <v>5793</v>
      </c>
      <c r="I278" s="13" t="s">
        <v>5674</v>
      </c>
    </row>
    <row r="279">
      <c r="A279" s="87"/>
      <c r="B279" s="75"/>
      <c r="C279" s="88"/>
      <c r="D279" s="15"/>
      <c r="E279" s="15"/>
      <c r="F279" s="10" t="s">
        <v>6132</v>
      </c>
      <c r="G279" s="11" t="s">
        <v>5793</v>
      </c>
      <c r="I279" s="13" t="s">
        <v>5674</v>
      </c>
    </row>
    <row r="280">
      <c r="A280" s="87"/>
      <c r="B280" s="75"/>
      <c r="C280" s="88"/>
      <c r="D280" s="15"/>
      <c r="E280" s="15"/>
      <c r="F280" s="10" t="s">
        <v>6132</v>
      </c>
      <c r="G280" s="11" t="s">
        <v>5793</v>
      </c>
      <c r="I280" s="13" t="s">
        <v>5674</v>
      </c>
    </row>
    <row r="281">
      <c r="A281" s="87"/>
      <c r="B281" s="75"/>
      <c r="C281" s="88"/>
      <c r="D281" s="15"/>
      <c r="E281" s="15"/>
      <c r="F281" s="10" t="s">
        <v>6132</v>
      </c>
      <c r="G281" s="11" t="s">
        <v>5793</v>
      </c>
      <c r="I281" s="13" t="s">
        <v>5674</v>
      </c>
    </row>
    <row r="282">
      <c r="A282" s="87"/>
      <c r="B282" s="75"/>
      <c r="C282" s="88"/>
      <c r="D282" s="15"/>
      <c r="E282" s="15"/>
      <c r="F282" s="10" t="s">
        <v>6132</v>
      </c>
      <c r="G282" s="11" t="s">
        <v>5793</v>
      </c>
      <c r="I282" s="13" t="s">
        <v>5674</v>
      </c>
    </row>
    <row r="283">
      <c r="A283" s="87"/>
      <c r="B283" s="75"/>
      <c r="C283" s="88"/>
      <c r="D283" s="10"/>
      <c r="E283" s="10"/>
      <c r="F283" s="10" t="s">
        <v>6132</v>
      </c>
      <c r="G283" s="11" t="s">
        <v>5793</v>
      </c>
      <c r="I283" s="13" t="s">
        <v>5674</v>
      </c>
    </row>
    <row r="284">
      <c r="A284" s="87"/>
      <c r="B284" s="75"/>
      <c r="C284" s="88"/>
      <c r="D284" s="10"/>
      <c r="E284" s="10"/>
      <c r="F284" s="10" t="s">
        <v>6132</v>
      </c>
      <c r="G284" s="11" t="s">
        <v>5793</v>
      </c>
      <c r="I284" s="13" t="s">
        <v>5674</v>
      </c>
    </row>
    <row r="285">
      <c r="A285" s="87"/>
      <c r="B285" s="75"/>
      <c r="C285" s="88"/>
      <c r="D285" s="15"/>
      <c r="E285" s="15"/>
      <c r="F285" s="10" t="s">
        <v>6132</v>
      </c>
      <c r="G285" s="11" t="s">
        <v>5793</v>
      </c>
      <c r="I285" s="13" t="s">
        <v>5674</v>
      </c>
    </row>
    <row r="286">
      <c r="A286" s="87"/>
      <c r="B286" s="75"/>
      <c r="C286" s="88"/>
      <c r="D286" s="15"/>
      <c r="E286" s="15"/>
      <c r="F286" s="10" t="s">
        <v>6132</v>
      </c>
      <c r="G286" s="11" t="s">
        <v>5793</v>
      </c>
      <c r="I286" s="13" t="s">
        <v>5674</v>
      </c>
    </row>
    <row r="287">
      <c r="A287" s="87"/>
      <c r="B287" s="75"/>
      <c r="C287" s="88"/>
      <c r="D287" s="15"/>
      <c r="E287" s="15"/>
      <c r="F287" s="10" t="s">
        <v>6132</v>
      </c>
      <c r="G287" s="11" t="s">
        <v>5793</v>
      </c>
      <c r="I287" s="13" t="s">
        <v>5674</v>
      </c>
    </row>
    <row r="288">
      <c r="A288" s="87"/>
      <c r="B288" s="75"/>
      <c r="C288" s="88"/>
      <c r="D288" s="15"/>
      <c r="E288" s="15"/>
      <c r="F288" s="10" t="s">
        <v>6132</v>
      </c>
      <c r="G288" s="11" t="s">
        <v>5793</v>
      </c>
      <c r="I288" s="13" t="s">
        <v>5674</v>
      </c>
    </row>
    <row r="289">
      <c r="A289" s="87"/>
      <c r="B289" s="75"/>
      <c r="C289" s="88"/>
      <c r="D289" s="15"/>
      <c r="E289" s="15"/>
      <c r="F289" s="10" t="s">
        <v>6132</v>
      </c>
      <c r="G289" s="11" t="s">
        <v>5793</v>
      </c>
      <c r="I289" s="13" t="s">
        <v>5674</v>
      </c>
    </row>
    <row r="290">
      <c r="A290" s="87"/>
      <c r="B290" s="75"/>
      <c r="C290" s="88"/>
      <c r="D290" s="15"/>
      <c r="E290" s="15"/>
      <c r="F290" s="10" t="s">
        <v>6132</v>
      </c>
      <c r="G290" s="11" t="s">
        <v>5793</v>
      </c>
      <c r="I290" s="13" t="s">
        <v>5674</v>
      </c>
    </row>
    <row r="291">
      <c r="A291" s="87"/>
      <c r="B291" s="75"/>
      <c r="C291" s="88"/>
      <c r="D291" s="15"/>
      <c r="E291" s="15"/>
      <c r="F291" s="10" t="s">
        <v>6132</v>
      </c>
      <c r="G291" s="11" t="s">
        <v>5793</v>
      </c>
      <c r="I291" s="13" t="s">
        <v>5674</v>
      </c>
    </row>
    <row r="292">
      <c r="A292" s="87"/>
      <c r="B292" s="75"/>
      <c r="C292" s="88"/>
      <c r="D292" s="15"/>
      <c r="E292" s="15"/>
      <c r="F292" s="10" t="s">
        <v>6132</v>
      </c>
      <c r="G292" s="11" t="s">
        <v>5793</v>
      </c>
      <c r="I292" s="13" t="s">
        <v>5674</v>
      </c>
    </row>
    <row r="293">
      <c r="A293" s="87"/>
      <c r="B293" s="75"/>
      <c r="C293" s="88"/>
      <c r="D293" s="15"/>
      <c r="E293" s="15"/>
      <c r="F293" s="10" t="s">
        <v>6132</v>
      </c>
      <c r="G293" s="11" t="s">
        <v>5793</v>
      </c>
      <c r="I293" s="13" t="s">
        <v>5674</v>
      </c>
    </row>
    <row r="294">
      <c r="A294" s="87"/>
      <c r="B294" s="75"/>
      <c r="C294" s="88"/>
      <c r="D294" s="15"/>
      <c r="E294" s="15"/>
      <c r="F294" s="10" t="s">
        <v>6132</v>
      </c>
      <c r="G294" s="11" t="s">
        <v>5793</v>
      </c>
      <c r="I294" s="13" t="s">
        <v>5674</v>
      </c>
    </row>
    <row r="295">
      <c r="A295" s="87"/>
      <c r="B295" s="75"/>
      <c r="C295" s="88"/>
      <c r="D295" s="15"/>
      <c r="E295" s="15"/>
      <c r="F295" s="10" t="s">
        <v>6132</v>
      </c>
      <c r="G295" s="11" t="s">
        <v>5793</v>
      </c>
      <c r="I295" s="13" t="s">
        <v>5674</v>
      </c>
    </row>
    <row r="296">
      <c r="A296" s="87"/>
      <c r="B296" s="75"/>
      <c r="C296" s="88"/>
      <c r="D296" s="15"/>
      <c r="E296" s="15"/>
      <c r="F296" s="10" t="s">
        <v>6132</v>
      </c>
      <c r="G296" s="11" t="s">
        <v>5793</v>
      </c>
      <c r="I296" s="13" t="s">
        <v>5674</v>
      </c>
    </row>
    <row r="297">
      <c r="A297" s="87"/>
      <c r="B297" s="75"/>
      <c r="C297" s="88"/>
      <c r="D297" s="15"/>
      <c r="E297" s="15"/>
      <c r="F297" s="10" t="s">
        <v>6132</v>
      </c>
      <c r="G297" s="11" t="s">
        <v>5793</v>
      </c>
      <c r="I297" s="13" t="s">
        <v>5674</v>
      </c>
    </row>
    <row r="298">
      <c r="A298" s="87"/>
      <c r="B298" s="75"/>
      <c r="C298" s="88"/>
      <c r="D298" s="15"/>
      <c r="E298" s="15"/>
      <c r="F298" s="10" t="s">
        <v>6132</v>
      </c>
      <c r="G298" s="11" t="s">
        <v>5793</v>
      </c>
      <c r="I298" s="13" t="s">
        <v>5674</v>
      </c>
    </row>
    <row r="299">
      <c r="A299" s="87"/>
      <c r="B299" s="75"/>
      <c r="C299" s="88"/>
      <c r="D299" s="15"/>
      <c r="E299" s="15"/>
      <c r="F299" s="10" t="s">
        <v>6132</v>
      </c>
      <c r="G299" s="11" t="s">
        <v>5793</v>
      </c>
      <c r="I299" s="13" t="s">
        <v>5674</v>
      </c>
    </row>
    <row r="300">
      <c r="A300" s="87"/>
      <c r="B300" s="75"/>
      <c r="C300" s="88"/>
      <c r="D300" s="15"/>
      <c r="E300" s="15"/>
      <c r="F300" s="10" t="s">
        <v>6132</v>
      </c>
      <c r="G300" s="11" t="s">
        <v>5793</v>
      </c>
      <c r="I300" s="13" t="s">
        <v>5674</v>
      </c>
    </row>
    <row r="301">
      <c r="A301" s="87"/>
      <c r="B301" s="75"/>
      <c r="C301" s="88"/>
      <c r="D301" s="15"/>
      <c r="E301" s="15"/>
      <c r="F301" s="10" t="s">
        <v>6132</v>
      </c>
      <c r="G301" s="11" t="s">
        <v>5793</v>
      </c>
      <c r="I301" s="13" t="s">
        <v>5674</v>
      </c>
    </row>
    <row r="302">
      <c r="A302" s="87"/>
      <c r="B302" s="75"/>
      <c r="C302" s="88"/>
      <c r="D302" s="15"/>
      <c r="E302" s="15"/>
      <c r="F302" s="10" t="s">
        <v>6132</v>
      </c>
      <c r="G302" s="11" t="s">
        <v>5793</v>
      </c>
      <c r="I302" s="13" t="s">
        <v>5674</v>
      </c>
    </row>
    <row r="303">
      <c r="A303" s="87"/>
      <c r="B303" s="75"/>
      <c r="C303" s="88"/>
      <c r="D303" s="15"/>
      <c r="E303" s="15"/>
      <c r="F303" s="10" t="s">
        <v>6132</v>
      </c>
      <c r="G303" s="11" t="s">
        <v>5793</v>
      </c>
      <c r="I303" s="13" t="s">
        <v>5674</v>
      </c>
    </row>
    <row r="304">
      <c r="A304" s="87"/>
      <c r="B304" s="75"/>
      <c r="C304" s="88"/>
      <c r="D304" s="15"/>
      <c r="E304" s="15"/>
      <c r="F304" s="10" t="s">
        <v>6132</v>
      </c>
      <c r="G304" s="11" t="s">
        <v>5793</v>
      </c>
      <c r="I304" s="13" t="s">
        <v>5674</v>
      </c>
    </row>
    <row r="305">
      <c r="A305" s="87"/>
      <c r="B305" s="75"/>
      <c r="C305" s="88"/>
      <c r="D305" s="15"/>
      <c r="E305" s="15"/>
      <c r="F305" s="10" t="s">
        <v>6132</v>
      </c>
      <c r="G305" s="11" t="s">
        <v>5793</v>
      </c>
      <c r="I305" s="13" t="s">
        <v>5674</v>
      </c>
    </row>
    <row r="306">
      <c r="A306" s="87"/>
      <c r="B306" s="75"/>
      <c r="C306" s="88"/>
      <c r="D306" s="15"/>
      <c r="E306" s="15"/>
      <c r="F306" s="10" t="s">
        <v>6132</v>
      </c>
      <c r="G306" s="11" t="s">
        <v>5793</v>
      </c>
      <c r="I306" s="13" t="s">
        <v>5674</v>
      </c>
    </row>
    <row r="307">
      <c r="A307" s="87"/>
      <c r="B307" s="75"/>
      <c r="C307" s="88"/>
      <c r="D307" s="15"/>
      <c r="E307" s="15"/>
      <c r="F307" s="10" t="s">
        <v>6132</v>
      </c>
      <c r="G307" s="11" t="s">
        <v>5793</v>
      </c>
      <c r="I307" s="13" t="s">
        <v>5674</v>
      </c>
    </row>
    <row r="308">
      <c r="A308" s="87"/>
      <c r="B308" s="75"/>
      <c r="C308" s="88"/>
      <c r="D308" s="15"/>
      <c r="E308" s="15"/>
      <c r="F308" s="10" t="s">
        <v>6132</v>
      </c>
      <c r="G308" s="11" t="s">
        <v>5793</v>
      </c>
      <c r="I308" s="13" t="s">
        <v>5674</v>
      </c>
    </row>
    <row r="309">
      <c r="A309" s="87"/>
      <c r="B309" s="75"/>
      <c r="C309" s="88"/>
      <c r="D309" s="15"/>
      <c r="E309" s="15"/>
      <c r="F309" s="10" t="s">
        <v>6132</v>
      </c>
      <c r="G309" s="11" t="s">
        <v>5793</v>
      </c>
      <c r="I309" s="13" t="s">
        <v>5674</v>
      </c>
    </row>
    <row r="310">
      <c r="A310" s="87"/>
      <c r="B310" s="75"/>
      <c r="C310" s="88"/>
      <c r="D310" s="15"/>
      <c r="E310" s="15"/>
      <c r="F310" s="10" t="s">
        <v>6132</v>
      </c>
      <c r="G310" s="11" t="s">
        <v>5793</v>
      </c>
      <c r="I310" s="13" t="s">
        <v>5674</v>
      </c>
    </row>
    <row r="311">
      <c r="A311" s="87"/>
      <c r="B311" s="75"/>
      <c r="C311" s="88"/>
      <c r="D311" s="15"/>
      <c r="E311" s="15"/>
      <c r="F311" s="10" t="s">
        <v>6132</v>
      </c>
      <c r="G311" s="11" t="s">
        <v>5793</v>
      </c>
      <c r="I311" s="13" t="s">
        <v>5674</v>
      </c>
    </row>
    <row r="312">
      <c r="A312" s="87"/>
      <c r="B312" s="75"/>
      <c r="C312" s="88"/>
      <c r="D312" s="15"/>
      <c r="E312" s="15"/>
      <c r="F312" s="10" t="s">
        <v>6132</v>
      </c>
      <c r="G312" s="11" t="s">
        <v>5793</v>
      </c>
      <c r="I312" s="13" t="s">
        <v>5674</v>
      </c>
    </row>
    <row r="313">
      <c r="A313" s="87"/>
      <c r="B313" s="75"/>
      <c r="C313" s="88"/>
      <c r="D313" s="15"/>
      <c r="E313" s="15"/>
      <c r="F313" s="10" t="s">
        <v>6132</v>
      </c>
      <c r="G313" s="11" t="s">
        <v>5793</v>
      </c>
      <c r="I313" s="13" t="s">
        <v>5674</v>
      </c>
    </row>
    <row r="314">
      <c r="A314" s="87"/>
      <c r="B314" s="75"/>
      <c r="C314" s="88"/>
      <c r="D314" s="15"/>
      <c r="E314" s="15"/>
      <c r="F314" s="10" t="s">
        <v>6132</v>
      </c>
      <c r="G314" s="11" t="s">
        <v>5793</v>
      </c>
      <c r="I314" s="13" t="s">
        <v>5674</v>
      </c>
    </row>
    <row r="315">
      <c r="A315" s="87"/>
      <c r="B315" s="75"/>
      <c r="C315" s="88"/>
      <c r="D315" s="15"/>
      <c r="E315" s="15"/>
      <c r="F315" s="10" t="s">
        <v>6132</v>
      </c>
      <c r="G315" s="11" t="s">
        <v>5793</v>
      </c>
      <c r="I315" s="13" t="s">
        <v>5674</v>
      </c>
    </row>
    <row r="316">
      <c r="A316" s="87"/>
      <c r="B316" s="75"/>
      <c r="C316" s="88"/>
      <c r="D316" s="15"/>
      <c r="E316" s="15"/>
      <c r="F316" s="10" t="s">
        <v>6132</v>
      </c>
      <c r="G316" s="11" t="s">
        <v>5793</v>
      </c>
      <c r="I316" s="13" t="s">
        <v>5674</v>
      </c>
      <c r="L316" s="76"/>
      <c r="M316" s="73"/>
    </row>
    <row r="317">
      <c r="A317" s="87"/>
      <c r="B317" s="75"/>
      <c r="C317" s="88"/>
      <c r="D317" s="15"/>
      <c r="E317" s="15"/>
      <c r="F317" s="10" t="s">
        <v>6132</v>
      </c>
      <c r="G317" s="11" t="s">
        <v>5793</v>
      </c>
      <c r="I317" s="13" t="s">
        <v>5674</v>
      </c>
      <c r="L317" s="76"/>
      <c r="M317" s="73"/>
    </row>
    <row r="318">
      <c r="A318" s="87"/>
      <c r="B318" s="75"/>
      <c r="C318" s="88"/>
      <c r="D318" s="15"/>
      <c r="E318" s="15"/>
      <c r="F318" s="10" t="s">
        <v>6132</v>
      </c>
      <c r="G318" s="11" t="s">
        <v>5793</v>
      </c>
      <c r="I318" s="13" t="s">
        <v>5674</v>
      </c>
      <c r="L318" s="76"/>
      <c r="M318" s="73"/>
    </row>
    <row r="319">
      <c r="A319" s="87"/>
      <c r="B319" s="75"/>
      <c r="C319" s="88"/>
      <c r="D319" s="15"/>
      <c r="E319" s="15"/>
      <c r="F319" s="10" t="s">
        <v>6132</v>
      </c>
      <c r="G319" s="11" t="s">
        <v>5793</v>
      </c>
      <c r="I319" s="13" t="s">
        <v>5674</v>
      </c>
      <c r="L319" s="76"/>
      <c r="M319" s="73"/>
    </row>
    <row r="320">
      <c r="A320" s="87"/>
      <c r="B320" s="75"/>
      <c r="C320" s="88"/>
      <c r="D320" s="15"/>
      <c r="E320" s="15"/>
      <c r="F320" s="10" t="s">
        <v>6132</v>
      </c>
      <c r="G320" s="11" t="s">
        <v>5793</v>
      </c>
      <c r="I320" s="13" t="s">
        <v>5674</v>
      </c>
      <c r="L320" s="76"/>
      <c r="M320" s="73"/>
    </row>
    <row r="321">
      <c r="A321" s="87"/>
      <c r="B321" s="75"/>
      <c r="C321" s="88"/>
      <c r="D321" s="15"/>
      <c r="E321" s="15"/>
      <c r="F321" s="10" t="s">
        <v>6132</v>
      </c>
      <c r="G321" s="11" t="s">
        <v>5793</v>
      </c>
      <c r="I321" s="13" t="s">
        <v>5674</v>
      </c>
      <c r="L321" s="76"/>
      <c r="M321" s="73"/>
    </row>
    <row r="322">
      <c r="A322" s="87"/>
      <c r="B322" s="75"/>
      <c r="C322" s="88"/>
      <c r="D322" s="15"/>
      <c r="E322" s="15"/>
      <c r="F322" s="10" t="s">
        <v>6132</v>
      </c>
      <c r="G322" s="11" t="s">
        <v>5793</v>
      </c>
      <c r="I322" s="13" t="s">
        <v>5674</v>
      </c>
      <c r="L322" s="76"/>
      <c r="M322" s="73"/>
    </row>
    <row r="323">
      <c r="A323" s="87"/>
      <c r="B323" s="75"/>
      <c r="C323" s="88"/>
      <c r="D323" s="15"/>
      <c r="E323" s="15"/>
      <c r="F323" s="10" t="s">
        <v>6132</v>
      </c>
      <c r="G323" s="11" t="s">
        <v>5793</v>
      </c>
      <c r="I323" s="13" t="s">
        <v>5674</v>
      </c>
      <c r="L323" s="76"/>
      <c r="M323" s="73"/>
    </row>
    <row r="324">
      <c r="A324" s="87"/>
      <c r="B324" s="75"/>
      <c r="C324" s="88"/>
      <c r="D324" s="15"/>
      <c r="E324" s="15"/>
      <c r="F324" s="10" t="s">
        <v>6132</v>
      </c>
      <c r="G324" s="11" t="s">
        <v>5793</v>
      </c>
      <c r="I324" s="13" t="s">
        <v>5674</v>
      </c>
      <c r="L324" s="76"/>
      <c r="M324" s="73"/>
    </row>
    <row r="325">
      <c r="A325" s="87"/>
      <c r="B325" s="75"/>
      <c r="C325" s="88"/>
      <c r="D325" s="15"/>
      <c r="E325" s="15"/>
      <c r="F325" s="10" t="s">
        <v>6132</v>
      </c>
      <c r="G325" s="11" t="s">
        <v>5793</v>
      </c>
      <c r="I325" s="13" t="s">
        <v>5674</v>
      </c>
      <c r="L325" s="76"/>
      <c r="M325" s="73"/>
    </row>
    <row r="326">
      <c r="A326" s="87"/>
      <c r="B326" s="75"/>
      <c r="C326" s="88"/>
      <c r="D326" s="15"/>
      <c r="E326" s="15"/>
      <c r="F326" s="10" t="s">
        <v>6132</v>
      </c>
      <c r="G326" s="11" t="s">
        <v>5793</v>
      </c>
      <c r="I326" s="13" t="s">
        <v>5674</v>
      </c>
      <c r="L326" s="76"/>
      <c r="M326" s="73"/>
    </row>
    <row r="327">
      <c r="A327" s="87"/>
      <c r="B327" s="75"/>
      <c r="C327" s="88"/>
      <c r="D327" s="15"/>
      <c r="E327" s="15"/>
      <c r="F327" s="10" t="s">
        <v>6132</v>
      </c>
      <c r="G327" s="11" t="s">
        <v>5793</v>
      </c>
      <c r="I327" s="13" t="s">
        <v>5674</v>
      </c>
      <c r="L327" s="76"/>
      <c r="M327" s="73"/>
    </row>
    <row r="328">
      <c r="A328" s="87"/>
      <c r="B328" s="75"/>
      <c r="C328" s="88"/>
      <c r="D328" s="15"/>
      <c r="E328" s="15"/>
      <c r="F328" s="10" t="s">
        <v>6132</v>
      </c>
      <c r="G328" s="11" t="s">
        <v>5793</v>
      </c>
      <c r="I328" s="13" t="s">
        <v>5674</v>
      </c>
      <c r="L328" s="76"/>
      <c r="M328" s="73"/>
    </row>
    <row r="329">
      <c r="A329" s="87"/>
      <c r="B329" s="75"/>
      <c r="C329" s="88"/>
      <c r="D329" s="15"/>
      <c r="E329" s="15"/>
      <c r="F329" s="10" t="s">
        <v>6132</v>
      </c>
      <c r="G329" s="11" t="s">
        <v>5793</v>
      </c>
      <c r="I329" s="13" t="s">
        <v>5674</v>
      </c>
      <c r="L329" s="76"/>
      <c r="M329" s="73"/>
    </row>
    <row r="330">
      <c r="A330" s="87"/>
      <c r="B330" s="75"/>
      <c r="C330" s="88"/>
      <c r="D330" s="15"/>
      <c r="E330" s="15"/>
      <c r="F330" s="10" t="s">
        <v>6132</v>
      </c>
      <c r="G330" s="11" t="s">
        <v>5793</v>
      </c>
      <c r="I330" s="13" t="s">
        <v>5674</v>
      </c>
      <c r="L330" s="76"/>
      <c r="M330" s="73"/>
    </row>
    <row r="331">
      <c r="A331" s="87"/>
      <c r="B331" s="75"/>
      <c r="C331" s="88"/>
      <c r="D331" s="15"/>
      <c r="E331" s="15"/>
      <c r="F331" s="10" t="s">
        <v>6132</v>
      </c>
      <c r="G331" s="11" t="s">
        <v>5793</v>
      </c>
      <c r="I331" s="13" t="s">
        <v>5674</v>
      </c>
      <c r="L331" s="76"/>
      <c r="M331" s="73"/>
    </row>
    <row r="332">
      <c r="A332" s="87"/>
      <c r="B332" s="75"/>
      <c r="C332" s="88"/>
      <c r="D332" s="15"/>
      <c r="E332" s="15"/>
      <c r="F332" s="10" t="s">
        <v>6132</v>
      </c>
      <c r="G332" s="11" t="s">
        <v>5793</v>
      </c>
      <c r="I332" s="13" t="s">
        <v>5674</v>
      </c>
      <c r="L332" s="76"/>
      <c r="M332" s="73"/>
    </row>
    <row r="333">
      <c r="A333" s="87"/>
      <c r="B333" s="75"/>
      <c r="C333" s="88"/>
      <c r="D333" s="15"/>
      <c r="E333" s="15"/>
      <c r="F333" s="10" t="s">
        <v>6132</v>
      </c>
      <c r="G333" s="11" t="s">
        <v>5793</v>
      </c>
      <c r="I333" s="13" t="s">
        <v>5674</v>
      </c>
      <c r="L333" s="76"/>
      <c r="M333" s="73"/>
    </row>
    <row r="334">
      <c r="A334" s="87"/>
      <c r="B334" s="75"/>
      <c r="C334" s="88"/>
      <c r="D334" s="15"/>
      <c r="E334" s="15"/>
      <c r="F334" s="10" t="s">
        <v>6132</v>
      </c>
      <c r="G334" s="11" t="s">
        <v>5793</v>
      </c>
      <c r="I334" s="13" t="s">
        <v>5674</v>
      </c>
      <c r="L334" s="76"/>
      <c r="M334" s="73"/>
    </row>
    <row r="335">
      <c r="A335" s="87"/>
      <c r="B335" s="75"/>
      <c r="C335" s="88"/>
      <c r="D335" s="15"/>
      <c r="E335" s="15"/>
      <c r="F335" s="10" t="s">
        <v>6132</v>
      </c>
      <c r="G335" s="11" t="s">
        <v>5793</v>
      </c>
      <c r="I335" s="13" t="s">
        <v>5674</v>
      </c>
      <c r="L335" s="76"/>
      <c r="M335" s="73"/>
    </row>
    <row r="336">
      <c r="A336" s="87"/>
      <c r="B336" s="75"/>
      <c r="C336" s="88"/>
      <c r="D336" s="15"/>
      <c r="E336" s="15"/>
      <c r="F336" s="10" t="s">
        <v>6132</v>
      </c>
      <c r="G336" s="11" t="s">
        <v>5793</v>
      </c>
      <c r="I336" s="13" t="s">
        <v>5674</v>
      </c>
      <c r="L336" s="76"/>
      <c r="M336" s="73"/>
    </row>
    <row r="337">
      <c r="A337" s="87"/>
      <c r="B337" s="75"/>
      <c r="C337" s="88"/>
      <c r="D337" s="15"/>
      <c r="E337" s="15"/>
      <c r="F337" s="10" t="s">
        <v>6132</v>
      </c>
      <c r="G337" s="11" t="s">
        <v>5793</v>
      </c>
      <c r="I337" s="13" t="s">
        <v>5674</v>
      </c>
      <c r="L337" s="76"/>
      <c r="M337" s="73"/>
    </row>
    <row r="338">
      <c r="A338" s="87"/>
      <c r="B338" s="75"/>
      <c r="C338" s="88"/>
      <c r="D338" s="15"/>
      <c r="E338" s="15"/>
      <c r="F338" s="10" t="s">
        <v>6132</v>
      </c>
      <c r="G338" s="11" t="s">
        <v>5793</v>
      </c>
      <c r="I338" s="13" t="s">
        <v>5674</v>
      </c>
      <c r="L338" s="76"/>
      <c r="M338" s="73"/>
    </row>
    <row r="339">
      <c r="A339" s="87"/>
      <c r="B339" s="75"/>
      <c r="C339" s="88"/>
      <c r="D339" s="15"/>
      <c r="E339" s="15"/>
      <c r="F339" s="10" t="s">
        <v>6132</v>
      </c>
      <c r="G339" s="11" t="s">
        <v>5793</v>
      </c>
      <c r="I339" s="13" t="s">
        <v>5674</v>
      </c>
      <c r="L339" s="76"/>
      <c r="M339" s="73"/>
    </row>
    <row r="340">
      <c r="A340" s="87"/>
      <c r="B340" s="75"/>
      <c r="C340" s="88"/>
      <c r="D340" s="15"/>
      <c r="E340" s="15"/>
      <c r="F340" s="10" t="s">
        <v>6132</v>
      </c>
      <c r="G340" s="11" t="s">
        <v>5793</v>
      </c>
      <c r="I340" s="13" t="s">
        <v>5674</v>
      </c>
      <c r="L340" s="76"/>
      <c r="M340" s="73"/>
    </row>
    <row r="341">
      <c r="A341" s="87"/>
      <c r="B341" s="75"/>
      <c r="C341" s="88"/>
      <c r="D341" s="15"/>
      <c r="E341" s="15"/>
      <c r="F341" s="10" t="s">
        <v>6132</v>
      </c>
      <c r="G341" s="11" t="s">
        <v>5793</v>
      </c>
      <c r="I341" s="13" t="s">
        <v>5674</v>
      </c>
      <c r="L341" s="76"/>
      <c r="M341" s="73"/>
    </row>
    <row r="342">
      <c r="A342" s="87"/>
      <c r="B342" s="75"/>
      <c r="C342" s="88"/>
      <c r="D342" s="15"/>
      <c r="E342" s="15"/>
      <c r="F342" s="10" t="s">
        <v>6132</v>
      </c>
      <c r="G342" s="11" t="s">
        <v>5793</v>
      </c>
      <c r="I342" s="13" t="s">
        <v>5674</v>
      </c>
      <c r="L342" s="76"/>
      <c r="M342" s="73"/>
    </row>
    <row r="343">
      <c r="A343" s="87"/>
      <c r="B343" s="75"/>
      <c r="C343" s="88"/>
      <c r="D343" s="15"/>
      <c r="E343" s="15"/>
      <c r="F343" s="10" t="s">
        <v>6132</v>
      </c>
      <c r="G343" s="11" t="s">
        <v>5793</v>
      </c>
      <c r="I343" s="13" t="s">
        <v>5674</v>
      </c>
      <c r="L343" s="76"/>
      <c r="M343" s="73"/>
    </row>
    <row r="344">
      <c r="A344" s="87"/>
      <c r="B344" s="75"/>
      <c r="C344" s="88"/>
      <c r="D344" s="15"/>
      <c r="E344" s="15"/>
      <c r="F344" s="10" t="s">
        <v>6132</v>
      </c>
      <c r="G344" s="11" t="s">
        <v>5793</v>
      </c>
      <c r="I344" s="13" t="s">
        <v>5674</v>
      </c>
      <c r="L344" s="76"/>
      <c r="M344" s="73"/>
    </row>
    <row r="345">
      <c r="A345" s="87"/>
      <c r="B345" s="75"/>
      <c r="C345" s="88"/>
      <c r="D345" s="15"/>
      <c r="E345" s="15"/>
      <c r="F345" s="10" t="s">
        <v>6132</v>
      </c>
      <c r="G345" s="11" t="s">
        <v>5793</v>
      </c>
      <c r="I345" s="13" t="s">
        <v>5674</v>
      </c>
      <c r="L345" s="76"/>
      <c r="M345" s="73"/>
    </row>
    <row r="346">
      <c r="A346" s="87"/>
      <c r="B346" s="75"/>
      <c r="C346" s="88"/>
      <c r="D346" s="15"/>
      <c r="E346" s="15"/>
      <c r="F346" s="10" t="s">
        <v>6132</v>
      </c>
      <c r="G346" s="11" t="s">
        <v>5793</v>
      </c>
      <c r="I346" s="13" t="s">
        <v>5674</v>
      </c>
      <c r="L346" s="76"/>
      <c r="M346" s="73"/>
    </row>
    <row r="347">
      <c r="A347" s="87"/>
      <c r="B347" s="75"/>
      <c r="C347" s="88"/>
      <c r="D347" s="15"/>
      <c r="E347" s="15"/>
      <c r="F347" s="10" t="s">
        <v>6132</v>
      </c>
      <c r="G347" s="11" t="s">
        <v>5793</v>
      </c>
      <c r="I347" s="13" t="s">
        <v>5674</v>
      </c>
      <c r="L347" s="76"/>
      <c r="M347" s="73"/>
    </row>
    <row r="348">
      <c r="A348" s="87"/>
      <c r="B348" s="75"/>
      <c r="C348" s="88"/>
      <c r="D348" s="15"/>
      <c r="E348" s="15"/>
      <c r="F348" s="10" t="s">
        <v>6132</v>
      </c>
      <c r="G348" s="11" t="s">
        <v>5793</v>
      </c>
      <c r="I348" s="13" t="s">
        <v>5674</v>
      </c>
      <c r="L348" s="76"/>
      <c r="M348" s="73"/>
    </row>
    <row r="349">
      <c r="A349" s="87"/>
      <c r="B349" s="75"/>
      <c r="C349" s="88"/>
      <c r="D349" s="15"/>
      <c r="E349" s="15"/>
      <c r="F349" s="10" t="s">
        <v>6132</v>
      </c>
      <c r="G349" s="11" t="s">
        <v>5793</v>
      </c>
      <c r="I349" s="13" t="s">
        <v>5674</v>
      </c>
      <c r="L349" s="76"/>
      <c r="M349" s="73"/>
    </row>
    <row r="350">
      <c r="A350" s="87"/>
      <c r="B350" s="75"/>
      <c r="C350" s="88"/>
      <c r="D350" s="15"/>
      <c r="E350" s="15"/>
      <c r="F350" s="10" t="s">
        <v>6132</v>
      </c>
      <c r="G350" s="11" t="s">
        <v>5793</v>
      </c>
      <c r="I350" s="13" t="s">
        <v>5674</v>
      </c>
      <c r="L350" s="76"/>
      <c r="M350" s="73"/>
    </row>
    <row r="351">
      <c r="A351" s="87"/>
      <c r="B351" s="75"/>
      <c r="C351" s="88"/>
      <c r="D351" s="15"/>
      <c r="E351" s="15"/>
      <c r="F351" s="10" t="s">
        <v>6132</v>
      </c>
      <c r="G351" s="11" t="s">
        <v>5793</v>
      </c>
      <c r="I351" s="13" t="s">
        <v>5674</v>
      </c>
      <c r="L351" s="76"/>
      <c r="M351" s="73"/>
    </row>
    <row r="352">
      <c r="A352" s="87"/>
      <c r="B352" s="75"/>
      <c r="C352" s="88"/>
      <c r="D352" s="15"/>
      <c r="E352" s="15"/>
      <c r="F352" s="10" t="s">
        <v>6132</v>
      </c>
      <c r="G352" s="11" t="s">
        <v>5793</v>
      </c>
      <c r="I352" s="13" t="s">
        <v>5674</v>
      </c>
      <c r="L352" s="76"/>
      <c r="M352" s="73"/>
    </row>
    <row r="353">
      <c r="A353" s="87"/>
      <c r="B353" s="75"/>
      <c r="C353" s="88"/>
      <c r="D353" s="15"/>
      <c r="E353" s="15"/>
      <c r="F353" s="10" t="s">
        <v>6132</v>
      </c>
      <c r="G353" s="11" t="s">
        <v>5793</v>
      </c>
      <c r="I353" s="13" t="s">
        <v>5674</v>
      </c>
      <c r="L353" s="76"/>
      <c r="M353" s="73"/>
    </row>
    <row r="354">
      <c r="A354" s="87"/>
      <c r="B354" s="75"/>
      <c r="C354" s="88"/>
      <c r="D354" s="15"/>
      <c r="E354" s="15"/>
      <c r="F354" s="10" t="s">
        <v>6132</v>
      </c>
      <c r="G354" s="11" t="s">
        <v>5793</v>
      </c>
      <c r="I354" s="13" t="s">
        <v>5674</v>
      </c>
      <c r="L354" s="76"/>
      <c r="M354" s="73"/>
    </row>
    <row r="355">
      <c r="A355" s="87"/>
      <c r="B355" s="75"/>
      <c r="C355" s="88"/>
      <c r="D355" s="15"/>
      <c r="E355" s="15"/>
      <c r="F355" s="10" t="s">
        <v>6132</v>
      </c>
      <c r="G355" s="11" t="s">
        <v>5793</v>
      </c>
      <c r="I355" s="13" t="s">
        <v>5674</v>
      </c>
      <c r="L355" s="76"/>
      <c r="M355" s="73"/>
    </row>
    <row r="356">
      <c r="A356" s="87"/>
      <c r="B356" s="75"/>
      <c r="C356" s="88"/>
      <c r="D356" s="15"/>
      <c r="E356" s="15"/>
      <c r="F356" s="10" t="s">
        <v>6132</v>
      </c>
      <c r="G356" s="11" t="s">
        <v>5793</v>
      </c>
      <c r="I356" s="13" t="s">
        <v>5674</v>
      </c>
      <c r="L356" s="76"/>
      <c r="M356" s="73"/>
    </row>
    <row r="357">
      <c r="A357" s="87"/>
      <c r="B357" s="75"/>
      <c r="C357" s="88"/>
      <c r="D357" s="15"/>
      <c r="E357" s="15"/>
      <c r="F357" s="10" t="s">
        <v>6132</v>
      </c>
      <c r="G357" s="11" t="s">
        <v>5793</v>
      </c>
      <c r="I357" s="13" t="s">
        <v>5674</v>
      </c>
      <c r="L357" s="76"/>
      <c r="M357" s="73"/>
    </row>
    <row r="358">
      <c r="A358" s="87"/>
      <c r="B358" s="75"/>
      <c r="C358" s="88"/>
      <c r="D358" s="15"/>
      <c r="E358" s="15"/>
      <c r="F358" s="10" t="s">
        <v>6132</v>
      </c>
      <c r="G358" s="11" t="s">
        <v>5793</v>
      </c>
      <c r="I358" s="13" t="s">
        <v>5674</v>
      </c>
      <c r="L358" s="76"/>
      <c r="M358" s="73"/>
    </row>
    <row r="359">
      <c r="A359" s="87"/>
      <c r="B359" s="75"/>
      <c r="C359" s="88"/>
      <c r="D359" s="15"/>
      <c r="E359" s="15"/>
      <c r="F359" s="10" t="s">
        <v>6132</v>
      </c>
      <c r="G359" s="11" t="s">
        <v>5793</v>
      </c>
      <c r="I359" s="13" t="s">
        <v>5674</v>
      </c>
      <c r="L359" s="76"/>
      <c r="M359" s="73"/>
    </row>
    <row r="360">
      <c r="A360" s="87"/>
      <c r="B360" s="75"/>
      <c r="C360" s="88"/>
      <c r="D360" s="15"/>
      <c r="E360" s="15"/>
      <c r="F360" s="10" t="s">
        <v>6132</v>
      </c>
      <c r="G360" s="11" t="s">
        <v>5793</v>
      </c>
      <c r="I360" s="13" t="s">
        <v>5674</v>
      </c>
      <c r="L360" s="73"/>
    </row>
    <row r="361">
      <c r="A361" s="87"/>
      <c r="B361" s="75"/>
      <c r="C361" s="88"/>
      <c r="D361" s="15"/>
      <c r="E361" s="15"/>
      <c r="F361" s="10" t="s">
        <v>6132</v>
      </c>
      <c r="G361" s="11" t="s">
        <v>5793</v>
      </c>
      <c r="I361" s="13" t="s">
        <v>5674</v>
      </c>
      <c r="L361" s="73"/>
    </row>
    <row r="362">
      <c r="A362" s="87"/>
      <c r="B362" s="75"/>
      <c r="C362" s="88"/>
      <c r="D362" s="15"/>
      <c r="E362" s="15"/>
      <c r="F362" s="10" t="s">
        <v>6132</v>
      </c>
      <c r="G362" s="11" t="s">
        <v>5793</v>
      </c>
      <c r="I362" s="13" t="s">
        <v>5674</v>
      </c>
      <c r="L362" s="73"/>
    </row>
    <row r="363">
      <c r="A363" s="87"/>
      <c r="B363" s="75"/>
      <c r="C363" s="88"/>
      <c r="D363" s="15"/>
      <c r="E363" s="15"/>
      <c r="F363" s="10" t="s">
        <v>6132</v>
      </c>
      <c r="G363" s="11" t="s">
        <v>5793</v>
      </c>
      <c r="I363" s="13" t="s">
        <v>5674</v>
      </c>
      <c r="L363" s="73"/>
    </row>
    <row r="364">
      <c r="A364" s="87"/>
      <c r="B364" s="75"/>
      <c r="C364" s="88"/>
      <c r="D364" s="15"/>
      <c r="E364" s="15"/>
      <c r="F364" s="10" t="s">
        <v>6132</v>
      </c>
      <c r="G364" s="11" t="s">
        <v>5793</v>
      </c>
      <c r="I364" s="13" t="s">
        <v>5674</v>
      </c>
      <c r="L364" s="73"/>
    </row>
    <row r="365">
      <c r="A365" s="87"/>
      <c r="B365" s="75"/>
      <c r="C365" s="88"/>
      <c r="D365" s="15"/>
      <c r="E365" s="15"/>
      <c r="F365" s="10" t="s">
        <v>6132</v>
      </c>
      <c r="G365" s="11" t="s">
        <v>5793</v>
      </c>
      <c r="I365" s="13" t="s">
        <v>5674</v>
      </c>
      <c r="L365" s="73"/>
    </row>
    <row r="366">
      <c r="A366" s="87"/>
      <c r="B366" s="75"/>
      <c r="C366" s="88"/>
      <c r="D366" s="15"/>
      <c r="E366" s="15"/>
      <c r="F366" s="10" t="s">
        <v>6132</v>
      </c>
      <c r="G366" s="11" t="s">
        <v>5793</v>
      </c>
      <c r="I366" s="13" t="s">
        <v>5674</v>
      </c>
      <c r="L366" s="73"/>
    </row>
    <row r="367">
      <c r="A367" s="87"/>
      <c r="B367" s="75"/>
      <c r="C367" s="88"/>
      <c r="D367" s="15"/>
      <c r="E367" s="15"/>
      <c r="F367" s="10" t="s">
        <v>6132</v>
      </c>
      <c r="G367" s="11" t="s">
        <v>5793</v>
      </c>
      <c r="I367" s="13" t="s">
        <v>5674</v>
      </c>
      <c r="L367" s="73"/>
    </row>
    <row r="368">
      <c r="A368" s="87"/>
      <c r="B368" s="75"/>
      <c r="C368" s="88"/>
      <c r="D368" s="15"/>
      <c r="E368" s="15"/>
      <c r="F368" s="10" t="s">
        <v>6132</v>
      </c>
      <c r="G368" s="11" t="s">
        <v>5793</v>
      </c>
      <c r="I368" s="13" t="s">
        <v>5674</v>
      </c>
      <c r="L368" s="73"/>
    </row>
    <row r="369">
      <c r="A369" s="87"/>
      <c r="B369" s="75"/>
      <c r="C369" s="88"/>
      <c r="D369" s="15"/>
      <c r="E369" s="15"/>
      <c r="F369" s="10" t="s">
        <v>6132</v>
      </c>
      <c r="G369" s="11" t="s">
        <v>5793</v>
      </c>
      <c r="I369" s="13" t="s">
        <v>5674</v>
      </c>
      <c r="L369" s="73"/>
    </row>
    <row r="370">
      <c r="A370" s="87"/>
      <c r="B370" s="75"/>
      <c r="C370" s="88"/>
      <c r="D370" s="15"/>
      <c r="E370" s="15"/>
      <c r="F370" s="10" t="s">
        <v>6132</v>
      </c>
      <c r="G370" s="11" t="s">
        <v>5793</v>
      </c>
      <c r="I370" s="13" t="s">
        <v>5674</v>
      </c>
      <c r="L370" s="73"/>
    </row>
    <row r="371">
      <c r="A371" s="87"/>
      <c r="B371" s="75"/>
      <c r="C371" s="88"/>
      <c r="D371" s="15"/>
      <c r="E371" s="15"/>
      <c r="F371" s="10" t="s">
        <v>6132</v>
      </c>
      <c r="G371" s="11" t="s">
        <v>5793</v>
      </c>
      <c r="I371" s="13" t="s">
        <v>5674</v>
      </c>
      <c r="L371" s="73"/>
    </row>
    <row r="372">
      <c r="A372" s="87"/>
      <c r="B372" s="75"/>
      <c r="C372" s="88"/>
      <c r="D372" s="15"/>
      <c r="E372" s="15"/>
      <c r="F372" s="10" t="s">
        <v>6132</v>
      </c>
      <c r="G372" s="11" t="s">
        <v>5793</v>
      </c>
      <c r="I372" s="13" t="s">
        <v>5674</v>
      </c>
      <c r="L372" s="73"/>
    </row>
    <row r="373">
      <c r="A373" s="87"/>
      <c r="B373" s="75"/>
      <c r="C373" s="88"/>
      <c r="D373" s="15"/>
      <c r="E373" s="15"/>
      <c r="F373" s="10" t="s">
        <v>6132</v>
      </c>
      <c r="G373" s="11" t="s">
        <v>5793</v>
      </c>
      <c r="I373" s="13" t="s">
        <v>5674</v>
      </c>
      <c r="L373" s="73"/>
    </row>
    <row r="374">
      <c r="A374" s="87"/>
      <c r="B374" s="75"/>
      <c r="C374" s="88"/>
      <c r="D374" s="10"/>
      <c r="E374" s="10"/>
      <c r="F374" s="10" t="s">
        <v>6132</v>
      </c>
      <c r="G374" s="11" t="s">
        <v>5793</v>
      </c>
      <c r="I374" s="13" t="s">
        <v>5674</v>
      </c>
      <c r="L374" s="73"/>
    </row>
    <row r="375">
      <c r="A375" s="87"/>
      <c r="B375" s="75"/>
      <c r="C375" s="88"/>
      <c r="D375" s="15"/>
      <c r="E375" s="15"/>
      <c r="F375" s="10" t="s">
        <v>6132</v>
      </c>
      <c r="G375" s="11" t="s">
        <v>5793</v>
      </c>
      <c r="I375" s="13" t="s">
        <v>5674</v>
      </c>
      <c r="L375" s="76"/>
      <c r="M375" s="73"/>
    </row>
    <row r="376">
      <c r="A376" s="87"/>
      <c r="B376" s="75"/>
      <c r="C376" s="88"/>
      <c r="D376" s="15"/>
      <c r="E376" s="15"/>
      <c r="F376" s="10" t="s">
        <v>6132</v>
      </c>
      <c r="G376" s="11" t="s">
        <v>5793</v>
      </c>
      <c r="I376" s="13" t="s">
        <v>5674</v>
      </c>
      <c r="L376" s="76"/>
      <c r="M376" s="73"/>
    </row>
    <row r="377">
      <c r="A377" s="87"/>
      <c r="B377" s="75"/>
      <c r="C377" s="88"/>
      <c r="D377" s="15"/>
      <c r="E377" s="15"/>
      <c r="F377" s="10" t="s">
        <v>6132</v>
      </c>
      <c r="G377" s="11" t="s">
        <v>5793</v>
      </c>
      <c r="I377" s="13" t="s">
        <v>5674</v>
      </c>
      <c r="L377" s="76"/>
      <c r="M377" s="73"/>
    </row>
    <row r="378">
      <c r="A378" s="87"/>
      <c r="B378" s="75"/>
      <c r="C378" s="88"/>
      <c r="D378" s="15"/>
      <c r="E378" s="15"/>
      <c r="F378" s="10" t="s">
        <v>6132</v>
      </c>
      <c r="G378" s="11" t="s">
        <v>5793</v>
      </c>
      <c r="I378" s="13" t="s">
        <v>5674</v>
      </c>
      <c r="L378" s="76"/>
      <c r="M378" s="73"/>
    </row>
    <row r="379">
      <c r="A379" s="87"/>
      <c r="B379" s="88"/>
      <c r="C379" s="88"/>
      <c r="D379" s="10"/>
      <c r="E379" s="10"/>
      <c r="F379" s="10" t="s">
        <v>6132</v>
      </c>
      <c r="G379" s="11" t="s">
        <v>5793</v>
      </c>
      <c r="I379" s="13" t="s">
        <v>5674</v>
      </c>
      <c r="L379" s="73"/>
    </row>
    <row r="380">
      <c r="A380" s="87"/>
      <c r="B380" s="75"/>
      <c r="C380" s="88"/>
      <c r="D380" s="15"/>
      <c r="E380" s="15"/>
      <c r="F380" s="10" t="s">
        <v>6132</v>
      </c>
      <c r="G380" s="11" t="s">
        <v>5793</v>
      </c>
      <c r="I380" s="13" t="s">
        <v>5674</v>
      </c>
      <c r="L380" s="76"/>
      <c r="M380" s="73"/>
    </row>
    <row r="381">
      <c r="A381" s="87"/>
      <c r="B381" s="75"/>
      <c r="C381" s="88"/>
      <c r="D381" s="15"/>
      <c r="E381" s="15"/>
      <c r="F381" s="10" t="s">
        <v>6132</v>
      </c>
      <c r="G381" s="11" t="s">
        <v>5793</v>
      </c>
      <c r="I381" s="13" t="s">
        <v>5674</v>
      </c>
      <c r="L381" s="76"/>
      <c r="M381" s="73"/>
    </row>
    <row r="382">
      <c r="A382" s="87"/>
      <c r="B382" s="75"/>
      <c r="C382" s="88"/>
      <c r="D382" s="15"/>
      <c r="E382" s="15"/>
      <c r="F382" s="10" t="s">
        <v>6132</v>
      </c>
      <c r="G382" s="11" t="s">
        <v>5793</v>
      </c>
      <c r="I382" s="13" t="s">
        <v>5674</v>
      </c>
      <c r="L382" s="76"/>
      <c r="M382" s="73"/>
    </row>
    <row r="383">
      <c r="A383" s="87"/>
      <c r="B383" s="75"/>
      <c r="C383" s="88"/>
      <c r="D383" s="15"/>
      <c r="E383" s="15"/>
      <c r="F383" s="10" t="s">
        <v>6132</v>
      </c>
      <c r="G383" s="11" t="s">
        <v>5793</v>
      </c>
      <c r="I383" s="13" t="s">
        <v>5674</v>
      </c>
      <c r="L383" s="76"/>
      <c r="M383" s="73"/>
    </row>
    <row r="384">
      <c r="A384" s="87"/>
      <c r="B384" s="75"/>
      <c r="C384" s="88"/>
      <c r="D384" s="15"/>
      <c r="E384" s="15"/>
      <c r="F384" s="10" t="s">
        <v>6132</v>
      </c>
      <c r="G384" s="11" t="s">
        <v>5793</v>
      </c>
      <c r="I384" s="13" t="s">
        <v>5674</v>
      </c>
      <c r="L384" s="76"/>
      <c r="M384" s="73"/>
    </row>
    <row r="385">
      <c r="A385" s="87"/>
      <c r="B385" s="75"/>
      <c r="C385" s="88"/>
      <c r="D385" s="15"/>
      <c r="E385" s="15"/>
      <c r="F385" s="10" t="s">
        <v>6132</v>
      </c>
      <c r="G385" s="11" t="s">
        <v>5793</v>
      </c>
      <c r="I385" s="13" t="s">
        <v>5674</v>
      </c>
      <c r="L385" s="76"/>
      <c r="M385" s="73"/>
    </row>
    <row r="386">
      <c r="A386" s="87"/>
      <c r="B386" s="75"/>
      <c r="C386" s="88"/>
      <c r="D386" s="15"/>
      <c r="E386" s="15"/>
      <c r="F386" s="10" t="s">
        <v>6132</v>
      </c>
      <c r="G386" s="11" t="s">
        <v>5793</v>
      </c>
      <c r="I386" s="13" t="s">
        <v>5674</v>
      </c>
      <c r="L386" s="76"/>
      <c r="M386" s="73"/>
    </row>
    <row r="387">
      <c r="A387" s="87"/>
      <c r="B387" s="75"/>
      <c r="C387" s="88"/>
      <c r="D387" s="15"/>
      <c r="E387" s="15"/>
      <c r="F387" s="10" t="s">
        <v>6132</v>
      </c>
      <c r="G387" s="11" t="s">
        <v>5793</v>
      </c>
      <c r="I387" s="13" t="s">
        <v>5674</v>
      </c>
      <c r="L387" s="76"/>
      <c r="M387" s="73"/>
    </row>
    <row r="388">
      <c r="A388" s="87"/>
      <c r="B388" s="75"/>
      <c r="C388" s="88"/>
      <c r="D388" s="15"/>
      <c r="E388" s="15"/>
      <c r="F388" s="10" t="s">
        <v>6132</v>
      </c>
      <c r="G388" s="11" t="s">
        <v>5793</v>
      </c>
      <c r="I388" s="13" t="s">
        <v>5674</v>
      </c>
      <c r="L388" s="76"/>
      <c r="M388" s="73"/>
    </row>
    <row r="389">
      <c r="A389" s="87"/>
      <c r="B389" s="75"/>
      <c r="C389" s="88"/>
      <c r="D389" s="15"/>
      <c r="E389" s="15"/>
      <c r="F389" s="10" t="s">
        <v>6132</v>
      </c>
      <c r="G389" s="11" t="s">
        <v>5793</v>
      </c>
      <c r="I389" s="13" t="s">
        <v>5674</v>
      </c>
      <c r="L389" s="76"/>
      <c r="M389" s="73"/>
    </row>
    <row r="390">
      <c r="A390" s="87"/>
      <c r="B390" s="75"/>
      <c r="C390" s="88"/>
      <c r="D390" s="15"/>
      <c r="E390" s="15"/>
      <c r="F390" s="10" t="s">
        <v>6132</v>
      </c>
      <c r="G390" s="11" t="s">
        <v>5793</v>
      </c>
      <c r="I390" s="13" t="s">
        <v>5674</v>
      </c>
      <c r="L390" s="76"/>
      <c r="M390" s="73"/>
    </row>
    <row r="391">
      <c r="A391" s="87"/>
      <c r="B391" s="75"/>
      <c r="C391" s="88"/>
      <c r="D391" s="15"/>
      <c r="E391" s="15"/>
      <c r="F391" s="10" t="s">
        <v>6132</v>
      </c>
      <c r="G391" s="11" t="s">
        <v>5793</v>
      </c>
      <c r="I391" s="13" t="s">
        <v>5674</v>
      </c>
      <c r="L391" s="76"/>
      <c r="M391" s="73"/>
    </row>
    <row r="392">
      <c r="A392" s="87"/>
      <c r="B392" s="75"/>
      <c r="C392" s="88"/>
      <c r="D392" s="15"/>
      <c r="E392" s="15"/>
      <c r="F392" s="10" t="s">
        <v>6132</v>
      </c>
      <c r="G392" s="11" t="s">
        <v>5793</v>
      </c>
      <c r="I392" s="13" t="s">
        <v>5674</v>
      </c>
      <c r="L392" s="76"/>
      <c r="M392" s="73"/>
    </row>
    <row r="393">
      <c r="A393" s="87"/>
      <c r="B393" s="75"/>
      <c r="C393" s="88"/>
      <c r="D393" s="15"/>
      <c r="E393" s="15"/>
      <c r="F393" s="10" t="s">
        <v>6132</v>
      </c>
      <c r="G393" s="11" t="s">
        <v>5793</v>
      </c>
      <c r="I393" s="13" t="s">
        <v>5674</v>
      </c>
      <c r="L393" s="76"/>
      <c r="M393" s="73"/>
    </row>
    <row r="394">
      <c r="A394" s="87"/>
      <c r="B394" s="75"/>
      <c r="C394" s="88"/>
      <c r="D394" s="15"/>
      <c r="E394" s="15"/>
      <c r="F394" s="10" t="s">
        <v>6132</v>
      </c>
      <c r="G394" s="11" t="s">
        <v>5793</v>
      </c>
      <c r="I394" s="13" t="s">
        <v>5674</v>
      </c>
      <c r="L394" s="76"/>
      <c r="M394" s="73"/>
    </row>
    <row r="395">
      <c r="A395" s="87"/>
      <c r="B395" s="88"/>
      <c r="C395" s="88"/>
      <c r="D395" s="15"/>
      <c r="E395" s="15"/>
      <c r="F395" s="10" t="s">
        <v>6132</v>
      </c>
      <c r="G395" s="11" t="s">
        <v>5793</v>
      </c>
      <c r="I395" s="13" t="s">
        <v>5674</v>
      </c>
      <c r="L395" s="73"/>
    </row>
    <row r="396">
      <c r="A396" s="87"/>
      <c r="B396" s="88"/>
      <c r="C396" s="88"/>
      <c r="D396" s="15"/>
      <c r="E396" s="15"/>
      <c r="F396" s="10" t="s">
        <v>6132</v>
      </c>
      <c r="G396" s="11" t="s">
        <v>5793</v>
      </c>
      <c r="I396" s="13" t="s">
        <v>5674</v>
      </c>
      <c r="L396" s="73"/>
    </row>
    <row r="397">
      <c r="A397" s="87"/>
      <c r="B397" s="88"/>
      <c r="C397" s="88"/>
      <c r="D397" s="15"/>
      <c r="E397" s="15"/>
      <c r="F397" s="10" t="s">
        <v>6132</v>
      </c>
      <c r="G397" s="11" t="s">
        <v>5793</v>
      </c>
      <c r="I397" s="13" t="s">
        <v>5674</v>
      </c>
      <c r="L397" s="73"/>
    </row>
    <row r="398">
      <c r="A398" s="87"/>
      <c r="B398" s="88"/>
      <c r="C398" s="88"/>
      <c r="D398" s="15"/>
      <c r="E398" s="15"/>
      <c r="F398" s="10" t="s">
        <v>6132</v>
      </c>
      <c r="G398" s="11" t="s">
        <v>5793</v>
      </c>
      <c r="I398" s="13" t="s">
        <v>5674</v>
      </c>
      <c r="L398" s="73"/>
    </row>
    <row r="399">
      <c r="A399" s="87"/>
      <c r="B399" s="88"/>
      <c r="C399" s="88"/>
      <c r="D399" s="15"/>
      <c r="E399" s="15"/>
      <c r="F399" s="10" t="s">
        <v>6132</v>
      </c>
      <c r="G399" s="11" t="s">
        <v>5793</v>
      </c>
      <c r="I399" s="13" t="s">
        <v>5674</v>
      </c>
      <c r="L399" s="73"/>
    </row>
    <row r="400">
      <c r="A400" s="87"/>
      <c r="B400" s="88"/>
      <c r="C400" s="88"/>
      <c r="D400" s="15"/>
      <c r="E400" s="15"/>
      <c r="F400" s="10" t="s">
        <v>6132</v>
      </c>
      <c r="G400" s="11" t="s">
        <v>5793</v>
      </c>
      <c r="I400" s="13" t="s">
        <v>5674</v>
      </c>
      <c r="L400" s="73"/>
    </row>
    <row r="401">
      <c r="A401" s="87"/>
      <c r="B401" s="88"/>
      <c r="C401" s="88"/>
      <c r="D401" s="15"/>
      <c r="E401" s="15"/>
      <c r="F401" s="10" t="s">
        <v>6132</v>
      </c>
      <c r="G401" s="11" t="s">
        <v>5793</v>
      </c>
      <c r="I401" s="13" t="s">
        <v>5674</v>
      </c>
      <c r="L401" s="73"/>
    </row>
    <row r="402">
      <c r="A402" s="87"/>
      <c r="B402" s="88"/>
      <c r="C402" s="88"/>
      <c r="D402" s="15"/>
      <c r="E402" s="15"/>
      <c r="F402" s="10" t="s">
        <v>6132</v>
      </c>
      <c r="G402" s="11" t="s">
        <v>5793</v>
      </c>
      <c r="I402" s="13" t="s">
        <v>5674</v>
      </c>
      <c r="L402" s="73"/>
    </row>
    <row r="403">
      <c r="A403" s="87"/>
      <c r="B403" s="88"/>
      <c r="C403" s="88"/>
      <c r="D403" s="15"/>
      <c r="E403" s="15"/>
      <c r="F403" s="10" t="s">
        <v>6132</v>
      </c>
      <c r="G403" s="11" t="s">
        <v>5793</v>
      </c>
      <c r="I403" s="13" t="s">
        <v>5674</v>
      </c>
      <c r="L403" s="73"/>
    </row>
    <row r="404">
      <c r="A404" s="87"/>
      <c r="B404" s="88"/>
      <c r="C404" s="88"/>
      <c r="D404" s="15"/>
      <c r="E404" s="15"/>
      <c r="F404" s="10" t="s">
        <v>6132</v>
      </c>
      <c r="G404" s="11" t="s">
        <v>5793</v>
      </c>
      <c r="I404" s="13" t="s">
        <v>5674</v>
      </c>
      <c r="L404" s="73"/>
    </row>
    <row r="405">
      <c r="A405" s="87"/>
      <c r="B405" s="88"/>
      <c r="C405" s="88"/>
      <c r="D405" s="15"/>
      <c r="E405" s="15"/>
      <c r="F405" s="10" t="s">
        <v>6132</v>
      </c>
      <c r="G405" s="11" t="s">
        <v>5793</v>
      </c>
      <c r="I405" s="13" t="s">
        <v>5674</v>
      </c>
      <c r="L405" s="73"/>
    </row>
    <row r="406">
      <c r="A406" s="87"/>
      <c r="B406" s="88"/>
      <c r="C406" s="88"/>
      <c r="D406" s="15"/>
      <c r="E406" s="15"/>
      <c r="F406" s="10" t="s">
        <v>6132</v>
      </c>
      <c r="G406" s="11" t="s">
        <v>5793</v>
      </c>
      <c r="I406" s="13" t="s">
        <v>5674</v>
      </c>
      <c r="L406" s="73"/>
    </row>
    <row r="407">
      <c r="A407" s="87"/>
      <c r="B407" s="88"/>
      <c r="C407" s="88"/>
      <c r="D407" s="15"/>
      <c r="E407" s="15"/>
      <c r="F407" s="10" t="s">
        <v>6132</v>
      </c>
      <c r="G407" s="11" t="s">
        <v>5793</v>
      </c>
      <c r="I407" s="13" t="s">
        <v>5674</v>
      </c>
      <c r="L407" s="73"/>
    </row>
    <row r="408">
      <c r="A408" s="87"/>
      <c r="B408" s="88"/>
      <c r="C408" s="88"/>
      <c r="D408" s="15"/>
      <c r="E408" s="15"/>
      <c r="F408" s="10" t="s">
        <v>6132</v>
      </c>
      <c r="G408" s="11" t="s">
        <v>5793</v>
      </c>
      <c r="I408" s="13" t="s">
        <v>5674</v>
      </c>
      <c r="L408" s="73"/>
    </row>
    <row r="409">
      <c r="A409" s="87"/>
      <c r="B409" s="88"/>
      <c r="C409" s="88"/>
      <c r="D409" s="15"/>
      <c r="E409" s="15"/>
      <c r="F409" s="10" t="s">
        <v>6132</v>
      </c>
      <c r="G409" s="11" t="s">
        <v>5793</v>
      </c>
      <c r="I409" s="13" t="s">
        <v>5674</v>
      </c>
      <c r="L409" s="73"/>
    </row>
    <row r="410">
      <c r="A410" s="87"/>
      <c r="B410" s="88"/>
      <c r="C410" s="88"/>
      <c r="D410" s="15"/>
      <c r="E410" s="15"/>
      <c r="F410" s="10" t="s">
        <v>6132</v>
      </c>
      <c r="G410" s="11" t="s">
        <v>5793</v>
      </c>
      <c r="I410" s="13" t="s">
        <v>5674</v>
      </c>
      <c r="L410" s="73"/>
    </row>
    <row r="411">
      <c r="A411" s="87"/>
      <c r="B411" s="88"/>
      <c r="D411" s="15"/>
      <c r="E411" s="15"/>
      <c r="F411" s="10" t="s">
        <v>6132</v>
      </c>
      <c r="G411" s="11" t="s">
        <v>5793</v>
      </c>
      <c r="I411" s="13" t="s">
        <v>5674</v>
      </c>
      <c r="L411" s="73"/>
    </row>
    <row r="412">
      <c r="A412" s="87"/>
      <c r="B412" s="88"/>
      <c r="D412" s="15"/>
      <c r="E412" s="15"/>
      <c r="F412" s="10" t="s">
        <v>6132</v>
      </c>
      <c r="G412" s="11" t="s">
        <v>5793</v>
      </c>
      <c r="I412" s="13" t="s">
        <v>5674</v>
      </c>
      <c r="L412" s="73"/>
    </row>
    <row r="413">
      <c r="A413" s="87"/>
      <c r="B413" s="88"/>
      <c r="C413" s="88"/>
      <c r="D413" s="15"/>
      <c r="E413" s="15"/>
      <c r="F413" s="10" t="s">
        <v>6132</v>
      </c>
      <c r="G413" s="11" t="s">
        <v>5793</v>
      </c>
      <c r="I413" s="13" t="s">
        <v>5674</v>
      </c>
      <c r="L413" s="73"/>
    </row>
    <row r="414">
      <c r="A414" s="87"/>
      <c r="B414" s="88"/>
      <c r="C414" s="88"/>
      <c r="D414" s="15"/>
      <c r="E414" s="15"/>
      <c r="F414" s="10" t="s">
        <v>6132</v>
      </c>
      <c r="G414" s="11" t="s">
        <v>5793</v>
      </c>
      <c r="I414" s="13" t="s">
        <v>5674</v>
      </c>
      <c r="L414" s="73"/>
    </row>
    <row r="415">
      <c r="A415" s="87"/>
      <c r="B415" s="88"/>
      <c r="C415" s="88"/>
      <c r="D415" s="15"/>
      <c r="E415" s="15"/>
      <c r="F415" s="10" t="s">
        <v>6132</v>
      </c>
      <c r="G415" s="11" t="s">
        <v>5793</v>
      </c>
      <c r="I415" s="13" t="s">
        <v>5674</v>
      </c>
      <c r="L415" s="73"/>
    </row>
    <row r="416">
      <c r="A416" s="87"/>
      <c r="B416" s="88"/>
      <c r="C416" s="88"/>
      <c r="D416" s="15"/>
      <c r="E416" s="15"/>
      <c r="F416" s="10" t="s">
        <v>6132</v>
      </c>
      <c r="G416" s="11" t="s">
        <v>5793</v>
      </c>
      <c r="I416" s="13" t="s">
        <v>5674</v>
      </c>
      <c r="L416" s="73"/>
    </row>
    <row r="417">
      <c r="A417" s="87"/>
      <c r="B417" s="88"/>
      <c r="C417" s="88"/>
      <c r="D417" s="15"/>
      <c r="E417" s="15"/>
      <c r="F417" s="10" t="s">
        <v>6132</v>
      </c>
      <c r="G417" s="11" t="s">
        <v>5793</v>
      </c>
      <c r="I417" s="13" t="s">
        <v>5674</v>
      </c>
      <c r="L417" s="73"/>
    </row>
    <row r="418">
      <c r="A418" s="87"/>
      <c r="B418" s="88"/>
      <c r="C418" s="88"/>
      <c r="D418" s="15"/>
      <c r="E418" s="15"/>
      <c r="F418" s="10" t="s">
        <v>6132</v>
      </c>
      <c r="G418" s="11" t="s">
        <v>5793</v>
      </c>
      <c r="I418" s="13" t="s">
        <v>5674</v>
      </c>
      <c r="L418" s="73"/>
    </row>
    <row r="419">
      <c r="A419" s="87"/>
      <c r="B419" s="88"/>
      <c r="C419" s="88"/>
      <c r="D419" s="15"/>
      <c r="E419" s="15"/>
      <c r="F419" s="10" t="s">
        <v>6132</v>
      </c>
      <c r="G419" s="11" t="s">
        <v>5793</v>
      </c>
      <c r="I419" s="13" t="s">
        <v>5674</v>
      </c>
      <c r="L419" s="73"/>
    </row>
    <row r="420">
      <c r="A420" s="87"/>
      <c r="B420" s="88"/>
      <c r="C420" s="88"/>
      <c r="D420" s="15"/>
      <c r="E420" s="15"/>
      <c r="F420" s="10" t="s">
        <v>6132</v>
      </c>
      <c r="G420" s="11" t="s">
        <v>5793</v>
      </c>
      <c r="I420" s="13" t="s">
        <v>5674</v>
      </c>
      <c r="L420" s="73"/>
    </row>
    <row r="421">
      <c r="A421" s="87"/>
      <c r="B421" s="88"/>
      <c r="C421" s="88"/>
      <c r="D421" s="15"/>
      <c r="E421" s="15"/>
      <c r="F421" s="10" t="s">
        <v>6132</v>
      </c>
      <c r="G421" s="11" t="s">
        <v>5793</v>
      </c>
      <c r="I421" s="13" t="s">
        <v>5674</v>
      </c>
      <c r="L421" s="73"/>
    </row>
    <row r="422">
      <c r="A422" s="87"/>
      <c r="B422" s="88"/>
      <c r="C422" s="88"/>
      <c r="D422" s="15"/>
      <c r="E422" s="15"/>
      <c r="F422" s="10" t="s">
        <v>6132</v>
      </c>
      <c r="G422" s="11" t="s">
        <v>5793</v>
      </c>
      <c r="I422" s="13" t="s">
        <v>5674</v>
      </c>
      <c r="L422" s="73"/>
    </row>
    <row r="423">
      <c r="A423" s="87"/>
      <c r="B423" s="88"/>
      <c r="C423" s="88"/>
      <c r="D423" s="15"/>
      <c r="E423" s="15"/>
      <c r="F423" s="10" t="s">
        <v>6132</v>
      </c>
      <c r="G423" s="11" t="s">
        <v>5793</v>
      </c>
      <c r="I423" s="13" t="s">
        <v>5674</v>
      </c>
      <c r="L423" s="73"/>
    </row>
    <row r="424">
      <c r="A424" s="87"/>
      <c r="B424" s="88"/>
      <c r="C424" s="88"/>
      <c r="D424" s="15"/>
      <c r="E424" s="15"/>
      <c r="F424" s="10" t="s">
        <v>6132</v>
      </c>
      <c r="G424" s="11" t="s">
        <v>5793</v>
      </c>
      <c r="I424" s="13" t="s">
        <v>5674</v>
      </c>
      <c r="L424" s="73"/>
    </row>
    <row r="425">
      <c r="A425" s="87"/>
      <c r="B425" s="88"/>
      <c r="C425" s="88"/>
      <c r="D425" s="15"/>
      <c r="E425" s="15"/>
      <c r="F425" s="10" t="s">
        <v>6132</v>
      </c>
      <c r="G425" s="11" t="s">
        <v>5793</v>
      </c>
      <c r="I425" s="13" t="s">
        <v>5674</v>
      </c>
      <c r="L425" s="73"/>
    </row>
    <row r="426">
      <c r="A426" s="87"/>
      <c r="B426" s="88"/>
      <c r="C426" s="88"/>
      <c r="D426" s="15"/>
      <c r="E426" s="15"/>
      <c r="F426" s="10" t="s">
        <v>6132</v>
      </c>
      <c r="G426" s="11" t="s">
        <v>5793</v>
      </c>
      <c r="I426" s="13" t="s">
        <v>5674</v>
      </c>
      <c r="L426" s="73"/>
    </row>
    <row r="427">
      <c r="A427" s="87"/>
      <c r="B427" s="88"/>
      <c r="C427" s="88"/>
      <c r="D427" s="15"/>
      <c r="E427" s="15"/>
      <c r="F427" s="10" t="s">
        <v>6132</v>
      </c>
      <c r="G427" s="11" t="s">
        <v>5793</v>
      </c>
      <c r="I427" s="13" t="s">
        <v>5674</v>
      </c>
      <c r="L427" s="73"/>
    </row>
    <row r="428">
      <c r="A428" s="87"/>
      <c r="B428" s="88"/>
      <c r="D428" s="15"/>
      <c r="E428" s="15"/>
      <c r="F428" s="10" t="s">
        <v>6132</v>
      </c>
      <c r="G428" s="11" t="s">
        <v>5793</v>
      </c>
      <c r="I428" s="13" t="s">
        <v>5674</v>
      </c>
      <c r="L428" s="73"/>
    </row>
    <row r="429">
      <c r="A429" s="87"/>
      <c r="B429" s="88"/>
      <c r="D429" s="15"/>
      <c r="E429" s="15"/>
      <c r="F429" s="10" t="s">
        <v>6132</v>
      </c>
      <c r="G429" s="11" t="s">
        <v>5793</v>
      </c>
      <c r="I429" s="13" t="s">
        <v>5674</v>
      </c>
      <c r="L429" s="73"/>
    </row>
    <row r="430">
      <c r="A430" s="87"/>
      <c r="B430" s="88"/>
      <c r="D430" s="15"/>
      <c r="E430" s="15"/>
      <c r="F430" s="10" t="s">
        <v>6132</v>
      </c>
      <c r="G430" s="11" t="s">
        <v>5793</v>
      </c>
      <c r="I430" s="13" t="s">
        <v>5674</v>
      </c>
      <c r="L430" s="73"/>
    </row>
    <row r="431">
      <c r="A431" s="87"/>
      <c r="B431" s="88"/>
      <c r="C431" s="88"/>
      <c r="D431" s="10"/>
      <c r="E431" s="10"/>
      <c r="F431" s="10" t="s">
        <v>6132</v>
      </c>
      <c r="G431" s="11" t="s">
        <v>5793</v>
      </c>
      <c r="I431" s="13" t="s">
        <v>5674</v>
      </c>
      <c r="L431" s="73"/>
    </row>
    <row r="432">
      <c r="A432" s="87"/>
      <c r="B432" s="88"/>
      <c r="C432" s="88"/>
      <c r="D432" s="10"/>
      <c r="E432" s="10"/>
      <c r="F432" s="10" t="s">
        <v>6132</v>
      </c>
      <c r="G432" s="11" t="s">
        <v>5793</v>
      </c>
      <c r="I432" s="13" t="s">
        <v>5674</v>
      </c>
      <c r="L432" s="73"/>
    </row>
    <row r="433">
      <c r="A433" s="87"/>
      <c r="B433" s="88"/>
      <c r="C433" s="88"/>
      <c r="D433" s="10"/>
      <c r="E433" s="10"/>
      <c r="F433" s="10" t="s">
        <v>6132</v>
      </c>
      <c r="G433" s="11" t="s">
        <v>5793</v>
      </c>
      <c r="I433" s="13" t="s">
        <v>5674</v>
      </c>
      <c r="L433" s="73"/>
    </row>
    <row r="434">
      <c r="A434" s="87"/>
      <c r="B434" s="88"/>
      <c r="C434" s="88"/>
      <c r="D434" s="10"/>
      <c r="E434" s="10"/>
      <c r="F434" s="10" t="s">
        <v>6132</v>
      </c>
      <c r="G434" s="11" t="s">
        <v>5793</v>
      </c>
      <c r="I434" s="13" t="s">
        <v>5674</v>
      </c>
      <c r="L434" s="73"/>
    </row>
    <row r="435">
      <c r="A435" s="87"/>
      <c r="B435" s="88"/>
      <c r="C435" s="88"/>
      <c r="D435" s="10"/>
      <c r="E435" s="10"/>
      <c r="F435" s="10" t="s">
        <v>6132</v>
      </c>
      <c r="G435" s="11" t="s">
        <v>5793</v>
      </c>
      <c r="I435" s="13" t="s">
        <v>5674</v>
      </c>
      <c r="L435" s="73"/>
    </row>
    <row r="436">
      <c r="A436" s="87"/>
      <c r="B436" s="88"/>
      <c r="C436" s="88"/>
      <c r="D436" s="10"/>
      <c r="E436" s="10"/>
      <c r="F436" s="10" t="s">
        <v>6132</v>
      </c>
      <c r="G436" s="11" t="s">
        <v>5793</v>
      </c>
      <c r="I436" s="13" t="s">
        <v>5674</v>
      </c>
      <c r="L436" s="73"/>
    </row>
    <row r="437">
      <c r="A437" s="87"/>
      <c r="B437" s="88"/>
      <c r="C437" s="88"/>
      <c r="D437" s="10"/>
      <c r="E437" s="10"/>
      <c r="F437" s="10" t="s">
        <v>6132</v>
      </c>
      <c r="G437" s="11" t="s">
        <v>5793</v>
      </c>
      <c r="I437" s="13" t="s">
        <v>5674</v>
      </c>
      <c r="L437" s="73"/>
    </row>
    <row r="438">
      <c r="A438" s="87"/>
      <c r="B438" s="88"/>
      <c r="C438" s="88"/>
      <c r="D438" s="10"/>
      <c r="E438" s="10"/>
      <c r="F438" s="10" t="s">
        <v>6132</v>
      </c>
      <c r="G438" s="11" t="s">
        <v>5793</v>
      </c>
      <c r="I438" s="13" t="s">
        <v>5674</v>
      </c>
      <c r="L438" s="73"/>
    </row>
    <row r="439">
      <c r="A439" s="87"/>
      <c r="B439" s="88"/>
      <c r="C439" s="88"/>
      <c r="D439" s="10"/>
      <c r="E439" s="10"/>
      <c r="F439" s="10" t="s">
        <v>6132</v>
      </c>
      <c r="G439" s="11" t="s">
        <v>5793</v>
      </c>
      <c r="I439" s="13" t="s">
        <v>5674</v>
      </c>
      <c r="L439" s="73"/>
    </row>
    <row r="440">
      <c r="A440" s="87"/>
      <c r="B440" s="88"/>
      <c r="C440" s="88"/>
      <c r="D440" s="10"/>
      <c r="E440" s="10"/>
      <c r="F440" s="10" t="s">
        <v>6132</v>
      </c>
      <c r="G440" s="11" t="s">
        <v>5793</v>
      </c>
      <c r="I440" s="13" t="s">
        <v>5674</v>
      </c>
      <c r="L440" s="73"/>
    </row>
    <row r="441">
      <c r="A441" s="87"/>
      <c r="B441" s="88"/>
      <c r="C441" s="88"/>
      <c r="D441" s="10"/>
      <c r="E441" s="10"/>
      <c r="F441" s="10" t="s">
        <v>6132</v>
      </c>
      <c r="G441" s="11" t="s">
        <v>5793</v>
      </c>
      <c r="I441" s="13" t="s">
        <v>5674</v>
      </c>
      <c r="L441" s="73"/>
    </row>
    <row r="442">
      <c r="A442" s="87"/>
      <c r="B442" s="88"/>
      <c r="C442" s="88"/>
      <c r="D442" s="10"/>
      <c r="E442" s="10"/>
      <c r="F442" s="10" t="s">
        <v>6132</v>
      </c>
      <c r="G442" s="11" t="s">
        <v>5793</v>
      </c>
      <c r="I442" s="13" t="s">
        <v>5674</v>
      </c>
      <c r="L442" s="73"/>
    </row>
    <row r="443">
      <c r="A443" s="87"/>
      <c r="B443" s="88"/>
      <c r="C443" s="88"/>
      <c r="D443" s="10"/>
      <c r="E443" s="10"/>
      <c r="F443" s="10" t="s">
        <v>6132</v>
      </c>
      <c r="G443" s="11" t="s">
        <v>5793</v>
      </c>
      <c r="I443" s="13" t="s">
        <v>5674</v>
      </c>
      <c r="L443" s="73"/>
    </row>
    <row r="444">
      <c r="A444" s="87"/>
      <c r="B444" s="88"/>
      <c r="C444" s="88"/>
      <c r="D444" s="10"/>
      <c r="E444" s="10"/>
      <c r="F444" s="10" t="s">
        <v>6132</v>
      </c>
      <c r="G444" s="11" t="s">
        <v>5793</v>
      </c>
      <c r="I444" s="13" t="s">
        <v>5674</v>
      </c>
      <c r="L444" s="73"/>
    </row>
    <row r="445">
      <c r="A445" s="87"/>
      <c r="B445" s="88"/>
      <c r="C445" s="88"/>
      <c r="D445" s="10"/>
      <c r="E445" s="10"/>
      <c r="F445" s="10" t="s">
        <v>6132</v>
      </c>
      <c r="G445" s="11" t="s">
        <v>5793</v>
      </c>
      <c r="I445" s="13" t="s">
        <v>5674</v>
      </c>
      <c r="L445" s="73"/>
    </row>
    <row r="446">
      <c r="A446" s="87"/>
      <c r="B446" s="88"/>
      <c r="C446" s="88"/>
      <c r="D446" s="10"/>
      <c r="E446" s="10"/>
      <c r="F446" s="10" t="s">
        <v>6132</v>
      </c>
      <c r="G446" s="11" t="s">
        <v>5793</v>
      </c>
      <c r="I446" s="13" t="s">
        <v>5674</v>
      </c>
      <c r="L446" s="73"/>
    </row>
    <row r="447">
      <c r="A447" s="87"/>
      <c r="B447" s="88"/>
      <c r="C447" s="88"/>
      <c r="D447" s="10"/>
      <c r="E447" s="10"/>
      <c r="F447" s="10" t="s">
        <v>6132</v>
      </c>
      <c r="G447" s="11" t="s">
        <v>5793</v>
      </c>
      <c r="I447" s="13" t="s">
        <v>5674</v>
      </c>
      <c r="L447" s="73"/>
    </row>
    <row r="448">
      <c r="A448" s="87"/>
      <c r="B448" s="88"/>
      <c r="C448" s="88"/>
      <c r="D448" s="10"/>
      <c r="E448" s="10"/>
      <c r="F448" s="10" t="s">
        <v>6132</v>
      </c>
      <c r="G448" s="11" t="s">
        <v>5793</v>
      </c>
      <c r="I448" s="13" t="s">
        <v>5674</v>
      </c>
      <c r="L448" s="73"/>
    </row>
    <row r="449">
      <c r="A449" s="87"/>
      <c r="B449" s="88"/>
      <c r="C449" s="88"/>
      <c r="D449" s="10"/>
      <c r="E449" s="10"/>
      <c r="F449" s="10" t="s">
        <v>6132</v>
      </c>
      <c r="G449" s="11" t="s">
        <v>5793</v>
      </c>
      <c r="I449" s="13" t="s">
        <v>5674</v>
      </c>
      <c r="L449" s="73"/>
    </row>
    <row r="450">
      <c r="A450" s="87"/>
      <c r="B450" s="88"/>
      <c r="C450" s="88"/>
      <c r="D450" s="10"/>
      <c r="E450" s="10"/>
      <c r="F450" s="10" t="s">
        <v>6132</v>
      </c>
      <c r="G450" s="11" t="s">
        <v>5793</v>
      </c>
      <c r="I450" s="13" t="s">
        <v>5674</v>
      </c>
      <c r="L450" s="73"/>
    </row>
    <row r="451">
      <c r="A451" s="87"/>
      <c r="B451" s="88"/>
      <c r="C451" s="88"/>
      <c r="D451" s="10"/>
      <c r="E451" s="10"/>
      <c r="F451" s="10" t="s">
        <v>6132</v>
      </c>
      <c r="G451" s="11" t="s">
        <v>5793</v>
      </c>
      <c r="I451" s="13" t="s">
        <v>5674</v>
      </c>
      <c r="L451" s="73"/>
    </row>
    <row r="452">
      <c r="A452" s="87"/>
      <c r="B452" s="88"/>
      <c r="C452" s="88"/>
      <c r="D452" s="10"/>
      <c r="E452" s="10"/>
      <c r="F452" s="10" t="s">
        <v>6132</v>
      </c>
      <c r="G452" s="11" t="s">
        <v>5793</v>
      </c>
      <c r="I452" s="13" t="s">
        <v>5674</v>
      </c>
      <c r="L452" s="73"/>
    </row>
    <row r="453">
      <c r="A453" s="87"/>
      <c r="B453" s="88"/>
      <c r="C453" s="88"/>
      <c r="D453" s="10"/>
      <c r="E453" s="10"/>
      <c r="F453" s="10" t="s">
        <v>6132</v>
      </c>
      <c r="G453" s="11" t="s">
        <v>5793</v>
      </c>
      <c r="I453" s="13" t="s">
        <v>5674</v>
      </c>
      <c r="L453" s="73"/>
    </row>
    <row r="454">
      <c r="A454" s="87"/>
      <c r="B454" s="88"/>
      <c r="C454" s="88"/>
      <c r="D454" s="10"/>
      <c r="E454" s="10"/>
      <c r="F454" s="10" t="s">
        <v>6132</v>
      </c>
      <c r="G454" s="11" t="s">
        <v>5793</v>
      </c>
      <c r="I454" s="13" t="s">
        <v>5674</v>
      </c>
      <c r="L454" s="73"/>
    </row>
    <row r="455">
      <c r="A455" s="87"/>
      <c r="B455" s="88"/>
      <c r="C455" s="88"/>
      <c r="D455" s="10"/>
      <c r="E455" s="10"/>
      <c r="F455" s="10" t="s">
        <v>6132</v>
      </c>
      <c r="G455" s="11" t="s">
        <v>5793</v>
      </c>
      <c r="I455" s="13" t="s">
        <v>5674</v>
      </c>
      <c r="L455" s="73"/>
    </row>
    <row r="456">
      <c r="A456" s="87"/>
      <c r="B456" s="88"/>
      <c r="C456" s="88"/>
      <c r="D456" s="10"/>
      <c r="E456" s="10"/>
      <c r="F456" s="10" t="s">
        <v>6132</v>
      </c>
      <c r="G456" s="11" t="s">
        <v>5793</v>
      </c>
      <c r="I456" s="13" t="s">
        <v>5674</v>
      </c>
      <c r="L456" s="73"/>
    </row>
    <row r="457">
      <c r="A457" s="87"/>
      <c r="B457" s="88"/>
      <c r="C457" s="88"/>
      <c r="D457" s="10"/>
      <c r="E457" s="10"/>
      <c r="F457" s="10" t="s">
        <v>6132</v>
      </c>
      <c r="G457" s="11" t="s">
        <v>5793</v>
      </c>
      <c r="I457" s="13" t="s">
        <v>5674</v>
      </c>
      <c r="L457" s="73"/>
    </row>
    <row r="458">
      <c r="A458" s="87"/>
      <c r="B458" s="88"/>
      <c r="C458" s="88"/>
      <c r="D458" s="10"/>
      <c r="E458" s="10"/>
      <c r="F458" s="10" t="s">
        <v>6132</v>
      </c>
      <c r="G458" s="11" t="s">
        <v>5793</v>
      </c>
      <c r="I458" s="13" t="s">
        <v>5674</v>
      </c>
      <c r="L458" s="73"/>
    </row>
    <row r="459">
      <c r="A459" s="87"/>
      <c r="B459" s="88"/>
      <c r="D459" s="15"/>
      <c r="E459" s="15"/>
      <c r="F459" s="10" t="s">
        <v>6132</v>
      </c>
      <c r="G459" s="11" t="s">
        <v>5793</v>
      </c>
      <c r="I459" s="13" t="s">
        <v>5674</v>
      </c>
      <c r="L459" s="73"/>
    </row>
    <row r="460">
      <c r="A460" s="87"/>
      <c r="B460" s="88"/>
      <c r="C460" s="88"/>
      <c r="D460" s="15"/>
      <c r="E460" s="15"/>
      <c r="F460" s="10" t="s">
        <v>6132</v>
      </c>
      <c r="G460" s="11" t="s">
        <v>5793</v>
      </c>
      <c r="I460" s="13" t="s">
        <v>5674</v>
      </c>
      <c r="L460" s="73"/>
    </row>
    <row r="461">
      <c r="A461" s="87"/>
      <c r="B461" s="88"/>
      <c r="C461" s="88"/>
      <c r="D461" s="15"/>
      <c r="E461" s="15"/>
      <c r="F461" s="10" t="s">
        <v>6132</v>
      </c>
      <c r="G461" s="11" t="s">
        <v>5793</v>
      </c>
      <c r="I461" s="13" t="s">
        <v>5674</v>
      </c>
      <c r="L461" s="73"/>
    </row>
    <row r="462">
      <c r="A462" s="87"/>
      <c r="B462" s="88"/>
      <c r="C462" s="88"/>
      <c r="D462" s="15"/>
      <c r="E462" s="15"/>
      <c r="F462" s="10" t="s">
        <v>6132</v>
      </c>
      <c r="G462" s="11" t="s">
        <v>5793</v>
      </c>
      <c r="I462" s="13" t="s">
        <v>5674</v>
      </c>
      <c r="L462" s="73"/>
    </row>
    <row r="463">
      <c r="A463" s="87"/>
      <c r="B463" s="89"/>
      <c r="C463" s="88"/>
      <c r="D463" s="15"/>
      <c r="E463" s="15"/>
      <c r="F463" s="10" t="s">
        <v>6132</v>
      </c>
      <c r="G463" s="11" t="s">
        <v>5793</v>
      </c>
      <c r="I463" s="13" t="s">
        <v>5674</v>
      </c>
      <c r="L463" s="73"/>
    </row>
    <row r="464">
      <c r="A464" s="87"/>
      <c r="B464" s="88"/>
      <c r="C464" s="88"/>
      <c r="D464" s="15"/>
      <c r="E464" s="15"/>
      <c r="F464" s="10" t="s">
        <v>6132</v>
      </c>
      <c r="G464" s="11" t="s">
        <v>5793</v>
      </c>
      <c r="I464" s="13" t="s">
        <v>5674</v>
      </c>
      <c r="L464" s="73"/>
    </row>
    <row r="465">
      <c r="A465" s="87"/>
      <c r="B465" s="88"/>
      <c r="C465" s="88"/>
      <c r="D465" s="15"/>
      <c r="E465" s="15"/>
      <c r="F465" s="10" t="s">
        <v>6132</v>
      </c>
      <c r="G465" s="11" t="s">
        <v>5793</v>
      </c>
      <c r="I465" s="13" t="s">
        <v>5674</v>
      </c>
      <c r="L465" s="73"/>
    </row>
    <row r="466">
      <c r="A466" s="87"/>
      <c r="B466" s="88"/>
      <c r="C466" s="88"/>
      <c r="D466" s="15"/>
      <c r="E466" s="15"/>
      <c r="F466" s="10" t="s">
        <v>6132</v>
      </c>
      <c r="G466" s="11" t="s">
        <v>5793</v>
      </c>
      <c r="I466" s="13" t="s">
        <v>5674</v>
      </c>
      <c r="L466" s="73"/>
    </row>
    <row r="467">
      <c r="A467" s="87"/>
      <c r="B467" s="88"/>
      <c r="C467" s="88"/>
      <c r="D467" s="15"/>
      <c r="E467" s="15"/>
      <c r="F467" s="10" t="s">
        <v>6132</v>
      </c>
      <c r="G467" s="11" t="s">
        <v>5793</v>
      </c>
      <c r="I467" s="13" t="s">
        <v>5674</v>
      </c>
      <c r="L467" s="73"/>
    </row>
    <row r="468">
      <c r="A468" s="87"/>
      <c r="B468" s="88"/>
      <c r="C468" s="88"/>
      <c r="D468" s="15"/>
      <c r="E468" s="15"/>
      <c r="F468" s="10" t="s">
        <v>6132</v>
      </c>
      <c r="G468" s="11" t="s">
        <v>5793</v>
      </c>
      <c r="I468" s="13" t="s">
        <v>5674</v>
      </c>
      <c r="L468" s="73"/>
    </row>
    <row r="469">
      <c r="A469" s="87"/>
      <c r="B469" s="88"/>
      <c r="C469" s="88"/>
      <c r="D469" s="15"/>
      <c r="E469" s="15"/>
      <c r="F469" s="10" t="s">
        <v>6132</v>
      </c>
      <c r="G469" s="11" t="s">
        <v>5793</v>
      </c>
      <c r="I469" s="13" t="s">
        <v>5674</v>
      </c>
      <c r="L469" s="73"/>
    </row>
    <row r="470">
      <c r="A470" s="87"/>
      <c r="B470" s="88"/>
      <c r="C470" s="88"/>
      <c r="D470" s="15"/>
      <c r="E470" s="15"/>
      <c r="F470" s="10" t="s">
        <v>6132</v>
      </c>
      <c r="G470" s="11" t="s">
        <v>5793</v>
      </c>
      <c r="I470" s="13" t="s">
        <v>5674</v>
      </c>
      <c r="L470" s="73"/>
    </row>
    <row r="471">
      <c r="A471" s="87"/>
      <c r="B471" s="88"/>
      <c r="C471" s="88"/>
      <c r="D471" s="15"/>
      <c r="E471" s="15"/>
      <c r="F471" s="10" t="s">
        <v>6132</v>
      </c>
      <c r="G471" s="11" t="s">
        <v>5793</v>
      </c>
      <c r="I471" s="13" t="s">
        <v>5674</v>
      </c>
      <c r="L471" s="73"/>
    </row>
    <row r="472">
      <c r="A472" s="87"/>
      <c r="B472" s="88"/>
      <c r="C472" s="88"/>
      <c r="D472" s="15"/>
      <c r="E472" s="15"/>
      <c r="F472" s="10" t="s">
        <v>6132</v>
      </c>
      <c r="G472" s="11" t="s">
        <v>5793</v>
      </c>
      <c r="I472" s="13" t="s">
        <v>5674</v>
      </c>
      <c r="L472" s="73"/>
    </row>
    <row r="473">
      <c r="A473" s="87"/>
      <c r="B473" s="88"/>
      <c r="C473" s="88"/>
      <c r="D473" s="15"/>
      <c r="E473" s="15"/>
      <c r="F473" s="10" t="s">
        <v>6132</v>
      </c>
      <c r="G473" s="11" t="s">
        <v>5793</v>
      </c>
      <c r="I473" s="13" t="s">
        <v>5674</v>
      </c>
      <c r="L473" s="73"/>
    </row>
    <row r="474">
      <c r="A474" s="87"/>
      <c r="B474" s="88"/>
      <c r="C474" s="88"/>
      <c r="D474" s="15"/>
      <c r="E474" s="15"/>
      <c r="F474" s="10" t="s">
        <v>6132</v>
      </c>
      <c r="G474" s="11" t="s">
        <v>5793</v>
      </c>
      <c r="I474" s="13" t="s">
        <v>5674</v>
      </c>
      <c r="L474" s="73"/>
    </row>
    <row r="475">
      <c r="A475" s="87"/>
      <c r="B475" s="88"/>
      <c r="C475" s="88"/>
      <c r="D475" s="15"/>
      <c r="E475" s="15"/>
      <c r="F475" s="10" t="s">
        <v>6132</v>
      </c>
      <c r="G475" s="11" t="s">
        <v>5793</v>
      </c>
      <c r="I475" s="13" t="s">
        <v>5674</v>
      </c>
      <c r="L475" s="73"/>
    </row>
    <row r="476">
      <c r="A476" s="87"/>
      <c r="B476" s="88"/>
      <c r="C476" s="88"/>
      <c r="D476" s="15"/>
      <c r="E476" s="15"/>
      <c r="F476" s="10" t="s">
        <v>6132</v>
      </c>
      <c r="G476" s="11" t="s">
        <v>5793</v>
      </c>
      <c r="I476" s="13" t="s">
        <v>5674</v>
      </c>
      <c r="L476" s="73"/>
    </row>
    <row r="477">
      <c r="A477" s="87"/>
      <c r="B477" s="88"/>
      <c r="C477" s="88"/>
      <c r="D477" s="15"/>
      <c r="E477" s="15"/>
      <c r="F477" s="10" t="s">
        <v>6132</v>
      </c>
      <c r="G477" s="11" t="s">
        <v>5793</v>
      </c>
      <c r="I477" s="13" t="s">
        <v>5674</v>
      </c>
      <c r="L477" s="73"/>
    </row>
    <row r="478">
      <c r="A478" s="87"/>
      <c r="B478" s="88"/>
      <c r="C478" s="88"/>
      <c r="D478" s="15"/>
      <c r="E478" s="15"/>
      <c r="F478" s="10" t="s">
        <v>6132</v>
      </c>
      <c r="G478" s="11" t="s">
        <v>5793</v>
      </c>
      <c r="I478" s="13" t="s">
        <v>5674</v>
      </c>
      <c r="L478" s="73"/>
    </row>
    <row r="479">
      <c r="A479" s="87"/>
      <c r="B479" s="88"/>
      <c r="C479" s="88"/>
      <c r="D479" s="15"/>
      <c r="E479" s="15"/>
      <c r="F479" s="10" t="s">
        <v>6132</v>
      </c>
      <c r="G479" s="11" t="s">
        <v>5793</v>
      </c>
      <c r="I479" s="13" t="s">
        <v>5674</v>
      </c>
      <c r="L479" s="73"/>
    </row>
    <row r="480">
      <c r="A480" s="87"/>
      <c r="B480" s="88"/>
      <c r="C480" s="88"/>
      <c r="D480" s="15"/>
      <c r="E480" s="15"/>
      <c r="F480" s="10" t="s">
        <v>6132</v>
      </c>
      <c r="G480" s="11" t="s">
        <v>5793</v>
      </c>
      <c r="I480" s="13" t="s">
        <v>5674</v>
      </c>
      <c r="L480" s="73"/>
    </row>
    <row r="481">
      <c r="A481" s="87"/>
      <c r="B481" s="88"/>
      <c r="C481" s="88"/>
      <c r="D481" s="15"/>
      <c r="E481" s="15"/>
      <c r="F481" s="10" t="s">
        <v>6132</v>
      </c>
      <c r="G481" s="11" t="s">
        <v>5793</v>
      </c>
      <c r="I481" s="13" t="s">
        <v>5674</v>
      </c>
      <c r="L481" s="73"/>
    </row>
    <row r="482">
      <c r="A482" s="87"/>
      <c r="B482" s="88"/>
      <c r="C482" s="88"/>
      <c r="D482" s="15"/>
      <c r="E482" s="15"/>
      <c r="F482" s="10" t="s">
        <v>6132</v>
      </c>
      <c r="G482" s="11" t="s">
        <v>5793</v>
      </c>
      <c r="I482" s="13" t="s">
        <v>5674</v>
      </c>
      <c r="L482" s="73"/>
    </row>
    <row r="483">
      <c r="A483" s="87"/>
      <c r="B483" s="88"/>
      <c r="C483" s="88"/>
      <c r="D483" s="15"/>
      <c r="E483" s="15"/>
      <c r="F483" s="10" t="s">
        <v>6132</v>
      </c>
      <c r="G483" s="11" t="s">
        <v>5793</v>
      </c>
      <c r="I483" s="13" t="s">
        <v>5674</v>
      </c>
      <c r="L483" s="73"/>
    </row>
    <row r="484">
      <c r="A484" s="87"/>
      <c r="B484" s="88"/>
      <c r="C484" s="88"/>
      <c r="D484" s="15"/>
      <c r="E484" s="15"/>
      <c r="F484" s="10" t="s">
        <v>6132</v>
      </c>
      <c r="G484" s="11" t="s">
        <v>5793</v>
      </c>
      <c r="I484" s="13" t="s">
        <v>5674</v>
      </c>
      <c r="L484" s="73"/>
    </row>
    <row r="485">
      <c r="A485" s="87"/>
      <c r="B485" s="88"/>
      <c r="C485" s="88"/>
      <c r="D485" s="15"/>
      <c r="E485" s="15"/>
      <c r="F485" s="10" t="s">
        <v>6132</v>
      </c>
      <c r="G485" s="11" t="s">
        <v>5793</v>
      </c>
      <c r="I485" s="13" t="s">
        <v>5674</v>
      </c>
      <c r="L485" s="73"/>
    </row>
    <row r="486">
      <c r="A486" s="87"/>
      <c r="B486" s="88"/>
      <c r="C486" s="88"/>
      <c r="D486" s="15"/>
      <c r="E486" s="15"/>
      <c r="F486" s="10" t="s">
        <v>6132</v>
      </c>
      <c r="G486" s="11" t="s">
        <v>5793</v>
      </c>
      <c r="I486" s="13" t="s">
        <v>5674</v>
      </c>
      <c r="L486" s="73"/>
    </row>
    <row r="487">
      <c r="A487" s="87"/>
      <c r="B487" s="88"/>
      <c r="C487" s="88"/>
      <c r="D487" s="15"/>
      <c r="E487" s="15"/>
      <c r="F487" s="10" t="s">
        <v>6132</v>
      </c>
      <c r="G487" s="11" t="s">
        <v>5793</v>
      </c>
      <c r="I487" s="13" t="s">
        <v>5674</v>
      </c>
      <c r="L487" s="73"/>
    </row>
    <row r="488">
      <c r="A488" s="87"/>
      <c r="B488" s="88"/>
      <c r="C488" s="88"/>
      <c r="D488" s="15"/>
      <c r="E488" s="15"/>
      <c r="F488" s="10" t="s">
        <v>6132</v>
      </c>
      <c r="G488" s="11" t="s">
        <v>5793</v>
      </c>
      <c r="I488" s="13" t="s">
        <v>5674</v>
      </c>
      <c r="L488" s="73"/>
    </row>
    <row r="489">
      <c r="A489" s="87"/>
      <c r="B489" s="88"/>
      <c r="C489" s="88"/>
      <c r="D489" s="15"/>
      <c r="E489" s="15"/>
      <c r="F489" s="10" t="s">
        <v>6132</v>
      </c>
      <c r="G489" s="11" t="s">
        <v>5793</v>
      </c>
      <c r="I489" s="13" t="s">
        <v>5674</v>
      </c>
      <c r="L489" s="73"/>
    </row>
    <row r="490">
      <c r="A490" s="87"/>
      <c r="B490" s="88"/>
      <c r="C490" s="88"/>
      <c r="D490" s="15"/>
      <c r="E490" s="15"/>
      <c r="F490" s="10" t="s">
        <v>6132</v>
      </c>
      <c r="G490" s="11" t="s">
        <v>5793</v>
      </c>
      <c r="I490" s="13" t="s">
        <v>5674</v>
      </c>
      <c r="L490" s="73"/>
    </row>
    <row r="491">
      <c r="A491" s="87"/>
      <c r="B491" s="88"/>
      <c r="D491" s="15"/>
      <c r="E491" s="15"/>
      <c r="F491" s="10"/>
      <c r="G491" s="11"/>
      <c r="I491" s="13"/>
      <c r="L491" s="73"/>
    </row>
    <row r="492">
      <c r="A492" s="87"/>
      <c r="B492" s="88"/>
      <c r="C492" s="88"/>
      <c r="D492" s="15"/>
      <c r="E492" s="15"/>
      <c r="F492" s="10" t="s">
        <v>6132</v>
      </c>
      <c r="G492" s="11" t="s">
        <v>5793</v>
      </c>
      <c r="I492" s="13" t="s">
        <v>5674</v>
      </c>
      <c r="L492" s="73"/>
    </row>
    <row r="493">
      <c r="A493" s="87"/>
      <c r="B493" s="88"/>
      <c r="C493" s="88"/>
      <c r="D493" s="15"/>
      <c r="E493" s="15"/>
      <c r="F493" s="10" t="s">
        <v>6132</v>
      </c>
      <c r="G493" s="11" t="s">
        <v>5793</v>
      </c>
      <c r="I493" s="13" t="s">
        <v>5674</v>
      </c>
      <c r="L493" s="73"/>
    </row>
    <row r="494">
      <c r="A494" s="87"/>
      <c r="B494" s="88"/>
      <c r="C494" s="88"/>
      <c r="D494" s="15"/>
      <c r="E494" s="15"/>
      <c r="F494" s="10" t="s">
        <v>6132</v>
      </c>
      <c r="G494" s="11" t="s">
        <v>5793</v>
      </c>
      <c r="I494" s="13" t="s">
        <v>5674</v>
      </c>
      <c r="L494" s="73"/>
    </row>
    <row r="495">
      <c r="A495" s="87"/>
      <c r="B495" s="88"/>
      <c r="C495" s="88"/>
      <c r="D495" s="15"/>
      <c r="E495" s="15"/>
      <c r="F495" s="10" t="s">
        <v>6132</v>
      </c>
      <c r="G495" s="11" t="s">
        <v>5793</v>
      </c>
      <c r="I495" s="13" t="s">
        <v>5674</v>
      </c>
      <c r="L495" s="73"/>
    </row>
    <row r="496">
      <c r="A496" s="87"/>
      <c r="B496" s="88"/>
      <c r="C496" s="88"/>
      <c r="D496" s="15"/>
      <c r="E496" s="15"/>
      <c r="F496" s="10" t="s">
        <v>6132</v>
      </c>
      <c r="G496" s="11" t="s">
        <v>5793</v>
      </c>
      <c r="I496" s="13" t="s">
        <v>5674</v>
      </c>
      <c r="L496" s="73"/>
    </row>
    <row r="497">
      <c r="A497" s="87"/>
      <c r="B497" s="88"/>
      <c r="C497" s="88"/>
      <c r="D497" s="15"/>
      <c r="E497" s="15"/>
      <c r="F497" s="10" t="s">
        <v>6132</v>
      </c>
      <c r="G497" s="11" t="s">
        <v>5793</v>
      </c>
      <c r="I497" s="13" t="s">
        <v>5674</v>
      </c>
      <c r="L497" s="73"/>
    </row>
    <row r="498">
      <c r="A498" s="87"/>
      <c r="B498" s="88"/>
      <c r="C498" s="88"/>
      <c r="D498" s="15"/>
      <c r="E498" s="15"/>
      <c r="F498" s="10" t="s">
        <v>6132</v>
      </c>
      <c r="G498" s="11" t="s">
        <v>5793</v>
      </c>
      <c r="I498" s="13" t="s">
        <v>5674</v>
      </c>
      <c r="L498" s="73"/>
    </row>
    <row r="499">
      <c r="A499" s="87"/>
      <c r="B499" s="88"/>
      <c r="C499" s="88"/>
      <c r="D499" s="15"/>
      <c r="E499" s="15"/>
      <c r="F499" s="10" t="s">
        <v>6132</v>
      </c>
      <c r="G499" s="11" t="s">
        <v>5793</v>
      </c>
      <c r="I499" s="13" t="s">
        <v>5674</v>
      </c>
      <c r="L499" s="73"/>
    </row>
    <row r="500">
      <c r="A500" s="87"/>
      <c r="B500" s="88"/>
      <c r="C500" s="88"/>
      <c r="D500" s="15"/>
      <c r="E500" s="15"/>
      <c r="F500" s="10" t="s">
        <v>6132</v>
      </c>
      <c r="G500" s="11" t="s">
        <v>5793</v>
      </c>
      <c r="I500" s="13" t="s">
        <v>5674</v>
      </c>
      <c r="L500" s="73"/>
    </row>
    <row r="501">
      <c r="A501" s="87"/>
      <c r="B501" s="88"/>
      <c r="C501" s="88"/>
      <c r="D501" s="15"/>
      <c r="E501" s="15"/>
      <c r="F501" s="10" t="s">
        <v>6132</v>
      </c>
      <c r="G501" s="11" t="s">
        <v>5793</v>
      </c>
      <c r="I501" s="13" t="s">
        <v>5674</v>
      </c>
      <c r="L501" s="73"/>
    </row>
    <row r="502">
      <c r="A502" s="87"/>
      <c r="B502" s="88"/>
      <c r="C502" s="88"/>
      <c r="D502" s="15"/>
      <c r="E502" s="15"/>
      <c r="F502" s="10" t="s">
        <v>6132</v>
      </c>
      <c r="G502" s="11" t="s">
        <v>5793</v>
      </c>
      <c r="I502" s="13" t="s">
        <v>5674</v>
      </c>
      <c r="L502" s="73"/>
    </row>
    <row r="503">
      <c r="A503" s="87"/>
      <c r="B503" s="88"/>
      <c r="C503" s="88"/>
      <c r="D503" s="15"/>
      <c r="E503" s="15"/>
      <c r="F503" s="10" t="s">
        <v>6132</v>
      </c>
      <c r="G503" s="11" t="s">
        <v>5793</v>
      </c>
      <c r="I503" s="13" t="s">
        <v>5674</v>
      </c>
      <c r="L503" s="73"/>
    </row>
    <row r="504">
      <c r="A504" s="87"/>
      <c r="B504" s="88"/>
      <c r="C504" s="88"/>
      <c r="D504" s="15"/>
      <c r="E504" s="15"/>
      <c r="F504" s="10" t="s">
        <v>6132</v>
      </c>
      <c r="G504" s="11" t="s">
        <v>5793</v>
      </c>
      <c r="I504" s="13" t="s">
        <v>5674</v>
      </c>
      <c r="L504" s="73"/>
    </row>
    <row r="505">
      <c r="A505" s="87"/>
      <c r="B505" s="88"/>
      <c r="C505" s="88"/>
      <c r="D505" s="15"/>
      <c r="E505" s="15"/>
      <c r="F505" s="10" t="s">
        <v>6132</v>
      </c>
      <c r="G505" s="11" t="s">
        <v>5793</v>
      </c>
      <c r="I505" s="13" t="s">
        <v>5674</v>
      </c>
      <c r="L505" s="73"/>
    </row>
    <row r="506">
      <c r="A506" s="87"/>
      <c r="B506" s="88"/>
      <c r="C506" s="88"/>
      <c r="D506" s="15"/>
      <c r="E506" s="15"/>
      <c r="F506" s="10" t="s">
        <v>6132</v>
      </c>
      <c r="G506" s="11" t="s">
        <v>5793</v>
      </c>
      <c r="I506" s="13" t="s">
        <v>5674</v>
      </c>
      <c r="L506" s="73"/>
    </row>
    <row r="507">
      <c r="A507" s="87"/>
      <c r="B507" s="88"/>
      <c r="C507" s="88"/>
      <c r="D507" s="15"/>
      <c r="E507" s="15"/>
      <c r="F507" s="10" t="s">
        <v>6132</v>
      </c>
      <c r="G507" s="11" t="s">
        <v>5793</v>
      </c>
      <c r="I507" s="13" t="s">
        <v>5674</v>
      </c>
      <c r="L507" s="73"/>
    </row>
    <row r="508">
      <c r="A508" s="87"/>
      <c r="B508" s="88"/>
      <c r="C508" s="88"/>
      <c r="D508" s="15"/>
      <c r="E508" s="15"/>
      <c r="F508" s="10" t="s">
        <v>6132</v>
      </c>
      <c r="G508" s="11" t="s">
        <v>5793</v>
      </c>
      <c r="I508" s="13" t="s">
        <v>5674</v>
      </c>
      <c r="L508" s="73"/>
    </row>
    <row r="509">
      <c r="A509" s="87"/>
      <c r="B509" s="88"/>
      <c r="C509" s="88"/>
      <c r="D509" s="15"/>
      <c r="E509" s="15"/>
      <c r="F509" s="10" t="s">
        <v>6132</v>
      </c>
      <c r="G509" s="11" t="s">
        <v>5793</v>
      </c>
      <c r="I509" s="13" t="s">
        <v>5674</v>
      </c>
      <c r="L509" s="73"/>
    </row>
    <row r="510">
      <c r="A510" s="87"/>
      <c r="B510" s="88"/>
      <c r="C510" s="88"/>
      <c r="D510" s="15"/>
      <c r="E510" s="15"/>
      <c r="F510" s="10" t="s">
        <v>6132</v>
      </c>
      <c r="G510" s="11" t="s">
        <v>5793</v>
      </c>
      <c r="I510" s="13" t="s">
        <v>5674</v>
      </c>
      <c r="L510" s="73"/>
    </row>
    <row r="511">
      <c r="A511" s="87"/>
      <c r="B511" s="88"/>
      <c r="C511" s="88"/>
      <c r="D511" s="15"/>
      <c r="E511" s="15"/>
      <c r="F511" s="10" t="s">
        <v>6132</v>
      </c>
      <c r="G511" s="11" t="s">
        <v>5793</v>
      </c>
      <c r="I511" s="13" t="s">
        <v>5674</v>
      </c>
      <c r="L511" s="73"/>
    </row>
    <row r="512">
      <c r="A512" s="11"/>
      <c r="B512" s="10"/>
      <c r="D512" s="15"/>
      <c r="E512" s="15"/>
      <c r="F512" s="10" t="s">
        <v>6132</v>
      </c>
      <c r="G512" s="11" t="s">
        <v>5793</v>
      </c>
      <c r="I512" s="13" t="s">
        <v>5674</v>
      </c>
      <c r="L512" s="73"/>
    </row>
    <row r="513">
      <c r="A513" s="11"/>
      <c r="B513" s="10"/>
      <c r="D513" s="15"/>
      <c r="E513" s="15"/>
      <c r="F513" s="10" t="s">
        <v>6132</v>
      </c>
      <c r="G513" s="11" t="s">
        <v>5793</v>
      </c>
      <c r="I513" s="13" t="s">
        <v>5674</v>
      </c>
      <c r="L513" s="73"/>
    </row>
    <row r="514">
      <c r="A514" s="11"/>
      <c r="B514" s="10"/>
      <c r="D514" s="15"/>
      <c r="E514" s="15"/>
      <c r="F514" s="10" t="s">
        <v>6132</v>
      </c>
      <c r="G514" s="11" t="s">
        <v>5793</v>
      </c>
      <c r="I514" s="13" t="s">
        <v>5674</v>
      </c>
      <c r="L514" s="73"/>
    </row>
    <row r="515">
      <c r="A515" s="11"/>
      <c r="B515" s="10"/>
      <c r="D515" s="15"/>
      <c r="E515" s="15"/>
      <c r="F515" s="10" t="s">
        <v>6132</v>
      </c>
      <c r="G515" s="11" t="s">
        <v>5793</v>
      </c>
      <c r="I515" s="13" t="s">
        <v>5674</v>
      </c>
      <c r="L515" s="73"/>
    </row>
    <row r="516">
      <c r="A516" s="11"/>
      <c r="B516" s="10"/>
      <c r="D516" s="15"/>
      <c r="E516" s="15"/>
      <c r="F516" s="10" t="s">
        <v>6132</v>
      </c>
      <c r="G516" s="11" t="s">
        <v>5793</v>
      </c>
      <c r="I516" s="13" t="s">
        <v>5674</v>
      </c>
      <c r="L516" s="73"/>
    </row>
    <row r="517">
      <c r="A517" s="11"/>
      <c r="B517" s="10"/>
      <c r="D517" s="15"/>
      <c r="E517" s="15"/>
      <c r="F517" s="10" t="s">
        <v>6132</v>
      </c>
      <c r="G517" s="11" t="s">
        <v>5793</v>
      </c>
      <c r="I517" s="13" t="s">
        <v>5674</v>
      </c>
      <c r="L517" s="73"/>
    </row>
    <row r="518">
      <c r="A518" s="11"/>
      <c r="B518" s="10"/>
      <c r="D518" s="15"/>
      <c r="E518" s="15"/>
      <c r="F518" s="10" t="s">
        <v>6132</v>
      </c>
      <c r="G518" s="11" t="s">
        <v>5793</v>
      </c>
      <c r="I518" s="13" t="s">
        <v>5674</v>
      </c>
      <c r="L518" s="73"/>
    </row>
    <row r="519">
      <c r="A519" s="11"/>
      <c r="B519" s="10"/>
      <c r="D519" s="15"/>
      <c r="E519" s="15"/>
      <c r="F519" s="10" t="s">
        <v>6132</v>
      </c>
      <c r="G519" s="11" t="s">
        <v>5793</v>
      </c>
      <c r="I519" s="13" t="s">
        <v>5674</v>
      </c>
      <c r="L519" s="73"/>
    </row>
    <row r="520">
      <c r="A520" s="11"/>
      <c r="B520" s="10"/>
      <c r="D520" s="15"/>
      <c r="E520" s="15"/>
      <c r="F520" s="10" t="s">
        <v>6132</v>
      </c>
      <c r="G520" s="11" t="s">
        <v>5793</v>
      </c>
      <c r="I520" s="13" t="s">
        <v>5674</v>
      </c>
      <c r="L520" s="73"/>
    </row>
    <row r="521">
      <c r="A521" s="11"/>
      <c r="B521" s="10"/>
      <c r="D521" s="15"/>
      <c r="E521" s="15"/>
      <c r="F521" s="10" t="s">
        <v>6132</v>
      </c>
      <c r="G521" s="11" t="s">
        <v>5793</v>
      </c>
      <c r="I521" s="13" t="s">
        <v>5674</v>
      </c>
      <c r="L521" s="73"/>
    </row>
    <row r="522">
      <c r="A522" s="11"/>
      <c r="B522" s="10"/>
      <c r="D522" s="15"/>
      <c r="E522" s="15"/>
      <c r="F522" s="10" t="s">
        <v>6132</v>
      </c>
      <c r="G522" s="11" t="s">
        <v>5793</v>
      </c>
      <c r="I522" s="13" t="s">
        <v>5674</v>
      </c>
      <c r="L522" s="73"/>
    </row>
    <row r="523">
      <c r="A523" s="11"/>
      <c r="B523" s="10"/>
      <c r="D523" s="15"/>
      <c r="E523" s="15"/>
      <c r="F523" s="10" t="s">
        <v>6132</v>
      </c>
      <c r="G523" s="11" t="s">
        <v>5793</v>
      </c>
      <c r="I523" s="13" t="s">
        <v>5674</v>
      </c>
      <c r="L523" s="73"/>
    </row>
    <row r="524">
      <c r="A524" s="11"/>
      <c r="B524" s="10"/>
      <c r="D524" s="15"/>
      <c r="E524" s="15"/>
      <c r="F524" s="10" t="s">
        <v>6132</v>
      </c>
      <c r="G524" s="11" t="s">
        <v>5793</v>
      </c>
      <c r="I524" s="13" t="s">
        <v>5674</v>
      </c>
      <c r="L524" s="73"/>
    </row>
    <row r="525">
      <c r="A525" s="11"/>
      <c r="B525" s="10"/>
      <c r="D525" s="15"/>
      <c r="E525" s="15"/>
      <c r="F525" s="10" t="s">
        <v>6132</v>
      </c>
      <c r="G525" s="11" t="s">
        <v>5793</v>
      </c>
      <c r="I525" s="13" t="s">
        <v>5674</v>
      </c>
      <c r="L525" s="73"/>
    </row>
    <row r="526">
      <c r="A526" s="11"/>
      <c r="B526" s="10"/>
      <c r="D526" s="15"/>
      <c r="E526" s="15"/>
      <c r="F526" s="10" t="s">
        <v>6132</v>
      </c>
      <c r="G526" s="11" t="s">
        <v>5793</v>
      </c>
      <c r="I526" s="13" t="s">
        <v>5674</v>
      </c>
      <c r="L526" s="73"/>
    </row>
    <row r="527">
      <c r="A527" s="11"/>
      <c r="B527" s="10"/>
      <c r="D527" s="15"/>
      <c r="E527" s="15"/>
      <c r="F527" s="10" t="s">
        <v>6132</v>
      </c>
      <c r="G527" s="11" t="s">
        <v>5793</v>
      </c>
      <c r="I527" s="13" t="s">
        <v>5674</v>
      </c>
      <c r="L527" s="73"/>
    </row>
    <row r="528">
      <c r="A528" s="11"/>
      <c r="B528" s="10"/>
      <c r="D528" s="15"/>
      <c r="E528" s="15"/>
      <c r="F528" s="10" t="s">
        <v>6132</v>
      </c>
      <c r="G528" s="11" t="s">
        <v>5793</v>
      </c>
      <c r="I528" s="13" t="s">
        <v>5674</v>
      </c>
      <c r="L528" s="73"/>
    </row>
    <row r="529">
      <c r="A529" s="11"/>
      <c r="B529" s="10"/>
      <c r="D529" s="15"/>
      <c r="E529" s="15"/>
      <c r="F529" s="10" t="s">
        <v>6132</v>
      </c>
      <c r="G529" s="11" t="s">
        <v>5793</v>
      </c>
      <c r="I529" s="13" t="s">
        <v>5674</v>
      </c>
      <c r="L529" s="73"/>
    </row>
    <row r="530">
      <c r="A530" s="11"/>
      <c r="B530" s="10"/>
      <c r="D530" s="15"/>
      <c r="E530" s="15"/>
      <c r="F530" s="10" t="s">
        <v>6132</v>
      </c>
      <c r="G530" s="11" t="s">
        <v>5793</v>
      </c>
      <c r="I530" s="13" t="s">
        <v>5674</v>
      </c>
      <c r="L530" s="73"/>
    </row>
    <row r="531">
      <c r="A531" s="11"/>
      <c r="B531" s="10"/>
      <c r="D531" s="15"/>
      <c r="E531" s="15"/>
      <c r="F531" s="10" t="s">
        <v>6132</v>
      </c>
      <c r="G531" s="11" t="s">
        <v>5793</v>
      </c>
      <c r="I531" s="13" t="s">
        <v>5674</v>
      </c>
      <c r="L531" s="73"/>
    </row>
    <row r="532">
      <c r="A532" s="11"/>
      <c r="B532" s="10"/>
      <c r="D532" s="15"/>
      <c r="E532" s="15"/>
      <c r="F532" s="10" t="s">
        <v>6132</v>
      </c>
      <c r="G532" s="11" t="s">
        <v>5793</v>
      </c>
      <c r="I532" s="13" t="s">
        <v>5674</v>
      </c>
      <c r="L532" s="73"/>
    </row>
    <row r="533">
      <c r="A533" s="11"/>
      <c r="B533" s="10"/>
      <c r="D533" s="15"/>
      <c r="E533" s="15"/>
      <c r="F533" s="10" t="s">
        <v>6132</v>
      </c>
      <c r="G533" s="11" t="s">
        <v>5793</v>
      </c>
      <c r="I533" s="13" t="s">
        <v>5674</v>
      </c>
      <c r="L533" s="73"/>
    </row>
    <row r="534">
      <c r="A534" s="11"/>
      <c r="B534" s="10"/>
      <c r="D534" s="15"/>
      <c r="E534" s="15"/>
      <c r="F534" s="10" t="s">
        <v>6132</v>
      </c>
      <c r="G534" s="11" t="s">
        <v>5793</v>
      </c>
      <c r="I534" s="13" t="s">
        <v>5674</v>
      </c>
      <c r="L534" s="73"/>
    </row>
    <row r="535">
      <c r="A535" s="11"/>
      <c r="B535" s="10"/>
      <c r="D535" s="15"/>
      <c r="E535" s="15"/>
      <c r="F535" s="10" t="s">
        <v>6132</v>
      </c>
      <c r="G535" s="11" t="s">
        <v>5793</v>
      </c>
      <c r="I535" s="13" t="s">
        <v>5674</v>
      </c>
      <c r="L535" s="73"/>
    </row>
    <row r="536">
      <c r="A536" s="11"/>
      <c r="B536" s="10"/>
      <c r="D536" s="15"/>
      <c r="E536" s="15"/>
      <c r="F536" s="10" t="s">
        <v>6132</v>
      </c>
      <c r="G536" s="11" t="s">
        <v>5793</v>
      </c>
      <c r="I536" s="13" t="s">
        <v>5674</v>
      </c>
      <c r="L536" s="73"/>
    </row>
    <row r="537">
      <c r="A537" s="11"/>
      <c r="B537" s="10"/>
      <c r="D537" s="15"/>
      <c r="E537" s="15"/>
      <c r="F537" s="10" t="s">
        <v>6132</v>
      </c>
      <c r="G537" s="11" t="s">
        <v>5793</v>
      </c>
      <c r="I537" s="13" t="s">
        <v>5674</v>
      </c>
      <c r="L537" s="73"/>
    </row>
    <row r="538">
      <c r="A538" s="11"/>
      <c r="B538" s="10"/>
      <c r="D538" s="15"/>
      <c r="E538" s="15"/>
      <c r="F538" s="10" t="s">
        <v>6132</v>
      </c>
      <c r="G538" s="11" t="s">
        <v>5793</v>
      </c>
      <c r="I538" s="13" t="s">
        <v>5674</v>
      </c>
      <c r="L538" s="73"/>
    </row>
    <row r="539">
      <c r="A539" s="11"/>
      <c r="B539" s="10"/>
      <c r="D539" s="15"/>
      <c r="E539" s="15"/>
      <c r="F539" s="10" t="s">
        <v>6132</v>
      </c>
      <c r="G539" s="11" t="s">
        <v>5793</v>
      </c>
      <c r="I539" s="13" t="s">
        <v>5674</v>
      </c>
      <c r="L539" s="73"/>
    </row>
    <row r="540">
      <c r="A540" s="11"/>
      <c r="B540" s="10"/>
      <c r="D540" s="15"/>
      <c r="E540" s="15"/>
      <c r="F540" s="10" t="s">
        <v>6132</v>
      </c>
      <c r="G540" s="11" t="s">
        <v>5793</v>
      </c>
      <c r="I540" s="13" t="s">
        <v>5674</v>
      </c>
      <c r="L540" s="73"/>
    </row>
    <row r="541">
      <c r="A541" s="11"/>
      <c r="B541" s="10"/>
      <c r="D541" s="15"/>
      <c r="E541" s="15"/>
      <c r="F541" s="10" t="s">
        <v>6132</v>
      </c>
      <c r="G541" s="11" t="s">
        <v>5793</v>
      </c>
      <c r="I541" s="13" t="s">
        <v>5674</v>
      </c>
      <c r="L541" s="73"/>
    </row>
    <row r="542">
      <c r="A542" s="11"/>
      <c r="B542" s="10"/>
      <c r="D542" s="15"/>
      <c r="E542" s="15"/>
      <c r="F542" s="10" t="s">
        <v>6132</v>
      </c>
      <c r="G542" s="11" t="s">
        <v>5793</v>
      </c>
      <c r="I542" s="13" t="s">
        <v>5674</v>
      </c>
      <c r="L542" s="73"/>
    </row>
    <row r="543">
      <c r="A543" s="11"/>
      <c r="B543" s="10"/>
      <c r="D543" s="15"/>
      <c r="E543" s="15"/>
      <c r="F543" s="10" t="s">
        <v>6132</v>
      </c>
      <c r="G543" s="11" t="s">
        <v>5793</v>
      </c>
      <c r="I543" s="13" t="s">
        <v>5674</v>
      </c>
      <c r="L543" s="73"/>
    </row>
    <row r="544">
      <c r="A544" s="11"/>
      <c r="B544" s="10"/>
      <c r="D544" s="15"/>
      <c r="E544" s="15"/>
      <c r="F544" s="10" t="s">
        <v>6132</v>
      </c>
      <c r="G544" s="11" t="s">
        <v>5793</v>
      </c>
      <c r="I544" s="13" t="s">
        <v>5674</v>
      </c>
      <c r="L544" s="73"/>
    </row>
    <row r="545">
      <c r="A545" s="11"/>
      <c r="B545" s="10"/>
      <c r="D545" s="15"/>
      <c r="E545" s="15"/>
      <c r="F545" s="10"/>
      <c r="G545" s="11"/>
      <c r="I545" s="13"/>
      <c r="L545" s="73"/>
    </row>
    <row r="546">
      <c r="A546" s="11"/>
      <c r="B546" s="10"/>
      <c r="D546" s="15"/>
      <c r="E546" s="15"/>
      <c r="F546" s="10"/>
      <c r="G546" s="11"/>
      <c r="I546" s="13"/>
      <c r="L546" s="73"/>
    </row>
    <row r="547">
      <c r="A547" s="11"/>
      <c r="B547" s="10"/>
      <c r="D547" s="15"/>
      <c r="E547" s="15"/>
      <c r="F547" s="10"/>
      <c r="G547" s="11"/>
      <c r="I547" s="13"/>
      <c r="L547" s="73"/>
    </row>
    <row r="548">
      <c r="A548" s="11"/>
      <c r="B548" s="10"/>
      <c r="D548" s="15"/>
      <c r="E548" s="15"/>
      <c r="F548" s="10"/>
      <c r="G548" s="11"/>
      <c r="I548" s="13"/>
      <c r="L548" s="73"/>
    </row>
    <row r="549">
      <c r="A549" s="11"/>
      <c r="B549" s="10"/>
      <c r="D549" s="15"/>
      <c r="E549" s="15"/>
      <c r="F549" s="10"/>
      <c r="G549" s="11"/>
      <c r="I549" s="13"/>
      <c r="L549" s="73"/>
    </row>
    <row r="550">
      <c r="A550" s="12"/>
      <c r="B550" s="10"/>
      <c r="D550" s="15"/>
      <c r="E550" s="15"/>
      <c r="F550" s="10" t="s">
        <v>6132</v>
      </c>
      <c r="G550" s="11" t="s">
        <v>5793</v>
      </c>
      <c r="I550" s="13" t="s">
        <v>5674</v>
      </c>
      <c r="L550" s="73"/>
    </row>
    <row r="551">
      <c r="A551" s="12"/>
      <c r="B551" s="10"/>
      <c r="D551" s="15"/>
      <c r="E551" s="15"/>
      <c r="F551" s="10" t="s">
        <v>6132</v>
      </c>
      <c r="G551" s="11" t="s">
        <v>5793</v>
      </c>
      <c r="I551" s="13" t="s">
        <v>5674</v>
      </c>
      <c r="L551" s="73"/>
    </row>
    <row r="552">
      <c r="A552" s="12"/>
      <c r="B552" s="10"/>
      <c r="D552" s="15"/>
      <c r="E552" s="15"/>
      <c r="F552" s="10" t="s">
        <v>6132</v>
      </c>
      <c r="G552" s="11" t="s">
        <v>5793</v>
      </c>
      <c r="I552" s="13" t="s">
        <v>5674</v>
      </c>
      <c r="L552" s="73"/>
    </row>
    <row r="553">
      <c r="A553" s="12"/>
      <c r="B553" s="10"/>
      <c r="D553" s="15"/>
      <c r="E553" s="15"/>
      <c r="F553" s="10" t="s">
        <v>6132</v>
      </c>
      <c r="G553" s="11" t="s">
        <v>5793</v>
      </c>
      <c r="I553" s="13" t="s">
        <v>5674</v>
      </c>
      <c r="L553" s="73"/>
    </row>
    <row r="554">
      <c r="A554" s="12"/>
      <c r="B554" s="10"/>
      <c r="D554" s="15"/>
      <c r="E554" s="15"/>
      <c r="F554" s="10" t="s">
        <v>6132</v>
      </c>
      <c r="G554" s="11" t="s">
        <v>5793</v>
      </c>
      <c r="I554" s="13" t="s">
        <v>5674</v>
      </c>
      <c r="L554" s="73"/>
    </row>
    <row r="555">
      <c r="A555" s="12"/>
      <c r="B555" s="10"/>
      <c r="D555" s="15"/>
      <c r="E555" s="15"/>
      <c r="F555" s="10" t="s">
        <v>6132</v>
      </c>
      <c r="G555" s="11" t="s">
        <v>5793</v>
      </c>
      <c r="I555" s="13" t="s">
        <v>5674</v>
      </c>
      <c r="L555" s="73"/>
    </row>
    <row r="556">
      <c r="A556" s="12"/>
      <c r="B556" s="10"/>
      <c r="D556" s="15"/>
      <c r="E556" s="15"/>
      <c r="F556" s="10" t="s">
        <v>6132</v>
      </c>
      <c r="G556" s="11" t="s">
        <v>5793</v>
      </c>
      <c r="I556" s="13" t="s">
        <v>5674</v>
      </c>
      <c r="L556" s="73"/>
    </row>
    <row r="557">
      <c r="A557" s="12"/>
      <c r="B557" s="10"/>
      <c r="D557" s="15"/>
      <c r="E557" s="15"/>
      <c r="F557" s="10" t="s">
        <v>6132</v>
      </c>
      <c r="G557" s="11" t="s">
        <v>5793</v>
      </c>
      <c r="I557" s="13" t="s">
        <v>5674</v>
      </c>
      <c r="L557" s="73"/>
    </row>
    <row r="558">
      <c r="A558" s="12"/>
      <c r="B558" s="10"/>
      <c r="D558" s="15"/>
      <c r="E558" s="15"/>
      <c r="F558" s="10" t="s">
        <v>6132</v>
      </c>
      <c r="G558" s="11" t="s">
        <v>5793</v>
      </c>
      <c r="I558" s="13" t="s">
        <v>5674</v>
      </c>
      <c r="L558" s="73"/>
    </row>
    <row r="559">
      <c r="A559" s="12"/>
      <c r="B559" s="10"/>
      <c r="D559" s="15"/>
      <c r="E559" s="15"/>
      <c r="F559" s="10" t="s">
        <v>6132</v>
      </c>
      <c r="G559" s="11" t="s">
        <v>5793</v>
      </c>
      <c r="I559" s="13" t="s">
        <v>5674</v>
      </c>
      <c r="L559" s="73"/>
    </row>
    <row r="560">
      <c r="A560" s="12"/>
      <c r="B560" s="10"/>
      <c r="D560" s="15"/>
      <c r="E560" s="15"/>
      <c r="F560" s="10" t="s">
        <v>6132</v>
      </c>
      <c r="G560" s="11" t="s">
        <v>5793</v>
      </c>
      <c r="I560" s="13" t="s">
        <v>5674</v>
      </c>
      <c r="L560" s="73"/>
    </row>
    <row r="561">
      <c r="A561" s="12"/>
      <c r="B561" s="10"/>
      <c r="D561" s="15"/>
      <c r="E561" s="15"/>
      <c r="F561" s="10" t="s">
        <v>6132</v>
      </c>
      <c r="G561" s="11" t="s">
        <v>5793</v>
      </c>
      <c r="I561" s="13" t="s">
        <v>5674</v>
      </c>
      <c r="L561" s="73"/>
    </row>
    <row r="562">
      <c r="A562" s="12"/>
      <c r="B562" s="10"/>
      <c r="D562" s="15"/>
      <c r="E562" s="15"/>
      <c r="F562" s="10" t="s">
        <v>6132</v>
      </c>
      <c r="G562" s="11" t="s">
        <v>5793</v>
      </c>
      <c r="I562" s="13" t="s">
        <v>5674</v>
      </c>
      <c r="L562" s="73"/>
    </row>
    <row r="563">
      <c r="A563" s="12"/>
      <c r="B563" s="10"/>
      <c r="D563" s="15"/>
      <c r="E563" s="15"/>
      <c r="F563" s="10" t="s">
        <v>6132</v>
      </c>
      <c r="G563" s="11" t="s">
        <v>5793</v>
      </c>
      <c r="I563" s="13" t="s">
        <v>5674</v>
      </c>
      <c r="L563" s="73"/>
    </row>
    <row r="564">
      <c r="A564" s="12"/>
      <c r="B564" s="10"/>
      <c r="D564" s="15"/>
      <c r="E564" s="15"/>
      <c r="F564" s="10" t="s">
        <v>6132</v>
      </c>
      <c r="G564" s="11" t="s">
        <v>5793</v>
      </c>
      <c r="I564" s="13" t="s">
        <v>5674</v>
      </c>
      <c r="L564" s="73"/>
    </row>
    <row r="565">
      <c r="A565" s="12"/>
      <c r="B565" s="10"/>
      <c r="D565" s="15"/>
      <c r="E565" s="15"/>
      <c r="F565" s="10" t="s">
        <v>6132</v>
      </c>
      <c r="G565" s="11" t="s">
        <v>5793</v>
      </c>
      <c r="I565" s="13" t="s">
        <v>5674</v>
      </c>
      <c r="L565" s="73"/>
    </row>
    <row r="566">
      <c r="A566" s="12"/>
      <c r="B566" s="10"/>
      <c r="D566" s="15"/>
      <c r="E566" s="15"/>
      <c r="F566" s="10" t="s">
        <v>6132</v>
      </c>
      <c r="G566" s="11" t="s">
        <v>5793</v>
      </c>
      <c r="I566" s="13" t="s">
        <v>5674</v>
      </c>
      <c r="L566" s="73"/>
    </row>
    <row r="567">
      <c r="A567" s="12"/>
      <c r="B567" s="10"/>
      <c r="D567" s="15"/>
      <c r="E567" s="15"/>
      <c r="F567" s="10" t="s">
        <v>6132</v>
      </c>
      <c r="G567" s="11" t="s">
        <v>5793</v>
      </c>
      <c r="I567" s="13" t="s">
        <v>5674</v>
      </c>
      <c r="L567" s="73"/>
    </row>
    <row r="568">
      <c r="A568" s="12"/>
      <c r="B568" s="10"/>
      <c r="D568" s="15"/>
      <c r="E568" s="15"/>
      <c r="F568" s="10" t="s">
        <v>6132</v>
      </c>
      <c r="G568" s="11" t="s">
        <v>5793</v>
      </c>
      <c r="I568" s="13" t="s">
        <v>5674</v>
      </c>
      <c r="L568" s="73"/>
    </row>
    <row r="569">
      <c r="A569" s="12"/>
      <c r="B569" s="10"/>
      <c r="D569" s="15"/>
      <c r="E569" s="15"/>
      <c r="F569" s="10" t="s">
        <v>6132</v>
      </c>
      <c r="G569" s="11" t="s">
        <v>5793</v>
      </c>
      <c r="I569" s="13" t="s">
        <v>5674</v>
      </c>
      <c r="L569" s="73"/>
    </row>
    <row r="570">
      <c r="A570" s="12"/>
      <c r="B570" s="10"/>
      <c r="D570" s="15"/>
      <c r="E570" s="15"/>
      <c r="F570" s="10" t="s">
        <v>6132</v>
      </c>
      <c r="G570" s="11" t="s">
        <v>5793</v>
      </c>
      <c r="I570" s="13" t="s">
        <v>5674</v>
      </c>
      <c r="L570" s="73"/>
    </row>
    <row r="571">
      <c r="A571" s="12"/>
      <c r="B571" s="10"/>
      <c r="D571" s="15"/>
      <c r="E571" s="15"/>
      <c r="F571" s="10" t="s">
        <v>6132</v>
      </c>
      <c r="G571" s="11" t="s">
        <v>5793</v>
      </c>
      <c r="I571" s="13" t="s">
        <v>5674</v>
      </c>
      <c r="L571" s="73"/>
    </row>
    <row r="572">
      <c r="A572" s="12"/>
      <c r="B572" s="10"/>
      <c r="D572" s="15"/>
      <c r="E572" s="15"/>
      <c r="F572" s="10" t="s">
        <v>6132</v>
      </c>
      <c r="G572" s="11" t="s">
        <v>5793</v>
      </c>
      <c r="I572" s="13" t="s">
        <v>5674</v>
      </c>
      <c r="L572" s="73"/>
    </row>
    <row r="573">
      <c r="A573" s="12"/>
      <c r="B573" s="10"/>
      <c r="D573" s="15"/>
      <c r="E573" s="15"/>
      <c r="F573" s="10" t="s">
        <v>6132</v>
      </c>
      <c r="G573" s="11" t="s">
        <v>5793</v>
      </c>
      <c r="I573" s="13" t="s">
        <v>5674</v>
      </c>
      <c r="L573" s="73"/>
    </row>
    <row r="574">
      <c r="A574" s="12"/>
      <c r="B574" s="10"/>
      <c r="D574" s="15"/>
      <c r="E574" s="15"/>
      <c r="F574" s="10" t="s">
        <v>6132</v>
      </c>
      <c r="G574" s="11" t="s">
        <v>5793</v>
      </c>
      <c r="I574" s="13" t="s">
        <v>5674</v>
      </c>
      <c r="L574" s="73"/>
    </row>
    <row r="575">
      <c r="A575" s="12"/>
      <c r="B575" s="10"/>
      <c r="D575" s="15"/>
      <c r="E575" s="15"/>
      <c r="F575" s="10" t="s">
        <v>6132</v>
      </c>
      <c r="G575" s="11" t="s">
        <v>5793</v>
      </c>
      <c r="I575" s="13" t="s">
        <v>5674</v>
      </c>
      <c r="L575" s="73"/>
    </row>
    <row r="576">
      <c r="A576" s="12"/>
      <c r="B576" s="10"/>
      <c r="D576" s="15"/>
      <c r="E576" s="15"/>
      <c r="F576" s="10" t="s">
        <v>6132</v>
      </c>
      <c r="G576" s="11" t="s">
        <v>5793</v>
      </c>
      <c r="I576" s="13" t="s">
        <v>5674</v>
      </c>
      <c r="L576" s="73"/>
    </row>
    <row r="577">
      <c r="A577" s="12"/>
      <c r="B577" s="10"/>
      <c r="D577" s="15"/>
      <c r="E577" s="15"/>
      <c r="F577" s="10" t="s">
        <v>6132</v>
      </c>
      <c r="G577" s="11" t="s">
        <v>5793</v>
      </c>
      <c r="I577" s="13" t="s">
        <v>5674</v>
      </c>
      <c r="J577" s="13" t="s">
        <v>6828</v>
      </c>
      <c r="L577" s="73"/>
    </row>
    <row r="578">
      <c r="A578" s="11"/>
      <c r="B578" s="48"/>
      <c r="D578" s="15"/>
      <c r="E578" s="15"/>
      <c r="F578" s="10" t="s">
        <v>6132</v>
      </c>
      <c r="G578" s="11" t="s">
        <v>5793</v>
      </c>
      <c r="I578" s="13" t="s">
        <v>5674</v>
      </c>
      <c r="J578" s="90" t="s">
        <v>6796</v>
      </c>
      <c r="K578" s="50" t="s">
        <v>6830</v>
      </c>
      <c r="L578" s="50" t="s">
        <v>6527</v>
      </c>
    </row>
    <row r="579">
      <c r="A579" s="12"/>
      <c r="B579" s="10"/>
      <c r="D579" s="15"/>
      <c r="E579" s="15"/>
      <c r="F579" s="10"/>
      <c r="G579" s="11"/>
      <c r="I579" s="13"/>
      <c r="L579" s="73"/>
    </row>
    <row r="580">
      <c r="A580" s="12"/>
      <c r="B580" s="88"/>
      <c r="D580" s="15"/>
      <c r="E580" s="15"/>
      <c r="F580" s="10"/>
      <c r="G580" s="11"/>
      <c r="I580" s="13"/>
      <c r="L580" s="73"/>
    </row>
    <row r="581">
      <c r="A581" s="12"/>
      <c r="B581" s="10"/>
      <c r="D581" s="15"/>
      <c r="E581" s="15"/>
      <c r="F581" s="10"/>
      <c r="G581" s="11"/>
      <c r="I581" s="13"/>
      <c r="L581" s="73"/>
    </row>
    <row r="582">
      <c r="A582" s="12"/>
      <c r="B582" s="10"/>
      <c r="D582" s="15"/>
      <c r="E582" s="15"/>
      <c r="F582" s="10" t="s">
        <v>6132</v>
      </c>
      <c r="G582" s="11" t="s">
        <v>5793</v>
      </c>
      <c r="I582" s="13" t="s">
        <v>5674</v>
      </c>
      <c r="L582" s="73"/>
    </row>
    <row r="583">
      <c r="A583" s="12"/>
      <c r="B583" s="10"/>
      <c r="D583" s="15"/>
      <c r="E583" s="15"/>
      <c r="F583" s="10" t="s">
        <v>6132</v>
      </c>
      <c r="G583" s="11" t="s">
        <v>5793</v>
      </c>
      <c r="I583" s="13" t="s">
        <v>5674</v>
      </c>
      <c r="L583" s="73"/>
    </row>
    <row r="584">
      <c r="A584" s="12"/>
      <c r="B584" s="10"/>
      <c r="D584" s="15"/>
      <c r="E584" s="15"/>
      <c r="F584" s="10" t="s">
        <v>6132</v>
      </c>
      <c r="G584" s="11" t="s">
        <v>5793</v>
      </c>
      <c r="I584" s="13" t="s">
        <v>5674</v>
      </c>
      <c r="L584" s="73"/>
    </row>
    <row r="585">
      <c r="A585" s="12"/>
      <c r="B585" s="10"/>
      <c r="D585" s="15"/>
      <c r="E585" s="15"/>
      <c r="F585" s="10" t="s">
        <v>6132</v>
      </c>
      <c r="G585" s="11" t="s">
        <v>5793</v>
      </c>
      <c r="I585" s="13" t="s">
        <v>5674</v>
      </c>
      <c r="L585" s="73"/>
    </row>
    <row r="586">
      <c r="A586" s="12"/>
      <c r="B586" s="10"/>
      <c r="D586" s="15"/>
      <c r="E586" s="15"/>
      <c r="F586" s="10" t="s">
        <v>6132</v>
      </c>
      <c r="G586" s="11" t="s">
        <v>5793</v>
      </c>
      <c r="I586" s="13" t="s">
        <v>5674</v>
      </c>
      <c r="L586" s="73"/>
    </row>
    <row r="587">
      <c r="A587" s="12"/>
      <c r="B587" s="10"/>
      <c r="D587" s="15"/>
      <c r="E587" s="15"/>
      <c r="F587" s="10" t="s">
        <v>6132</v>
      </c>
      <c r="G587" s="11" t="s">
        <v>5793</v>
      </c>
      <c r="I587" s="13" t="s">
        <v>5674</v>
      </c>
      <c r="L587" s="73"/>
    </row>
    <row r="588">
      <c r="A588" s="12"/>
      <c r="B588" s="10"/>
      <c r="D588" s="15"/>
      <c r="E588" s="15"/>
      <c r="F588" s="10" t="s">
        <v>6132</v>
      </c>
      <c r="G588" s="11" t="s">
        <v>5793</v>
      </c>
      <c r="I588" s="13" t="s">
        <v>5674</v>
      </c>
      <c r="L588" s="73"/>
    </row>
    <row r="589">
      <c r="A589" s="12"/>
      <c r="B589" s="10"/>
      <c r="D589" s="15"/>
      <c r="E589" s="15"/>
      <c r="F589" s="10" t="s">
        <v>6132</v>
      </c>
      <c r="G589" s="11" t="s">
        <v>5793</v>
      </c>
      <c r="I589" s="13" t="s">
        <v>5674</v>
      </c>
      <c r="L589" s="73"/>
    </row>
    <row r="590">
      <c r="A590" s="12"/>
      <c r="B590" s="10"/>
      <c r="D590" s="15"/>
      <c r="E590" s="15"/>
      <c r="F590" s="10" t="s">
        <v>6132</v>
      </c>
      <c r="G590" s="11" t="s">
        <v>5793</v>
      </c>
      <c r="I590" s="13" t="s">
        <v>5674</v>
      </c>
      <c r="L590" s="73"/>
    </row>
    <row r="591">
      <c r="A591" s="12"/>
      <c r="B591" s="10"/>
      <c r="D591" s="15"/>
      <c r="E591" s="15"/>
      <c r="F591" s="10" t="s">
        <v>6132</v>
      </c>
      <c r="G591" s="11" t="s">
        <v>5793</v>
      </c>
      <c r="I591" s="13" t="s">
        <v>5674</v>
      </c>
      <c r="L591" s="73"/>
    </row>
    <row r="592">
      <c r="A592" s="12"/>
      <c r="B592" s="10"/>
      <c r="D592" s="15"/>
      <c r="E592" s="15"/>
      <c r="F592" s="10" t="s">
        <v>6132</v>
      </c>
      <c r="G592" s="11" t="s">
        <v>5793</v>
      </c>
      <c r="I592" s="13" t="s">
        <v>5674</v>
      </c>
      <c r="L592" s="73"/>
    </row>
    <row r="593">
      <c r="A593" s="12"/>
      <c r="B593" s="10"/>
      <c r="D593" s="15"/>
      <c r="E593" s="15"/>
      <c r="F593" s="10" t="s">
        <v>6132</v>
      </c>
      <c r="G593" s="11" t="s">
        <v>5793</v>
      </c>
      <c r="I593" s="13" t="s">
        <v>5674</v>
      </c>
      <c r="L593" s="73"/>
    </row>
    <row r="594">
      <c r="A594" s="12"/>
      <c r="B594" s="10"/>
      <c r="D594" s="15"/>
      <c r="E594" s="15"/>
      <c r="F594" s="10" t="s">
        <v>6132</v>
      </c>
      <c r="G594" s="11" t="s">
        <v>5793</v>
      </c>
      <c r="I594" s="13" t="s">
        <v>5674</v>
      </c>
      <c r="L594" s="73"/>
    </row>
    <row r="595">
      <c r="A595" s="12"/>
      <c r="B595" s="10"/>
      <c r="D595" s="15"/>
      <c r="E595" s="15"/>
      <c r="F595" s="10" t="s">
        <v>6132</v>
      </c>
      <c r="G595" s="11" t="s">
        <v>5793</v>
      </c>
      <c r="I595" s="13" t="s">
        <v>5674</v>
      </c>
      <c r="L595" s="73"/>
    </row>
    <row r="596">
      <c r="A596" s="12"/>
      <c r="B596" s="10"/>
      <c r="D596" s="15"/>
      <c r="E596" s="15"/>
      <c r="F596" s="10" t="s">
        <v>6132</v>
      </c>
      <c r="G596" s="11" t="s">
        <v>5793</v>
      </c>
      <c r="I596" s="13" t="s">
        <v>5674</v>
      </c>
      <c r="L596" s="73"/>
    </row>
    <row r="597">
      <c r="A597" s="12"/>
      <c r="B597" s="10"/>
      <c r="D597" s="15"/>
      <c r="E597" s="15"/>
      <c r="F597" s="10" t="s">
        <v>6132</v>
      </c>
      <c r="G597" s="11" t="s">
        <v>5793</v>
      </c>
      <c r="I597" s="13" t="s">
        <v>5674</v>
      </c>
      <c r="L597" s="73"/>
    </row>
    <row r="598">
      <c r="A598" s="12"/>
      <c r="B598" s="10"/>
      <c r="D598" s="15"/>
      <c r="E598" s="15"/>
      <c r="F598" s="10" t="s">
        <v>6132</v>
      </c>
      <c r="G598" s="11" t="s">
        <v>5793</v>
      </c>
      <c r="I598" s="13" t="s">
        <v>5674</v>
      </c>
      <c r="L598" s="73"/>
    </row>
    <row r="599">
      <c r="A599" s="12"/>
      <c r="B599" s="10"/>
      <c r="D599" s="15"/>
      <c r="E599" s="15"/>
      <c r="F599" s="10" t="s">
        <v>6132</v>
      </c>
      <c r="G599" s="11" t="s">
        <v>5793</v>
      </c>
      <c r="I599" s="13" t="s">
        <v>5674</v>
      </c>
      <c r="L599" s="73"/>
    </row>
    <row r="600">
      <c r="A600" s="12"/>
      <c r="B600" s="10"/>
      <c r="D600" s="15"/>
      <c r="E600" s="15"/>
      <c r="F600" s="10" t="s">
        <v>6132</v>
      </c>
      <c r="G600" s="11" t="s">
        <v>5793</v>
      </c>
      <c r="I600" s="13" t="s">
        <v>5674</v>
      </c>
      <c r="L600" s="73"/>
    </row>
    <row r="601">
      <c r="A601" s="12"/>
      <c r="B601" s="10"/>
      <c r="D601" s="15"/>
      <c r="E601" s="15"/>
      <c r="F601" s="10" t="s">
        <v>6132</v>
      </c>
      <c r="G601" s="11" t="s">
        <v>5793</v>
      </c>
      <c r="I601" s="13" t="s">
        <v>5674</v>
      </c>
      <c r="L601" s="73"/>
    </row>
    <row r="602">
      <c r="A602" s="12"/>
      <c r="B602" s="10"/>
      <c r="D602" s="15"/>
      <c r="E602" s="15"/>
      <c r="F602" s="10" t="s">
        <v>6132</v>
      </c>
      <c r="G602" s="11" t="s">
        <v>5793</v>
      </c>
      <c r="I602" s="13" t="s">
        <v>5674</v>
      </c>
      <c r="L602" s="73"/>
    </row>
    <row r="603">
      <c r="A603" s="12"/>
      <c r="B603" s="10"/>
      <c r="D603" s="15"/>
      <c r="E603" s="15"/>
      <c r="F603" s="10" t="s">
        <v>6132</v>
      </c>
      <c r="G603" s="11" t="s">
        <v>5793</v>
      </c>
      <c r="I603" s="13" t="s">
        <v>5674</v>
      </c>
      <c r="L603" s="73"/>
    </row>
    <row r="604">
      <c r="A604" s="12"/>
      <c r="B604" s="10"/>
      <c r="D604" s="15"/>
      <c r="E604" s="15"/>
      <c r="F604" s="10" t="s">
        <v>6132</v>
      </c>
      <c r="G604" s="11" t="s">
        <v>5793</v>
      </c>
      <c r="I604" s="13" t="s">
        <v>5674</v>
      </c>
      <c r="L604" s="73"/>
    </row>
    <row r="605">
      <c r="A605" s="12"/>
      <c r="B605" s="10"/>
      <c r="D605" s="15"/>
      <c r="E605" s="15"/>
      <c r="F605" s="10" t="s">
        <v>6132</v>
      </c>
      <c r="G605" s="11" t="s">
        <v>5793</v>
      </c>
      <c r="I605" s="13" t="s">
        <v>5674</v>
      </c>
      <c r="L605" s="73"/>
    </row>
    <row r="606">
      <c r="A606" s="11"/>
      <c r="D606" s="15"/>
      <c r="E606" s="15"/>
      <c r="F606" s="10" t="s">
        <v>6132</v>
      </c>
      <c r="G606" s="11" t="s">
        <v>5793</v>
      </c>
      <c r="I606" s="13" t="s">
        <v>5674</v>
      </c>
    </row>
    <row r="607">
      <c r="A607" s="11"/>
      <c r="D607" s="15"/>
      <c r="E607" s="15"/>
      <c r="F607" s="10" t="s">
        <v>6132</v>
      </c>
      <c r="G607" s="11" t="s">
        <v>5793</v>
      </c>
      <c r="I607" s="13" t="s">
        <v>5674</v>
      </c>
    </row>
    <row r="608">
      <c r="A608" s="11"/>
      <c r="D608" s="15"/>
      <c r="E608" s="15"/>
      <c r="F608" s="10" t="s">
        <v>6132</v>
      </c>
      <c r="G608" s="11" t="s">
        <v>5793</v>
      </c>
      <c r="I608" s="13" t="s">
        <v>5674</v>
      </c>
    </row>
    <row r="609">
      <c r="A609" s="11"/>
      <c r="D609" s="15"/>
      <c r="E609" s="15"/>
      <c r="F609" s="10" t="s">
        <v>6132</v>
      </c>
      <c r="G609" s="11" t="s">
        <v>5793</v>
      </c>
      <c r="I609" s="13" t="s">
        <v>5674</v>
      </c>
    </row>
    <row r="610">
      <c r="A610" s="11"/>
      <c r="D610" s="15"/>
      <c r="E610" s="15"/>
      <c r="F610" s="10" t="s">
        <v>6132</v>
      </c>
      <c r="G610" s="11" t="s">
        <v>5793</v>
      </c>
      <c r="I610" s="13" t="s">
        <v>5674</v>
      </c>
    </row>
    <row r="611">
      <c r="A611" s="11"/>
      <c r="D611" s="15"/>
      <c r="E611" s="15"/>
      <c r="F611" s="10" t="s">
        <v>6132</v>
      </c>
      <c r="G611" s="11" t="s">
        <v>5793</v>
      </c>
      <c r="I611" s="13" t="s">
        <v>5674</v>
      </c>
    </row>
    <row r="612">
      <c r="A612" s="11"/>
      <c r="D612" s="15"/>
      <c r="E612" s="15"/>
      <c r="F612" s="10" t="s">
        <v>6132</v>
      </c>
      <c r="G612" s="11" t="s">
        <v>5793</v>
      </c>
      <c r="I612" s="13" t="s">
        <v>5674</v>
      </c>
    </row>
    <row r="613">
      <c r="A613" s="11"/>
      <c r="D613" s="15"/>
      <c r="E613" s="15"/>
      <c r="F613" s="10" t="s">
        <v>6132</v>
      </c>
      <c r="G613" s="11" t="s">
        <v>5793</v>
      </c>
      <c r="I613" s="13" t="s">
        <v>5674</v>
      </c>
    </row>
    <row r="614">
      <c r="A614" s="11"/>
      <c r="D614" s="15"/>
      <c r="E614" s="15"/>
      <c r="F614" s="10" t="s">
        <v>6132</v>
      </c>
      <c r="G614" s="11" t="s">
        <v>5793</v>
      </c>
      <c r="I614" s="13" t="s">
        <v>5674</v>
      </c>
    </row>
    <row r="615">
      <c r="A615" s="11"/>
      <c r="D615" s="15"/>
      <c r="E615" s="15"/>
      <c r="F615" s="10" t="s">
        <v>6132</v>
      </c>
      <c r="G615" s="11" t="s">
        <v>5793</v>
      </c>
      <c r="I615" s="13" t="s">
        <v>5674</v>
      </c>
    </row>
    <row r="616">
      <c r="A616" s="11"/>
      <c r="D616" s="15"/>
      <c r="E616" s="15"/>
      <c r="F616" s="10" t="s">
        <v>6132</v>
      </c>
      <c r="G616" s="11" t="s">
        <v>5793</v>
      </c>
      <c r="I616" s="13" t="s">
        <v>5674</v>
      </c>
    </row>
    <row r="617">
      <c r="A617" s="11"/>
      <c r="B617" s="91"/>
      <c r="D617" s="15"/>
      <c r="E617" s="15"/>
      <c r="F617" s="10" t="s">
        <v>6132</v>
      </c>
      <c r="G617" s="11" t="s">
        <v>5793</v>
      </c>
      <c r="I617" s="13" t="s">
        <v>5674</v>
      </c>
    </row>
    <row r="618">
      <c r="A618" s="11"/>
      <c r="D618" s="15"/>
      <c r="E618" s="15"/>
      <c r="F618" s="10" t="s">
        <v>6132</v>
      </c>
      <c r="G618" s="11" t="s">
        <v>5793</v>
      </c>
      <c r="I618" s="13" t="s">
        <v>5674</v>
      </c>
    </row>
    <row r="619">
      <c r="A619" s="11"/>
      <c r="D619" s="15"/>
      <c r="E619" s="15"/>
      <c r="F619" s="10" t="s">
        <v>6132</v>
      </c>
      <c r="G619" s="11" t="s">
        <v>5793</v>
      </c>
      <c r="I619" s="13" t="s">
        <v>5674</v>
      </c>
    </row>
    <row r="620">
      <c r="A620" s="11"/>
      <c r="D620" s="15"/>
      <c r="E620" s="15"/>
      <c r="F620" s="10" t="s">
        <v>6132</v>
      </c>
      <c r="G620" s="11" t="s">
        <v>5793</v>
      </c>
      <c r="I620" s="13" t="s">
        <v>5674</v>
      </c>
    </row>
    <row r="621">
      <c r="A621" s="11"/>
      <c r="D621" s="15"/>
      <c r="E621" s="15"/>
      <c r="F621" s="10" t="s">
        <v>6132</v>
      </c>
      <c r="G621" s="11" t="s">
        <v>5793</v>
      </c>
      <c r="I621" s="13" t="s">
        <v>5674</v>
      </c>
    </row>
    <row r="622">
      <c r="A622" s="11"/>
      <c r="D622" s="15"/>
      <c r="E622" s="15"/>
      <c r="F622" s="10" t="s">
        <v>6132</v>
      </c>
      <c r="G622" s="11" t="s">
        <v>5793</v>
      </c>
      <c r="I622" s="13" t="s">
        <v>5674</v>
      </c>
    </row>
    <row r="623">
      <c r="A623" s="11"/>
      <c r="D623" s="15"/>
      <c r="E623" s="15"/>
      <c r="F623" s="10" t="s">
        <v>6132</v>
      </c>
      <c r="G623" s="11" t="s">
        <v>5793</v>
      </c>
      <c r="I623" s="13" t="s">
        <v>5674</v>
      </c>
    </row>
    <row r="624">
      <c r="A624" s="11"/>
      <c r="D624" s="15"/>
      <c r="E624" s="15"/>
      <c r="F624" s="10" t="s">
        <v>6132</v>
      </c>
      <c r="G624" s="11" t="s">
        <v>5793</v>
      </c>
      <c r="I624" s="13" t="s">
        <v>5674</v>
      </c>
    </row>
    <row r="625">
      <c r="A625" s="11"/>
      <c r="D625" s="15"/>
      <c r="E625" s="15"/>
      <c r="F625" s="10" t="s">
        <v>6132</v>
      </c>
      <c r="G625" s="11" t="s">
        <v>5793</v>
      </c>
      <c r="I625" s="13" t="s">
        <v>5674</v>
      </c>
    </row>
    <row r="626">
      <c r="A626" s="11"/>
      <c r="D626" s="15"/>
      <c r="E626" s="15"/>
      <c r="F626" s="10" t="s">
        <v>6132</v>
      </c>
      <c r="G626" s="11" t="s">
        <v>5793</v>
      </c>
      <c r="I626" s="13" t="s">
        <v>5674</v>
      </c>
    </row>
    <row r="627">
      <c r="A627" s="11"/>
      <c r="D627" s="15"/>
      <c r="E627" s="15"/>
      <c r="F627" s="10" t="s">
        <v>6132</v>
      </c>
      <c r="G627" s="11" t="s">
        <v>5793</v>
      </c>
      <c r="I627" s="13" t="s">
        <v>5674</v>
      </c>
    </row>
    <row r="628">
      <c r="A628" s="11"/>
      <c r="D628" s="15"/>
      <c r="E628" s="15"/>
      <c r="F628" s="10" t="s">
        <v>6132</v>
      </c>
      <c r="G628" s="11" t="s">
        <v>5793</v>
      </c>
      <c r="I628" s="13" t="s">
        <v>5674</v>
      </c>
    </row>
    <row r="629">
      <c r="A629" s="11"/>
      <c r="D629" s="15"/>
      <c r="E629" s="15"/>
      <c r="F629" s="10" t="s">
        <v>6132</v>
      </c>
      <c r="G629" s="11" t="s">
        <v>5793</v>
      </c>
      <c r="I629" s="13" t="s">
        <v>5674</v>
      </c>
    </row>
    <row r="630">
      <c r="A630" s="11"/>
      <c r="D630" s="15"/>
      <c r="E630" s="15"/>
      <c r="F630" s="10" t="s">
        <v>6132</v>
      </c>
      <c r="G630" s="11" t="s">
        <v>5793</v>
      </c>
      <c r="I630" s="13" t="s">
        <v>5674</v>
      </c>
    </row>
    <row r="631">
      <c r="A631" s="11"/>
      <c r="D631" s="15"/>
      <c r="E631" s="15"/>
      <c r="F631" s="10" t="s">
        <v>6132</v>
      </c>
      <c r="G631" s="11" t="s">
        <v>5793</v>
      </c>
      <c r="I631" s="13" t="s">
        <v>5674</v>
      </c>
    </row>
    <row r="632">
      <c r="A632" s="11"/>
      <c r="D632" s="15"/>
      <c r="E632" s="15"/>
      <c r="F632" s="10" t="s">
        <v>6132</v>
      </c>
      <c r="G632" s="11" t="s">
        <v>5793</v>
      </c>
      <c r="I632" s="13" t="s">
        <v>5674</v>
      </c>
    </row>
    <row r="633">
      <c r="A633" s="11"/>
      <c r="D633" s="15"/>
      <c r="E633" s="15"/>
      <c r="F633" s="10" t="s">
        <v>6132</v>
      </c>
      <c r="G633" s="11" t="s">
        <v>5793</v>
      </c>
      <c r="I633" s="13" t="s">
        <v>5674</v>
      </c>
    </row>
    <row r="634">
      <c r="A634" s="12"/>
      <c r="B634" s="10"/>
      <c r="D634" s="15"/>
      <c r="E634" s="15"/>
      <c r="F634" s="10" t="s">
        <v>6132</v>
      </c>
      <c r="G634" s="11" t="s">
        <v>5793</v>
      </c>
      <c r="I634" s="13" t="s">
        <v>5674</v>
      </c>
      <c r="L634" s="73"/>
    </row>
    <row r="635">
      <c r="A635" s="12"/>
      <c r="B635" s="10"/>
      <c r="D635" s="15"/>
      <c r="E635" s="15"/>
      <c r="F635" s="10" t="s">
        <v>6132</v>
      </c>
      <c r="G635" s="11" t="s">
        <v>5793</v>
      </c>
      <c r="I635" s="13" t="s">
        <v>5674</v>
      </c>
      <c r="L635" s="73"/>
    </row>
    <row r="636">
      <c r="A636" s="12"/>
      <c r="B636" s="10"/>
      <c r="D636" s="15"/>
      <c r="E636" s="15"/>
      <c r="F636" s="10" t="s">
        <v>6132</v>
      </c>
      <c r="G636" s="11" t="s">
        <v>5793</v>
      </c>
      <c r="I636" s="13" t="s">
        <v>5674</v>
      </c>
      <c r="L636" s="73"/>
    </row>
    <row r="637">
      <c r="A637" s="12"/>
      <c r="B637" s="10"/>
      <c r="D637" s="15"/>
      <c r="E637" s="15"/>
      <c r="F637" s="10" t="s">
        <v>6132</v>
      </c>
      <c r="G637" s="11" t="s">
        <v>5793</v>
      </c>
      <c r="I637" s="13" t="s">
        <v>5674</v>
      </c>
      <c r="L637" s="73"/>
    </row>
    <row r="638">
      <c r="A638" s="12"/>
      <c r="B638" s="10"/>
      <c r="D638" s="15"/>
      <c r="E638" s="15"/>
      <c r="F638" s="10" t="s">
        <v>6132</v>
      </c>
      <c r="G638" s="11" t="s">
        <v>5793</v>
      </c>
      <c r="I638" s="13" t="s">
        <v>5674</v>
      </c>
      <c r="L638" s="73"/>
    </row>
    <row r="639">
      <c r="A639" s="12"/>
      <c r="B639" s="10"/>
      <c r="D639" s="15"/>
      <c r="E639" s="15"/>
      <c r="F639" s="10" t="s">
        <v>6132</v>
      </c>
      <c r="G639" s="11" t="s">
        <v>5793</v>
      </c>
      <c r="I639" s="13" t="s">
        <v>5674</v>
      </c>
      <c r="L639" s="73"/>
    </row>
    <row r="640">
      <c r="A640" s="12"/>
      <c r="B640" s="10"/>
      <c r="D640" s="15"/>
      <c r="E640" s="15"/>
      <c r="F640" s="10" t="s">
        <v>6132</v>
      </c>
      <c r="G640" s="11" t="s">
        <v>5793</v>
      </c>
      <c r="I640" s="13" t="s">
        <v>5674</v>
      </c>
      <c r="L640" s="73"/>
    </row>
    <row r="641">
      <c r="A641" s="12"/>
      <c r="B641" s="10"/>
      <c r="D641" s="15"/>
      <c r="E641" s="15"/>
      <c r="F641" s="10" t="s">
        <v>6132</v>
      </c>
      <c r="G641" s="11" t="s">
        <v>5793</v>
      </c>
      <c r="I641" s="13" t="s">
        <v>5674</v>
      </c>
      <c r="L641" s="73"/>
    </row>
    <row r="642">
      <c r="A642" s="12"/>
      <c r="B642" s="10"/>
      <c r="D642" s="15"/>
      <c r="E642" s="15"/>
      <c r="F642" s="10" t="s">
        <v>6132</v>
      </c>
      <c r="G642" s="11" t="s">
        <v>5793</v>
      </c>
      <c r="I642" s="13" t="s">
        <v>5674</v>
      </c>
      <c r="L642" s="73"/>
    </row>
    <row r="643">
      <c r="A643" s="12"/>
      <c r="B643" s="10"/>
      <c r="D643" s="15"/>
      <c r="E643" s="15"/>
      <c r="F643" s="10" t="s">
        <v>6132</v>
      </c>
      <c r="G643" s="11" t="s">
        <v>5793</v>
      </c>
      <c r="I643" s="13" t="s">
        <v>5674</v>
      </c>
      <c r="L643" s="73"/>
    </row>
    <row r="644">
      <c r="A644" s="12"/>
      <c r="B644" s="10"/>
      <c r="D644" s="15"/>
      <c r="E644" s="15"/>
      <c r="F644" s="10" t="s">
        <v>6132</v>
      </c>
      <c r="G644" s="11" t="s">
        <v>5793</v>
      </c>
      <c r="I644" s="13" t="s">
        <v>5674</v>
      </c>
      <c r="L644" s="73"/>
    </row>
    <row r="645">
      <c r="A645" s="12"/>
      <c r="B645" s="10"/>
      <c r="D645" s="15"/>
      <c r="E645" s="15"/>
      <c r="F645" s="10" t="s">
        <v>6132</v>
      </c>
      <c r="G645" s="11" t="s">
        <v>5793</v>
      </c>
      <c r="I645" s="13" t="s">
        <v>5674</v>
      </c>
      <c r="L645" s="73"/>
    </row>
    <row r="646">
      <c r="A646" s="12"/>
      <c r="B646" s="10"/>
      <c r="D646" s="15"/>
      <c r="E646" s="15"/>
      <c r="F646" s="10" t="s">
        <v>6132</v>
      </c>
      <c r="G646" s="11" t="s">
        <v>5793</v>
      </c>
      <c r="I646" s="13" t="s">
        <v>5674</v>
      </c>
      <c r="L646" s="73"/>
    </row>
    <row r="647">
      <c r="A647" s="12"/>
      <c r="B647" s="10"/>
      <c r="D647" s="15"/>
      <c r="E647" s="15"/>
      <c r="F647" s="10" t="s">
        <v>6132</v>
      </c>
      <c r="G647" s="11" t="s">
        <v>5793</v>
      </c>
      <c r="I647" s="13" t="s">
        <v>5674</v>
      </c>
      <c r="L647" s="73"/>
    </row>
    <row r="648">
      <c r="A648" s="12"/>
      <c r="B648" s="10"/>
      <c r="D648" s="15"/>
      <c r="E648" s="15"/>
      <c r="F648" s="10" t="s">
        <v>6132</v>
      </c>
      <c r="G648" s="11" t="s">
        <v>5793</v>
      </c>
      <c r="I648" s="13" t="s">
        <v>5674</v>
      </c>
      <c r="L648" s="73"/>
    </row>
    <row r="649">
      <c r="A649" s="12"/>
      <c r="B649" s="10"/>
      <c r="D649" s="15"/>
      <c r="E649" s="15"/>
      <c r="F649" s="10" t="s">
        <v>6132</v>
      </c>
      <c r="G649" s="11" t="s">
        <v>5793</v>
      </c>
      <c r="I649" s="13" t="s">
        <v>5674</v>
      </c>
      <c r="L649" s="73"/>
    </row>
    <row r="650">
      <c r="A650" s="12"/>
      <c r="B650" s="10"/>
      <c r="D650" s="15"/>
      <c r="E650" s="15"/>
      <c r="F650" s="10" t="s">
        <v>6132</v>
      </c>
      <c r="G650" s="11" t="s">
        <v>5793</v>
      </c>
      <c r="I650" s="13" t="s">
        <v>5674</v>
      </c>
      <c r="L650" s="73"/>
    </row>
    <row r="651">
      <c r="A651" s="12"/>
      <c r="B651" s="10"/>
      <c r="D651" s="15"/>
      <c r="E651" s="15"/>
      <c r="F651" s="10" t="s">
        <v>6132</v>
      </c>
      <c r="G651" s="11" t="s">
        <v>5793</v>
      </c>
      <c r="I651" s="13" t="s">
        <v>5674</v>
      </c>
      <c r="L651" s="73"/>
    </row>
    <row r="652">
      <c r="A652" s="12"/>
      <c r="B652" s="10"/>
      <c r="D652" s="15"/>
      <c r="E652" s="15"/>
      <c r="F652" s="10" t="s">
        <v>6132</v>
      </c>
      <c r="G652" s="11" t="s">
        <v>5793</v>
      </c>
      <c r="I652" s="13" t="s">
        <v>5674</v>
      </c>
      <c r="L652" s="73"/>
    </row>
    <row r="653">
      <c r="A653" s="12"/>
      <c r="B653" s="10"/>
      <c r="D653" s="15"/>
      <c r="E653" s="15"/>
      <c r="F653" s="10" t="s">
        <v>6132</v>
      </c>
      <c r="G653" s="11" t="s">
        <v>5793</v>
      </c>
      <c r="I653" s="13" t="s">
        <v>5674</v>
      </c>
      <c r="L653" s="73"/>
    </row>
    <row r="654">
      <c r="A654" s="12"/>
      <c r="B654" s="10"/>
      <c r="D654" s="15"/>
      <c r="E654" s="15"/>
      <c r="F654" s="10" t="s">
        <v>6132</v>
      </c>
      <c r="G654" s="11" t="s">
        <v>5793</v>
      </c>
      <c r="I654" s="13" t="s">
        <v>5674</v>
      </c>
      <c r="L654" s="73"/>
    </row>
    <row r="655">
      <c r="A655" s="12"/>
      <c r="B655" s="10"/>
      <c r="D655" s="15"/>
      <c r="E655" s="15"/>
      <c r="F655" s="10" t="s">
        <v>6132</v>
      </c>
      <c r="G655" s="11" t="s">
        <v>5793</v>
      </c>
      <c r="I655" s="13" t="s">
        <v>5674</v>
      </c>
      <c r="L655" s="73"/>
    </row>
    <row r="656">
      <c r="A656" s="12"/>
      <c r="B656" s="10"/>
      <c r="D656" s="15"/>
      <c r="E656" s="15"/>
      <c r="F656" s="10" t="s">
        <v>6132</v>
      </c>
      <c r="G656" s="11" t="s">
        <v>5793</v>
      </c>
      <c r="I656" s="13" t="s">
        <v>5674</v>
      </c>
      <c r="L656" s="73"/>
    </row>
    <row r="657">
      <c r="A657" s="12"/>
      <c r="B657" s="10"/>
      <c r="D657" s="15"/>
      <c r="E657" s="15"/>
      <c r="F657" s="10" t="s">
        <v>6132</v>
      </c>
      <c r="G657" s="11" t="s">
        <v>5793</v>
      </c>
      <c r="I657" s="13" t="s">
        <v>5674</v>
      </c>
      <c r="L657" s="73"/>
    </row>
    <row r="658">
      <c r="A658" s="12"/>
      <c r="B658" s="10"/>
      <c r="D658" s="15"/>
      <c r="E658" s="15"/>
      <c r="F658" s="10" t="s">
        <v>6132</v>
      </c>
      <c r="G658" s="11" t="s">
        <v>5793</v>
      </c>
      <c r="I658" s="13" t="s">
        <v>5674</v>
      </c>
      <c r="L658" s="73"/>
    </row>
    <row r="659">
      <c r="A659" s="12"/>
      <c r="B659" s="10"/>
      <c r="D659" s="15"/>
      <c r="E659" s="15"/>
      <c r="F659" s="10" t="s">
        <v>6132</v>
      </c>
      <c r="G659" s="11" t="s">
        <v>5793</v>
      </c>
      <c r="I659" s="13" t="s">
        <v>5674</v>
      </c>
      <c r="L659" s="73"/>
    </row>
    <row r="660">
      <c r="A660" s="12"/>
      <c r="B660" s="10"/>
      <c r="D660" s="10"/>
      <c r="E660" s="10"/>
      <c r="F660" s="10"/>
      <c r="G660" s="11"/>
      <c r="I660" s="13"/>
      <c r="L660" s="73"/>
    </row>
    <row r="661">
      <c r="A661" s="12"/>
      <c r="B661" s="10"/>
      <c r="D661" s="10"/>
      <c r="E661" s="10"/>
      <c r="F661" s="10"/>
      <c r="G661" s="11"/>
      <c r="I661" s="13"/>
      <c r="L661" s="73"/>
    </row>
    <row r="662">
      <c r="A662" s="12"/>
      <c r="B662" s="10"/>
      <c r="D662" s="10"/>
      <c r="E662" s="10"/>
      <c r="F662" s="10"/>
      <c r="G662" s="11"/>
      <c r="I662" s="13"/>
      <c r="L662" s="73"/>
    </row>
    <row r="663">
      <c r="A663" s="12"/>
      <c r="B663" s="10"/>
      <c r="D663" s="10"/>
      <c r="E663" s="10"/>
      <c r="F663" s="10"/>
      <c r="G663" s="11"/>
      <c r="I663" s="13"/>
      <c r="L663" s="73"/>
    </row>
    <row r="664">
      <c r="A664" s="12"/>
      <c r="B664" s="10"/>
      <c r="D664" s="10"/>
      <c r="E664" s="10"/>
      <c r="F664" s="10"/>
      <c r="G664" s="11"/>
      <c r="I664" s="13"/>
      <c r="L664" s="73"/>
    </row>
    <row r="665">
      <c r="A665" s="12"/>
      <c r="B665" s="10"/>
      <c r="D665" s="10"/>
      <c r="E665" s="10"/>
      <c r="F665" s="10"/>
      <c r="G665" s="11"/>
      <c r="I665" s="13"/>
      <c r="L665" s="73"/>
    </row>
    <row r="666">
      <c r="A666" s="12"/>
      <c r="B666" s="10"/>
      <c r="D666" s="10"/>
      <c r="E666" s="10"/>
      <c r="F666" s="10"/>
      <c r="G666" s="11"/>
      <c r="I666" s="13"/>
      <c r="L666" s="73"/>
    </row>
    <row r="667">
      <c r="A667" s="12"/>
      <c r="B667" s="10"/>
      <c r="D667" s="10"/>
      <c r="E667" s="10"/>
      <c r="F667" s="10"/>
      <c r="G667" s="11"/>
      <c r="I667" s="13"/>
      <c r="L667" s="73"/>
    </row>
    <row r="668">
      <c r="A668" s="12"/>
      <c r="B668" s="10"/>
      <c r="D668" s="10"/>
      <c r="E668" s="10"/>
      <c r="F668" s="10"/>
      <c r="G668" s="11"/>
      <c r="I668" s="13"/>
      <c r="L668" s="73"/>
    </row>
    <row r="669">
      <c r="A669" s="12"/>
      <c r="B669" s="10"/>
      <c r="D669" s="10"/>
      <c r="E669" s="10"/>
      <c r="F669" s="10"/>
      <c r="G669" s="11"/>
      <c r="I669" s="13"/>
      <c r="L669" s="73"/>
    </row>
    <row r="670">
      <c r="A670" s="12"/>
      <c r="B670" s="10"/>
      <c r="D670" s="10"/>
      <c r="E670" s="10"/>
      <c r="F670" s="10"/>
      <c r="G670" s="11"/>
      <c r="I670" s="13"/>
      <c r="L670" s="73"/>
    </row>
    <row r="671">
      <c r="A671" s="12"/>
      <c r="B671" s="10"/>
      <c r="D671" s="10"/>
      <c r="E671" s="10"/>
      <c r="F671" s="10"/>
      <c r="G671" s="11"/>
      <c r="I671" s="13"/>
      <c r="L671" s="73"/>
    </row>
    <row r="672">
      <c r="A672" s="12"/>
      <c r="C672" s="88"/>
      <c r="D672" s="10"/>
      <c r="E672" s="10"/>
      <c r="F672" s="10"/>
      <c r="G672" s="11"/>
      <c r="I672" s="13"/>
      <c r="L672" s="73"/>
    </row>
    <row r="673">
      <c r="A673" s="12"/>
      <c r="C673" s="88"/>
      <c r="D673" s="10"/>
      <c r="E673" s="10"/>
      <c r="F673" s="10" t="s">
        <v>6132</v>
      </c>
      <c r="G673" s="11" t="s">
        <v>5793</v>
      </c>
      <c r="I673" s="13" t="s">
        <v>5674</v>
      </c>
      <c r="L673" s="73"/>
    </row>
    <row r="674">
      <c r="A674" s="12"/>
      <c r="B674" s="88"/>
      <c r="D674" s="15"/>
      <c r="E674" s="15"/>
      <c r="F674" s="10" t="s">
        <v>6132</v>
      </c>
      <c r="G674" s="11" t="s">
        <v>5793</v>
      </c>
      <c r="I674" s="13" t="s">
        <v>5674</v>
      </c>
      <c r="L674" s="73"/>
    </row>
    <row r="675">
      <c r="A675" s="87"/>
      <c r="B675" s="88"/>
      <c r="C675" s="88"/>
      <c r="D675" s="15"/>
      <c r="E675" s="15"/>
      <c r="F675" s="10" t="s">
        <v>6132</v>
      </c>
      <c r="G675" s="11" t="s">
        <v>5793</v>
      </c>
      <c r="I675" s="13" t="s">
        <v>5674</v>
      </c>
      <c r="L675" s="73"/>
    </row>
    <row r="676">
      <c r="A676" s="87"/>
      <c r="B676" s="88"/>
      <c r="C676" s="88"/>
      <c r="D676" s="15"/>
      <c r="E676" s="15"/>
      <c r="F676" s="10" t="s">
        <v>6132</v>
      </c>
      <c r="G676" s="11" t="s">
        <v>5793</v>
      </c>
      <c r="I676" s="13" t="s">
        <v>5674</v>
      </c>
      <c r="L676" s="73"/>
    </row>
    <row r="677">
      <c r="A677" s="87"/>
      <c r="B677" s="88"/>
      <c r="C677" s="88"/>
      <c r="D677" s="15"/>
      <c r="E677" s="15"/>
      <c r="F677" s="10" t="s">
        <v>6132</v>
      </c>
      <c r="G677" s="11" t="s">
        <v>5793</v>
      </c>
      <c r="I677" s="13" t="s">
        <v>5674</v>
      </c>
      <c r="L677" s="73"/>
    </row>
    <row r="678">
      <c r="A678" s="87"/>
      <c r="B678" s="88"/>
      <c r="C678" s="88"/>
      <c r="D678" s="15"/>
      <c r="E678" s="15"/>
      <c r="F678" s="10" t="s">
        <v>6132</v>
      </c>
      <c r="G678" s="11" t="s">
        <v>5793</v>
      </c>
      <c r="I678" s="13" t="s">
        <v>5674</v>
      </c>
      <c r="L678" s="73"/>
    </row>
    <row r="679">
      <c r="A679" s="87"/>
      <c r="B679" s="88"/>
      <c r="C679" s="88"/>
      <c r="D679" s="15"/>
      <c r="E679" s="15"/>
      <c r="F679" s="10" t="s">
        <v>6132</v>
      </c>
      <c r="G679" s="11" t="s">
        <v>5793</v>
      </c>
      <c r="I679" s="13" t="s">
        <v>5674</v>
      </c>
      <c r="L679" s="73"/>
    </row>
    <row r="680">
      <c r="A680" s="87"/>
      <c r="B680" s="88"/>
      <c r="C680" s="88"/>
      <c r="D680" s="15"/>
      <c r="E680" s="15"/>
      <c r="F680" s="10" t="s">
        <v>6132</v>
      </c>
      <c r="G680" s="11" t="s">
        <v>5793</v>
      </c>
      <c r="I680" s="13" t="s">
        <v>5674</v>
      </c>
      <c r="L680" s="73"/>
    </row>
    <row r="681">
      <c r="A681" s="87"/>
      <c r="B681" s="88"/>
      <c r="C681" s="88"/>
      <c r="D681" s="15"/>
      <c r="E681" s="15"/>
      <c r="F681" s="10" t="s">
        <v>6132</v>
      </c>
      <c r="G681" s="11" t="s">
        <v>5793</v>
      </c>
      <c r="I681" s="13" t="s">
        <v>5674</v>
      </c>
      <c r="L681" s="73"/>
    </row>
    <row r="682">
      <c r="A682" s="87"/>
      <c r="B682" s="88"/>
      <c r="C682" s="88"/>
      <c r="D682" s="15"/>
      <c r="E682" s="15"/>
      <c r="F682" s="10" t="s">
        <v>6132</v>
      </c>
      <c r="G682" s="11" t="s">
        <v>5793</v>
      </c>
      <c r="I682" s="13" t="s">
        <v>5674</v>
      </c>
      <c r="L682" s="73"/>
    </row>
    <row r="683">
      <c r="A683" s="87"/>
      <c r="B683" s="88"/>
      <c r="C683" s="88"/>
      <c r="D683" s="15"/>
      <c r="E683" s="15"/>
      <c r="F683" s="10" t="s">
        <v>6132</v>
      </c>
      <c r="G683" s="11" t="s">
        <v>5793</v>
      </c>
      <c r="I683" s="13" t="s">
        <v>5674</v>
      </c>
      <c r="L683" s="73"/>
    </row>
    <row r="684">
      <c r="A684" s="87"/>
      <c r="B684" s="88"/>
      <c r="C684" s="88"/>
      <c r="D684" s="15"/>
      <c r="E684" s="15"/>
      <c r="F684" s="10" t="s">
        <v>6132</v>
      </c>
      <c r="G684" s="11" t="s">
        <v>5793</v>
      </c>
      <c r="I684" s="13" t="s">
        <v>5674</v>
      </c>
      <c r="L684" s="73"/>
    </row>
    <row r="685">
      <c r="A685" s="87"/>
      <c r="B685" s="88"/>
      <c r="C685" s="88"/>
      <c r="D685" s="15"/>
      <c r="E685" s="15"/>
      <c r="F685" s="10" t="s">
        <v>6132</v>
      </c>
      <c r="G685" s="11" t="s">
        <v>5793</v>
      </c>
      <c r="I685" s="13" t="s">
        <v>5674</v>
      </c>
      <c r="L685" s="73"/>
    </row>
    <row r="686">
      <c r="A686" s="87"/>
      <c r="B686" s="88"/>
      <c r="C686" s="88"/>
      <c r="D686" s="15"/>
      <c r="E686" s="15"/>
      <c r="F686" s="10" t="s">
        <v>6132</v>
      </c>
      <c r="G686" s="11" t="s">
        <v>5793</v>
      </c>
      <c r="I686" s="13" t="s">
        <v>5674</v>
      </c>
      <c r="L686" s="73"/>
    </row>
    <row r="687">
      <c r="A687" s="87"/>
      <c r="B687" s="88"/>
      <c r="C687" s="88"/>
      <c r="D687" s="15"/>
      <c r="E687" s="15"/>
      <c r="F687" s="10" t="s">
        <v>6132</v>
      </c>
      <c r="G687" s="11" t="s">
        <v>5793</v>
      </c>
      <c r="I687" s="13" t="s">
        <v>5674</v>
      </c>
      <c r="L687" s="73"/>
    </row>
    <row r="688">
      <c r="A688" s="87"/>
      <c r="B688" s="88"/>
      <c r="C688" s="88"/>
      <c r="D688" s="15"/>
      <c r="E688" s="15"/>
      <c r="F688" s="10" t="s">
        <v>6132</v>
      </c>
      <c r="G688" s="11" t="s">
        <v>5793</v>
      </c>
      <c r="I688" s="13" t="s">
        <v>5674</v>
      </c>
      <c r="L688" s="73"/>
    </row>
    <row r="689">
      <c r="A689" s="87"/>
      <c r="B689" s="88"/>
      <c r="C689" s="88"/>
      <c r="D689" s="15"/>
      <c r="E689" s="15"/>
      <c r="F689" s="10" t="s">
        <v>6132</v>
      </c>
      <c r="G689" s="11" t="s">
        <v>5793</v>
      </c>
      <c r="I689" s="13" t="s">
        <v>5674</v>
      </c>
      <c r="L689" s="73"/>
    </row>
    <row r="690">
      <c r="A690" s="87"/>
      <c r="B690" s="88"/>
      <c r="C690" s="88"/>
      <c r="D690" s="15"/>
      <c r="E690" s="15"/>
      <c r="F690" s="10" t="s">
        <v>6132</v>
      </c>
      <c r="G690" s="11" t="s">
        <v>5793</v>
      </c>
      <c r="I690" s="13" t="s">
        <v>5674</v>
      </c>
      <c r="L690" s="73"/>
    </row>
    <row r="691">
      <c r="A691" s="87"/>
      <c r="B691" s="88"/>
      <c r="C691" s="88"/>
      <c r="D691" s="15"/>
      <c r="E691" s="15"/>
      <c r="F691" s="10" t="s">
        <v>6132</v>
      </c>
      <c r="G691" s="11" t="s">
        <v>5793</v>
      </c>
      <c r="I691" s="13" t="s">
        <v>5674</v>
      </c>
      <c r="L691" s="73"/>
    </row>
    <row r="692">
      <c r="A692" s="87"/>
      <c r="B692" s="88"/>
      <c r="C692" s="88"/>
      <c r="D692" s="15"/>
      <c r="E692" s="15"/>
      <c r="F692" s="10" t="s">
        <v>6132</v>
      </c>
      <c r="G692" s="11" t="s">
        <v>5793</v>
      </c>
      <c r="I692" s="13" t="s">
        <v>5674</v>
      </c>
      <c r="L692" s="73"/>
    </row>
    <row r="693">
      <c r="A693" s="87"/>
      <c r="B693" s="88"/>
      <c r="C693" s="88"/>
      <c r="D693" s="15"/>
      <c r="E693" s="15"/>
      <c r="F693" s="10" t="s">
        <v>6132</v>
      </c>
      <c r="G693" s="11" t="s">
        <v>5793</v>
      </c>
      <c r="I693" s="13" t="s">
        <v>5674</v>
      </c>
      <c r="L693" s="73"/>
    </row>
    <row r="694">
      <c r="A694" s="87"/>
      <c r="B694" s="88"/>
      <c r="C694" s="88"/>
      <c r="D694" s="15"/>
      <c r="E694" s="15"/>
      <c r="F694" s="10" t="s">
        <v>6132</v>
      </c>
      <c r="G694" s="11" t="s">
        <v>5793</v>
      </c>
      <c r="I694" s="13" t="s">
        <v>5674</v>
      </c>
      <c r="L694" s="73"/>
    </row>
    <row r="695">
      <c r="A695" s="87"/>
      <c r="B695" s="88"/>
      <c r="D695" s="15"/>
      <c r="E695" s="15"/>
      <c r="F695" s="10"/>
      <c r="G695" s="11"/>
      <c r="I695" s="13"/>
      <c r="L695" s="73"/>
    </row>
    <row r="696">
      <c r="A696" s="87"/>
      <c r="B696" s="88"/>
      <c r="D696" s="15"/>
      <c r="E696" s="15"/>
      <c r="F696" s="10"/>
      <c r="G696" s="11"/>
      <c r="I696" s="13"/>
      <c r="L696" s="73"/>
    </row>
    <row r="697">
      <c r="A697" s="87"/>
      <c r="B697" s="88"/>
      <c r="C697" s="88"/>
      <c r="D697" s="15"/>
      <c r="E697" s="15"/>
      <c r="F697" s="10" t="s">
        <v>6132</v>
      </c>
      <c r="G697" s="11" t="s">
        <v>5793</v>
      </c>
      <c r="I697" s="13" t="s">
        <v>5674</v>
      </c>
      <c r="L697" s="73"/>
    </row>
    <row r="698">
      <c r="A698" s="87"/>
      <c r="B698" s="88"/>
      <c r="C698" s="88"/>
      <c r="D698" s="15"/>
      <c r="E698" s="15"/>
      <c r="F698" s="10" t="s">
        <v>6132</v>
      </c>
      <c r="G698" s="11" t="s">
        <v>5793</v>
      </c>
      <c r="I698" s="13" t="s">
        <v>5674</v>
      </c>
      <c r="L698" s="73"/>
    </row>
    <row r="699">
      <c r="A699" s="87"/>
      <c r="B699" s="88"/>
      <c r="C699" s="88"/>
      <c r="D699" s="15"/>
      <c r="E699" s="15"/>
      <c r="F699" s="10" t="s">
        <v>6132</v>
      </c>
      <c r="G699" s="11" t="s">
        <v>5793</v>
      </c>
      <c r="I699" s="13" t="s">
        <v>5674</v>
      </c>
      <c r="L699" s="73"/>
    </row>
    <row r="700">
      <c r="A700" s="87"/>
      <c r="B700" s="88"/>
      <c r="C700" s="88"/>
      <c r="D700" s="15"/>
      <c r="E700" s="15"/>
      <c r="F700" s="10" t="s">
        <v>6132</v>
      </c>
      <c r="G700" s="11" t="s">
        <v>5793</v>
      </c>
      <c r="I700" s="13" t="s">
        <v>5674</v>
      </c>
      <c r="L700" s="73"/>
    </row>
    <row r="701">
      <c r="A701" s="87"/>
      <c r="B701" s="88"/>
      <c r="C701" s="88"/>
      <c r="D701" s="15"/>
      <c r="E701" s="15"/>
      <c r="F701" s="10" t="s">
        <v>6132</v>
      </c>
      <c r="G701" s="11" t="s">
        <v>5793</v>
      </c>
      <c r="I701" s="13" t="s">
        <v>5674</v>
      </c>
      <c r="L701" s="73"/>
    </row>
    <row r="702">
      <c r="A702" s="87"/>
      <c r="B702" s="88"/>
      <c r="C702" s="88"/>
      <c r="D702" s="15"/>
      <c r="E702" s="15"/>
      <c r="F702" s="10" t="s">
        <v>6132</v>
      </c>
      <c r="G702" s="11" t="s">
        <v>5793</v>
      </c>
      <c r="I702" s="13" t="s">
        <v>5674</v>
      </c>
      <c r="L702" s="73"/>
    </row>
    <row r="703">
      <c r="A703" s="87"/>
      <c r="B703" s="88"/>
      <c r="C703" s="88"/>
      <c r="D703" s="15"/>
      <c r="E703" s="15"/>
      <c r="F703" s="10" t="s">
        <v>6132</v>
      </c>
      <c r="G703" s="11" t="s">
        <v>5793</v>
      </c>
      <c r="I703" s="13" t="s">
        <v>5674</v>
      </c>
      <c r="L703" s="73"/>
    </row>
    <row r="704">
      <c r="A704" s="87"/>
      <c r="B704" s="88"/>
      <c r="C704" s="88"/>
      <c r="D704" s="15"/>
      <c r="E704" s="15"/>
      <c r="F704" s="10" t="s">
        <v>6132</v>
      </c>
      <c r="G704" s="11" t="s">
        <v>5793</v>
      </c>
      <c r="I704" s="13" t="s">
        <v>5674</v>
      </c>
      <c r="L704" s="73"/>
    </row>
    <row r="705">
      <c r="A705" s="87"/>
      <c r="B705" s="88"/>
      <c r="C705" s="88"/>
      <c r="D705" s="15"/>
      <c r="E705" s="15"/>
      <c r="F705" s="10" t="s">
        <v>6132</v>
      </c>
      <c r="G705" s="11" t="s">
        <v>5793</v>
      </c>
      <c r="I705" s="13" t="s">
        <v>5674</v>
      </c>
      <c r="L705" s="73"/>
    </row>
    <row r="706">
      <c r="A706" s="87"/>
      <c r="B706" s="88"/>
      <c r="C706" s="88"/>
      <c r="D706" s="15"/>
      <c r="E706" s="15"/>
      <c r="F706" s="10" t="s">
        <v>6132</v>
      </c>
      <c r="G706" s="11" t="s">
        <v>5793</v>
      </c>
      <c r="I706" s="13" t="s">
        <v>5674</v>
      </c>
      <c r="L706" s="73"/>
    </row>
    <row r="707">
      <c r="A707" s="87"/>
      <c r="B707" s="88"/>
      <c r="C707" s="88"/>
      <c r="D707" s="15"/>
      <c r="E707" s="15"/>
      <c r="F707" s="10" t="s">
        <v>6132</v>
      </c>
      <c r="G707" s="11" t="s">
        <v>5793</v>
      </c>
      <c r="I707" s="13" t="s">
        <v>5674</v>
      </c>
      <c r="L707" s="73"/>
    </row>
    <row r="708">
      <c r="A708" s="87"/>
      <c r="B708" s="88"/>
      <c r="C708" s="88"/>
      <c r="D708" s="15"/>
      <c r="E708" s="15"/>
      <c r="F708" s="10" t="s">
        <v>6132</v>
      </c>
      <c r="G708" s="11" t="s">
        <v>5793</v>
      </c>
      <c r="I708" s="13" t="s">
        <v>5674</v>
      </c>
      <c r="L708" s="73"/>
    </row>
    <row r="709">
      <c r="A709" s="87"/>
      <c r="B709" s="88"/>
      <c r="C709" s="88"/>
      <c r="D709" s="15"/>
      <c r="E709" s="15"/>
      <c r="F709" s="10" t="s">
        <v>6132</v>
      </c>
      <c r="G709" s="11" t="s">
        <v>5793</v>
      </c>
      <c r="I709" s="13" t="s">
        <v>5674</v>
      </c>
      <c r="L709" s="73"/>
    </row>
    <row r="710">
      <c r="A710" s="87"/>
      <c r="B710" s="88"/>
      <c r="C710" s="88"/>
      <c r="D710" s="15"/>
      <c r="E710" s="15"/>
      <c r="F710" s="10" t="s">
        <v>6132</v>
      </c>
      <c r="G710" s="11" t="s">
        <v>5793</v>
      </c>
      <c r="I710" s="13" t="s">
        <v>5674</v>
      </c>
      <c r="L710" s="73"/>
    </row>
    <row r="711">
      <c r="A711" s="87"/>
      <c r="B711" s="88"/>
      <c r="C711" s="88"/>
      <c r="D711" s="15"/>
      <c r="E711" s="15"/>
      <c r="F711" s="10" t="s">
        <v>6132</v>
      </c>
      <c r="G711" s="11" t="s">
        <v>5793</v>
      </c>
      <c r="I711" s="13" t="s">
        <v>5674</v>
      </c>
      <c r="L711" s="73"/>
    </row>
    <row r="712">
      <c r="A712" s="87"/>
      <c r="B712" s="88"/>
      <c r="C712" s="88"/>
      <c r="D712" s="15"/>
      <c r="E712" s="15"/>
      <c r="F712" s="10" t="s">
        <v>6132</v>
      </c>
      <c r="G712" s="11" t="s">
        <v>5793</v>
      </c>
      <c r="I712" s="13" t="s">
        <v>5674</v>
      </c>
      <c r="L712" s="73"/>
    </row>
    <row r="713">
      <c r="A713" s="87"/>
      <c r="B713" s="88"/>
      <c r="C713" s="88"/>
      <c r="D713" s="15"/>
      <c r="E713" s="15"/>
      <c r="F713" s="10" t="s">
        <v>6132</v>
      </c>
      <c r="G713" s="11" t="s">
        <v>5793</v>
      </c>
      <c r="I713" s="13" t="s">
        <v>5674</v>
      </c>
      <c r="L713" s="73"/>
    </row>
    <row r="714">
      <c r="A714" s="87"/>
      <c r="B714" s="88"/>
      <c r="C714" s="88"/>
      <c r="D714" s="15"/>
      <c r="E714" s="15"/>
      <c r="F714" s="10" t="s">
        <v>6132</v>
      </c>
      <c r="G714" s="11" t="s">
        <v>5793</v>
      </c>
      <c r="I714" s="13" t="s">
        <v>5674</v>
      </c>
      <c r="L714" s="73"/>
    </row>
    <row r="715">
      <c r="A715" s="87"/>
      <c r="B715" s="88"/>
      <c r="C715" s="88"/>
      <c r="D715" s="15"/>
      <c r="E715" s="15"/>
      <c r="F715" s="10" t="s">
        <v>6132</v>
      </c>
      <c r="G715" s="11" t="s">
        <v>5793</v>
      </c>
      <c r="I715" s="13" t="s">
        <v>5674</v>
      </c>
      <c r="L715" s="73"/>
    </row>
    <row r="716">
      <c r="A716" s="87"/>
      <c r="B716" s="88"/>
      <c r="C716" s="88"/>
      <c r="D716" s="15"/>
      <c r="E716" s="15"/>
      <c r="F716" s="10" t="s">
        <v>6132</v>
      </c>
      <c r="G716" s="11" t="s">
        <v>5793</v>
      </c>
      <c r="I716" s="13" t="s">
        <v>5674</v>
      </c>
      <c r="L716" s="73"/>
    </row>
    <row r="717">
      <c r="A717" s="87"/>
      <c r="B717" s="88"/>
      <c r="C717" s="88"/>
      <c r="D717" s="15"/>
      <c r="E717" s="15"/>
      <c r="F717" s="10" t="s">
        <v>6132</v>
      </c>
      <c r="G717" s="11" t="s">
        <v>5793</v>
      </c>
      <c r="I717" s="13" t="s">
        <v>5674</v>
      </c>
      <c r="L717" s="73"/>
    </row>
    <row r="718">
      <c r="A718" s="87"/>
      <c r="B718" s="88"/>
      <c r="C718" s="88"/>
      <c r="D718" s="15"/>
      <c r="E718" s="15"/>
      <c r="F718" s="10" t="s">
        <v>6132</v>
      </c>
      <c r="G718" s="11" t="s">
        <v>5793</v>
      </c>
      <c r="I718" s="13" t="s">
        <v>5674</v>
      </c>
      <c r="L718" s="73"/>
    </row>
    <row r="719">
      <c r="A719" s="87"/>
      <c r="B719" s="88"/>
      <c r="D719" s="15"/>
      <c r="E719" s="15"/>
      <c r="F719" s="10" t="s">
        <v>6132</v>
      </c>
      <c r="G719" s="11" t="s">
        <v>5793</v>
      </c>
      <c r="I719" s="13" t="s">
        <v>5674</v>
      </c>
      <c r="L719" s="73"/>
    </row>
    <row r="720">
      <c r="A720" s="87"/>
      <c r="B720" s="88"/>
      <c r="D720" s="15"/>
      <c r="E720" s="15"/>
      <c r="F720" s="10" t="s">
        <v>6132</v>
      </c>
      <c r="G720" s="11" t="s">
        <v>5793</v>
      </c>
      <c r="I720" s="13" t="s">
        <v>5674</v>
      </c>
      <c r="L720" s="73"/>
    </row>
    <row r="721">
      <c r="A721" s="87"/>
      <c r="B721" s="88"/>
      <c r="C721" s="88"/>
      <c r="D721" s="15"/>
      <c r="E721" s="15"/>
      <c r="F721" s="10" t="s">
        <v>6132</v>
      </c>
      <c r="G721" s="11" t="s">
        <v>5793</v>
      </c>
      <c r="I721" s="13" t="s">
        <v>5674</v>
      </c>
      <c r="L721" s="73"/>
    </row>
    <row r="722">
      <c r="A722" s="87"/>
      <c r="B722" s="88"/>
      <c r="C722" s="88"/>
      <c r="D722" s="15"/>
      <c r="E722" s="15"/>
      <c r="F722" s="10" t="s">
        <v>6132</v>
      </c>
      <c r="G722" s="11" t="s">
        <v>5793</v>
      </c>
      <c r="I722" s="13" t="s">
        <v>5674</v>
      </c>
      <c r="L722" s="73"/>
    </row>
    <row r="723">
      <c r="A723" s="87"/>
      <c r="B723" s="88"/>
      <c r="C723" s="88"/>
      <c r="D723" s="15"/>
      <c r="E723" s="15"/>
      <c r="F723" s="10" t="s">
        <v>6132</v>
      </c>
      <c r="G723" s="11" t="s">
        <v>5793</v>
      </c>
      <c r="I723" s="13" t="s">
        <v>5674</v>
      </c>
      <c r="L723" s="73"/>
    </row>
    <row r="724">
      <c r="A724" s="87"/>
      <c r="B724" s="88"/>
      <c r="C724" s="88"/>
      <c r="D724" s="15"/>
      <c r="E724" s="15"/>
      <c r="F724" s="10" t="s">
        <v>6132</v>
      </c>
      <c r="G724" s="11" t="s">
        <v>5793</v>
      </c>
      <c r="I724" s="13" t="s">
        <v>5674</v>
      </c>
      <c r="L724" s="73"/>
    </row>
    <row r="725">
      <c r="A725" s="87"/>
      <c r="B725" s="88"/>
      <c r="C725" s="88"/>
      <c r="D725" s="15"/>
      <c r="E725" s="15"/>
      <c r="F725" s="10" t="s">
        <v>6132</v>
      </c>
      <c r="G725" s="11" t="s">
        <v>5793</v>
      </c>
      <c r="I725" s="13" t="s">
        <v>5674</v>
      </c>
      <c r="L725" s="73"/>
    </row>
    <row r="726">
      <c r="A726" s="87"/>
      <c r="B726" s="88"/>
      <c r="C726" s="88"/>
      <c r="D726" s="15"/>
      <c r="E726" s="15"/>
      <c r="F726" s="10" t="s">
        <v>6132</v>
      </c>
      <c r="G726" s="11" t="s">
        <v>5793</v>
      </c>
      <c r="I726" s="13" t="s">
        <v>5674</v>
      </c>
      <c r="L726" s="73"/>
    </row>
    <row r="727">
      <c r="A727" s="87"/>
      <c r="B727" s="88"/>
      <c r="C727" s="88"/>
      <c r="D727" s="15"/>
      <c r="E727" s="15"/>
      <c r="F727" s="10" t="s">
        <v>6132</v>
      </c>
      <c r="G727" s="11" t="s">
        <v>5793</v>
      </c>
      <c r="I727" s="13" t="s">
        <v>5674</v>
      </c>
      <c r="L727" s="73"/>
    </row>
    <row r="728">
      <c r="A728" s="87"/>
      <c r="B728" s="88"/>
      <c r="D728" s="15"/>
      <c r="E728" s="15"/>
      <c r="F728" s="10" t="s">
        <v>6132</v>
      </c>
      <c r="G728" s="11" t="s">
        <v>5793</v>
      </c>
      <c r="I728" s="13" t="s">
        <v>5674</v>
      </c>
      <c r="L728" s="73"/>
    </row>
    <row r="729">
      <c r="A729" s="87"/>
      <c r="B729" s="88"/>
      <c r="C729" s="88"/>
      <c r="D729" s="15"/>
      <c r="E729" s="15"/>
      <c r="F729" s="10" t="s">
        <v>6132</v>
      </c>
      <c r="G729" s="11" t="s">
        <v>5793</v>
      </c>
      <c r="I729" s="13" t="s">
        <v>5674</v>
      </c>
      <c r="L729" s="73"/>
    </row>
    <row r="730">
      <c r="A730" s="87"/>
      <c r="B730" s="10"/>
      <c r="D730" s="15"/>
      <c r="E730" s="15"/>
      <c r="F730" s="15"/>
      <c r="G730" s="11"/>
      <c r="L730" s="73"/>
    </row>
    <row r="731">
      <c r="A731" s="12"/>
      <c r="B731" s="10"/>
      <c r="D731" s="15"/>
      <c r="E731" s="15"/>
      <c r="F731" s="15"/>
      <c r="G731" s="11"/>
      <c r="L731" s="73"/>
    </row>
    <row r="732">
      <c r="A732" s="12"/>
      <c r="B732" s="10"/>
      <c r="D732" s="15"/>
      <c r="E732" s="15"/>
      <c r="F732" s="15"/>
      <c r="G732" s="11"/>
      <c r="L732" s="73"/>
    </row>
    <row r="733">
      <c r="A733" s="87"/>
      <c r="B733" s="10"/>
      <c r="D733" s="15"/>
      <c r="E733" s="15"/>
      <c r="F733" s="15"/>
      <c r="G733" s="11"/>
      <c r="L733" s="73"/>
    </row>
    <row r="734">
      <c r="A734" s="87"/>
      <c r="B734" s="10"/>
      <c r="D734" s="15"/>
      <c r="E734" s="15"/>
      <c r="F734" s="15"/>
      <c r="G734" s="11"/>
      <c r="L734" s="73"/>
    </row>
    <row r="735">
      <c r="A735" s="12"/>
      <c r="B735" s="10"/>
      <c r="D735" s="15"/>
      <c r="E735" s="15"/>
      <c r="F735" s="15"/>
      <c r="G735" s="11"/>
      <c r="L735" s="73"/>
    </row>
    <row r="736">
      <c r="A736" s="12"/>
      <c r="B736" s="10"/>
      <c r="D736" s="15"/>
      <c r="E736" s="15"/>
      <c r="F736" s="15"/>
      <c r="G736" s="11"/>
      <c r="L736" s="73"/>
    </row>
    <row r="737">
      <c r="A737" s="92"/>
      <c r="B737" s="93"/>
      <c r="C737" s="94"/>
      <c r="D737" s="15"/>
      <c r="E737" s="15"/>
      <c r="F737" s="15"/>
      <c r="G737" s="11"/>
      <c r="L737" s="73"/>
    </row>
    <row r="738">
      <c r="A738" s="87"/>
      <c r="B738" s="10"/>
      <c r="D738" s="15"/>
      <c r="E738" s="15"/>
      <c r="F738" s="15"/>
      <c r="G738" s="11"/>
      <c r="L738" s="73"/>
    </row>
    <row r="739">
      <c r="A739" s="12"/>
      <c r="B739" s="10"/>
      <c r="D739" s="15"/>
      <c r="E739" s="15"/>
      <c r="F739" s="15"/>
      <c r="G739" s="11"/>
      <c r="L739" s="73"/>
    </row>
    <row r="740">
      <c r="A740" s="12"/>
      <c r="B740" s="10"/>
      <c r="D740" s="15"/>
      <c r="E740" s="15"/>
      <c r="F740" s="15"/>
      <c r="G740" s="11"/>
      <c r="L740" s="73"/>
    </row>
    <row r="741">
      <c r="A741" s="12"/>
      <c r="B741" s="10"/>
      <c r="D741" s="15"/>
      <c r="E741" s="15"/>
      <c r="F741" s="15"/>
      <c r="G741" s="11"/>
      <c r="L741" s="73"/>
    </row>
    <row r="742">
      <c r="A742" s="11"/>
      <c r="B742" s="74"/>
      <c r="C742" s="48"/>
      <c r="D742" s="15"/>
      <c r="E742" s="15"/>
      <c r="F742" s="15"/>
      <c r="G742" s="11"/>
      <c r="J742" s="95"/>
      <c r="L742" s="73"/>
    </row>
    <row r="743">
      <c r="A743" s="11"/>
      <c r="B743" s="74"/>
      <c r="C743" s="48"/>
      <c r="D743" s="15"/>
      <c r="E743" s="15"/>
      <c r="F743" s="15"/>
      <c r="G743" s="11"/>
      <c r="J743" s="95"/>
      <c r="L743" s="73"/>
    </row>
    <row r="744">
      <c r="A744" s="11"/>
      <c r="B744" s="74"/>
      <c r="C744" s="48"/>
      <c r="D744" s="15"/>
      <c r="E744" s="15"/>
      <c r="F744" s="15"/>
      <c r="G744" s="11"/>
      <c r="J744" s="95"/>
      <c r="L744" s="73"/>
    </row>
    <row r="745">
      <c r="A745" s="11"/>
      <c r="B745" s="74"/>
      <c r="C745" s="48"/>
      <c r="D745" s="15"/>
      <c r="E745" s="15"/>
      <c r="F745" s="15"/>
      <c r="G745" s="11"/>
      <c r="J745" s="95"/>
      <c r="L745" s="73"/>
    </row>
    <row r="746">
      <c r="A746" s="11"/>
      <c r="B746" s="74"/>
      <c r="C746" s="48"/>
      <c r="D746" s="15"/>
      <c r="E746" s="15"/>
      <c r="F746" s="15"/>
      <c r="G746" s="11"/>
    </row>
    <row r="747">
      <c r="A747" s="11"/>
      <c r="B747" s="74"/>
      <c r="C747" s="48"/>
      <c r="D747" s="15"/>
      <c r="E747" s="15"/>
      <c r="F747" s="15"/>
      <c r="G747" s="11"/>
      <c r="K747" s="96"/>
      <c r="L747" s="76"/>
      <c r="M747" s="73"/>
    </row>
    <row r="748">
      <c r="A748" s="11"/>
      <c r="B748" s="74"/>
      <c r="C748" s="48"/>
      <c r="D748" s="15"/>
      <c r="E748" s="15"/>
      <c r="F748" s="15"/>
      <c r="G748" s="11"/>
      <c r="K748" s="96"/>
      <c r="L748" s="76"/>
      <c r="M748" s="73"/>
    </row>
    <row r="749">
      <c r="A749" s="11"/>
      <c r="B749" s="74"/>
      <c r="C749" s="48"/>
      <c r="D749" s="15"/>
      <c r="E749" s="15"/>
      <c r="F749" s="15"/>
      <c r="G749" s="11"/>
      <c r="K749" s="96"/>
      <c r="L749" s="76"/>
      <c r="M749" s="73"/>
    </row>
    <row r="750">
      <c r="A750" s="11"/>
      <c r="B750" s="74"/>
      <c r="C750" s="48"/>
      <c r="D750" s="15"/>
      <c r="E750" s="15"/>
      <c r="F750" s="15"/>
      <c r="G750" s="11"/>
      <c r="K750" s="96"/>
      <c r="L750" s="76"/>
      <c r="M750" s="73"/>
    </row>
    <row r="751">
      <c r="A751" s="11"/>
      <c r="B751" s="74"/>
      <c r="C751" s="48"/>
      <c r="D751" s="15"/>
      <c r="E751" s="15"/>
      <c r="F751" s="15"/>
      <c r="G751" s="11"/>
      <c r="K751" s="96"/>
      <c r="L751" s="76"/>
      <c r="M751" s="73"/>
    </row>
    <row r="752">
      <c r="A752" s="11"/>
      <c r="B752" s="74"/>
      <c r="C752" s="48"/>
      <c r="D752" s="15"/>
      <c r="E752" s="15"/>
      <c r="F752" s="15"/>
      <c r="G752" s="11"/>
      <c r="K752" s="96"/>
      <c r="L752" s="76"/>
      <c r="M752" s="73"/>
    </row>
    <row r="753">
      <c r="A753" s="11"/>
      <c r="B753" s="74"/>
      <c r="C753" s="48"/>
      <c r="D753" s="15"/>
      <c r="E753" s="15"/>
      <c r="F753" s="15"/>
      <c r="G753" s="11"/>
      <c r="K753" s="96"/>
      <c r="L753" s="76"/>
      <c r="M753" s="73"/>
    </row>
    <row r="754">
      <c r="A754" s="11"/>
      <c r="B754" s="74"/>
      <c r="C754" s="48"/>
      <c r="D754" s="15"/>
      <c r="E754" s="15"/>
      <c r="F754" s="15"/>
      <c r="G754" s="11"/>
      <c r="K754" s="96"/>
      <c r="L754" s="76"/>
      <c r="M754" s="73"/>
    </row>
    <row r="755">
      <c r="A755" s="11"/>
      <c r="B755" s="74"/>
      <c r="C755" s="48"/>
      <c r="D755" s="15"/>
      <c r="E755" s="15"/>
      <c r="F755" s="15"/>
      <c r="G755" s="11"/>
      <c r="K755" s="96"/>
      <c r="L755" s="76"/>
      <c r="M755" s="73"/>
    </row>
    <row r="756">
      <c r="A756" s="11"/>
      <c r="B756" s="74"/>
      <c r="C756" s="48"/>
      <c r="D756" s="15"/>
      <c r="E756" s="15"/>
      <c r="F756" s="15"/>
      <c r="G756" s="11"/>
      <c r="K756" s="96"/>
      <c r="L756" s="76"/>
      <c r="M756" s="73"/>
    </row>
    <row r="757">
      <c r="A757" s="11"/>
      <c r="B757" s="74"/>
      <c r="C757" s="48"/>
      <c r="D757" s="15"/>
      <c r="E757" s="15"/>
      <c r="F757" s="15"/>
      <c r="G757" s="11"/>
      <c r="K757" s="96"/>
      <c r="L757" s="76"/>
      <c r="M757" s="73"/>
    </row>
    <row r="758">
      <c r="A758" s="11"/>
      <c r="B758" s="74"/>
      <c r="C758" s="48"/>
      <c r="D758" s="15"/>
      <c r="E758" s="15"/>
      <c r="F758" s="15"/>
      <c r="G758" s="11"/>
      <c r="K758" s="96"/>
      <c r="L758" s="76"/>
      <c r="M758" s="73"/>
    </row>
    <row r="759">
      <c r="A759" s="11"/>
      <c r="B759" s="74"/>
      <c r="C759" s="48"/>
      <c r="D759" s="15"/>
      <c r="E759" s="15"/>
      <c r="F759" s="15"/>
      <c r="G759" s="11"/>
      <c r="K759" s="96"/>
      <c r="L759" s="76"/>
      <c r="M759" s="73"/>
    </row>
    <row r="760">
      <c r="A760" s="11"/>
      <c r="B760" s="74"/>
      <c r="C760" s="48"/>
      <c r="D760" s="15"/>
      <c r="E760" s="15"/>
      <c r="F760" s="15"/>
      <c r="G760" s="11"/>
      <c r="K760" s="96"/>
      <c r="L760" s="76"/>
      <c r="M760" s="73"/>
    </row>
    <row r="761">
      <c r="A761" s="11"/>
      <c r="B761" s="74"/>
      <c r="C761" s="48"/>
      <c r="D761" s="15"/>
      <c r="E761" s="15"/>
      <c r="F761" s="15"/>
      <c r="G761" s="11"/>
      <c r="K761" s="96"/>
      <c r="L761" s="76"/>
      <c r="M761" s="73"/>
    </row>
    <row r="762">
      <c r="A762" s="11"/>
      <c r="B762" s="74"/>
      <c r="C762" s="48"/>
      <c r="D762" s="15"/>
      <c r="E762" s="15"/>
      <c r="F762" s="15"/>
      <c r="G762" s="11"/>
      <c r="K762" s="96"/>
      <c r="L762" s="76"/>
      <c r="M762" s="73"/>
    </row>
    <row r="763">
      <c r="A763" s="11"/>
      <c r="B763" s="74"/>
      <c r="C763" s="48"/>
      <c r="D763" s="15"/>
      <c r="E763" s="15"/>
      <c r="F763" s="15"/>
      <c r="G763" s="11"/>
      <c r="K763" s="96"/>
      <c r="L763" s="76"/>
      <c r="M763" s="73"/>
    </row>
    <row r="764">
      <c r="A764" s="11"/>
      <c r="B764" s="74"/>
      <c r="C764" s="48"/>
      <c r="D764" s="15"/>
      <c r="E764" s="15"/>
      <c r="F764" s="15"/>
      <c r="G764" s="11"/>
      <c r="K764" s="96"/>
      <c r="L764" s="76"/>
      <c r="M764" s="73"/>
    </row>
    <row r="765">
      <c r="A765" s="11"/>
      <c r="B765" s="74"/>
      <c r="C765" s="48"/>
      <c r="D765" s="15"/>
      <c r="E765" s="15"/>
      <c r="F765" s="15"/>
      <c r="G765" s="11"/>
      <c r="K765" s="96"/>
      <c r="L765" s="76"/>
      <c r="M765" s="73"/>
    </row>
    <row r="766">
      <c r="A766" s="11"/>
      <c r="B766" s="74"/>
      <c r="C766" s="48"/>
      <c r="D766" s="15"/>
      <c r="E766" s="15"/>
      <c r="F766" s="15"/>
      <c r="G766" s="11"/>
      <c r="K766" s="96"/>
      <c r="L766" s="76"/>
      <c r="M766" s="73"/>
    </row>
    <row r="767">
      <c r="A767" s="11"/>
      <c r="B767" s="74"/>
      <c r="C767" s="48"/>
      <c r="D767" s="15"/>
      <c r="E767" s="15"/>
      <c r="F767" s="15"/>
      <c r="G767" s="11"/>
      <c r="K767" s="96"/>
      <c r="L767" s="76"/>
      <c r="M767" s="73"/>
    </row>
    <row r="768">
      <c r="A768" s="11"/>
      <c r="B768" s="74"/>
      <c r="C768" s="48"/>
      <c r="D768" s="15"/>
      <c r="E768" s="15"/>
      <c r="F768" s="15"/>
      <c r="G768" s="11"/>
      <c r="K768" s="96"/>
      <c r="L768" s="76"/>
      <c r="M768" s="73"/>
    </row>
    <row r="769">
      <c r="A769" s="11"/>
      <c r="B769" s="74"/>
      <c r="C769" s="48"/>
      <c r="D769" s="15"/>
      <c r="E769" s="15"/>
      <c r="F769" s="15"/>
      <c r="G769" s="11"/>
      <c r="K769" s="96"/>
      <c r="L769" s="76"/>
      <c r="M769" s="73"/>
    </row>
    <row r="770">
      <c r="A770" s="11"/>
      <c r="B770" s="74"/>
      <c r="C770" s="48"/>
      <c r="D770" s="15"/>
      <c r="E770" s="15"/>
      <c r="F770" s="15"/>
      <c r="G770" s="11"/>
      <c r="K770" s="96"/>
      <c r="L770" s="76"/>
      <c r="M770" s="73"/>
    </row>
    <row r="771">
      <c r="A771" s="11"/>
      <c r="B771" s="74"/>
      <c r="C771" s="48"/>
      <c r="D771" s="15"/>
      <c r="E771" s="15"/>
      <c r="F771" s="15"/>
      <c r="G771" s="11"/>
      <c r="K771" s="96"/>
      <c r="L771" s="76"/>
      <c r="M771" s="73"/>
    </row>
    <row r="772">
      <c r="A772" s="11"/>
      <c r="B772" s="74"/>
      <c r="C772" s="48"/>
      <c r="D772" s="15"/>
      <c r="E772" s="15"/>
      <c r="F772" s="15"/>
      <c r="G772" s="11"/>
    </row>
    <row r="773">
      <c r="A773" s="11"/>
      <c r="B773" s="74"/>
      <c r="C773" s="48"/>
      <c r="D773" s="15"/>
      <c r="E773" s="15"/>
      <c r="F773" s="15"/>
      <c r="G773" s="11"/>
    </row>
    <row r="774">
      <c r="A774" s="11"/>
      <c r="B774" s="74"/>
      <c r="C774" s="48"/>
      <c r="D774" s="15"/>
      <c r="E774" s="15"/>
      <c r="F774" s="15"/>
      <c r="G774" s="11"/>
    </row>
    <row r="775">
      <c r="A775" s="11"/>
      <c r="B775" s="74"/>
      <c r="C775" s="48"/>
      <c r="D775" s="15"/>
      <c r="E775" s="15"/>
      <c r="F775" s="15"/>
      <c r="G775" s="11"/>
    </row>
    <row r="776">
      <c r="A776" s="11"/>
      <c r="B776" s="74"/>
      <c r="C776" s="48"/>
      <c r="D776" s="15"/>
      <c r="E776" s="15"/>
      <c r="F776" s="15"/>
      <c r="G776" s="11"/>
    </row>
    <row r="777">
      <c r="A777" s="11"/>
      <c r="B777" s="74"/>
      <c r="C777" s="48"/>
      <c r="D777" s="88"/>
      <c r="E777" s="88"/>
      <c r="F777" s="88"/>
      <c r="G777" s="87"/>
    </row>
    <row r="778">
      <c r="A778" s="11"/>
      <c r="B778" s="74"/>
      <c r="C778" s="48"/>
      <c r="D778" s="88"/>
      <c r="E778" s="88"/>
      <c r="F778" s="88"/>
      <c r="G778" s="87"/>
    </row>
    <row r="779">
      <c r="A779" s="11"/>
      <c r="B779" s="74"/>
      <c r="C779" s="48"/>
      <c r="D779" s="88"/>
      <c r="E779" s="88"/>
      <c r="F779" s="88"/>
      <c r="G779" s="87"/>
    </row>
    <row r="780">
      <c r="A780" s="11"/>
      <c r="B780" s="74"/>
      <c r="C780" s="48"/>
      <c r="D780" s="88"/>
      <c r="E780" s="88"/>
      <c r="F780" s="88"/>
      <c r="G780" s="87"/>
    </row>
    <row r="781">
      <c r="A781" s="11"/>
      <c r="B781" s="74"/>
      <c r="C781" s="48"/>
      <c r="D781" s="88"/>
      <c r="E781" s="88"/>
      <c r="F781" s="88"/>
      <c r="G781" s="87"/>
    </row>
    <row r="782">
      <c r="A782" s="11"/>
      <c r="B782" s="74"/>
      <c r="C782" s="48"/>
      <c r="D782" s="88"/>
      <c r="E782" s="88"/>
      <c r="F782" s="88"/>
      <c r="G782" s="87"/>
    </row>
    <row r="783">
      <c r="A783" s="11"/>
      <c r="B783" s="74"/>
      <c r="C783" s="48"/>
      <c r="D783" s="88"/>
      <c r="E783" s="88"/>
      <c r="F783" s="88"/>
      <c r="G783" s="87"/>
    </row>
    <row r="784">
      <c r="A784" s="11"/>
      <c r="B784" s="74"/>
      <c r="C784" s="48"/>
      <c r="D784" s="88"/>
      <c r="E784" s="88"/>
      <c r="F784" s="88"/>
      <c r="G784" s="87"/>
    </row>
    <row r="785">
      <c r="A785" s="11"/>
      <c r="B785" s="74"/>
      <c r="C785" s="48"/>
      <c r="D785" s="88"/>
      <c r="E785" s="88"/>
      <c r="F785" s="88"/>
      <c r="G785" s="87"/>
    </row>
    <row r="786">
      <c r="A786" s="11"/>
      <c r="B786" s="74"/>
      <c r="C786" s="48"/>
      <c r="D786" s="88"/>
      <c r="E786" s="88"/>
      <c r="F786" s="88"/>
      <c r="G786" s="87"/>
    </row>
    <row r="787">
      <c r="A787" s="11"/>
      <c r="B787" s="74"/>
      <c r="C787" s="48"/>
      <c r="D787" s="88"/>
      <c r="E787" s="88"/>
      <c r="F787" s="88"/>
      <c r="G787" s="87"/>
    </row>
    <row r="788">
      <c r="A788" s="11"/>
      <c r="B788" s="74"/>
      <c r="C788" s="48"/>
      <c r="D788" s="88"/>
      <c r="E788" s="88"/>
      <c r="F788" s="88"/>
      <c r="G788" s="87"/>
    </row>
    <row r="789">
      <c r="A789" s="11"/>
      <c r="B789" s="74"/>
      <c r="C789" s="48"/>
      <c r="D789" s="88"/>
      <c r="E789" s="88"/>
      <c r="F789" s="88"/>
      <c r="G789" s="87"/>
    </row>
    <row r="790">
      <c r="A790" s="11"/>
      <c r="B790" s="74"/>
      <c r="C790" s="48"/>
      <c r="D790" s="88"/>
      <c r="E790" s="88"/>
      <c r="F790" s="88"/>
      <c r="G790" s="87"/>
    </row>
    <row r="791">
      <c r="A791" s="11"/>
      <c r="B791" s="74"/>
      <c r="C791" s="48"/>
      <c r="D791" s="88"/>
      <c r="E791" s="88"/>
      <c r="F791" s="88"/>
      <c r="G791" s="87"/>
    </row>
    <row r="792">
      <c r="A792" s="11"/>
      <c r="B792" s="74"/>
      <c r="C792" s="48"/>
      <c r="D792" s="88"/>
      <c r="E792" s="88"/>
      <c r="F792" s="88"/>
      <c r="G792" s="87"/>
    </row>
    <row r="793">
      <c r="A793" s="11"/>
      <c r="B793" s="74"/>
      <c r="C793" s="48"/>
      <c r="D793" s="88"/>
      <c r="E793" s="88"/>
      <c r="F793" s="88"/>
      <c r="G793" s="87"/>
    </row>
    <row r="794">
      <c r="A794" s="11"/>
      <c r="B794" s="74"/>
      <c r="C794" s="48"/>
      <c r="D794" s="88"/>
      <c r="E794" s="88"/>
      <c r="F794" s="88"/>
      <c r="G794" s="87"/>
    </row>
    <row r="795">
      <c r="A795" s="11"/>
      <c r="B795" s="74"/>
      <c r="C795" s="48"/>
      <c r="D795" s="88"/>
      <c r="E795" s="88"/>
      <c r="F795" s="88"/>
      <c r="G795" s="87"/>
    </row>
    <row r="796">
      <c r="A796" s="11"/>
      <c r="B796" s="74"/>
      <c r="C796" s="48"/>
      <c r="D796" s="88"/>
      <c r="E796" s="88"/>
      <c r="F796" s="88"/>
      <c r="G796" s="87"/>
    </row>
    <row r="797">
      <c r="A797" s="11"/>
      <c r="B797" s="74"/>
      <c r="C797" s="48"/>
      <c r="D797" s="88"/>
      <c r="E797" s="88"/>
      <c r="F797" s="88"/>
      <c r="G797" s="87"/>
    </row>
    <row r="798">
      <c r="A798" s="11"/>
      <c r="B798" s="74"/>
      <c r="C798" s="48"/>
      <c r="D798" s="88"/>
      <c r="E798" s="88"/>
      <c r="F798" s="88"/>
      <c r="G798" s="87"/>
    </row>
    <row r="799">
      <c r="A799" s="11"/>
      <c r="B799" s="74"/>
      <c r="C799" s="48"/>
      <c r="D799" s="88"/>
      <c r="E799" s="88"/>
      <c r="F799" s="88"/>
      <c r="G799" s="87"/>
    </row>
    <row r="800">
      <c r="A800" s="11"/>
      <c r="B800" s="74"/>
      <c r="C800" s="48"/>
      <c r="D800" s="88"/>
      <c r="E800" s="88"/>
      <c r="F800" s="88"/>
      <c r="G800" s="87"/>
    </row>
    <row r="801">
      <c r="A801" s="11"/>
      <c r="B801" s="74"/>
      <c r="C801" s="48"/>
      <c r="D801" s="88"/>
      <c r="E801" s="88"/>
      <c r="F801" s="88"/>
      <c r="G801" s="87"/>
    </row>
    <row r="802">
      <c r="A802" s="11"/>
      <c r="B802" s="74"/>
      <c r="C802" s="48"/>
      <c r="D802" s="88"/>
      <c r="E802" s="88"/>
      <c r="F802" s="88"/>
      <c r="G802" s="87"/>
    </row>
    <row r="803">
      <c r="A803" s="11"/>
      <c r="B803" s="74"/>
      <c r="C803" s="48"/>
      <c r="D803" s="88"/>
      <c r="E803" s="88"/>
      <c r="F803" s="88"/>
      <c r="G803" s="87"/>
    </row>
    <row r="804">
      <c r="A804" s="11"/>
      <c r="B804" s="74"/>
      <c r="C804" s="48"/>
      <c r="D804" s="88"/>
      <c r="E804" s="88"/>
      <c r="F804" s="88"/>
      <c r="G804" s="87"/>
    </row>
    <row r="805">
      <c r="A805" s="11"/>
      <c r="B805" s="74"/>
      <c r="C805" s="48"/>
      <c r="D805" s="88"/>
      <c r="E805" s="88"/>
      <c r="F805" s="88"/>
      <c r="G805" s="87"/>
    </row>
    <row r="806">
      <c r="A806" s="11"/>
      <c r="B806" s="74"/>
      <c r="C806" s="48"/>
      <c r="D806" s="88"/>
      <c r="E806" s="88"/>
      <c r="F806" s="88"/>
      <c r="G806" s="87"/>
    </row>
    <row r="807">
      <c r="A807" s="11"/>
      <c r="B807" s="74"/>
      <c r="C807" s="48"/>
      <c r="D807" s="88"/>
      <c r="E807" s="88"/>
      <c r="F807" s="88"/>
      <c r="G807" s="87"/>
    </row>
    <row r="808">
      <c r="A808" s="11"/>
      <c r="B808" s="74"/>
      <c r="C808" s="48"/>
      <c r="D808" s="88"/>
      <c r="E808" s="88"/>
      <c r="F808" s="88"/>
      <c r="G808" s="87"/>
    </row>
    <row r="809">
      <c r="A809" s="11"/>
      <c r="B809" s="74"/>
      <c r="C809" s="48"/>
      <c r="D809" s="88"/>
      <c r="E809" s="88"/>
      <c r="F809" s="88"/>
      <c r="G809" s="87"/>
    </row>
    <row r="810">
      <c r="A810" s="11"/>
      <c r="B810" s="74"/>
      <c r="C810" s="48"/>
      <c r="D810" s="88"/>
      <c r="E810" s="88"/>
      <c r="F810" s="88"/>
      <c r="G810" s="87"/>
    </row>
    <row r="811">
      <c r="A811" s="11"/>
      <c r="B811" s="74"/>
      <c r="C811" s="48"/>
      <c r="D811" s="88"/>
      <c r="E811" s="88"/>
      <c r="F811" s="88"/>
      <c r="G811" s="87"/>
    </row>
    <row r="812">
      <c r="A812" s="11"/>
      <c r="B812" s="74"/>
      <c r="C812" s="48"/>
      <c r="D812" s="88"/>
      <c r="E812" s="88"/>
      <c r="F812" s="88"/>
      <c r="G812" s="87"/>
    </row>
    <row r="813">
      <c r="A813" s="11"/>
      <c r="B813" s="74"/>
      <c r="C813" s="48"/>
      <c r="D813" s="88"/>
      <c r="E813" s="88"/>
      <c r="F813" s="88"/>
      <c r="G813" s="87"/>
    </row>
    <row r="814">
      <c r="A814" s="11"/>
      <c r="B814" s="74"/>
      <c r="C814" s="48"/>
      <c r="D814" s="88"/>
      <c r="E814" s="88"/>
      <c r="F814" s="88"/>
      <c r="G814" s="87"/>
    </row>
    <row r="815">
      <c r="A815" s="11"/>
      <c r="B815" s="74"/>
      <c r="C815" s="48"/>
      <c r="D815" s="88"/>
      <c r="E815" s="88"/>
      <c r="F815" s="88"/>
      <c r="G815" s="87"/>
    </row>
    <row r="816">
      <c r="A816" s="11"/>
      <c r="B816" s="74"/>
      <c r="C816" s="48"/>
      <c r="D816" s="88"/>
      <c r="E816" s="88"/>
      <c r="F816" s="88"/>
      <c r="G816" s="87"/>
    </row>
    <row r="817">
      <c r="A817" s="11"/>
      <c r="B817" s="74"/>
      <c r="C817" s="48"/>
      <c r="D817" s="88"/>
      <c r="E817" s="88"/>
      <c r="F817" s="88"/>
      <c r="G817" s="87"/>
    </row>
    <row r="818">
      <c r="A818" s="11"/>
      <c r="B818" s="74"/>
      <c r="C818" s="48"/>
      <c r="D818" s="88"/>
      <c r="E818" s="88"/>
      <c r="F818" s="88"/>
      <c r="G818" s="87"/>
    </row>
    <row r="819">
      <c r="A819" s="11"/>
      <c r="B819" s="74"/>
      <c r="C819" s="48"/>
      <c r="D819" s="88"/>
      <c r="E819" s="88"/>
      <c r="F819" s="88"/>
      <c r="G819" s="87"/>
    </row>
    <row r="820">
      <c r="A820" s="11"/>
      <c r="B820" s="74"/>
      <c r="C820" s="48"/>
      <c r="D820" s="88"/>
      <c r="E820" s="88"/>
      <c r="F820" s="88"/>
      <c r="G820" s="87"/>
    </row>
    <row r="821">
      <c r="A821" s="11"/>
      <c r="B821" s="74"/>
      <c r="C821" s="48"/>
      <c r="D821" s="88"/>
      <c r="E821" s="88"/>
      <c r="F821" s="88"/>
      <c r="G821" s="87"/>
    </row>
    <row r="822">
      <c r="A822" s="11"/>
      <c r="B822" s="74"/>
      <c r="C822" s="48"/>
      <c r="D822" s="88"/>
      <c r="E822" s="88"/>
      <c r="F822" s="88"/>
      <c r="G822" s="87"/>
    </row>
    <row r="823">
      <c r="A823" s="11"/>
      <c r="B823" s="74"/>
      <c r="C823" s="48"/>
      <c r="D823" s="88"/>
      <c r="E823" s="88"/>
      <c r="F823" s="88"/>
      <c r="G823" s="87"/>
    </row>
    <row r="824">
      <c r="A824" s="11"/>
      <c r="B824" s="74"/>
      <c r="C824" s="48"/>
      <c r="D824" s="88"/>
      <c r="E824" s="88"/>
      <c r="F824" s="88"/>
      <c r="G824" s="87"/>
    </row>
    <row r="825">
      <c r="A825" s="11"/>
      <c r="B825" s="74"/>
      <c r="C825" s="48"/>
      <c r="D825" s="88"/>
      <c r="E825" s="88"/>
      <c r="F825" s="88"/>
      <c r="G825" s="87"/>
    </row>
    <row r="826">
      <c r="A826" s="11"/>
      <c r="B826" s="74"/>
      <c r="C826" s="48"/>
      <c r="D826" s="88"/>
      <c r="E826" s="88"/>
      <c r="F826" s="88"/>
      <c r="G826" s="87"/>
    </row>
    <row r="827">
      <c r="A827" s="11"/>
      <c r="B827" s="74"/>
      <c r="C827" s="48"/>
      <c r="D827" s="88"/>
      <c r="E827" s="88"/>
      <c r="F827" s="88"/>
      <c r="G827" s="87"/>
    </row>
    <row r="828">
      <c r="A828" s="11"/>
      <c r="B828" s="74"/>
      <c r="C828" s="48"/>
      <c r="D828" s="88"/>
      <c r="E828" s="88"/>
      <c r="F828" s="88"/>
      <c r="G828" s="87"/>
    </row>
    <row r="829">
      <c r="A829" s="11"/>
      <c r="B829" s="74"/>
      <c r="C829" s="48"/>
      <c r="D829" s="88"/>
      <c r="E829" s="88"/>
      <c r="F829" s="88"/>
      <c r="G829" s="87"/>
    </row>
    <row r="830">
      <c r="A830" s="11"/>
      <c r="B830" s="74"/>
      <c r="C830" s="48"/>
      <c r="D830" s="88"/>
      <c r="E830" s="88"/>
      <c r="F830" s="88"/>
      <c r="G830" s="87"/>
    </row>
    <row r="831">
      <c r="A831" s="11"/>
      <c r="B831" s="74"/>
      <c r="C831" s="48"/>
      <c r="D831" s="88"/>
      <c r="E831" s="88"/>
      <c r="F831" s="88"/>
      <c r="G831" s="87"/>
    </row>
    <row r="832">
      <c r="A832" s="11"/>
      <c r="B832" s="74"/>
      <c r="C832" s="48"/>
      <c r="D832" s="88"/>
      <c r="E832" s="88"/>
      <c r="F832" s="88"/>
      <c r="G832" s="87"/>
    </row>
    <row r="833">
      <c r="A833" s="11"/>
      <c r="B833" s="74"/>
      <c r="C833" s="48"/>
      <c r="D833" s="88"/>
      <c r="E833" s="88"/>
      <c r="F833" s="88"/>
      <c r="G833" s="87"/>
    </row>
    <row r="834">
      <c r="A834" s="11"/>
      <c r="B834" s="74"/>
      <c r="C834" s="48"/>
      <c r="D834" s="88"/>
      <c r="E834" s="88"/>
      <c r="F834" s="88"/>
      <c r="G834" s="87"/>
    </row>
    <row r="835">
      <c r="A835" s="11"/>
      <c r="B835" s="74"/>
      <c r="C835" s="48"/>
      <c r="D835" s="88"/>
      <c r="E835" s="88"/>
      <c r="F835" s="88"/>
      <c r="G835" s="87"/>
    </row>
    <row r="836">
      <c r="A836" s="11"/>
      <c r="B836" s="74"/>
      <c r="C836" s="48"/>
      <c r="D836" s="88"/>
      <c r="E836" s="88"/>
      <c r="F836" s="88"/>
      <c r="G836" s="87"/>
    </row>
    <row r="837">
      <c r="A837" s="11"/>
      <c r="B837" s="74"/>
      <c r="C837" s="48"/>
      <c r="D837" s="88"/>
      <c r="E837" s="88"/>
      <c r="F837" s="88"/>
      <c r="G837" s="87"/>
    </row>
    <row r="838">
      <c r="A838" s="11"/>
      <c r="B838" s="74"/>
      <c r="C838" s="48"/>
      <c r="D838" s="88"/>
      <c r="E838" s="88"/>
      <c r="F838" s="88"/>
      <c r="G838" s="87"/>
    </row>
    <row r="839">
      <c r="A839" s="11"/>
      <c r="B839" s="74"/>
      <c r="C839" s="48"/>
      <c r="D839" s="88"/>
      <c r="E839" s="88"/>
      <c r="F839" s="88"/>
      <c r="G839" s="87"/>
    </row>
    <row r="840">
      <c r="A840" s="11"/>
      <c r="B840" s="74"/>
      <c r="C840" s="48"/>
      <c r="D840" s="88"/>
      <c r="E840" s="88"/>
      <c r="F840" s="88"/>
      <c r="G840" s="87"/>
    </row>
    <row r="841">
      <c r="A841" s="11"/>
      <c r="B841" s="74"/>
      <c r="C841" s="48"/>
      <c r="D841" s="88"/>
      <c r="E841" s="88"/>
      <c r="F841" s="88"/>
      <c r="G841" s="87"/>
    </row>
    <row r="842">
      <c r="A842" s="11"/>
      <c r="B842" s="74"/>
      <c r="C842" s="48"/>
      <c r="D842" s="88"/>
      <c r="E842" s="88"/>
      <c r="F842" s="88"/>
      <c r="G842" s="87"/>
    </row>
    <row r="843">
      <c r="A843" s="11"/>
      <c r="B843" s="74"/>
      <c r="C843" s="48"/>
      <c r="D843" s="88"/>
      <c r="E843" s="88"/>
      <c r="F843" s="88"/>
      <c r="G843" s="87"/>
    </row>
    <row r="844">
      <c r="A844" s="11"/>
      <c r="B844" s="74"/>
      <c r="C844" s="48"/>
      <c r="D844" s="88"/>
      <c r="E844" s="88"/>
      <c r="F844" s="88"/>
      <c r="G844" s="87"/>
    </row>
    <row r="845">
      <c r="A845" s="11"/>
      <c r="B845" s="74"/>
      <c r="C845" s="48"/>
      <c r="D845" s="88"/>
      <c r="E845" s="88"/>
      <c r="F845" s="88"/>
      <c r="G845" s="87"/>
    </row>
    <row r="846">
      <c r="A846" s="11"/>
      <c r="B846" s="74"/>
      <c r="C846" s="48"/>
      <c r="D846" s="88"/>
      <c r="E846" s="88"/>
      <c r="F846" s="88"/>
      <c r="G846" s="87"/>
    </row>
    <row r="847">
      <c r="A847" s="11"/>
      <c r="B847" s="74"/>
      <c r="C847" s="48"/>
      <c r="D847" s="88"/>
      <c r="E847" s="88"/>
      <c r="F847" s="88"/>
      <c r="G847" s="87"/>
    </row>
    <row r="848">
      <c r="A848" s="11"/>
      <c r="B848" s="74"/>
      <c r="C848" s="48"/>
      <c r="D848" s="88"/>
      <c r="E848" s="88"/>
      <c r="F848" s="88"/>
      <c r="G848" s="87"/>
    </row>
    <row r="849">
      <c r="A849" s="11"/>
      <c r="B849" s="74"/>
      <c r="C849" s="48"/>
      <c r="D849" s="88"/>
      <c r="E849" s="88"/>
      <c r="F849" s="88"/>
      <c r="G849" s="87"/>
    </row>
    <row r="850">
      <c r="A850" s="11"/>
      <c r="B850" s="74"/>
      <c r="C850" s="48"/>
      <c r="D850" s="88"/>
      <c r="E850" s="88"/>
      <c r="F850" s="88"/>
      <c r="G850" s="87"/>
    </row>
    <row r="851">
      <c r="A851" s="11"/>
      <c r="B851" s="74"/>
      <c r="C851" s="48"/>
      <c r="D851" s="88"/>
      <c r="E851" s="88"/>
      <c r="F851" s="88"/>
      <c r="G851" s="87"/>
    </row>
    <row r="852">
      <c r="A852" s="11"/>
      <c r="B852" s="74"/>
      <c r="C852" s="48"/>
      <c r="D852" s="88"/>
      <c r="E852" s="88"/>
      <c r="F852" s="88"/>
      <c r="G852" s="87"/>
    </row>
    <row r="853">
      <c r="A853" s="11"/>
      <c r="B853" s="74"/>
      <c r="C853" s="48"/>
      <c r="D853" s="88"/>
      <c r="E853" s="88"/>
      <c r="F853" s="88"/>
      <c r="G853" s="87"/>
    </row>
    <row r="854">
      <c r="A854" s="11"/>
      <c r="B854" s="74"/>
      <c r="C854" s="48"/>
      <c r="D854" s="88"/>
      <c r="E854" s="88"/>
      <c r="F854" s="88"/>
      <c r="G854" s="87"/>
    </row>
    <row r="855">
      <c r="A855" s="11"/>
      <c r="B855" s="74"/>
      <c r="C855" s="48"/>
      <c r="D855" s="88"/>
      <c r="E855" s="88"/>
      <c r="F855" s="88"/>
      <c r="G855" s="87"/>
    </row>
    <row r="856">
      <c r="A856" s="11"/>
      <c r="B856" s="74"/>
      <c r="C856" s="48"/>
      <c r="D856" s="88"/>
      <c r="E856" s="88"/>
      <c r="F856" s="88"/>
      <c r="G856" s="87"/>
    </row>
    <row r="857">
      <c r="A857" s="11"/>
      <c r="B857" s="74"/>
      <c r="C857" s="48"/>
      <c r="D857" s="88"/>
      <c r="E857" s="88"/>
      <c r="F857" s="88"/>
      <c r="G857" s="87"/>
    </row>
    <row r="858">
      <c r="A858" s="11"/>
      <c r="B858" s="74"/>
      <c r="C858" s="48"/>
      <c r="D858" s="88"/>
      <c r="E858" s="88"/>
      <c r="F858" s="88"/>
      <c r="G858" s="87"/>
    </row>
    <row r="859">
      <c r="A859" s="11"/>
      <c r="B859" s="74"/>
      <c r="C859" s="48"/>
      <c r="D859" s="88"/>
      <c r="E859" s="88"/>
      <c r="F859" s="88"/>
      <c r="G859" s="87"/>
    </row>
    <row r="860">
      <c r="A860" s="11"/>
      <c r="B860" s="74"/>
      <c r="C860" s="48"/>
      <c r="D860" s="88"/>
      <c r="E860" s="88"/>
      <c r="F860" s="88"/>
      <c r="G860" s="87"/>
    </row>
    <row r="861">
      <c r="A861" s="11"/>
      <c r="B861" s="74"/>
      <c r="C861" s="48"/>
      <c r="D861" s="88"/>
      <c r="E861" s="88"/>
      <c r="F861" s="88"/>
      <c r="G861" s="87"/>
    </row>
    <row r="862">
      <c r="A862" s="11"/>
      <c r="B862" s="74"/>
      <c r="C862" s="48"/>
      <c r="D862" s="88"/>
      <c r="E862" s="88"/>
      <c r="F862" s="88"/>
      <c r="G862" s="87"/>
    </row>
    <row r="863">
      <c r="A863" s="11"/>
      <c r="B863" s="74"/>
      <c r="C863" s="48"/>
      <c r="D863" s="88"/>
      <c r="E863" s="88"/>
      <c r="F863" s="88"/>
      <c r="G863" s="87"/>
    </row>
    <row r="864">
      <c r="A864" s="11"/>
      <c r="B864" s="74"/>
      <c r="C864" s="48"/>
      <c r="D864" s="88"/>
      <c r="E864" s="88"/>
      <c r="F864" s="88"/>
      <c r="G864" s="87"/>
    </row>
    <row r="865">
      <c r="A865" s="11"/>
      <c r="B865" s="74"/>
      <c r="C865" s="48"/>
      <c r="D865" s="88"/>
      <c r="E865" s="88"/>
      <c r="F865" s="88"/>
      <c r="G865" s="87"/>
    </row>
    <row r="866">
      <c r="A866" s="11"/>
      <c r="B866" s="74"/>
      <c r="C866" s="48"/>
      <c r="D866" s="88"/>
      <c r="E866" s="88"/>
      <c r="F866" s="88"/>
      <c r="G866" s="87"/>
    </row>
    <row r="867">
      <c r="A867" s="11"/>
      <c r="B867" s="74"/>
      <c r="C867" s="48"/>
      <c r="D867" s="88"/>
      <c r="E867" s="88"/>
      <c r="F867" s="88"/>
      <c r="G867" s="87"/>
    </row>
    <row r="868">
      <c r="A868" s="11"/>
      <c r="B868" s="74"/>
      <c r="C868" s="48"/>
      <c r="D868" s="88"/>
      <c r="E868" s="88"/>
      <c r="F868" s="88"/>
      <c r="G868" s="87"/>
    </row>
    <row r="869">
      <c r="A869" s="11"/>
      <c r="B869" s="74"/>
      <c r="C869" s="48"/>
      <c r="D869" s="88"/>
      <c r="E869" s="88"/>
      <c r="F869" s="88"/>
      <c r="G869" s="87"/>
    </row>
    <row r="870">
      <c r="A870" s="11"/>
      <c r="B870" s="74"/>
      <c r="C870" s="48"/>
      <c r="D870" s="88"/>
      <c r="E870" s="88"/>
      <c r="F870" s="88"/>
      <c r="G870" s="87"/>
    </row>
    <row r="871">
      <c r="A871" s="11"/>
      <c r="B871" s="74"/>
      <c r="C871" s="48"/>
      <c r="D871" s="88"/>
      <c r="E871" s="88"/>
      <c r="F871" s="88"/>
      <c r="G871" s="87"/>
    </row>
    <row r="872">
      <c r="A872" s="11"/>
      <c r="B872" s="74"/>
      <c r="C872" s="48"/>
      <c r="D872" s="88"/>
      <c r="E872" s="88"/>
      <c r="F872" s="88"/>
      <c r="G872" s="87"/>
    </row>
    <row r="873">
      <c r="A873" s="11"/>
      <c r="B873" s="74"/>
      <c r="C873" s="48"/>
      <c r="D873" s="88"/>
      <c r="E873" s="88"/>
      <c r="F873" s="88"/>
      <c r="G873" s="87"/>
    </row>
    <row r="874">
      <c r="A874" s="11"/>
      <c r="B874" s="74"/>
      <c r="C874" s="48"/>
      <c r="D874" s="88"/>
      <c r="E874" s="88"/>
      <c r="F874" s="88"/>
      <c r="G874" s="87"/>
    </row>
    <row r="875">
      <c r="A875" s="11"/>
      <c r="B875" s="74"/>
      <c r="C875" s="48"/>
      <c r="D875" s="88"/>
      <c r="E875" s="88"/>
      <c r="F875" s="88"/>
      <c r="G875" s="87"/>
    </row>
    <row r="876">
      <c r="A876" s="11"/>
      <c r="B876" s="74"/>
      <c r="C876" s="48"/>
      <c r="D876" s="88"/>
      <c r="E876" s="88"/>
      <c r="F876" s="88"/>
      <c r="G876" s="87"/>
    </row>
    <row r="877">
      <c r="A877" s="11"/>
      <c r="B877" s="74"/>
      <c r="C877" s="48"/>
      <c r="D877" s="88"/>
      <c r="E877" s="88"/>
      <c r="F877" s="88"/>
      <c r="G877" s="87"/>
    </row>
    <row r="878">
      <c r="A878" s="11"/>
      <c r="B878" s="74"/>
      <c r="C878" s="48"/>
      <c r="D878" s="88"/>
      <c r="E878" s="88"/>
      <c r="F878" s="88"/>
      <c r="G878" s="87"/>
    </row>
    <row r="879">
      <c r="A879" s="11"/>
      <c r="B879" s="74"/>
      <c r="C879" s="48"/>
      <c r="D879" s="88"/>
      <c r="E879" s="88"/>
      <c r="F879" s="88"/>
      <c r="G879" s="87"/>
    </row>
    <row r="880">
      <c r="A880" s="11"/>
      <c r="B880" s="74"/>
      <c r="C880" s="48"/>
      <c r="D880" s="88"/>
      <c r="E880" s="88"/>
      <c r="F880" s="88"/>
      <c r="G880" s="87"/>
    </row>
    <row r="881">
      <c r="A881" s="11"/>
      <c r="B881" s="74"/>
      <c r="C881" s="48"/>
      <c r="D881" s="88"/>
      <c r="E881" s="88"/>
      <c r="F881" s="88"/>
      <c r="G881" s="87"/>
    </row>
    <row r="882">
      <c r="A882" s="11"/>
      <c r="B882" s="74"/>
      <c r="C882" s="48"/>
      <c r="D882" s="88"/>
      <c r="E882" s="88"/>
      <c r="F882" s="88"/>
      <c r="G882" s="87"/>
    </row>
    <row r="883">
      <c r="A883" s="11"/>
      <c r="B883" s="74"/>
      <c r="C883" s="48"/>
      <c r="D883" s="88"/>
      <c r="E883" s="88"/>
      <c r="F883" s="88"/>
      <c r="G883" s="87"/>
    </row>
    <row r="884">
      <c r="A884" s="11"/>
      <c r="B884" s="74"/>
      <c r="C884" s="48"/>
      <c r="D884" s="88"/>
      <c r="E884" s="88"/>
      <c r="F884" s="88"/>
      <c r="G884" s="87"/>
    </row>
    <row r="885">
      <c r="A885" s="11"/>
      <c r="B885" s="74"/>
      <c r="C885" s="48"/>
      <c r="D885" s="88"/>
      <c r="E885" s="88"/>
      <c r="F885" s="88"/>
      <c r="G885" s="87"/>
    </row>
    <row r="886">
      <c r="A886" s="11"/>
      <c r="B886" s="74"/>
      <c r="C886" s="48"/>
      <c r="D886" s="88"/>
      <c r="E886" s="88"/>
      <c r="F886" s="88"/>
      <c r="G886" s="87"/>
    </row>
    <row r="887">
      <c r="A887" s="11"/>
      <c r="B887" s="74"/>
      <c r="C887" s="48"/>
      <c r="D887" s="88"/>
      <c r="E887" s="88"/>
      <c r="F887" s="88"/>
      <c r="G887" s="87"/>
    </row>
    <row r="888">
      <c r="A888" s="11"/>
      <c r="B888" s="74"/>
      <c r="C888" s="48"/>
      <c r="D888" s="88"/>
      <c r="E888" s="88"/>
      <c r="F888" s="88"/>
      <c r="G888" s="87"/>
    </row>
    <row r="889">
      <c r="A889" s="11"/>
      <c r="B889" s="74"/>
      <c r="C889" s="48"/>
      <c r="D889" s="88"/>
      <c r="E889" s="88"/>
      <c r="F889" s="88"/>
      <c r="G889" s="87"/>
    </row>
    <row r="890">
      <c r="A890" s="11"/>
      <c r="B890" s="74"/>
      <c r="C890" s="48"/>
      <c r="D890" s="88"/>
      <c r="E890" s="88"/>
      <c r="F890" s="88"/>
      <c r="G890" s="87"/>
    </row>
    <row r="891">
      <c r="A891" s="11"/>
      <c r="B891" s="74"/>
      <c r="C891" s="48"/>
      <c r="D891" s="88"/>
      <c r="E891" s="88"/>
      <c r="F891" s="88"/>
      <c r="G891" s="87"/>
    </row>
    <row r="892">
      <c r="A892" s="11"/>
      <c r="B892" s="74"/>
      <c r="C892" s="48"/>
      <c r="D892" s="88"/>
      <c r="E892" s="88"/>
      <c r="F892" s="88"/>
      <c r="G892" s="87"/>
    </row>
    <row r="893">
      <c r="A893" s="11"/>
      <c r="B893" s="74"/>
      <c r="C893" s="48"/>
      <c r="D893" s="88"/>
      <c r="E893" s="88"/>
      <c r="F893" s="88"/>
      <c r="G893" s="87"/>
    </row>
    <row r="894">
      <c r="A894" s="11"/>
      <c r="B894" s="74"/>
      <c r="C894" s="48"/>
      <c r="D894" s="88"/>
      <c r="E894" s="88"/>
      <c r="F894" s="88"/>
      <c r="G894" s="87"/>
    </row>
    <row r="895">
      <c r="A895" s="11"/>
      <c r="B895" s="74"/>
      <c r="C895" s="48"/>
      <c r="D895" s="88"/>
      <c r="E895" s="88"/>
      <c r="F895" s="88"/>
      <c r="G895" s="87"/>
    </row>
    <row r="896">
      <c r="A896" s="11"/>
      <c r="B896" s="74"/>
      <c r="C896" s="48"/>
      <c r="D896" s="88"/>
      <c r="E896" s="88"/>
      <c r="F896" s="88"/>
      <c r="G896" s="87"/>
    </row>
    <row r="897">
      <c r="A897" s="11"/>
      <c r="B897" s="74"/>
      <c r="C897" s="48"/>
      <c r="D897" s="88"/>
      <c r="E897" s="88"/>
      <c r="F897" s="88"/>
      <c r="G897" s="87"/>
    </row>
    <row r="898">
      <c r="A898" s="11"/>
      <c r="B898" s="74"/>
      <c r="C898" s="48"/>
      <c r="D898" s="88"/>
      <c r="E898" s="88"/>
      <c r="F898" s="88"/>
      <c r="G898" s="87"/>
    </row>
    <row r="899">
      <c r="A899" s="11"/>
      <c r="B899" s="74"/>
      <c r="C899" s="48"/>
      <c r="D899" s="88"/>
      <c r="E899" s="88"/>
      <c r="F899" s="88"/>
      <c r="G899" s="87"/>
    </row>
    <row r="900">
      <c r="A900" s="11"/>
      <c r="B900" s="74"/>
      <c r="C900" s="48"/>
      <c r="D900" s="88"/>
      <c r="E900" s="88"/>
      <c r="F900" s="88"/>
      <c r="G900" s="87"/>
    </row>
    <row r="901">
      <c r="A901" s="11"/>
      <c r="B901" s="74"/>
      <c r="C901" s="48"/>
      <c r="D901" s="88"/>
      <c r="E901" s="88"/>
      <c r="F901" s="88"/>
      <c r="G901" s="87"/>
    </row>
    <row r="902">
      <c r="A902" s="11"/>
      <c r="B902" s="74"/>
      <c r="C902" s="48"/>
      <c r="D902" s="88"/>
      <c r="E902" s="88"/>
      <c r="F902" s="88"/>
      <c r="G902" s="87"/>
    </row>
    <row r="903">
      <c r="A903" s="11"/>
      <c r="B903" s="74"/>
      <c r="C903" s="48"/>
      <c r="D903" s="88"/>
      <c r="E903" s="88"/>
      <c r="F903" s="88"/>
      <c r="G903" s="87"/>
    </row>
    <row r="904">
      <c r="A904" s="11"/>
      <c r="B904" s="74"/>
      <c r="C904" s="48"/>
      <c r="D904" s="88"/>
      <c r="E904" s="88"/>
      <c r="F904" s="88"/>
      <c r="G904" s="87"/>
    </row>
    <row r="905">
      <c r="A905" s="11"/>
      <c r="B905" s="74"/>
      <c r="C905" s="48"/>
      <c r="D905" s="88"/>
      <c r="E905" s="88"/>
      <c r="F905" s="88"/>
      <c r="G905" s="87"/>
    </row>
    <row r="906">
      <c r="A906" s="11"/>
      <c r="B906" s="74"/>
      <c r="C906" s="48"/>
      <c r="D906" s="88"/>
      <c r="E906" s="88"/>
      <c r="F906" s="88"/>
      <c r="G906" s="87"/>
    </row>
    <row r="907">
      <c r="A907" s="11"/>
      <c r="B907" s="74"/>
      <c r="C907" s="48"/>
      <c r="D907" s="88"/>
      <c r="E907" s="88"/>
      <c r="F907" s="88"/>
      <c r="G907" s="87"/>
    </row>
    <row r="908">
      <c r="A908" s="11"/>
      <c r="B908" s="74"/>
      <c r="C908" s="48"/>
      <c r="D908" s="88"/>
      <c r="E908" s="88"/>
      <c r="F908" s="88"/>
      <c r="G908" s="87"/>
    </row>
    <row r="909">
      <c r="A909" s="11"/>
      <c r="B909" s="74"/>
      <c r="C909" s="48"/>
      <c r="D909" s="88"/>
      <c r="E909" s="88"/>
      <c r="F909" s="88"/>
      <c r="G909" s="87"/>
    </row>
    <row r="910">
      <c r="A910" s="11"/>
      <c r="B910" s="74"/>
      <c r="C910" s="48"/>
      <c r="D910" s="88"/>
      <c r="E910" s="88"/>
      <c r="F910" s="88"/>
      <c r="G910" s="87"/>
    </row>
    <row r="911">
      <c r="A911" s="11"/>
      <c r="B911" s="74"/>
      <c r="C911" s="48"/>
      <c r="D911" s="88"/>
      <c r="E911" s="88"/>
      <c r="F911" s="88"/>
      <c r="G911" s="87"/>
    </row>
    <row r="912">
      <c r="A912" s="87"/>
      <c r="B912" s="88"/>
      <c r="D912" s="88"/>
      <c r="E912" s="88"/>
      <c r="F912" s="88"/>
      <c r="G912" s="87"/>
    </row>
    <row r="913">
      <c r="A913" s="87"/>
      <c r="B913" s="88"/>
      <c r="D913" s="88"/>
      <c r="E913" s="88"/>
      <c r="F913" s="88"/>
      <c r="G913" s="87"/>
    </row>
    <row r="914">
      <c r="A914" s="87"/>
      <c r="B914" s="88"/>
      <c r="D914" s="88"/>
      <c r="E914" s="88"/>
      <c r="F914" s="88"/>
      <c r="G914" s="87"/>
    </row>
    <row r="915">
      <c r="A915" s="87"/>
      <c r="B915" s="88"/>
      <c r="D915" s="88"/>
      <c r="E915" s="88"/>
      <c r="F915" s="88"/>
      <c r="G915" s="87"/>
    </row>
    <row r="916">
      <c r="A916" s="87"/>
      <c r="B916" s="88"/>
      <c r="D916" s="88"/>
      <c r="E916" s="88"/>
      <c r="F916" s="88"/>
      <c r="G916" s="87"/>
    </row>
    <row r="917">
      <c r="A917" s="87"/>
      <c r="B917" s="88"/>
      <c r="D917" s="88"/>
      <c r="E917" s="88"/>
      <c r="F917" s="88"/>
      <c r="G917" s="87"/>
    </row>
    <row r="918">
      <c r="A918" s="87"/>
      <c r="B918" s="88"/>
      <c r="D918" s="88"/>
      <c r="E918" s="88"/>
      <c r="F918" s="88"/>
      <c r="G918" s="87"/>
    </row>
    <row r="919">
      <c r="A919" s="87"/>
      <c r="B919" s="88"/>
      <c r="D919" s="88"/>
      <c r="E919" s="88"/>
      <c r="F919" s="88"/>
      <c r="G919" s="87"/>
    </row>
    <row r="920">
      <c r="A920" s="87"/>
      <c r="B920" s="88"/>
      <c r="D920" s="88"/>
      <c r="E920" s="88"/>
      <c r="F920" s="88"/>
      <c r="G920" s="87"/>
    </row>
    <row r="921">
      <c r="A921" s="87"/>
      <c r="B921" s="88"/>
      <c r="D921" s="88"/>
      <c r="E921" s="88"/>
      <c r="F921" s="88"/>
      <c r="G921" s="87"/>
    </row>
    <row r="922">
      <c r="A922" s="87"/>
      <c r="B922" s="88"/>
      <c r="D922" s="88"/>
      <c r="E922" s="88"/>
      <c r="F922" s="88"/>
      <c r="G922" s="87"/>
    </row>
    <row r="923">
      <c r="A923" s="87"/>
      <c r="B923" s="88"/>
      <c r="D923" s="88"/>
      <c r="E923" s="88"/>
      <c r="F923" s="88"/>
      <c r="G923" s="87"/>
    </row>
    <row r="924">
      <c r="A924" s="87"/>
      <c r="B924" s="88"/>
      <c r="D924" s="88"/>
      <c r="E924" s="88"/>
      <c r="F924" s="88"/>
      <c r="G924" s="87"/>
    </row>
    <row r="925">
      <c r="A925" s="87"/>
      <c r="B925" s="88"/>
      <c r="D925" s="88"/>
      <c r="E925" s="88"/>
      <c r="F925" s="88"/>
      <c r="G925" s="87"/>
    </row>
    <row r="926">
      <c r="A926" s="87"/>
      <c r="B926" s="88"/>
      <c r="D926" s="88"/>
      <c r="E926" s="88"/>
      <c r="F926" s="88"/>
      <c r="G926" s="87"/>
    </row>
    <row r="927">
      <c r="A927" s="87"/>
      <c r="B927" s="88"/>
      <c r="D927" s="88"/>
      <c r="E927" s="88"/>
      <c r="F927" s="88"/>
      <c r="G927" s="87"/>
    </row>
    <row r="928">
      <c r="A928" s="87"/>
      <c r="B928" s="88"/>
      <c r="D928" s="88"/>
      <c r="E928" s="88"/>
      <c r="F928" s="88"/>
      <c r="G928" s="87"/>
    </row>
    <row r="929">
      <c r="A929" s="87"/>
      <c r="B929" s="88"/>
      <c r="D929" s="88"/>
      <c r="E929" s="88"/>
      <c r="F929" s="88"/>
      <c r="G929" s="87"/>
    </row>
    <row r="930">
      <c r="A930" s="87"/>
      <c r="B930" s="88"/>
      <c r="D930" s="88"/>
      <c r="E930" s="88"/>
      <c r="F930" s="88"/>
      <c r="G930" s="87"/>
    </row>
    <row r="931">
      <c r="A931" s="87"/>
      <c r="B931" s="88"/>
      <c r="D931" s="88"/>
      <c r="E931" s="88"/>
      <c r="F931" s="88"/>
      <c r="G931" s="87"/>
    </row>
    <row r="932">
      <c r="A932" s="87"/>
      <c r="B932" s="88"/>
      <c r="D932" s="88"/>
      <c r="E932" s="88"/>
      <c r="F932" s="88"/>
      <c r="G932" s="87"/>
    </row>
    <row r="933">
      <c r="A933" s="87"/>
      <c r="B933" s="88"/>
      <c r="C933" s="88"/>
      <c r="D933" s="88"/>
      <c r="E933" s="88"/>
      <c r="F933" s="88"/>
      <c r="G933" s="87"/>
    </row>
    <row r="934">
      <c r="A934" s="87"/>
      <c r="B934" s="88"/>
      <c r="C934" s="88"/>
      <c r="D934" s="88"/>
      <c r="E934" s="88"/>
      <c r="F934" s="88"/>
      <c r="G934" s="87"/>
    </row>
    <row r="935">
      <c r="A935" s="87"/>
      <c r="B935" s="88"/>
      <c r="C935" s="88"/>
      <c r="D935" s="88"/>
      <c r="E935" s="88"/>
      <c r="F935" s="88"/>
      <c r="G935" s="87"/>
    </row>
    <row r="936">
      <c r="A936" s="87"/>
      <c r="B936" s="88"/>
      <c r="C936" s="88"/>
      <c r="D936" s="88"/>
      <c r="E936" s="88"/>
      <c r="F936" s="88"/>
      <c r="G936" s="87"/>
    </row>
    <row r="937">
      <c r="A937" s="87"/>
      <c r="B937" s="88"/>
      <c r="C937" s="88"/>
      <c r="D937" s="88"/>
      <c r="E937" s="88"/>
      <c r="F937" s="88"/>
      <c r="G937" s="87"/>
    </row>
    <row r="938">
      <c r="A938" s="87"/>
      <c r="B938" s="88"/>
      <c r="C938" s="88"/>
      <c r="D938" s="88"/>
      <c r="E938" s="88"/>
      <c r="F938" s="88"/>
      <c r="G938" s="87"/>
    </row>
    <row r="939">
      <c r="A939" s="87"/>
      <c r="B939" s="88"/>
      <c r="C939" s="88"/>
      <c r="D939" s="88"/>
      <c r="E939" s="88"/>
      <c r="F939" s="88"/>
      <c r="G939" s="87"/>
    </row>
    <row r="940">
      <c r="A940" s="87"/>
      <c r="B940" s="88"/>
      <c r="C940" s="88"/>
      <c r="D940" s="88"/>
      <c r="E940" s="88"/>
      <c r="F940" s="88"/>
      <c r="G940" s="87"/>
    </row>
    <row r="941">
      <c r="A941" s="87"/>
      <c r="B941" s="88"/>
      <c r="C941" s="88"/>
      <c r="D941" s="88"/>
      <c r="E941" s="88"/>
      <c r="F941" s="88"/>
      <c r="G941" s="87"/>
    </row>
    <row r="942">
      <c r="A942" s="87"/>
      <c r="B942" s="88"/>
      <c r="C942" s="88"/>
      <c r="D942" s="88"/>
      <c r="E942" s="88"/>
      <c r="F942" s="88"/>
      <c r="G942" s="87"/>
    </row>
    <row r="943">
      <c r="A943" s="87"/>
      <c r="B943" s="88"/>
      <c r="C943" s="88"/>
      <c r="D943" s="88"/>
      <c r="E943" s="88"/>
      <c r="F943" s="88"/>
      <c r="G943" s="87"/>
    </row>
    <row r="944">
      <c r="A944" s="87"/>
      <c r="B944" s="88"/>
      <c r="C944" s="88"/>
      <c r="D944" s="88"/>
      <c r="E944" s="88"/>
      <c r="F944" s="88"/>
      <c r="G944" s="87"/>
    </row>
    <row r="945">
      <c r="A945" s="87"/>
      <c r="B945" s="88"/>
      <c r="C945" s="88"/>
      <c r="D945" s="88"/>
      <c r="E945" s="88"/>
      <c r="F945" s="88"/>
      <c r="G945" s="87"/>
    </row>
    <row r="946">
      <c r="A946" s="87"/>
      <c r="B946" s="88"/>
      <c r="C946" s="88"/>
      <c r="D946" s="88"/>
      <c r="E946" s="88"/>
      <c r="F946" s="88"/>
      <c r="G946" s="87"/>
    </row>
    <row r="947">
      <c r="A947" s="87"/>
      <c r="B947" s="88"/>
      <c r="C947" s="88"/>
      <c r="D947" s="88"/>
      <c r="E947" s="88"/>
      <c r="F947" s="88"/>
      <c r="G947" s="87"/>
    </row>
    <row r="948">
      <c r="A948" s="87"/>
      <c r="B948" s="88"/>
      <c r="C948" s="88"/>
      <c r="D948" s="88"/>
      <c r="E948" s="88"/>
      <c r="F948" s="88"/>
      <c r="G948" s="87"/>
    </row>
    <row r="949">
      <c r="A949" s="87"/>
      <c r="B949" s="88"/>
      <c r="C949" s="88"/>
      <c r="D949" s="88"/>
      <c r="E949" s="88"/>
      <c r="F949" s="88"/>
      <c r="G949" s="87"/>
    </row>
    <row r="950">
      <c r="A950" s="87"/>
      <c r="B950" s="88"/>
      <c r="C950" s="88"/>
      <c r="D950" s="88"/>
      <c r="E950" s="88"/>
      <c r="F950" s="88"/>
      <c r="G950" s="87"/>
    </row>
    <row r="951">
      <c r="A951" s="87"/>
      <c r="B951" s="88"/>
      <c r="C951" s="88"/>
      <c r="D951" s="88"/>
      <c r="E951" s="88"/>
      <c r="F951" s="88"/>
      <c r="G951" s="87"/>
    </row>
    <row r="952">
      <c r="A952" s="87"/>
      <c r="B952" s="88"/>
      <c r="C952" s="88"/>
      <c r="D952" s="88"/>
      <c r="E952" s="88"/>
      <c r="F952" s="88"/>
      <c r="G952" s="87"/>
    </row>
    <row r="953">
      <c r="A953" s="87"/>
      <c r="B953" s="88"/>
      <c r="C953" s="88"/>
      <c r="D953" s="88"/>
      <c r="E953" s="88"/>
      <c r="F953" s="88"/>
      <c r="G953" s="87"/>
    </row>
    <row r="954">
      <c r="A954" s="87"/>
      <c r="B954" s="88"/>
      <c r="C954" s="88"/>
      <c r="D954" s="88"/>
      <c r="E954" s="88"/>
      <c r="F954" s="88"/>
      <c r="G954" s="87"/>
    </row>
    <row r="955">
      <c r="A955" s="87"/>
      <c r="B955" s="88"/>
      <c r="C955" s="88"/>
      <c r="D955" s="88"/>
      <c r="E955" s="88"/>
      <c r="F955" s="88"/>
      <c r="G955" s="87"/>
    </row>
    <row r="956">
      <c r="A956" s="87"/>
      <c r="B956" s="88"/>
      <c r="C956" s="88"/>
      <c r="D956" s="88"/>
      <c r="E956" s="88"/>
      <c r="F956" s="88"/>
      <c r="G956" s="87"/>
    </row>
    <row r="957">
      <c r="A957" s="87"/>
      <c r="B957" s="88"/>
      <c r="C957" s="88"/>
      <c r="D957" s="88"/>
      <c r="E957" s="88"/>
      <c r="F957" s="88"/>
      <c r="G957" s="87"/>
    </row>
    <row r="958">
      <c r="A958" s="87"/>
      <c r="B958" s="88"/>
      <c r="C958" s="88"/>
      <c r="D958" s="88"/>
      <c r="E958" s="88"/>
      <c r="F958" s="88"/>
      <c r="G958" s="87"/>
    </row>
    <row r="959">
      <c r="A959" s="87"/>
      <c r="B959" s="88"/>
      <c r="C959" s="88"/>
      <c r="D959" s="88"/>
      <c r="E959" s="88"/>
      <c r="F959" s="88"/>
      <c r="G959" s="87"/>
    </row>
    <row r="960">
      <c r="A960" s="87"/>
      <c r="B960" s="88"/>
      <c r="C960" s="88"/>
      <c r="D960" s="88"/>
      <c r="E960" s="88"/>
      <c r="F960" s="88"/>
      <c r="G960" s="87"/>
    </row>
    <row r="961">
      <c r="A961" s="87"/>
      <c r="B961" s="88"/>
      <c r="C961" s="88"/>
      <c r="D961" s="88"/>
      <c r="E961" s="88"/>
      <c r="F961" s="88"/>
      <c r="G961" s="87"/>
    </row>
    <row r="962">
      <c r="A962" s="87"/>
      <c r="B962" s="88"/>
      <c r="C962" s="88"/>
      <c r="D962" s="88"/>
      <c r="E962" s="88"/>
      <c r="F962" s="88"/>
      <c r="G962" s="87"/>
    </row>
    <row r="963">
      <c r="A963" s="87"/>
      <c r="B963" s="88"/>
      <c r="C963" s="88"/>
      <c r="D963" s="88"/>
      <c r="E963" s="88"/>
      <c r="F963" s="88"/>
      <c r="G963" s="87"/>
    </row>
    <row r="964">
      <c r="A964" s="87"/>
      <c r="B964" s="88"/>
      <c r="C964" s="88"/>
      <c r="D964" s="88"/>
      <c r="E964" s="88"/>
      <c r="F964" s="88"/>
      <c r="G964" s="87"/>
    </row>
    <row r="965">
      <c r="A965" s="87"/>
      <c r="B965" s="88"/>
      <c r="C965" s="88"/>
      <c r="D965" s="88"/>
      <c r="E965" s="88"/>
      <c r="F965" s="88"/>
      <c r="G965" s="87"/>
    </row>
    <row r="966">
      <c r="A966" s="87"/>
      <c r="B966" s="88"/>
      <c r="C966" s="88"/>
      <c r="D966" s="88"/>
      <c r="E966" s="88"/>
      <c r="F966" s="88"/>
      <c r="G966" s="87"/>
    </row>
    <row r="967">
      <c r="A967" s="87"/>
      <c r="B967" s="88"/>
      <c r="C967" s="88"/>
      <c r="D967" s="88"/>
      <c r="E967" s="88"/>
      <c r="F967" s="88"/>
      <c r="G967" s="87"/>
    </row>
    <row r="968">
      <c r="A968" s="87"/>
      <c r="B968" s="88"/>
      <c r="C968" s="88"/>
      <c r="D968" s="88"/>
      <c r="E968" s="88"/>
      <c r="F968" s="88"/>
      <c r="G968" s="87"/>
    </row>
    <row r="969">
      <c r="A969" s="87"/>
      <c r="B969" s="88"/>
      <c r="C969" s="88"/>
      <c r="D969" s="88"/>
      <c r="E969" s="88"/>
      <c r="F969" s="88"/>
      <c r="G969" s="87"/>
    </row>
    <row r="970">
      <c r="A970" s="87"/>
      <c r="B970" s="88"/>
      <c r="C970" s="88"/>
      <c r="D970" s="88"/>
      <c r="E970" s="88"/>
      <c r="F970" s="88"/>
      <c r="G970" s="87"/>
    </row>
    <row r="971">
      <c r="A971" s="87"/>
      <c r="B971" s="88"/>
      <c r="C971" s="88"/>
      <c r="D971" s="88"/>
      <c r="E971" s="88"/>
      <c r="F971" s="88"/>
      <c r="G971" s="87"/>
    </row>
    <row r="972">
      <c r="A972" s="87"/>
      <c r="B972" s="88"/>
      <c r="C972" s="88"/>
      <c r="D972" s="88"/>
      <c r="E972" s="88"/>
      <c r="F972" s="88"/>
      <c r="G972" s="87"/>
    </row>
    <row r="973">
      <c r="A973" s="87"/>
      <c r="B973" s="88"/>
      <c r="C973" s="88"/>
      <c r="D973" s="88"/>
      <c r="E973" s="88"/>
      <c r="F973" s="88"/>
      <c r="G973" s="87"/>
    </row>
    <row r="974">
      <c r="A974" s="87"/>
      <c r="B974" s="88"/>
      <c r="C974" s="88"/>
      <c r="D974" s="88"/>
      <c r="E974" s="88"/>
      <c r="F974" s="88"/>
      <c r="G974" s="87"/>
    </row>
    <row r="975">
      <c r="A975" s="87"/>
      <c r="B975" s="88"/>
      <c r="C975" s="88"/>
      <c r="D975" s="88"/>
      <c r="E975" s="88"/>
      <c r="F975" s="88"/>
      <c r="G975" s="87"/>
    </row>
    <row r="976">
      <c r="A976" s="87"/>
      <c r="B976" s="88"/>
      <c r="C976" s="88"/>
      <c r="D976" s="88"/>
      <c r="E976" s="88"/>
      <c r="F976" s="88"/>
      <c r="G976" s="87"/>
    </row>
    <row r="977">
      <c r="A977" s="87"/>
      <c r="B977" s="88"/>
      <c r="C977" s="88"/>
      <c r="D977" s="88"/>
      <c r="E977" s="88"/>
      <c r="F977" s="88"/>
      <c r="G977" s="87"/>
    </row>
    <row r="978">
      <c r="A978" s="87"/>
      <c r="B978" s="88"/>
      <c r="C978" s="88"/>
      <c r="D978" s="88"/>
      <c r="E978" s="88"/>
      <c r="F978" s="88"/>
      <c r="G978" s="87"/>
    </row>
    <row r="979">
      <c r="A979" s="87"/>
      <c r="B979" s="88"/>
      <c r="C979" s="88"/>
      <c r="D979" s="88"/>
      <c r="E979" s="88"/>
      <c r="F979" s="88"/>
      <c r="G979" s="87"/>
    </row>
    <row r="980">
      <c r="A980" s="87"/>
      <c r="B980" s="88"/>
      <c r="C980" s="88"/>
      <c r="D980" s="88"/>
      <c r="E980" s="88"/>
      <c r="F980" s="88"/>
      <c r="G980" s="87"/>
    </row>
    <row r="981">
      <c r="A981" s="87"/>
      <c r="B981" s="88"/>
      <c r="C981" s="88"/>
      <c r="D981" s="88"/>
      <c r="E981" s="88"/>
      <c r="F981" s="88"/>
      <c r="G981" s="87"/>
    </row>
    <row r="982">
      <c r="A982" s="87"/>
      <c r="B982" s="88"/>
      <c r="C982" s="88"/>
      <c r="D982" s="88"/>
      <c r="E982" s="88"/>
      <c r="F982" s="88"/>
      <c r="G982" s="87"/>
    </row>
    <row r="983">
      <c r="A983" s="87"/>
      <c r="B983" s="88"/>
      <c r="C983" s="88"/>
      <c r="D983" s="88"/>
      <c r="E983" s="88"/>
      <c r="F983" s="88"/>
      <c r="G983" s="87"/>
    </row>
    <row r="984">
      <c r="A984" s="87"/>
      <c r="B984" s="88"/>
      <c r="C984" s="88"/>
      <c r="D984" s="88"/>
      <c r="E984" s="88"/>
      <c r="F984" s="88"/>
      <c r="G984" s="87"/>
    </row>
    <row r="985">
      <c r="A985" s="87"/>
      <c r="B985" s="88"/>
      <c r="C985" s="88"/>
      <c r="D985" s="88"/>
      <c r="E985" s="88"/>
      <c r="F985" s="88"/>
      <c r="G985" s="87"/>
    </row>
    <row r="986">
      <c r="A986" s="87"/>
      <c r="B986" s="88"/>
      <c r="C986" s="88"/>
      <c r="D986" s="88"/>
      <c r="E986" s="88"/>
      <c r="F986" s="88"/>
      <c r="G986" s="87"/>
    </row>
    <row r="987">
      <c r="A987" s="87"/>
      <c r="B987" s="88"/>
      <c r="C987" s="88"/>
      <c r="D987" s="88"/>
      <c r="E987" s="88"/>
      <c r="F987" s="88"/>
      <c r="G987" s="87"/>
    </row>
    <row r="988">
      <c r="A988" s="87"/>
      <c r="B988" s="88"/>
      <c r="C988" s="88"/>
      <c r="D988" s="88"/>
      <c r="E988" s="88"/>
      <c r="F988" s="88"/>
      <c r="G988" s="87"/>
    </row>
    <row r="989">
      <c r="A989" s="87"/>
      <c r="B989" s="88"/>
      <c r="C989" s="88"/>
      <c r="D989" s="88"/>
      <c r="E989" s="88"/>
      <c r="F989" s="88"/>
      <c r="G989" s="87"/>
    </row>
    <row r="990">
      <c r="A990" s="87"/>
      <c r="B990" s="88"/>
      <c r="C990" s="88"/>
      <c r="D990" s="88"/>
      <c r="E990" s="88"/>
      <c r="F990" s="88"/>
      <c r="G990" s="87"/>
    </row>
    <row r="991">
      <c r="A991" s="87"/>
      <c r="B991" s="88"/>
      <c r="C991" s="88"/>
      <c r="D991" s="88"/>
      <c r="E991" s="88"/>
      <c r="F991" s="88"/>
      <c r="G991" s="87"/>
    </row>
    <row r="992">
      <c r="A992" s="87"/>
      <c r="B992" s="88"/>
      <c r="C992" s="88"/>
      <c r="D992" s="88"/>
      <c r="E992" s="88"/>
      <c r="F992" s="88"/>
      <c r="G992" s="87"/>
    </row>
    <row r="993">
      <c r="A993" s="87"/>
      <c r="B993" s="88"/>
      <c r="C993" s="88"/>
      <c r="D993" s="88"/>
      <c r="E993" s="88"/>
      <c r="F993" s="88"/>
      <c r="G993" s="87"/>
    </row>
    <row r="994">
      <c r="A994" s="87"/>
      <c r="B994" s="88"/>
      <c r="C994" s="88"/>
      <c r="D994" s="88"/>
      <c r="E994" s="88"/>
      <c r="F994" s="88"/>
      <c r="G994" s="87"/>
    </row>
    <row r="995">
      <c r="A995" s="87"/>
      <c r="B995" s="88"/>
      <c r="C995" s="88"/>
      <c r="D995" s="88"/>
      <c r="E995" s="88"/>
      <c r="F995" s="88"/>
      <c r="G995" s="87"/>
    </row>
    <row r="996">
      <c r="A996" s="87"/>
      <c r="B996" s="88"/>
      <c r="C996" s="88"/>
      <c r="D996" s="88"/>
      <c r="E996" s="88"/>
      <c r="F996" s="88"/>
      <c r="G996" s="87"/>
    </row>
    <row r="997">
      <c r="A997" s="87"/>
      <c r="B997" s="88"/>
      <c r="C997" s="88"/>
      <c r="D997" s="88"/>
      <c r="E997" s="88"/>
      <c r="F997" s="88"/>
      <c r="G997" s="87"/>
    </row>
    <row r="998">
      <c r="A998" s="87"/>
      <c r="B998" s="88"/>
      <c r="C998" s="88"/>
      <c r="D998" s="88"/>
      <c r="E998" s="88"/>
      <c r="F998" s="88"/>
      <c r="G998" s="87"/>
    </row>
    <row r="999">
      <c r="A999" s="87"/>
      <c r="B999" s="88"/>
      <c r="C999" s="88"/>
      <c r="D999" s="88"/>
      <c r="E999" s="88"/>
      <c r="F999" s="88"/>
      <c r="G999" s="87"/>
    </row>
    <row r="1000">
      <c r="A1000" s="87"/>
      <c r="B1000" s="88"/>
      <c r="C1000" s="88"/>
      <c r="D1000" s="88"/>
      <c r="E1000" s="88"/>
      <c r="F1000" s="88"/>
      <c r="G1000" s="87"/>
    </row>
    <row r="1001">
      <c r="A1001" s="87"/>
      <c r="B1001" s="88"/>
      <c r="C1001" s="88"/>
      <c r="D1001" s="88"/>
      <c r="E1001" s="88"/>
      <c r="F1001" s="88"/>
      <c r="G1001" s="87"/>
    </row>
    <row r="1002">
      <c r="A1002" s="87"/>
      <c r="B1002" s="88"/>
      <c r="C1002" s="88"/>
      <c r="D1002" s="88"/>
      <c r="E1002" s="88"/>
      <c r="F1002" s="88"/>
      <c r="G1002" s="87"/>
    </row>
    <row r="1003">
      <c r="A1003" s="87"/>
      <c r="B1003" s="88"/>
      <c r="C1003" s="88"/>
      <c r="D1003" s="88"/>
      <c r="E1003" s="88"/>
      <c r="F1003" s="88"/>
      <c r="G1003" s="87"/>
    </row>
    <row r="1004">
      <c r="A1004" s="87"/>
      <c r="B1004" s="88"/>
      <c r="C1004" s="88"/>
      <c r="D1004" s="88"/>
      <c r="E1004" s="88"/>
      <c r="F1004" s="88"/>
      <c r="G1004" s="87"/>
    </row>
    <row r="1005">
      <c r="A1005" s="87"/>
      <c r="B1005" s="88"/>
      <c r="C1005" s="88"/>
      <c r="D1005" s="88"/>
      <c r="E1005" s="88"/>
      <c r="F1005" s="88"/>
      <c r="G1005" s="87"/>
    </row>
    <row r="1006">
      <c r="A1006" s="87"/>
      <c r="B1006" s="88"/>
      <c r="C1006" s="88"/>
      <c r="D1006" s="88"/>
      <c r="E1006" s="88"/>
      <c r="F1006" s="88"/>
      <c r="G1006" s="87"/>
    </row>
    <row r="1007">
      <c r="A1007" s="87"/>
      <c r="B1007" s="88"/>
      <c r="C1007" s="88"/>
      <c r="D1007" s="88"/>
      <c r="E1007" s="88"/>
      <c r="F1007" s="88"/>
      <c r="G1007" s="87"/>
    </row>
    <row r="1008">
      <c r="A1008" s="87"/>
      <c r="B1008" s="88"/>
      <c r="C1008" s="88"/>
      <c r="D1008" s="88"/>
      <c r="E1008" s="88"/>
      <c r="F1008" s="88"/>
      <c r="G1008" s="87"/>
    </row>
    <row r="1009">
      <c r="A1009" s="87"/>
      <c r="B1009" s="88"/>
      <c r="C1009" s="88"/>
      <c r="D1009" s="88"/>
      <c r="E1009" s="88"/>
      <c r="F1009" s="88"/>
      <c r="G1009" s="87"/>
    </row>
    <row r="1010">
      <c r="A1010" s="87"/>
      <c r="B1010" s="88"/>
      <c r="C1010" s="88"/>
      <c r="D1010" s="88"/>
      <c r="E1010" s="88"/>
      <c r="F1010" s="88"/>
      <c r="G1010" s="87"/>
    </row>
    <row r="1011">
      <c r="A1011" s="87"/>
      <c r="B1011" s="88"/>
      <c r="C1011" s="88"/>
      <c r="D1011" s="88"/>
      <c r="E1011" s="88"/>
      <c r="F1011" s="88"/>
      <c r="G1011" s="87"/>
    </row>
    <row r="1012">
      <c r="A1012" s="87"/>
      <c r="B1012" s="88"/>
      <c r="C1012" s="88"/>
      <c r="D1012" s="88"/>
      <c r="E1012" s="88"/>
      <c r="F1012" s="88"/>
      <c r="G1012" s="87"/>
    </row>
    <row r="1013">
      <c r="A1013" s="87"/>
      <c r="B1013" s="88"/>
      <c r="C1013" s="88"/>
      <c r="D1013" s="88"/>
      <c r="E1013" s="88"/>
      <c r="F1013" s="88"/>
      <c r="G1013" s="87"/>
    </row>
    <row r="1014">
      <c r="A1014" s="87"/>
      <c r="B1014" s="88"/>
      <c r="C1014" s="88"/>
      <c r="D1014" s="88"/>
      <c r="E1014" s="88"/>
      <c r="F1014" s="88"/>
      <c r="G1014" s="87"/>
    </row>
    <row r="1015">
      <c r="A1015" s="87"/>
      <c r="B1015" s="88"/>
      <c r="C1015" s="88"/>
      <c r="D1015" s="88"/>
      <c r="E1015" s="88"/>
      <c r="F1015" s="88"/>
      <c r="G1015" s="87"/>
    </row>
    <row r="1016">
      <c r="A1016" s="87"/>
      <c r="B1016" s="88"/>
      <c r="C1016" s="88"/>
      <c r="D1016" s="88"/>
      <c r="E1016" s="88"/>
      <c r="F1016" s="88"/>
      <c r="G1016" s="87"/>
    </row>
    <row r="1017">
      <c r="A1017" s="87"/>
      <c r="B1017" s="88"/>
      <c r="C1017" s="88"/>
      <c r="D1017" s="88"/>
      <c r="E1017" s="88"/>
      <c r="F1017" s="88"/>
      <c r="G1017" s="87"/>
    </row>
    <row r="1018">
      <c r="A1018" s="87"/>
      <c r="B1018" s="88"/>
      <c r="C1018" s="88"/>
      <c r="D1018" s="88"/>
      <c r="E1018" s="88"/>
      <c r="F1018" s="88"/>
      <c r="G1018" s="87"/>
    </row>
    <row r="1019">
      <c r="A1019" s="87"/>
      <c r="B1019" s="88"/>
      <c r="C1019" s="88"/>
      <c r="D1019" s="88"/>
      <c r="E1019" s="88"/>
      <c r="F1019" s="88"/>
      <c r="G1019" s="87"/>
    </row>
    <row r="1020">
      <c r="A1020" s="87"/>
      <c r="B1020" s="88"/>
      <c r="C1020" s="88"/>
      <c r="D1020" s="88"/>
      <c r="E1020" s="88"/>
      <c r="F1020" s="88"/>
      <c r="G1020" s="87"/>
    </row>
    <row r="1021">
      <c r="A1021" s="87"/>
      <c r="B1021" s="88"/>
      <c r="C1021" s="88"/>
      <c r="D1021" s="88"/>
      <c r="E1021" s="88"/>
      <c r="F1021" s="88"/>
      <c r="G1021" s="87"/>
    </row>
    <row r="1022">
      <c r="A1022" s="87"/>
      <c r="B1022" s="88"/>
      <c r="C1022" s="88"/>
      <c r="D1022" s="88"/>
      <c r="E1022" s="88"/>
      <c r="F1022" s="88"/>
      <c r="G1022" s="87"/>
    </row>
    <row r="1023">
      <c r="A1023" s="87"/>
      <c r="B1023" s="88"/>
      <c r="C1023" s="88"/>
      <c r="D1023" s="88"/>
      <c r="E1023" s="88"/>
      <c r="F1023" s="88"/>
      <c r="G1023" s="87"/>
    </row>
    <row r="1024">
      <c r="A1024" s="87"/>
      <c r="B1024" s="88"/>
      <c r="C1024" s="88"/>
      <c r="D1024" s="88"/>
      <c r="E1024" s="88"/>
      <c r="F1024" s="88"/>
      <c r="G1024" s="87"/>
    </row>
    <row r="1025">
      <c r="A1025" s="87"/>
      <c r="B1025" s="88"/>
      <c r="C1025" s="88"/>
      <c r="D1025" s="88"/>
      <c r="E1025" s="88"/>
      <c r="F1025" s="88"/>
      <c r="G1025" s="87"/>
    </row>
    <row r="1026">
      <c r="A1026" s="87"/>
      <c r="B1026" s="88"/>
      <c r="C1026" s="88"/>
      <c r="D1026" s="88"/>
      <c r="E1026" s="88"/>
      <c r="F1026" s="88"/>
      <c r="G1026" s="87"/>
    </row>
    <row r="1027">
      <c r="A1027" s="87"/>
      <c r="B1027" s="88"/>
      <c r="C1027" s="88"/>
      <c r="D1027" s="88"/>
      <c r="E1027" s="88"/>
      <c r="F1027" s="88"/>
      <c r="G1027" s="87"/>
    </row>
    <row r="1028">
      <c r="A1028" s="87"/>
      <c r="B1028" s="88"/>
      <c r="C1028" s="88"/>
      <c r="D1028" s="88"/>
      <c r="E1028" s="88"/>
      <c r="F1028" s="88"/>
      <c r="G1028" s="87"/>
    </row>
    <row r="1029">
      <c r="A1029" s="87"/>
      <c r="B1029" s="88"/>
      <c r="C1029" s="88"/>
      <c r="D1029" s="88"/>
      <c r="E1029" s="88"/>
      <c r="F1029" s="88"/>
      <c r="G1029" s="87"/>
    </row>
    <row r="1030">
      <c r="A1030" s="87"/>
      <c r="B1030" s="88"/>
      <c r="C1030" s="88"/>
      <c r="D1030" s="88"/>
      <c r="E1030" s="88"/>
      <c r="F1030" s="88"/>
      <c r="G1030" s="87"/>
    </row>
    <row r="1031">
      <c r="A1031" s="87"/>
      <c r="B1031" s="88"/>
      <c r="C1031" s="88"/>
      <c r="D1031" s="88"/>
      <c r="E1031" s="88"/>
      <c r="F1031" s="88"/>
      <c r="G1031" s="87"/>
    </row>
    <row r="1032">
      <c r="A1032" s="87"/>
      <c r="B1032" s="88"/>
      <c r="C1032" s="88"/>
      <c r="D1032" s="88"/>
      <c r="E1032" s="88"/>
      <c r="F1032" s="88"/>
      <c r="G1032" s="87"/>
    </row>
    <row r="1033">
      <c r="A1033" s="87"/>
      <c r="B1033" s="88"/>
      <c r="C1033" s="88"/>
      <c r="D1033" s="88"/>
      <c r="E1033" s="88"/>
      <c r="F1033" s="88"/>
      <c r="G1033" s="87"/>
    </row>
    <row r="1034">
      <c r="A1034" s="87"/>
      <c r="B1034" s="88"/>
      <c r="C1034" s="88"/>
      <c r="D1034" s="88"/>
      <c r="E1034" s="88"/>
      <c r="F1034" s="88"/>
      <c r="G1034" s="87"/>
    </row>
    <row r="1035">
      <c r="A1035" s="87"/>
      <c r="B1035" s="88"/>
      <c r="C1035" s="88"/>
      <c r="D1035" s="88"/>
      <c r="E1035" s="88"/>
      <c r="F1035" s="88"/>
      <c r="G1035" s="87"/>
    </row>
    <row r="1036">
      <c r="A1036" s="87"/>
      <c r="B1036" s="88"/>
      <c r="C1036" s="88"/>
      <c r="D1036" s="88"/>
      <c r="E1036" s="88"/>
      <c r="F1036" s="88"/>
      <c r="G1036" s="87"/>
    </row>
    <row r="1037">
      <c r="A1037" s="87"/>
      <c r="B1037" s="88"/>
      <c r="C1037" s="88"/>
      <c r="D1037" s="88"/>
      <c r="E1037" s="88"/>
      <c r="F1037" s="88"/>
      <c r="G1037" s="87"/>
    </row>
    <row r="1038">
      <c r="A1038" s="87"/>
      <c r="B1038" s="88"/>
      <c r="C1038" s="88"/>
      <c r="D1038" s="88"/>
      <c r="E1038" s="88"/>
      <c r="F1038" s="88"/>
      <c r="G1038" s="87"/>
    </row>
    <row r="1039">
      <c r="A1039" s="87"/>
      <c r="B1039" s="88"/>
      <c r="C1039" s="88"/>
      <c r="D1039" s="88"/>
      <c r="E1039" s="88"/>
      <c r="F1039" s="88"/>
      <c r="G1039" s="87"/>
    </row>
    <row r="1040">
      <c r="A1040" s="87"/>
      <c r="B1040" s="88"/>
      <c r="C1040" s="88"/>
      <c r="D1040" s="88"/>
      <c r="E1040" s="88"/>
      <c r="F1040" s="88"/>
      <c r="G1040" s="87"/>
    </row>
    <row r="1041">
      <c r="A1041" s="87"/>
      <c r="B1041" s="88"/>
      <c r="C1041" s="88"/>
      <c r="D1041" s="88"/>
      <c r="E1041" s="88"/>
      <c r="F1041" s="88"/>
      <c r="G1041" s="87"/>
    </row>
    <row r="1042">
      <c r="A1042" s="87"/>
      <c r="B1042" s="88"/>
      <c r="C1042" s="88"/>
      <c r="D1042" s="88"/>
      <c r="E1042" s="88"/>
      <c r="F1042" s="88"/>
      <c r="G1042" s="87"/>
    </row>
    <row r="1043">
      <c r="A1043" s="87"/>
      <c r="B1043" s="88"/>
      <c r="C1043" s="88"/>
      <c r="D1043" s="88"/>
      <c r="E1043" s="88"/>
      <c r="F1043" s="88"/>
      <c r="G1043" s="87"/>
    </row>
    <row r="1044">
      <c r="A1044" s="87"/>
      <c r="B1044" s="88"/>
      <c r="C1044" s="88"/>
      <c r="D1044" s="88"/>
      <c r="E1044" s="88"/>
      <c r="F1044" s="88"/>
      <c r="G1044" s="87"/>
    </row>
    <row r="1045">
      <c r="A1045" s="87"/>
      <c r="B1045" s="88"/>
      <c r="C1045" s="88"/>
      <c r="D1045" s="88"/>
      <c r="E1045" s="88"/>
      <c r="F1045" s="88"/>
      <c r="G1045" s="87"/>
    </row>
    <row r="1046">
      <c r="A1046" s="87"/>
      <c r="B1046" s="88"/>
      <c r="C1046" s="88"/>
      <c r="D1046" s="88"/>
      <c r="E1046" s="88"/>
      <c r="F1046" s="88"/>
      <c r="G1046" s="87"/>
    </row>
    <row r="1047">
      <c r="A1047" s="87"/>
      <c r="B1047" s="88"/>
      <c r="C1047" s="88"/>
      <c r="D1047" s="88"/>
      <c r="E1047" s="88"/>
      <c r="F1047" s="88"/>
      <c r="G1047" s="87"/>
    </row>
    <row r="1048">
      <c r="A1048" s="87"/>
      <c r="B1048" s="88"/>
      <c r="C1048" s="88"/>
      <c r="D1048" s="88"/>
      <c r="E1048" s="88"/>
      <c r="F1048" s="88"/>
      <c r="G1048" s="87"/>
    </row>
    <row r="1049">
      <c r="A1049" s="87"/>
      <c r="B1049" s="88"/>
      <c r="C1049" s="88"/>
      <c r="D1049" s="88"/>
      <c r="E1049" s="88"/>
      <c r="F1049" s="88"/>
      <c r="G1049" s="87"/>
    </row>
    <row r="1050">
      <c r="A1050" s="87"/>
      <c r="B1050" s="88"/>
      <c r="C1050" s="88"/>
      <c r="D1050" s="88"/>
      <c r="E1050" s="88"/>
      <c r="F1050" s="88"/>
      <c r="G1050" s="87"/>
    </row>
    <row r="1051">
      <c r="A1051" s="87"/>
      <c r="B1051" s="88"/>
      <c r="C1051" s="88"/>
      <c r="D1051" s="88"/>
      <c r="E1051" s="88"/>
      <c r="F1051" s="88"/>
      <c r="G1051" s="87"/>
    </row>
    <row r="1052">
      <c r="A1052" s="87"/>
      <c r="B1052" s="88"/>
      <c r="C1052" s="88"/>
      <c r="D1052" s="88"/>
      <c r="E1052" s="88"/>
      <c r="F1052" s="88"/>
      <c r="G1052" s="87"/>
    </row>
    <row r="1053">
      <c r="A1053" s="87"/>
      <c r="B1053" s="88"/>
      <c r="C1053" s="88"/>
      <c r="D1053" s="88"/>
      <c r="E1053" s="88"/>
      <c r="F1053" s="88"/>
      <c r="G1053" s="87"/>
    </row>
    <row r="1054">
      <c r="A1054" s="87"/>
      <c r="B1054" s="88"/>
      <c r="C1054" s="88"/>
      <c r="D1054" s="88"/>
      <c r="E1054" s="88"/>
      <c r="F1054" s="88"/>
      <c r="G1054" s="87"/>
    </row>
    <row r="1055">
      <c r="A1055" s="87"/>
      <c r="B1055" s="88"/>
      <c r="C1055" s="88"/>
      <c r="D1055" s="88"/>
      <c r="E1055" s="88"/>
      <c r="F1055" s="88"/>
      <c r="G1055" s="87"/>
    </row>
    <row r="1056">
      <c r="A1056" s="87"/>
      <c r="B1056" s="88"/>
      <c r="C1056" s="88"/>
      <c r="D1056" s="88"/>
      <c r="E1056" s="88"/>
      <c r="F1056" s="88"/>
      <c r="G1056" s="87"/>
    </row>
    <row r="1057">
      <c r="A1057" s="87"/>
      <c r="B1057" s="88"/>
      <c r="C1057" s="88"/>
      <c r="D1057" s="88"/>
      <c r="E1057" s="88"/>
      <c r="F1057" s="88"/>
      <c r="G1057" s="87"/>
    </row>
    <row r="1058">
      <c r="A1058" s="87"/>
      <c r="B1058" s="88"/>
      <c r="C1058" s="88"/>
      <c r="D1058" s="88"/>
      <c r="E1058" s="88"/>
      <c r="F1058" s="88"/>
      <c r="G1058" s="87"/>
    </row>
    <row r="1059">
      <c r="A1059" s="87"/>
      <c r="B1059" s="88"/>
      <c r="C1059" s="88"/>
      <c r="D1059" s="88"/>
      <c r="E1059" s="88"/>
      <c r="F1059" s="88"/>
      <c r="G1059" s="87"/>
    </row>
    <row r="1060">
      <c r="A1060" s="87"/>
      <c r="B1060" s="88"/>
      <c r="C1060" s="88"/>
      <c r="D1060" s="88"/>
      <c r="E1060" s="88"/>
      <c r="F1060" s="88"/>
      <c r="G1060" s="87"/>
    </row>
    <row r="1061">
      <c r="A1061" s="87"/>
      <c r="B1061" s="88"/>
      <c r="C1061" s="88"/>
      <c r="D1061" s="88"/>
      <c r="E1061" s="88"/>
      <c r="F1061" s="88"/>
      <c r="G1061" s="87"/>
    </row>
    <row r="1062">
      <c r="A1062" s="87"/>
      <c r="B1062" s="88"/>
      <c r="C1062" s="88"/>
      <c r="D1062" s="88"/>
      <c r="E1062" s="88"/>
      <c r="F1062" s="88"/>
      <c r="G1062" s="87"/>
    </row>
    <row r="1063">
      <c r="A1063" s="87"/>
      <c r="B1063" s="88"/>
      <c r="C1063" s="88"/>
      <c r="D1063" s="88"/>
      <c r="E1063" s="88"/>
      <c r="F1063" s="88"/>
      <c r="G1063" s="87"/>
    </row>
    <row r="1064">
      <c r="A1064" s="87"/>
      <c r="B1064" s="88"/>
      <c r="C1064" s="88"/>
      <c r="D1064" s="88"/>
      <c r="E1064" s="88"/>
      <c r="F1064" s="88"/>
      <c r="G1064" s="87"/>
    </row>
    <row r="1065">
      <c r="A1065" s="87"/>
      <c r="B1065" s="88"/>
      <c r="C1065" s="88"/>
      <c r="D1065" s="88"/>
      <c r="E1065" s="88"/>
      <c r="F1065" s="88"/>
      <c r="G1065" s="87"/>
    </row>
    <row r="1066">
      <c r="A1066" s="87"/>
      <c r="B1066" s="88"/>
      <c r="C1066" s="88"/>
      <c r="D1066" s="88"/>
      <c r="E1066" s="88"/>
      <c r="F1066" s="88"/>
      <c r="G1066" s="87"/>
    </row>
    <row r="1067">
      <c r="A1067" s="87"/>
      <c r="B1067" s="88"/>
      <c r="C1067" s="88"/>
      <c r="D1067" s="88"/>
      <c r="E1067" s="88"/>
      <c r="F1067" s="88"/>
      <c r="G1067" s="87"/>
    </row>
    <row r="1068">
      <c r="A1068" s="87"/>
      <c r="B1068" s="88"/>
      <c r="C1068" s="88"/>
      <c r="D1068" s="88"/>
      <c r="E1068" s="88"/>
      <c r="F1068" s="88"/>
      <c r="G1068" s="87"/>
    </row>
    <row r="1069">
      <c r="A1069" s="87"/>
      <c r="B1069" s="88"/>
      <c r="C1069" s="88"/>
      <c r="D1069" s="88"/>
      <c r="E1069" s="88"/>
      <c r="F1069" s="88"/>
      <c r="G1069" s="87"/>
    </row>
    <row r="1070">
      <c r="A1070" s="87"/>
      <c r="B1070" s="88"/>
      <c r="C1070" s="88"/>
      <c r="D1070" s="88"/>
      <c r="E1070" s="88"/>
      <c r="F1070" s="88"/>
      <c r="G1070" s="87"/>
    </row>
    <row r="1071">
      <c r="A1071" s="87"/>
      <c r="B1071" s="88"/>
      <c r="C1071" s="88"/>
      <c r="D1071" s="88"/>
      <c r="E1071" s="88"/>
      <c r="F1071" s="88"/>
      <c r="G1071" s="87"/>
    </row>
    <row r="1072">
      <c r="A1072" s="87"/>
      <c r="B1072" s="88"/>
      <c r="C1072" s="88"/>
      <c r="D1072" s="88"/>
      <c r="E1072" s="88"/>
      <c r="F1072" s="88"/>
      <c r="G1072" s="87"/>
    </row>
    <row r="1073">
      <c r="A1073" s="87"/>
      <c r="B1073" s="88"/>
      <c r="C1073" s="88"/>
      <c r="D1073" s="88"/>
      <c r="E1073" s="88"/>
      <c r="F1073" s="88"/>
      <c r="G1073" s="87"/>
    </row>
    <row r="1074">
      <c r="A1074" s="87"/>
      <c r="B1074" s="88"/>
      <c r="C1074" s="88"/>
      <c r="D1074" s="88"/>
      <c r="E1074" s="88"/>
      <c r="F1074" s="88"/>
      <c r="G1074" s="87"/>
    </row>
    <row r="1075">
      <c r="A1075" s="87"/>
      <c r="B1075" s="88"/>
      <c r="C1075" s="88"/>
      <c r="D1075" s="88"/>
      <c r="E1075" s="88"/>
      <c r="F1075" s="88"/>
      <c r="G1075" s="87"/>
    </row>
    <row r="1076">
      <c r="A1076" s="87"/>
      <c r="B1076" s="88"/>
      <c r="C1076" s="88"/>
      <c r="D1076" s="88"/>
      <c r="E1076" s="88"/>
      <c r="F1076" s="88"/>
      <c r="G1076" s="87"/>
    </row>
    <row r="1077">
      <c r="A1077" s="87"/>
      <c r="B1077" s="88"/>
      <c r="C1077" s="88"/>
      <c r="D1077" s="88"/>
      <c r="E1077" s="88"/>
      <c r="F1077" s="88"/>
      <c r="G1077" s="87"/>
    </row>
    <row r="1078">
      <c r="A1078" s="87"/>
      <c r="B1078" s="88"/>
      <c r="C1078" s="88"/>
      <c r="D1078" s="88"/>
      <c r="E1078" s="88"/>
      <c r="F1078" s="88"/>
      <c r="G1078" s="87"/>
    </row>
    <row r="1079">
      <c r="A1079" s="87"/>
      <c r="B1079" s="88"/>
      <c r="C1079" s="88"/>
      <c r="D1079" s="88"/>
      <c r="E1079" s="88"/>
      <c r="F1079" s="88"/>
      <c r="G1079" s="87"/>
    </row>
    <row r="1080">
      <c r="A1080" s="87"/>
      <c r="B1080" s="88"/>
      <c r="C1080" s="88"/>
      <c r="D1080" s="88"/>
      <c r="E1080" s="88"/>
      <c r="F1080" s="88"/>
      <c r="G1080" s="87"/>
    </row>
    <row r="1081">
      <c r="A1081" s="87"/>
      <c r="B1081" s="88"/>
      <c r="C1081" s="88"/>
      <c r="D1081" s="88"/>
      <c r="E1081" s="88"/>
      <c r="F1081" s="88"/>
      <c r="G1081" s="87"/>
    </row>
    <row r="1082">
      <c r="A1082" s="87"/>
      <c r="B1082" s="88"/>
      <c r="C1082" s="88"/>
      <c r="D1082" s="88"/>
      <c r="E1082" s="88"/>
      <c r="F1082" s="88"/>
      <c r="G1082" s="87"/>
    </row>
    <row r="1083">
      <c r="A1083" s="87"/>
      <c r="B1083" s="88"/>
      <c r="C1083" s="88"/>
      <c r="D1083" s="88"/>
      <c r="E1083" s="88"/>
      <c r="F1083" s="88"/>
      <c r="G1083" s="87"/>
    </row>
    <row r="1084">
      <c r="A1084" s="87"/>
      <c r="B1084" s="88"/>
      <c r="C1084" s="88"/>
      <c r="D1084" s="88"/>
      <c r="E1084" s="88"/>
      <c r="F1084" s="88"/>
      <c r="G1084" s="87"/>
    </row>
    <row r="1085">
      <c r="A1085" s="87"/>
      <c r="B1085" s="88"/>
      <c r="C1085" s="88"/>
      <c r="D1085" s="88"/>
      <c r="E1085" s="88"/>
      <c r="F1085" s="88"/>
      <c r="G1085" s="87"/>
    </row>
    <row r="1086">
      <c r="A1086" s="87"/>
      <c r="B1086" s="88"/>
      <c r="C1086" s="88"/>
      <c r="D1086" s="88"/>
      <c r="E1086" s="88"/>
      <c r="F1086" s="88"/>
      <c r="G1086" s="87"/>
    </row>
    <row r="1087">
      <c r="A1087" s="87"/>
      <c r="B1087" s="88"/>
      <c r="C1087" s="88"/>
      <c r="D1087" s="88"/>
      <c r="E1087" s="88"/>
      <c r="F1087" s="88"/>
      <c r="G1087" s="87"/>
    </row>
    <row r="1088">
      <c r="A1088" s="87"/>
      <c r="B1088" s="88"/>
      <c r="C1088" s="88"/>
      <c r="D1088" s="88"/>
      <c r="E1088" s="88"/>
      <c r="F1088" s="88"/>
      <c r="G1088" s="87"/>
    </row>
    <row r="1089">
      <c r="A1089" s="87"/>
      <c r="B1089" s="88"/>
      <c r="C1089" s="88"/>
      <c r="D1089" s="88"/>
      <c r="E1089" s="88"/>
      <c r="F1089" s="88"/>
      <c r="G1089" s="87"/>
    </row>
    <row r="1090">
      <c r="A1090" s="87"/>
      <c r="B1090" s="88"/>
      <c r="C1090" s="88"/>
      <c r="D1090" s="88"/>
      <c r="E1090" s="88"/>
      <c r="F1090" s="88"/>
      <c r="G1090" s="87"/>
    </row>
    <row r="1091">
      <c r="A1091" s="87"/>
      <c r="B1091" s="88"/>
      <c r="C1091" s="88"/>
      <c r="D1091" s="88"/>
      <c r="E1091" s="88"/>
      <c r="F1091" s="88"/>
      <c r="G1091" s="87"/>
    </row>
    <row r="1092">
      <c r="A1092" s="87"/>
      <c r="B1092" s="88"/>
      <c r="C1092" s="88"/>
      <c r="D1092" s="88"/>
      <c r="E1092" s="88"/>
      <c r="F1092" s="88"/>
      <c r="G1092" s="87"/>
    </row>
    <row r="1093">
      <c r="A1093" s="87"/>
      <c r="B1093" s="88"/>
      <c r="C1093" s="88"/>
      <c r="D1093" s="88"/>
      <c r="E1093" s="88"/>
      <c r="F1093" s="88"/>
      <c r="G1093" s="87"/>
    </row>
    <row r="1094">
      <c r="A1094" s="87"/>
      <c r="B1094" s="88"/>
      <c r="C1094" s="88"/>
      <c r="D1094" s="88"/>
      <c r="E1094" s="88"/>
      <c r="F1094" s="88"/>
      <c r="G1094" s="87"/>
    </row>
    <row r="1095">
      <c r="A1095" s="87"/>
      <c r="B1095" s="88"/>
      <c r="C1095" s="88"/>
      <c r="D1095" s="88"/>
      <c r="E1095" s="88"/>
      <c r="F1095" s="88"/>
      <c r="G1095" s="87"/>
    </row>
    <row r="1096">
      <c r="A1096" s="87"/>
      <c r="B1096" s="88"/>
      <c r="C1096" s="88"/>
      <c r="D1096" s="88"/>
      <c r="E1096" s="88"/>
      <c r="F1096" s="88"/>
      <c r="G1096" s="87"/>
    </row>
    <row r="1097">
      <c r="A1097" s="87"/>
      <c r="B1097" s="88"/>
      <c r="C1097" s="88"/>
      <c r="D1097" s="88"/>
      <c r="E1097" s="88"/>
      <c r="F1097" s="88"/>
      <c r="G1097" s="87"/>
    </row>
    <row r="1098">
      <c r="A1098" s="87"/>
      <c r="B1098" s="88"/>
      <c r="C1098" s="88"/>
      <c r="D1098" s="88"/>
      <c r="E1098" s="88"/>
      <c r="F1098" s="88"/>
      <c r="G1098" s="87"/>
    </row>
    <row r="1099">
      <c r="A1099" s="87"/>
      <c r="B1099" s="88"/>
      <c r="C1099" s="88"/>
      <c r="D1099" s="88"/>
      <c r="E1099" s="88"/>
      <c r="F1099" s="88"/>
      <c r="G1099" s="87"/>
    </row>
    <row r="1100">
      <c r="A1100" s="87"/>
      <c r="B1100" s="88"/>
      <c r="C1100" s="88"/>
      <c r="D1100" s="88"/>
      <c r="E1100" s="88"/>
      <c r="F1100" s="88"/>
      <c r="G1100" s="87"/>
    </row>
    <row r="1101">
      <c r="A1101" s="87"/>
      <c r="B1101" s="88"/>
      <c r="C1101" s="88"/>
      <c r="D1101" s="88"/>
      <c r="E1101" s="88"/>
      <c r="F1101" s="88"/>
      <c r="G1101" s="87"/>
    </row>
    <row r="1102">
      <c r="A1102" s="87"/>
      <c r="B1102" s="88"/>
      <c r="C1102" s="88"/>
      <c r="D1102" s="88"/>
      <c r="E1102" s="88"/>
      <c r="F1102" s="88"/>
      <c r="G1102" s="87"/>
    </row>
    <row r="1103">
      <c r="A1103" s="87"/>
      <c r="B1103" s="88"/>
      <c r="C1103" s="88"/>
      <c r="D1103" s="88"/>
      <c r="E1103" s="88"/>
      <c r="F1103" s="88"/>
      <c r="G1103" s="87"/>
    </row>
    <row r="1104">
      <c r="A1104" s="87"/>
      <c r="B1104" s="88"/>
      <c r="C1104" s="88"/>
      <c r="D1104" s="88"/>
      <c r="E1104" s="88"/>
      <c r="F1104" s="88"/>
      <c r="G1104" s="87"/>
    </row>
    <row r="1105">
      <c r="A1105" s="87"/>
      <c r="B1105" s="88"/>
      <c r="C1105" s="88"/>
      <c r="D1105" s="88"/>
      <c r="E1105" s="88"/>
      <c r="F1105" s="88"/>
      <c r="G1105" s="87"/>
    </row>
    <row r="1106">
      <c r="A1106" s="87"/>
      <c r="B1106" s="88"/>
      <c r="C1106" s="88"/>
      <c r="D1106" s="88"/>
      <c r="E1106" s="88"/>
      <c r="F1106" s="88"/>
      <c r="G1106" s="87"/>
    </row>
    <row r="1107">
      <c r="A1107" s="87"/>
      <c r="B1107" s="88"/>
      <c r="C1107" s="88"/>
      <c r="D1107" s="88"/>
      <c r="E1107" s="88"/>
      <c r="F1107" s="88"/>
      <c r="G1107" s="87"/>
    </row>
    <row r="1108">
      <c r="A1108" s="87"/>
      <c r="B1108" s="88"/>
      <c r="C1108" s="88"/>
      <c r="D1108" s="88"/>
      <c r="E1108" s="88"/>
      <c r="F1108" s="88"/>
      <c r="G1108" s="87"/>
    </row>
    <row r="1109">
      <c r="A1109" s="87"/>
      <c r="B1109" s="88"/>
      <c r="C1109" s="88"/>
      <c r="D1109" s="88"/>
      <c r="E1109" s="88"/>
      <c r="F1109" s="88"/>
      <c r="G1109" s="87"/>
    </row>
    <row r="1110">
      <c r="A1110" s="87"/>
      <c r="B1110" s="88"/>
      <c r="C1110" s="88"/>
      <c r="D1110" s="88"/>
      <c r="E1110" s="88"/>
      <c r="F1110" s="88"/>
      <c r="G1110" s="87"/>
    </row>
    <row r="1111">
      <c r="A1111" s="87"/>
      <c r="B1111" s="88"/>
      <c r="C1111" s="88"/>
      <c r="D1111" s="88"/>
      <c r="E1111" s="88"/>
      <c r="F1111" s="88"/>
      <c r="G1111" s="87"/>
    </row>
    <row r="1112">
      <c r="A1112" s="87"/>
      <c r="B1112" s="88"/>
      <c r="C1112" s="88"/>
      <c r="D1112" s="88"/>
      <c r="E1112" s="88"/>
      <c r="F1112" s="88"/>
      <c r="G1112" s="87"/>
    </row>
    <row r="1113">
      <c r="A1113" s="87"/>
      <c r="B1113" s="88"/>
      <c r="C1113" s="88"/>
      <c r="D1113" s="88"/>
      <c r="E1113" s="88"/>
      <c r="F1113" s="88"/>
      <c r="G1113" s="87"/>
    </row>
    <row r="1114">
      <c r="A1114" s="87"/>
      <c r="B1114" s="88"/>
      <c r="C1114" s="88"/>
      <c r="D1114" s="88"/>
      <c r="E1114" s="88"/>
      <c r="F1114" s="88"/>
      <c r="G1114" s="87"/>
    </row>
    <row r="1115">
      <c r="A1115" s="87"/>
      <c r="B1115" s="88"/>
      <c r="C1115" s="88"/>
      <c r="D1115" s="88"/>
      <c r="E1115" s="88"/>
      <c r="F1115" s="88"/>
      <c r="G1115" s="87"/>
    </row>
    <row r="1116">
      <c r="A1116" s="87"/>
      <c r="B1116" s="88"/>
      <c r="C1116" s="88"/>
      <c r="D1116" s="88"/>
      <c r="E1116" s="88"/>
      <c r="F1116" s="88"/>
      <c r="G1116" s="87"/>
    </row>
    <row r="1117">
      <c r="A1117" s="87"/>
      <c r="B1117" s="88"/>
      <c r="C1117" s="88"/>
      <c r="D1117" s="88"/>
      <c r="E1117" s="88"/>
      <c r="F1117" s="88"/>
      <c r="G1117" s="87"/>
    </row>
    <row r="1118">
      <c r="A1118" s="87"/>
      <c r="B1118" s="88"/>
      <c r="C1118" s="88"/>
      <c r="D1118" s="88"/>
      <c r="E1118" s="88"/>
      <c r="F1118" s="88"/>
      <c r="G1118" s="87"/>
    </row>
    <row r="1119">
      <c r="A1119" s="87"/>
      <c r="B1119" s="88"/>
      <c r="C1119" s="88"/>
      <c r="D1119" s="88"/>
      <c r="E1119" s="88"/>
      <c r="F1119" s="88"/>
      <c r="G1119" s="87"/>
    </row>
    <row r="1120">
      <c r="A1120" s="87"/>
      <c r="B1120" s="88"/>
      <c r="C1120" s="88"/>
      <c r="D1120" s="88"/>
      <c r="E1120" s="88"/>
      <c r="F1120" s="88"/>
      <c r="G1120" s="87"/>
    </row>
    <row r="1121">
      <c r="A1121" s="87"/>
      <c r="B1121" s="88"/>
      <c r="C1121" s="88"/>
      <c r="D1121" s="88"/>
      <c r="E1121" s="88"/>
      <c r="F1121" s="88"/>
      <c r="G1121" s="87"/>
    </row>
    <row r="1122">
      <c r="A1122" s="87"/>
      <c r="B1122" s="88"/>
      <c r="C1122" s="88"/>
      <c r="D1122" s="88"/>
      <c r="E1122" s="88"/>
      <c r="F1122" s="88"/>
      <c r="G1122" s="87"/>
    </row>
    <row r="1123">
      <c r="A1123" s="87"/>
      <c r="B1123" s="88"/>
      <c r="C1123" s="88"/>
      <c r="D1123" s="88"/>
      <c r="E1123" s="88"/>
      <c r="F1123" s="88"/>
      <c r="G1123" s="87"/>
    </row>
    <row r="1124">
      <c r="A1124" s="87"/>
      <c r="B1124" s="88"/>
      <c r="C1124" s="88"/>
      <c r="D1124" s="88"/>
      <c r="E1124" s="88"/>
      <c r="F1124" s="88"/>
      <c r="G1124" s="87"/>
    </row>
    <row r="1125">
      <c r="A1125" s="87"/>
      <c r="B1125" s="88"/>
      <c r="C1125" s="88"/>
      <c r="D1125" s="88"/>
      <c r="E1125" s="88"/>
      <c r="F1125" s="88"/>
      <c r="G1125" s="87"/>
    </row>
    <row r="1126">
      <c r="A1126" s="87"/>
      <c r="B1126" s="88"/>
      <c r="C1126" s="88"/>
      <c r="D1126" s="88"/>
      <c r="E1126" s="88"/>
      <c r="F1126" s="88"/>
      <c r="G1126" s="87"/>
    </row>
    <row r="1127">
      <c r="A1127" s="87"/>
      <c r="B1127" s="88"/>
      <c r="C1127" s="88"/>
      <c r="D1127" s="88"/>
      <c r="E1127" s="88"/>
      <c r="F1127" s="88"/>
      <c r="G1127" s="87"/>
    </row>
    <row r="1128">
      <c r="A1128" s="87"/>
      <c r="B1128" s="88"/>
      <c r="C1128" s="88"/>
      <c r="D1128" s="88"/>
      <c r="E1128" s="88"/>
      <c r="F1128" s="88"/>
      <c r="G1128" s="87"/>
    </row>
    <row r="1129">
      <c r="A1129" s="87"/>
      <c r="B1129" s="88"/>
      <c r="C1129" s="88"/>
      <c r="D1129" s="88"/>
      <c r="E1129" s="88"/>
      <c r="F1129" s="88"/>
      <c r="G1129" s="87"/>
    </row>
    <row r="1130">
      <c r="A1130" s="87"/>
      <c r="B1130" s="88"/>
      <c r="C1130" s="88"/>
      <c r="D1130" s="88"/>
      <c r="E1130" s="88"/>
      <c r="F1130" s="88"/>
      <c r="G1130" s="87"/>
    </row>
    <row r="1131">
      <c r="A1131" s="87"/>
      <c r="B1131" s="88"/>
      <c r="C1131" s="88"/>
      <c r="D1131" s="88"/>
      <c r="E1131" s="88"/>
      <c r="F1131" s="88"/>
      <c r="G1131" s="87"/>
    </row>
    <row r="1132">
      <c r="A1132" s="87"/>
      <c r="B1132" s="88"/>
      <c r="C1132" s="88"/>
      <c r="D1132" s="88"/>
      <c r="E1132" s="88"/>
      <c r="F1132" s="88"/>
      <c r="G1132" s="87"/>
    </row>
    <row r="1133">
      <c r="A1133" s="87"/>
      <c r="B1133" s="88"/>
      <c r="C1133" s="88"/>
      <c r="D1133" s="88"/>
      <c r="E1133" s="88"/>
      <c r="F1133" s="88"/>
      <c r="G1133" s="87"/>
    </row>
    <row r="1134">
      <c r="A1134" s="87"/>
      <c r="B1134" s="88"/>
      <c r="C1134" s="88"/>
      <c r="D1134" s="88"/>
      <c r="E1134" s="88"/>
      <c r="F1134" s="88"/>
      <c r="G1134" s="87"/>
    </row>
    <row r="1135">
      <c r="A1135" s="87"/>
      <c r="B1135" s="88"/>
      <c r="C1135" s="88"/>
      <c r="D1135" s="88"/>
      <c r="E1135" s="88"/>
      <c r="F1135" s="88"/>
      <c r="G1135" s="87"/>
    </row>
    <row r="1136">
      <c r="A1136" s="87"/>
      <c r="B1136" s="88"/>
      <c r="C1136" s="88"/>
      <c r="D1136" s="88"/>
      <c r="E1136" s="88"/>
      <c r="F1136" s="88"/>
      <c r="G1136" s="87"/>
    </row>
    <row r="1137">
      <c r="A1137" s="87"/>
      <c r="B1137" s="88"/>
      <c r="C1137" s="88"/>
      <c r="D1137" s="88"/>
      <c r="E1137" s="88"/>
      <c r="F1137" s="88"/>
      <c r="G1137" s="87"/>
    </row>
    <row r="1138">
      <c r="A1138" s="87"/>
      <c r="B1138" s="88"/>
      <c r="C1138" s="88"/>
      <c r="D1138" s="88"/>
      <c r="E1138" s="88"/>
      <c r="F1138" s="88"/>
      <c r="G1138" s="87"/>
    </row>
    <row r="1139">
      <c r="A1139" s="87"/>
      <c r="B1139" s="88"/>
      <c r="C1139" s="88"/>
      <c r="D1139" s="88"/>
      <c r="E1139" s="88"/>
      <c r="F1139" s="88"/>
      <c r="G1139" s="87"/>
    </row>
    <row r="1140">
      <c r="A1140" s="87"/>
      <c r="B1140" s="88"/>
      <c r="C1140" s="88"/>
      <c r="D1140" s="88"/>
      <c r="E1140" s="88"/>
      <c r="F1140" s="88"/>
      <c r="G1140" s="87"/>
    </row>
    <row r="1141">
      <c r="A1141" s="87"/>
      <c r="B1141" s="88"/>
      <c r="C1141" s="88"/>
      <c r="D1141" s="88"/>
      <c r="E1141" s="88"/>
      <c r="F1141" s="88"/>
      <c r="G1141" s="87"/>
    </row>
    <row r="1142">
      <c r="A1142" s="87"/>
      <c r="B1142" s="88"/>
      <c r="C1142" s="88"/>
      <c r="D1142" s="88"/>
      <c r="E1142" s="88"/>
      <c r="F1142" s="88"/>
      <c r="G1142" s="87"/>
    </row>
    <row r="1143">
      <c r="A1143" s="87"/>
      <c r="B1143" s="88"/>
      <c r="C1143" s="88"/>
      <c r="D1143" s="88"/>
      <c r="E1143" s="88"/>
      <c r="F1143" s="88"/>
      <c r="G1143" s="87"/>
    </row>
    <row r="1144">
      <c r="A1144" s="87"/>
      <c r="B1144" s="88"/>
      <c r="C1144" s="88"/>
      <c r="D1144" s="88"/>
      <c r="E1144" s="88"/>
      <c r="F1144" s="88"/>
      <c r="G1144" s="87"/>
    </row>
    <row r="1145">
      <c r="A1145" s="87"/>
      <c r="B1145" s="88"/>
      <c r="C1145" s="88"/>
      <c r="D1145" s="88"/>
      <c r="E1145" s="88"/>
      <c r="F1145" s="88"/>
      <c r="G1145" s="87"/>
    </row>
    <row r="1146">
      <c r="A1146" s="87"/>
      <c r="B1146" s="88"/>
      <c r="C1146" s="88"/>
      <c r="D1146" s="88"/>
      <c r="E1146" s="88"/>
      <c r="F1146" s="88"/>
      <c r="G1146" s="87"/>
    </row>
    <row r="1147">
      <c r="A1147" s="87"/>
      <c r="B1147" s="88"/>
      <c r="C1147" s="88"/>
      <c r="D1147" s="88"/>
      <c r="E1147" s="88"/>
      <c r="F1147" s="88"/>
      <c r="G1147" s="87"/>
    </row>
    <row r="1148">
      <c r="A1148" s="87"/>
      <c r="B1148" s="88"/>
      <c r="C1148" s="88"/>
      <c r="D1148" s="88"/>
      <c r="E1148" s="88"/>
      <c r="F1148" s="88"/>
      <c r="G1148" s="87"/>
    </row>
    <row r="1149">
      <c r="A1149" s="87"/>
      <c r="B1149" s="88"/>
      <c r="C1149" s="88"/>
      <c r="D1149" s="88"/>
      <c r="E1149" s="88"/>
      <c r="F1149" s="88"/>
      <c r="G1149" s="87"/>
    </row>
    <row r="1150">
      <c r="A1150" s="87"/>
      <c r="B1150" s="88"/>
      <c r="C1150" s="88"/>
      <c r="D1150" s="88"/>
      <c r="E1150" s="88"/>
      <c r="F1150" s="88"/>
      <c r="G1150" s="87"/>
    </row>
    <row r="1151">
      <c r="A1151" s="87"/>
      <c r="B1151" s="88"/>
      <c r="C1151" s="88"/>
      <c r="D1151" s="88"/>
      <c r="E1151" s="88"/>
      <c r="F1151" s="88"/>
      <c r="G1151" s="87"/>
    </row>
    <row r="1152">
      <c r="A1152" s="87"/>
      <c r="B1152" s="88"/>
      <c r="C1152" s="88"/>
      <c r="D1152" s="88"/>
      <c r="E1152" s="88"/>
      <c r="F1152" s="88"/>
      <c r="G1152" s="87"/>
    </row>
    <row r="1153">
      <c r="A1153" s="87"/>
      <c r="B1153" s="88"/>
      <c r="C1153" s="88"/>
      <c r="D1153" s="88"/>
      <c r="E1153" s="88"/>
      <c r="F1153" s="88"/>
      <c r="G1153" s="87"/>
    </row>
    <row r="1154">
      <c r="A1154" s="87"/>
      <c r="B1154" s="88"/>
      <c r="C1154" s="88"/>
      <c r="D1154" s="88"/>
      <c r="E1154" s="88"/>
      <c r="F1154" s="88"/>
      <c r="G1154" s="87"/>
    </row>
    <row r="1155">
      <c r="A1155" s="87"/>
      <c r="B1155" s="88"/>
      <c r="C1155" s="88"/>
      <c r="D1155" s="88"/>
      <c r="E1155" s="88"/>
      <c r="F1155" s="88"/>
      <c r="G1155" s="87"/>
    </row>
    <row r="1156">
      <c r="A1156" s="87"/>
      <c r="B1156" s="88"/>
      <c r="C1156" s="88"/>
      <c r="D1156" s="88"/>
      <c r="E1156" s="88"/>
      <c r="F1156" s="88"/>
      <c r="G1156" s="87"/>
    </row>
    <row r="1157">
      <c r="A1157" s="87"/>
      <c r="B1157" s="88"/>
      <c r="C1157" s="88"/>
      <c r="D1157" s="88"/>
      <c r="E1157" s="88"/>
      <c r="F1157" s="88"/>
      <c r="G1157" s="87"/>
    </row>
    <row r="1158">
      <c r="A1158" s="87"/>
      <c r="B1158" s="88"/>
      <c r="C1158" s="88"/>
      <c r="D1158" s="88"/>
      <c r="E1158" s="88"/>
      <c r="F1158" s="88"/>
      <c r="G1158" s="87"/>
    </row>
    <row r="1159">
      <c r="A1159" s="87"/>
      <c r="B1159" s="88"/>
      <c r="C1159" s="88"/>
      <c r="D1159" s="88"/>
      <c r="E1159" s="88"/>
      <c r="F1159" s="88"/>
      <c r="G1159" s="87"/>
    </row>
    <row r="1160">
      <c r="A1160" s="87"/>
      <c r="B1160" s="88"/>
      <c r="C1160" s="88"/>
      <c r="D1160" s="88"/>
      <c r="E1160" s="88"/>
      <c r="F1160" s="88"/>
      <c r="G1160" s="87"/>
    </row>
    <row r="1161">
      <c r="A1161" s="87"/>
      <c r="B1161" s="88"/>
      <c r="C1161" s="88"/>
      <c r="D1161" s="88"/>
      <c r="E1161" s="88"/>
      <c r="F1161" s="88"/>
      <c r="G1161" s="87"/>
    </row>
    <row r="1162">
      <c r="A1162" s="87"/>
      <c r="B1162" s="88"/>
      <c r="C1162" s="88"/>
      <c r="D1162" s="88"/>
      <c r="E1162" s="88"/>
      <c r="F1162" s="88"/>
      <c r="G1162" s="87"/>
    </row>
    <row r="1163">
      <c r="A1163" s="87"/>
      <c r="B1163" s="88"/>
      <c r="C1163" s="88"/>
      <c r="D1163" s="88"/>
      <c r="E1163" s="88"/>
      <c r="F1163" s="88"/>
      <c r="G1163" s="87"/>
    </row>
    <row r="1164">
      <c r="A1164" s="87"/>
      <c r="B1164" s="88"/>
      <c r="C1164" s="88"/>
      <c r="D1164" s="88"/>
      <c r="E1164" s="88"/>
      <c r="F1164" s="88"/>
      <c r="G1164" s="87"/>
    </row>
    <row r="1165">
      <c r="A1165" s="87"/>
      <c r="B1165" s="88"/>
      <c r="C1165" s="88"/>
      <c r="D1165" s="88"/>
      <c r="E1165" s="88"/>
      <c r="F1165" s="88"/>
      <c r="G1165" s="87"/>
    </row>
    <row r="1166">
      <c r="A1166" s="87"/>
      <c r="B1166" s="88"/>
      <c r="C1166" s="88"/>
      <c r="D1166" s="88"/>
      <c r="E1166" s="88"/>
      <c r="F1166" s="88"/>
      <c r="G1166" s="87"/>
    </row>
    <row r="1167">
      <c r="A1167" s="87"/>
      <c r="B1167" s="88"/>
      <c r="C1167" s="88"/>
      <c r="D1167" s="88"/>
      <c r="E1167" s="88"/>
      <c r="F1167" s="88"/>
      <c r="G1167" s="87"/>
    </row>
    <row r="1168">
      <c r="A1168" s="87"/>
      <c r="B1168" s="88"/>
      <c r="C1168" s="88"/>
      <c r="D1168" s="88"/>
      <c r="E1168" s="88"/>
      <c r="F1168" s="88"/>
      <c r="G1168" s="87"/>
    </row>
    <row r="1169">
      <c r="A1169" s="87"/>
      <c r="B1169" s="88"/>
      <c r="C1169" s="88"/>
      <c r="D1169" s="88"/>
      <c r="E1169" s="88"/>
      <c r="F1169" s="88"/>
      <c r="G1169" s="87"/>
    </row>
    <row r="1170">
      <c r="A1170" s="87"/>
      <c r="B1170" s="88"/>
      <c r="C1170" s="88"/>
      <c r="D1170" s="88"/>
      <c r="E1170" s="88"/>
      <c r="F1170" s="88"/>
      <c r="G1170" s="87"/>
    </row>
    <row r="1171">
      <c r="A1171" s="87"/>
      <c r="B1171" s="88"/>
      <c r="C1171" s="88"/>
      <c r="D1171" s="88"/>
      <c r="E1171" s="88"/>
      <c r="F1171" s="88"/>
      <c r="G1171" s="87"/>
    </row>
    <row r="1172">
      <c r="A1172" s="87"/>
      <c r="B1172" s="88"/>
      <c r="C1172" s="88"/>
      <c r="D1172" s="88"/>
      <c r="E1172" s="88"/>
      <c r="F1172" s="88"/>
      <c r="G1172" s="87"/>
    </row>
    <row r="1173">
      <c r="A1173" s="87"/>
      <c r="B1173" s="88"/>
      <c r="C1173" s="88"/>
      <c r="D1173" s="88"/>
      <c r="E1173" s="88"/>
      <c r="F1173" s="88"/>
      <c r="G1173" s="87"/>
    </row>
    <row r="1174">
      <c r="A1174" s="87"/>
      <c r="B1174" s="88"/>
      <c r="C1174" s="88"/>
      <c r="D1174" s="88"/>
      <c r="E1174" s="88"/>
      <c r="F1174" s="88"/>
      <c r="G1174" s="87"/>
    </row>
    <row r="1175">
      <c r="A1175" s="87"/>
      <c r="B1175" s="88"/>
      <c r="C1175" s="88"/>
      <c r="D1175" s="88"/>
      <c r="E1175" s="88"/>
      <c r="F1175" s="88"/>
      <c r="G1175" s="87"/>
    </row>
    <row r="1176">
      <c r="A1176" s="87"/>
      <c r="B1176" s="88"/>
      <c r="C1176" s="88"/>
      <c r="D1176" s="88"/>
      <c r="E1176" s="88"/>
      <c r="F1176" s="88"/>
      <c r="G1176" s="87"/>
    </row>
    <row r="1177">
      <c r="A1177" s="87"/>
      <c r="B1177" s="88"/>
      <c r="C1177" s="88"/>
      <c r="D1177" s="88"/>
      <c r="E1177" s="88"/>
      <c r="F1177" s="88"/>
      <c r="G1177" s="87"/>
    </row>
    <row r="1178">
      <c r="A1178" s="87"/>
      <c r="B1178" s="88"/>
      <c r="C1178" s="88"/>
      <c r="D1178" s="88"/>
      <c r="E1178" s="88"/>
      <c r="F1178" s="88"/>
      <c r="G1178" s="87"/>
    </row>
    <row r="1179">
      <c r="A1179" s="87"/>
      <c r="B1179" s="88"/>
      <c r="C1179" s="88"/>
      <c r="D1179" s="88"/>
      <c r="E1179" s="88"/>
      <c r="F1179" s="88"/>
      <c r="G1179" s="87"/>
    </row>
    <row r="1180">
      <c r="A1180" s="87"/>
      <c r="B1180" s="88"/>
      <c r="C1180" s="88"/>
      <c r="D1180" s="88"/>
      <c r="E1180" s="88"/>
      <c r="F1180" s="88"/>
      <c r="G1180" s="87"/>
    </row>
    <row r="1181">
      <c r="A1181" s="87"/>
      <c r="B1181" s="88"/>
      <c r="C1181" s="88"/>
      <c r="D1181" s="88"/>
      <c r="E1181" s="88"/>
      <c r="F1181" s="88"/>
      <c r="G1181" s="87"/>
    </row>
    <row r="1182">
      <c r="A1182" s="87"/>
      <c r="B1182" s="88"/>
      <c r="C1182" s="88"/>
      <c r="D1182" s="88"/>
      <c r="E1182" s="88"/>
      <c r="F1182" s="88"/>
      <c r="G1182" s="87"/>
    </row>
    <row r="1183">
      <c r="A1183" s="87"/>
      <c r="B1183" s="88"/>
      <c r="C1183" s="88"/>
      <c r="D1183" s="88"/>
      <c r="E1183" s="88"/>
      <c r="F1183" s="88"/>
      <c r="G1183" s="87"/>
    </row>
    <row r="1184">
      <c r="A1184" s="87"/>
      <c r="B1184" s="88"/>
      <c r="C1184" s="88"/>
      <c r="D1184" s="88"/>
      <c r="E1184" s="88"/>
      <c r="F1184" s="88"/>
      <c r="G1184" s="87"/>
    </row>
    <row r="1185">
      <c r="A1185" s="87"/>
      <c r="B1185" s="88"/>
      <c r="C1185" s="88"/>
      <c r="D1185" s="88"/>
      <c r="E1185" s="88"/>
      <c r="F1185" s="88"/>
      <c r="G1185" s="87"/>
    </row>
    <row r="1186">
      <c r="A1186" s="87"/>
      <c r="B1186" s="88"/>
      <c r="C1186" s="88"/>
      <c r="D1186" s="88"/>
      <c r="E1186" s="88"/>
      <c r="F1186" s="88"/>
      <c r="G1186" s="87"/>
    </row>
    <row r="1187">
      <c r="A1187" s="87"/>
      <c r="B1187" s="88"/>
      <c r="C1187" s="88"/>
      <c r="D1187" s="88"/>
      <c r="E1187" s="88"/>
      <c r="F1187" s="88"/>
      <c r="G1187" s="87"/>
    </row>
    <row r="1188">
      <c r="A1188" s="87"/>
      <c r="B1188" s="88"/>
      <c r="C1188" s="88"/>
      <c r="D1188" s="88"/>
      <c r="E1188" s="88"/>
      <c r="F1188" s="88"/>
      <c r="G1188" s="87"/>
    </row>
    <row r="1189">
      <c r="A1189" s="87"/>
      <c r="B1189" s="88"/>
      <c r="C1189" s="88"/>
      <c r="D1189" s="88"/>
      <c r="E1189" s="88"/>
      <c r="F1189" s="88"/>
      <c r="G1189" s="87"/>
    </row>
    <row r="1190">
      <c r="A1190" s="87"/>
      <c r="B1190" s="88"/>
      <c r="C1190" s="88"/>
      <c r="D1190" s="88"/>
      <c r="E1190" s="88"/>
      <c r="F1190" s="88"/>
      <c r="G1190" s="87"/>
    </row>
    <row r="1191">
      <c r="A1191" s="87"/>
      <c r="B1191" s="88"/>
      <c r="C1191" s="88"/>
      <c r="D1191" s="88"/>
      <c r="E1191" s="88"/>
      <c r="F1191" s="88"/>
      <c r="G1191" s="87"/>
    </row>
    <row r="1192">
      <c r="A1192" s="87"/>
      <c r="B1192" s="88"/>
      <c r="C1192" s="88"/>
      <c r="D1192" s="88"/>
      <c r="E1192" s="88"/>
      <c r="F1192" s="88"/>
      <c r="G1192" s="87"/>
    </row>
    <row r="1193">
      <c r="A1193" s="87"/>
      <c r="B1193" s="88"/>
      <c r="C1193" s="88"/>
      <c r="D1193" s="88"/>
      <c r="E1193" s="88"/>
      <c r="F1193" s="88"/>
      <c r="G1193" s="87"/>
    </row>
    <row r="1194">
      <c r="A1194" s="87"/>
      <c r="B1194" s="88"/>
      <c r="C1194" s="88"/>
      <c r="D1194" s="88"/>
      <c r="E1194" s="88"/>
      <c r="F1194" s="88"/>
      <c r="G1194" s="87"/>
    </row>
    <row r="1195">
      <c r="A1195" s="87"/>
      <c r="B1195" s="88"/>
      <c r="C1195" s="88"/>
      <c r="D1195" s="88"/>
      <c r="E1195" s="88"/>
      <c r="F1195" s="88"/>
      <c r="G1195" s="87"/>
    </row>
    <row r="1196">
      <c r="A1196" s="87"/>
      <c r="B1196" s="88"/>
      <c r="C1196" s="88"/>
      <c r="D1196" s="88"/>
      <c r="E1196" s="88"/>
      <c r="F1196" s="88"/>
      <c r="G1196" s="87"/>
    </row>
    <row r="1197">
      <c r="A1197" s="87"/>
      <c r="B1197" s="88"/>
      <c r="C1197" s="88"/>
      <c r="D1197" s="88"/>
      <c r="E1197" s="88"/>
      <c r="F1197" s="88"/>
      <c r="G1197" s="87"/>
    </row>
    <row r="1198">
      <c r="A1198" s="87"/>
      <c r="B1198" s="88"/>
      <c r="C1198" s="88"/>
      <c r="D1198" s="88"/>
      <c r="E1198" s="88"/>
      <c r="F1198" s="88"/>
      <c r="G1198" s="87"/>
    </row>
    <row r="1199">
      <c r="A1199" s="87"/>
      <c r="B1199" s="88"/>
      <c r="C1199" s="88"/>
      <c r="D1199" s="88"/>
      <c r="E1199" s="88"/>
      <c r="F1199" s="88"/>
      <c r="G1199" s="87"/>
    </row>
    <row r="1200">
      <c r="A1200" s="87"/>
      <c r="B1200" s="88"/>
      <c r="C1200" s="88"/>
      <c r="D1200" s="88"/>
      <c r="E1200" s="88"/>
      <c r="F1200" s="88"/>
      <c r="G1200" s="87"/>
    </row>
    <row r="1201">
      <c r="A1201" s="87"/>
      <c r="B1201" s="88"/>
      <c r="C1201" s="88"/>
      <c r="D1201" s="88"/>
      <c r="E1201" s="88"/>
      <c r="F1201" s="88"/>
      <c r="G1201" s="87"/>
    </row>
    <row r="1202">
      <c r="A1202" s="87"/>
      <c r="B1202" s="88"/>
      <c r="C1202" s="88"/>
      <c r="D1202" s="88"/>
      <c r="E1202" s="88"/>
      <c r="F1202" s="88"/>
      <c r="G1202" s="87"/>
    </row>
    <row r="1203">
      <c r="A1203" s="87"/>
      <c r="B1203" s="88"/>
      <c r="C1203" s="88"/>
      <c r="D1203" s="88"/>
      <c r="E1203" s="88"/>
      <c r="F1203" s="88"/>
      <c r="G1203" s="87"/>
    </row>
    <row r="1204">
      <c r="A1204" s="87"/>
      <c r="B1204" s="88"/>
      <c r="C1204" s="88"/>
      <c r="D1204" s="88"/>
      <c r="E1204" s="88"/>
      <c r="F1204" s="88"/>
      <c r="G1204" s="87"/>
    </row>
    <row r="1205">
      <c r="A1205" s="87"/>
      <c r="B1205" s="88"/>
      <c r="C1205" s="88"/>
      <c r="D1205" s="88"/>
      <c r="E1205" s="88"/>
      <c r="F1205" s="88"/>
      <c r="G1205" s="87"/>
    </row>
    <row r="1206">
      <c r="A1206" s="87"/>
      <c r="B1206" s="88"/>
      <c r="C1206" s="88"/>
      <c r="D1206" s="88"/>
      <c r="E1206" s="88"/>
      <c r="F1206" s="88"/>
      <c r="G1206" s="87"/>
    </row>
    <row r="1207">
      <c r="A1207" s="87"/>
      <c r="B1207" s="88"/>
      <c r="C1207" s="88"/>
      <c r="D1207" s="88"/>
      <c r="E1207" s="88"/>
      <c r="F1207" s="88"/>
      <c r="G1207" s="87"/>
    </row>
    <row r="1208">
      <c r="A1208" s="87"/>
      <c r="B1208" s="88"/>
      <c r="C1208" s="88"/>
      <c r="D1208" s="88"/>
      <c r="E1208" s="88"/>
      <c r="F1208" s="88"/>
      <c r="G1208" s="87"/>
    </row>
    <row r="1209">
      <c r="A1209" s="87"/>
      <c r="B1209" s="88"/>
      <c r="C1209" s="88"/>
      <c r="D1209" s="88"/>
      <c r="E1209" s="88"/>
      <c r="F1209" s="88"/>
      <c r="G1209" s="87"/>
    </row>
    <row r="1210">
      <c r="A1210" s="87"/>
      <c r="B1210" s="88"/>
      <c r="C1210" s="88"/>
      <c r="D1210" s="88"/>
      <c r="E1210" s="88"/>
      <c r="F1210" s="88"/>
      <c r="G1210" s="87"/>
    </row>
    <row r="1211">
      <c r="A1211" s="87"/>
      <c r="B1211" s="88"/>
      <c r="C1211" s="88"/>
      <c r="D1211" s="88"/>
      <c r="E1211" s="88"/>
      <c r="F1211" s="88"/>
      <c r="G1211" s="87"/>
    </row>
    <row r="1212">
      <c r="A1212" s="87"/>
      <c r="B1212" s="88"/>
      <c r="C1212" s="88"/>
      <c r="D1212" s="88"/>
      <c r="E1212" s="88"/>
      <c r="F1212" s="88"/>
      <c r="G1212" s="87"/>
    </row>
    <row r="1213">
      <c r="A1213" s="87"/>
      <c r="B1213" s="88"/>
      <c r="C1213" s="88"/>
      <c r="D1213" s="88"/>
      <c r="E1213" s="88"/>
      <c r="F1213" s="88"/>
      <c r="G1213" s="87"/>
    </row>
    <row r="1214">
      <c r="A1214" s="87"/>
      <c r="B1214" s="88"/>
      <c r="C1214" s="88"/>
      <c r="D1214" s="88"/>
      <c r="E1214" s="88"/>
      <c r="F1214" s="88"/>
      <c r="G1214" s="87"/>
    </row>
    <row r="1215">
      <c r="A1215" s="87"/>
      <c r="B1215" s="88"/>
      <c r="C1215" s="88"/>
      <c r="D1215" s="88"/>
      <c r="E1215" s="88"/>
      <c r="F1215" s="88"/>
      <c r="G1215" s="87"/>
    </row>
    <row r="1216">
      <c r="A1216" s="87"/>
      <c r="B1216" s="88"/>
      <c r="C1216" s="88"/>
      <c r="D1216" s="88"/>
      <c r="E1216" s="88"/>
      <c r="F1216" s="88"/>
      <c r="G1216" s="87"/>
    </row>
    <row r="1217">
      <c r="A1217" s="87"/>
      <c r="B1217" s="88"/>
      <c r="C1217" s="88"/>
      <c r="D1217" s="88"/>
      <c r="E1217" s="88"/>
      <c r="F1217" s="88"/>
      <c r="G1217" s="87"/>
    </row>
    <row r="1218">
      <c r="A1218" s="87"/>
      <c r="B1218" s="88"/>
      <c r="C1218" s="88"/>
      <c r="D1218" s="88"/>
      <c r="E1218" s="88"/>
      <c r="F1218" s="88"/>
      <c r="G1218" s="87"/>
    </row>
    <row r="1219">
      <c r="A1219" s="87"/>
      <c r="B1219" s="88"/>
      <c r="C1219" s="88"/>
      <c r="D1219" s="88"/>
      <c r="E1219" s="88"/>
      <c r="F1219" s="88"/>
      <c r="G1219" s="87"/>
    </row>
    <row r="1220">
      <c r="A1220" s="87"/>
      <c r="B1220" s="88"/>
      <c r="C1220" s="88"/>
      <c r="D1220" s="88"/>
      <c r="E1220" s="88"/>
      <c r="F1220" s="88"/>
      <c r="G1220" s="87"/>
    </row>
    <row r="1221">
      <c r="A1221" s="87"/>
      <c r="B1221" s="88"/>
      <c r="C1221" s="88"/>
      <c r="D1221" s="88"/>
      <c r="E1221" s="88"/>
      <c r="F1221" s="88"/>
      <c r="G1221" s="87"/>
    </row>
    <row r="1222">
      <c r="A1222" s="87"/>
      <c r="B1222" s="88"/>
      <c r="C1222" s="88"/>
      <c r="D1222" s="88"/>
      <c r="E1222" s="88"/>
      <c r="F1222" s="88"/>
      <c r="G1222" s="87"/>
    </row>
    <row r="1223">
      <c r="A1223" s="87"/>
      <c r="B1223" s="88"/>
      <c r="C1223" s="88"/>
      <c r="D1223" s="88"/>
      <c r="E1223" s="88"/>
      <c r="F1223" s="88"/>
      <c r="G1223" s="87"/>
    </row>
    <row r="1224">
      <c r="A1224" s="87"/>
      <c r="B1224" s="88"/>
      <c r="C1224" s="88"/>
      <c r="D1224" s="88"/>
      <c r="E1224" s="88"/>
      <c r="F1224" s="88"/>
      <c r="G1224" s="87"/>
    </row>
    <row r="1225">
      <c r="A1225" s="87"/>
      <c r="B1225" s="88"/>
      <c r="C1225" s="88"/>
      <c r="D1225" s="88"/>
      <c r="E1225" s="88"/>
      <c r="F1225" s="88"/>
      <c r="G1225" s="87"/>
    </row>
    <row r="1226">
      <c r="A1226" s="87"/>
      <c r="B1226" s="88"/>
      <c r="C1226" s="88"/>
      <c r="D1226" s="88"/>
      <c r="E1226" s="88"/>
      <c r="F1226" s="88"/>
      <c r="G1226" s="87"/>
    </row>
    <row r="1227">
      <c r="A1227" s="87"/>
      <c r="B1227" s="88"/>
      <c r="C1227" s="88"/>
      <c r="D1227" s="88"/>
      <c r="E1227" s="88"/>
      <c r="F1227" s="88"/>
      <c r="G1227" s="87"/>
    </row>
    <row r="1228">
      <c r="A1228" s="87"/>
      <c r="B1228" s="88"/>
      <c r="C1228" s="88"/>
      <c r="D1228" s="88"/>
      <c r="E1228" s="88"/>
      <c r="F1228" s="88"/>
      <c r="G1228" s="87"/>
    </row>
    <row r="1229">
      <c r="A1229" s="87"/>
      <c r="B1229" s="88"/>
      <c r="C1229" s="88"/>
      <c r="D1229" s="88"/>
      <c r="E1229" s="88"/>
      <c r="F1229" s="88"/>
      <c r="G1229" s="87"/>
    </row>
    <row r="1230">
      <c r="A1230" s="87"/>
      <c r="B1230" s="88"/>
      <c r="C1230" s="88"/>
      <c r="D1230" s="88"/>
      <c r="E1230" s="88"/>
      <c r="F1230" s="88"/>
      <c r="G1230" s="87"/>
    </row>
    <row r="1231">
      <c r="A1231" s="87"/>
      <c r="B1231" s="88"/>
      <c r="C1231" s="88"/>
      <c r="D1231" s="88"/>
      <c r="E1231" s="88"/>
      <c r="F1231" s="88"/>
      <c r="G1231" s="87"/>
    </row>
    <row r="1232">
      <c r="A1232" s="87"/>
      <c r="B1232" s="88"/>
      <c r="C1232" s="88"/>
      <c r="D1232" s="88"/>
      <c r="E1232" s="88"/>
      <c r="F1232" s="88"/>
      <c r="G1232" s="87"/>
    </row>
    <row r="1233">
      <c r="A1233" s="87"/>
      <c r="B1233" s="88"/>
      <c r="C1233" s="88"/>
      <c r="D1233" s="88"/>
      <c r="E1233" s="88"/>
      <c r="F1233" s="88"/>
      <c r="G1233" s="87"/>
    </row>
    <row r="1234">
      <c r="A1234" s="87"/>
      <c r="B1234" s="88"/>
      <c r="C1234" s="88"/>
      <c r="D1234" s="88"/>
      <c r="E1234" s="88"/>
      <c r="F1234" s="88"/>
      <c r="G1234" s="87"/>
    </row>
    <row r="1235">
      <c r="A1235" s="87"/>
      <c r="B1235" s="88"/>
      <c r="C1235" s="88"/>
      <c r="D1235" s="88"/>
      <c r="E1235" s="88"/>
      <c r="F1235" s="88"/>
      <c r="G1235" s="87"/>
    </row>
    <row r="1236">
      <c r="A1236" s="87"/>
      <c r="B1236" s="88"/>
      <c r="C1236" s="88"/>
      <c r="D1236" s="88"/>
      <c r="E1236" s="88"/>
      <c r="F1236" s="88"/>
      <c r="G1236" s="87"/>
    </row>
    <row r="1237">
      <c r="A1237" s="87"/>
      <c r="B1237" s="88"/>
      <c r="C1237" s="88"/>
      <c r="D1237" s="88"/>
      <c r="E1237" s="88"/>
      <c r="F1237" s="88"/>
      <c r="G1237" s="87"/>
    </row>
    <row r="1238">
      <c r="A1238" s="87"/>
      <c r="B1238" s="88"/>
      <c r="C1238" s="88"/>
      <c r="D1238" s="88"/>
      <c r="E1238" s="88"/>
      <c r="F1238" s="88"/>
      <c r="G1238" s="87"/>
    </row>
    <row r="1239">
      <c r="A1239" s="87"/>
      <c r="B1239" s="88"/>
      <c r="C1239" s="88"/>
      <c r="D1239" s="88"/>
      <c r="E1239" s="88"/>
      <c r="F1239" s="88"/>
      <c r="G1239" s="87"/>
    </row>
    <row r="1240">
      <c r="A1240" s="87"/>
      <c r="B1240" s="88"/>
      <c r="C1240" s="88"/>
      <c r="D1240" s="88"/>
      <c r="E1240" s="88"/>
      <c r="F1240" s="88"/>
      <c r="G1240" s="87"/>
    </row>
    <row r="1241">
      <c r="A1241" s="87"/>
      <c r="B1241" s="88"/>
      <c r="C1241" s="88"/>
      <c r="D1241" s="88"/>
      <c r="E1241" s="88"/>
      <c r="F1241" s="88"/>
      <c r="G1241" s="87"/>
    </row>
    <row r="1242">
      <c r="A1242" s="87"/>
      <c r="B1242" s="88"/>
      <c r="C1242" s="88"/>
      <c r="D1242" s="88"/>
      <c r="E1242" s="88"/>
      <c r="F1242" s="88"/>
      <c r="G1242" s="87"/>
    </row>
    <row r="1243">
      <c r="A1243" s="87"/>
      <c r="B1243" s="88"/>
      <c r="C1243" s="88"/>
      <c r="D1243" s="88"/>
      <c r="E1243" s="88"/>
      <c r="F1243" s="88"/>
      <c r="G1243" s="87"/>
    </row>
    <row r="1244">
      <c r="A1244" s="87"/>
      <c r="B1244" s="88"/>
      <c r="C1244" s="88"/>
      <c r="D1244" s="88"/>
      <c r="E1244" s="88"/>
      <c r="F1244" s="88"/>
      <c r="G1244" s="87"/>
    </row>
    <row r="1245">
      <c r="A1245" s="87"/>
      <c r="B1245" s="88"/>
      <c r="C1245" s="88"/>
      <c r="D1245" s="88"/>
      <c r="E1245" s="88"/>
      <c r="F1245" s="88"/>
      <c r="G1245" s="87"/>
    </row>
    <row r="1246">
      <c r="A1246" s="87"/>
      <c r="B1246" s="88"/>
      <c r="C1246" s="88"/>
      <c r="D1246" s="88"/>
      <c r="E1246" s="88"/>
      <c r="F1246" s="88"/>
      <c r="G1246" s="87"/>
    </row>
    <row r="1247">
      <c r="A1247" s="87"/>
      <c r="B1247" s="88"/>
      <c r="C1247" s="88"/>
      <c r="D1247" s="88"/>
      <c r="E1247" s="88"/>
      <c r="F1247" s="88"/>
      <c r="G1247" s="87"/>
    </row>
    <row r="1248">
      <c r="A1248" s="87"/>
      <c r="B1248" s="88"/>
      <c r="C1248" s="88"/>
      <c r="D1248" s="88"/>
      <c r="E1248" s="88"/>
      <c r="F1248" s="88"/>
      <c r="G1248" s="87"/>
    </row>
    <row r="1249">
      <c r="A1249" s="87"/>
      <c r="B1249" s="88"/>
      <c r="C1249" s="88"/>
      <c r="D1249" s="88"/>
      <c r="E1249" s="88"/>
      <c r="F1249" s="88"/>
      <c r="G1249" s="87"/>
    </row>
    <row r="1250">
      <c r="A1250" s="87"/>
      <c r="B1250" s="88"/>
      <c r="C1250" s="88"/>
      <c r="D1250" s="88"/>
      <c r="E1250" s="88"/>
      <c r="F1250" s="88"/>
      <c r="G1250" s="87"/>
    </row>
    <row r="1251">
      <c r="A1251" s="87"/>
      <c r="B1251" s="88"/>
      <c r="C1251" s="88"/>
      <c r="D1251" s="88"/>
      <c r="E1251" s="88"/>
      <c r="F1251" s="88"/>
      <c r="G1251" s="87"/>
    </row>
    <row r="1252">
      <c r="A1252" s="87"/>
      <c r="B1252" s="88"/>
      <c r="C1252" s="88"/>
      <c r="D1252" s="88"/>
      <c r="E1252" s="88"/>
      <c r="F1252" s="88"/>
      <c r="G1252" s="87"/>
    </row>
    <row r="1253">
      <c r="A1253" s="87"/>
      <c r="B1253" s="88"/>
      <c r="C1253" s="88"/>
      <c r="D1253" s="88"/>
      <c r="E1253" s="88"/>
      <c r="F1253" s="88"/>
      <c r="G1253" s="87"/>
    </row>
    <row r="1254">
      <c r="A1254" s="87"/>
      <c r="B1254" s="88"/>
      <c r="C1254" s="88"/>
      <c r="D1254" s="88"/>
      <c r="E1254" s="88"/>
      <c r="F1254" s="88"/>
      <c r="G1254" s="87"/>
    </row>
    <row r="1255">
      <c r="A1255" s="87"/>
      <c r="B1255" s="88"/>
      <c r="C1255" s="88"/>
      <c r="D1255" s="88"/>
      <c r="E1255" s="88"/>
      <c r="F1255" s="88"/>
      <c r="G1255" s="87"/>
    </row>
    <row r="1256">
      <c r="A1256" s="87"/>
      <c r="B1256" s="88"/>
      <c r="C1256" s="88"/>
      <c r="D1256" s="88"/>
      <c r="E1256" s="88"/>
      <c r="F1256" s="88"/>
      <c r="G1256" s="87"/>
    </row>
    <row r="1257">
      <c r="A1257" s="87"/>
      <c r="B1257" s="88"/>
      <c r="C1257" s="88"/>
      <c r="D1257" s="88"/>
      <c r="E1257" s="88"/>
      <c r="F1257" s="88"/>
      <c r="G1257" s="87"/>
    </row>
    <row r="1258">
      <c r="A1258" s="87"/>
      <c r="B1258" s="88"/>
      <c r="C1258" s="88"/>
      <c r="D1258" s="88"/>
      <c r="E1258" s="88"/>
      <c r="F1258" s="88"/>
      <c r="G1258" s="87"/>
    </row>
    <row r="1259">
      <c r="A1259" s="87"/>
      <c r="B1259" s="88"/>
      <c r="C1259" s="88"/>
      <c r="D1259" s="88"/>
      <c r="E1259" s="88"/>
      <c r="F1259" s="88"/>
      <c r="G1259" s="87"/>
    </row>
    <row r="1260">
      <c r="A1260" s="87"/>
      <c r="B1260" s="88"/>
      <c r="C1260" s="88"/>
      <c r="D1260" s="88"/>
      <c r="E1260" s="88"/>
      <c r="F1260" s="88"/>
      <c r="G1260" s="87"/>
    </row>
    <row r="1261">
      <c r="A1261" s="87"/>
      <c r="B1261" s="88"/>
      <c r="C1261" s="88"/>
      <c r="D1261" s="88"/>
      <c r="E1261" s="88"/>
      <c r="F1261" s="88"/>
      <c r="G1261" s="87"/>
    </row>
    <row r="1262">
      <c r="A1262" s="87"/>
      <c r="B1262" s="88"/>
      <c r="C1262" s="88"/>
      <c r="D1262" s="88"/>
      <c r="E1262" s="88"/>
      <c r="F1262" s="88"/>
      <c r="G1262" s="87"/>
    </row>
    <row r="1263">
      <c r="A1263" s="87"/>
      <c r="B1263" s="88"/>
      <c r="C1263" s="88"/>
      <c r="D1263" s="88"/>
      <c r="E1263" s="88"/>
      <c r="F1263" s="88"/>
      <c r="G1263" s="87"/>
    </row>
    <row r="1264">
      <c r="A1264" s="87"/>
      <c r="B1264" s="88"/>
      <c r="C1264" s="88"/>
      <c r="D1264" s="88"/>
      <c r="E1264" s="88"/>
      <c r="F1264" s="88"/>
      <c r="G1264" s="87"/>
    </row>
    <row r="1265">
      <c r="A1265" s="87"/>
      <c r="B1265" s="88"/>
      <c r="C1265" s="88"/>
      <c r="D1265" s="88"/>
      <c r="E1265" s="88"/>
      <c r="F1265" s="88"/>
      <c r="G1265" s="87"/>
    </row>
    <row r="1266">
      <c r="A1266" s="87"/>
      <c r="B1266" s="88"/>
      <c r="C1266" s="88"/>
      <c r="D1266" s="88"/>
      <c r="E1266" s="88"/>
      <c r="F1266" s="88"/>
      <c r="G1266" s="87"/>
    </row>
    <row r="1267">
      <c r="A1267" s="87"/>
      <c r="B1267" s="88"/>
      <c r="C1267" s="88"/>
      <c r="D1267" s="88"/>
      <c r="E1267" s="88"/>
      <c r="F1267" s="88"/>
      <c r="G1267" s="87"/>
    </row>
    <row r="1268">
      <c r="A1268" s="87"/>
      <c r="B1268" s="88"/>
      <c r="C1268" s="88"/>
      <c r="D1268" s="88"/>
      <c r="E1268" s="88"/>
      <c r="F1268" s="88"/>
      <c r="G1268" s="87"/>
    </row>
    <row r="1269">
      <c r="A1269" s="87"/>
      <c r="B1269" s="88"/>
      <c r="C1269" s="88"/>
      <c r="D1269" s="88"/>
      <c r="E1269" s="88"/>
      <c r="F1269" s="88"/>
      <c r="G1269" s="87"/>
    </row>
    <row r="1270">
      <c r="A1270" s="87"/>
      <c r="B1270" s="88"/>
      <c r="C1270" s="88"/>
      <c r="D1270" s="88"/>
      <c r="E1270" s="88"/>
      <c r="F1270" s="88"/>
      <c r="G1270" s="87"/>
    </row>
    <row r="1271">
      <c r="A1271" s="87"/>
      <c r="B1271" s="88"/>
      <c r="C1271" s="88"/>
      <c r="D1271" s="88"/>
      <c r="E1271" s="88"/>
      <c r="F1271" s="88"/>
      <c r="G1271" s="87"/>
    </row>
    <row r="1272">
      <c r="A1272" s="87"/>
      <c r="B1272" s="88"/>
      <c r="C1272" s="88"/>
      <c r="D1272" s="88"/>
      <c r="E1272" s="88"/>
      <c r="F1272" s="88"/>
      <c r="G1272" s="87"/>
    </row>
    <row r="1273">
      <c r="A1273" s="87"/>
      <c r="B1273" s="88"/>
      <c r="C1273" s="88"/>
      <c r="D1273" s="88"/>
      <c r="E1273" s="88"/>
      <c r="F1273" s="88"/>
      <c r="G1273" s="87"/>
    </row>
    <row r="1274">
      <c r="A1274" s="87"/>
      <c r="B1274" s="88"/>
      <c r="C1274" s="88"/>
      <c r="D1274" s="88"/>
      <c r="E1274" s="88"/>
      <c r="F1274" s="88"/>
      <c r="G1274" s="87"/>
    </row>
    <row r="1275">
      <c r="A1275" s="87"/>
      <c r="B1275" s="88"/>
      <c r="C1275" s="88"/>
      <c r="D1275" s="88"/>
      <c r="E1275" s="88"/>
      <c r="F1275" s="88"/>
      <c r="G1275" s="87"/>
    </row>
    <row r="1276">
      <c r="A1276" s="87"/>
      <c r="B1276" s="88"/>
      <c r="C1276" s="88"/>
      <c r="D1276" s="88"/>
      <c r="E1276" s="88"/>
      <c r="F1276" s="88"/>
      <c r="G1276" s="87"/>
    </row>
    <row r="1277">
      <c r="A1277" s="87"/>
      <c r="B1277" s="88"/>
      <c r="C1277" s="88"/>
      <c r="D1277" s="88"/>
      <c r="E1277" s="88"/>
      <c r="F1277" s="88"/>
      <c r="G1277" s="87"/>
    </row>
    <row r="1278">
      <c r="A1278" s="87"/>
      <c r="B1278" s="88"/>
      <c r="C1278" s="88"/>
      <c r="D1278" s="88"/>
      <c r="E1278" s="88"/>
      <c r="F1278" s="88"/>
      <c r="G1278" s="87"/>
    </row>
    <row r="1279">
      <c r="A1279" s="87"/>
      <c r="B1279" s="88"/>
      <c r="C1279" s="88"/>
      <c r="D1279" s="88"/>
      <c r="E1279" s="88"/>
      <c r="F1279" s="88"/>
      <c r="G1279" s="87"/>
    </row>
    <row r="1280">
      <c r="A1280" s="87"/>
      <c r="B1280" s="88"/>
      <c r="C1280" s="88"/>
      <c r="D1280" s="88"/>
      <c r="E1280" s="88"/>
      <c r="F1280" s="88"/>
      <c r="G1280" s="87"/>
    </row>
    <row r="1281">
      <c r="A1281" s="87"/>
      <c r="B1281" s="88"/>
      <c r="C1281" s="88"/>
      <c r="D1281" s="88"/>
      <c r="E1281" s="88"/>
      <c r="F1281" s="88"/>
      <c r="G1281" s="87"/>
    </row>
    <row r="1282">
      <c r="A1282" s="87"/>
      <c r="B1282" s="88"/>
      <c r="C1282" s="88"/>
      <c r="D1282" s="88"/>
      <c r="E1282" s="88"/>
      <c r="F1282" s="88"/>
      <c r="G1282" s="87"/>
    </row>
    <row r="1283">
      <c r="A1283" s="87"/>
      <c r="B1283" s="88"/>
      <c r="C1283" s="88"/>
      <c r="D1283" s="88"/>
      <c r="E1283" s="88"/>
      <c r="F1283" s="88"/>
      <c r="G1283" s="87"/>
    </row>
    <row r="1284">
      <c r="A1284" s="87"/>
      <c r="B1284" s="88"/>
      <c r="C1284" s="88"/>
      <c r="D1284" s="88"/>
      <c r="E1284" s="88"/>
      <c r="F1284" s="88"/>
      <c r="G1284" s="87"/>
    </row>
    <row r="1285">
      <c r="A1285" s="87"/>
      <c r="B1285" s="88"/>
      <c r="C1285" s="88"/>
      <c r="D1285" s="88"/>
      <c r="E1285" s="88"/>
      <c r="F1285" s="88"/>
      <c r="G1285" s="87"/>
    </row>
    <row r="1286">
      <c r="A1286" s="87"/>
      <c r="B1286" s="88"/>
      <c r="C1286" s="88"/>
      <c r="D1286" s="88"/>
      <c r="E1286" s="88"/>
      <c r="F1286" s="88"/>
      <c r="G1286" s="87"/>
    </row>
    <row r="1287">
      <c r="A1287" s="87"/>
      <c r="B1287" s="88"/>
      <c r="C1287" s="88"/>
      <c r="D1287" s="88"/>
      <c r="E1287" s="88"/>
      <c r="F1287" s="88"/>
      <c r="G1287" s="87"/>
    </row>
    <row r="1288">
      <c r="A1288" s="87"/>
      <c r="B1288" s="88"/>
      <c r="C1288" s="88"/>
      <c r="D1288" s="88"/>
      <c r="E1288" s="88"/>
      <c r="F1288" s="88"/>
      <c r="G1288" s="87"/>
    </row>
    <row r="1289">
      <c r="A1289" s="87"/>
      <c r="B1289" s="88"/>
      <c r="C1289" s="88"/>
      <c r="D1289" s="88"/>
      <c r="E1289" s="88"/>
      <c r="F1289" s="88"/>
      <c r="G1289" s="87"/>
    </row>
    <row r="1290">
      <c r="A1290" s="87"/>
      <c r="B1290" s="88"/>
      <c r="C1290" s="88"/>
      <c r="D1290" s="88"/>
      <c r="E1290" s="88"/>
      <c r="F1290" s="88"/>
      <c r="G1290" s="87"/>
    </row>
    <row r="1291">
      <c r="A1291" s="87"/>
      <c r="B1291" s="88"/>
      <c r="C1291" s="88"/>
      <c r="D1291" s="88"/>
      <c r="E1291" s="88"/>
      <c r="F1291" s="88"/>
      <c r="G1291" s="87"/>
    </row>
    <row r="1292">
      <c r="A1292" s="87"/>
      <c r="B1292" s="88"/>
      <c r="C1292" s="88"/>
      <c r="D1292" s="88"/>
      <c r="E1292" s="88"/>
      <c r="F1292" s="88"/>
      <c r="G1292" s="87"/>
    </row>
    <row r="1293">
      <c r="A1293" s="87"/>
      <c r="B1293" s="88"/>
      <c r="C1293" s="88"/>
      <c r="D1293" s="88"/>
      <c r="E1293" s="88"/>
      <c r="F1293" s="88"/>
      <c r="G1293" s="87"/>
    </row>
    <row r="1294">
      <c r="A1294" s="87"/>
      <c r="B1294" s="88"/>
      <c r="C1294" s="88"/>
      <c r="D1294" s="88"/>
      <c r="E1294" s="88"/>
      <c r="F1294" s="88"/>
      <c r="G1294" s="87"/>
    </row>
    <row r="1295">
      <c r="A1295" s="87"/>
      <c r="B1295" s="88"/>
      <c r="C1295" s="88"/>
      <c r="D1295" s="88"/>
      <c r="E1295" s="88"/>
      <c r="F1295" s="88"/>
      <c r="G1295" s="87"/>
    </row>
    <row r="1296">
      <c r="A1296" s="87"/>
      <c r="B1296" s="88"/>
      <c r="C1296" s="88"/>
      <c r="D1296" s="88"/>
      <c r="E1296" s="88"/>
      <c r="F1296" s="88"/>
      <c r="G1296" s="87"/>
    </row>
    <row r="1297">
      <c r="A1297" s="87"/>
      <c r="B1297" s="88"/>
      <c r="C1297" s="88"/>
      <c r="D1297" s="88"/>
      <c r="E1297" s="88"/>
      <c r="F1297" s="88"/>
      <c r="G1297" s="87"/>
    </row>
    <row r="1298">
      <c r="A1298" s="87"/>
      <c r="B1298" s="88"/>
      <c r="C1298" s="88"/>
      <c r="D1298" s="88"/>
      <c r="E1298" s="88"/>
      <c r="F1298" s="88"/>
      <c r="G1298" s="87"/>
    </row>
    <row r="1299">
      <c r="A1299" s="87"/>
      <c r="B1299" s="88"/>
      <c r="C1299" s="88"/>
      <c r="D1299" s="88"/>
      <c r="E1299" s="88"/>
      <c r="F1299" s="88"/>
      <c r="G1299" s="87"/>
    </row>
    <row r="1300">
      <c r="A1300" s="87"/>
      <c r="B1300" s="88"/>
      <c r="C1300" s="88"/>
      <c r="D1300" s="88"/>
      <c r="E1300" s="88"/>
      <c r="F1300" s="88"/>
      <c r="G1300" s="87"/>
    </row>
    <row r="1301">
      <c r="A1301" s="87"/>
      <c r="B1301" s="88"/>
      <c r="C1301" s="88"/>
      <c r="D1301" s="88"/>
      <c r="E1301" s="88"/>
      <c r="F1301" s="88"/>
      <c r="G1301" s="87"/>
    </row>
    <row r="1302">
      <c r="A1302" s="87"/>
      <c r="B1302" s="88"/>
      <c r="C1302" s="88"/>
      <c r="D1302" s="88"/>
      <c r="E1302" s="88"/>
      <c r="F1302" s="88"/>
      <c r="G1302" s="87"/>
    </row>
    <row r="1303">
      <c r="A1303" s="87"/>
      <c r="B1303" s="88"/>
      <c r="C1303" s="88"/>
      <c r="D1303" s="88"/>
      <c r="E1303" s="88"/>
      <c r="F1303" s="88"/>
      <c r="G1303" s="87"/>
    </row>
    <row r="1304">
      <c r="A1304" s="87"/>
      <c r="B1304" s="88"/>
      <c r="C1304" s="88"/>
      <c r="D1304" s="88"/>
      <c r="E1304" s="88"/>
      <c r="F1304" s="88"/>
      <c r="G1304" s="87"/>
    </row>
    <row r="1305">
      <c r="A1305" s="87"/>
      <c r="B1305" s="88"/>
      <c r="C1305" s="88"/>
      <c r="D1305" s="88"/>
      <c r="E1305" s="88"/>
      <c r="F1305" s="88"/>
      <c r="G1305" s="87"/>
    </row>
    <row r="1306">
      <c r="A1306" s="87"/>
      <c r="B1306" s="88"/>
      <c r="C1306" s="88"/>
      <c r="D1306" s="88"/>
      <c r="E1306" s="88"/>
      <c r="F1306" s="88"/>
      <c r="G1306" s="87"/>
    </row>
    <row r="1307">
      <c r="A1307" s="87"/>
      <c r="B1307" s="88"/>
      <c r="C1307" s="88"/>
      <c r="D1307" s="88"/>
      <c r="E1307" s="88"/>
      <c r="F1307" s="88"/>
      <c r="G1307" s="87"/>
    </row>
    <row r="1308">
      <c r="A1308" s="87"/>
      <c r="B1308" s="88"/>
      <c r="C1308" s="88"/>
      <c r="D1308" s="88"/>
      <c r="E1308" s="88"/>
      <c r="F1308" s="88"/>
      <c r="G1308" s="87"/>
    </row>
    <row r="1309">
      <c r="A1309" s="87"/>
      <c r="B1309" s="88"/>
      <c r="C1309" s="88"/>
      <c r="D1309" s="88"/>
      <c r="E1309" s="88"/>
      <c r="F1309" s="88"/>
      <c r="G1309" s="87"/>
    </row>
    <row r="1310">
      <c r="A1310" s="87"/>
      <c r="B1310" s="88"/>
      <c r="C1310" s="88"/>
      <c r="D1310" s="88"/>
      <c r="E1310" s="88"/>
      <c r="F1310" s="88"/>
      <c r="G1310" s="87"/>
    </row>
    <row r="1311">
      <c r="A1311" s="87"/>
      <c r="B1311" s="88"/>
      <c r="C1311" s="88"/>
      <c r="D1311" s="88"/>
      <c r="E1311" s="88"/>
      <c r="F1311" s="88"/>
      <c r="G1311" s="87"/>
    </row>
    <row r="1312">
      <c r="A1312" s="87"/>
      <c r="B1312" s="88"/>
      <c r="C1312" s="88"/>
      <c r="D1312" s="88"/>
      <c r="E1312" s="88"/>
      <c r="F1312" s="88"/>
      <c r="G1312" s="87"/>
    </row>
    <row r="1313">
      <c r="A1313" s="87"/>
      <c r="B1313" s="88"/>
      <c r="C1313" s="88"/>
      <c r="D1313" s="88"/>
      <c r="E1313" s="88"/>
      <c r="F1313" s="88"/>
      <c r="G1313" s="87"/>
    </row>
    <row r="1314">
      <c r="A1314" s="87"/>
      <c r="B1314" s="88"/>
      <c r="C1314" s="88"/>
      <c r="D1314" s="88"/>
      <c r="E1314" s="88"/>
      <c r="F1314" s="88"/>
      <c r="G1314" s="87"/>
    </row>
    <row r="1315">
      <c r="A1315" s="87"/>
      <c r="B1315" s="88"/>
      <c r="C1315" s="88"/>
      <c r="D1315" s="88"/>
      <c r="E1315" s="88"/>
      <c r="F1315" s="88"/>
      <c r="G1315" s="87"/>
    </row>
    <row r="1316">
      <c r="A1316" s="87"/>
      <c r="B1316" s="88"/>
      <c r="C1316" s="88"/>
      <c r="D1316" s="88"/>
      <c r="E1316" s="88"/>
      <c r="F1316" s="88"/>
      <c r="G1316" s="87"/>
    </row>
    <row r="1317">
      <c r="A1317" s="87"/>
      <c r="B1317" s="88"/>
      <c r="C1317" s="88"/>
      <c r="D1317" s="88"/>
      <c r="E1317" s="88"/>
      <c r="F1317" s="88"/>
      <c r="G1317" s="87"/>
    </row>
    <row r="1318">
      <c r="A1318" s="87"/>
      <c r="B1318" s="88"/>
      <c r="C1318" s="88"/>
      <c r="D1318" s="88"/>
      <c r="E1318" s="88"/>
      <c r="F1318" s="88"/>
      <c r="G1318" s="87"/>
    </row>
    <row r="1319">
      <c r="A1319" s="87"/>
      <c r="B1319" s="88"/>
      <c r="C1319" s="88"/>
      <c r="D1319" s="88"/>
      <c r="E1319" s="88"/>
      <c r="F1319" s="88"/>
      <c r="G1319" s="87"/>
    </row>
    <row r="1320">
      <c r="A1320" s="87"/>
      <c r="B1320" s="88"/>
      <c r="C1320" s="88"/>
      <c r="D1320" s="88"/>
      <c r="E1320" s="88"/>
      <c r="F1320" s="88"/>
      <c r="G1320" s="87"/>
    </row>
    <row r="1321">
      <c r="A1321" s="87"/>
      <c r="B1321" s="88"/>
      <c r="C1321" s="88"/>
      <c r="D1321" s="88"/>
      <c r="E1321" s="88"/>
      <c r="F1321" s="88"/>
      <c r="G1321" s="87"/>
    </row>
    <row r="1322">
      <c r="A1322" s="87"/>
      <c r="B1322" s="88"/>
      <c r="C1322" s="88"/>
      <c r="D1322" s="88"/>
      <c r="E1322" s="88"/>
      <c r="F1322" s="88"/>
      <c r="G1322" s="87"/>
    </row>
    <row r="1323">
      <c r="A1323" s="87"/>
      <c r="B1323" s="88"/>
      <c r="C1323" s="88"/>
      <c r="D1323" s="88"/>
      <c r="E1323" s="88"/>
      <c r="F1323" s="88"/>
      <c r="G1323" s="87"/>
    </row>
    <row r="1324">
      <c r="A1324" s="87"/>
      <c r="B1324" s="88"/>
      <c r="C1324" s="88"/>
      <c r="D1324" s="88"/>
      <c r="E1324" s="88"/>
      <c r="F1324" s="88"/>
      <c r="G1324" s="87"/>
    </row>
    <row r="1325">
      <c r="A1325" s="87"/>
      <c r="B1325" s="88"/>
      <c r="C1325" s="88"/>
      <c r="D1325" s="88"/>
      <c r="E1325" s="88"/>
      <c r="F1325" s="88"/>
      <c r="G1325" s="87"/>
    </row>
    <row r="1326">
      <c r="A1326" s="87"/>
      <c r="B1326" s="88"/>
      <c r="C1326" s="88"/>
      <c r="D1326" s="88"/>
      <c r="E1326" s="88"/>
      <c r="F1326" s="88"/>
      <c r="G1326" s="87"/>
    </row>
    <row r="1327">
      <c r="A1327" s="87"/>
      <c r="B1327" s="88"/>
      <c r="C1327" s="88"/>
      <c r="D1327" s="88"/>
      <c r="E1327" s="88"/>
      <c r="F1327" s="88"/>
      <c r="G1327" s="87"/>
    </row>
    <row r="1328">
      <c r="A1328" s="87"/>
      <c r="B1328" s="88"/>
      <c r="C1328" s="88"/>
      <c r="D1328" s="88"/>
      <c r="E1328" s="88"/>
      <c r="F1328" s="88"/>
      <c r="G1328" s="87"/>
    </row>
    <row r="1329">
      <c r="A1329" s="87"/>
      <c r="B1329" s="88"/>
      <c r="C1329" s="88"/>
      <c r="D1329" s="88"/>
      <c r="E1329" s="88"/>
      <c r="F1329" s="88"/>
      <c r="G1329" s="87"/>
    </row>
    <row r="1330">
      <c r="A1330" s="87"/>
      <c r="B1330" s="88"/>
      <c r="C1330" s="88"/>
      <c r="D1330" s="88"/>
      <c r="E1330" s="88"/>
      <c r="F1330" s="88"/>
      <c r="G1330" s="87"/>
    </row>
    <row r="1331">
      <c r="A1331" s="87"/>
      <c r="B1331" s="88"/>
      <c r="C1331" s="88"/>
      <c r="D1331" s="88"/>
      <c r="E1331" s="88"/>
      <c r="F1331" s="88"/>
      <c r="G1331" s="87"/>
    </row>
    <row r="1332">
      <c r="A1332" s="87"/>
      <c r="B1332" s="88"/>
      <c r="C1332" s="88"/>
      <c r="D1332" s="88"/>
      <c r="E1332" s="88"/>
      <c r="F1332" s="88"/>
      <c r="G1332" s="87"/>
    </row>
    <row r="1333">
      <c r="A1333" s="87"/>
      <c r="B1333" s="88"/>
      <c r="C1333" s="88"/>
      <c r="D1333" s="88"/>
      <c r="E1333" s="88"/>
      <c r="F1333" s="88"/>
      <c r="G1333" s="87"/>
    </row>
    <row r="1334">
      <c r="A1334" s="87"/>
      <c r="B1334" s="88"/>
      <c r="C1334" s="88"/>
      <c r="D1334" s="88"/>
      <c r="E1334" s="88"/>
      <c r="F1334" s="88"/>
      <c r="G1334" s="87"/>
    </row>
    <row r="1335">
      <c r="A1335" s="87"/>
      <c r="B1335" s="88"/>
      <c r="C1335" s="88"/>
      <c r="D1335" s="88"/>
      <c r="E1335" s="88"/>
      <c r="F1335" s="88"/>
      <c r="G1335" s="87"/>
    </row>
    <row r="1336">
      <c r="A1336" s="87"/>
      <c r="B1336" s="88"/>
      <c r="C1336" s="88"/>
      <c r="D1336" s="88"/>
      <c r="E1336" s="88"/>
      <c r="F1336" s="88"/>
      <c r="G1336" s="87"/>
    </row>
    <row r="1337">
      <c r="A1337" s="87"/>
      <c r="B1337" s="88"/>
      <c r="C1337" s="88"/>
      <c r="D1337" s="88"/>
      <c r="E1337" s="88"/>
      <c r="F1337" s="88"/>
      <c r="G1337" s="87"/>
    </row>
    <row r="1338">
      <c r="A1338" s="87"/>
      <c r="B1338" s="88"/>
      <c r="C1338" s="88"/>
      <c r="D1338" s="88"/>
      <c r="E1338" s="88"/>
      <c r="F1338" s="88"/>
      <c r="G1338" s="87"/>
    </row>
    <row r="1339">
      <c r="A1339" s="87"/>
      <c r="B1339" s="88"/>
      <c r="C1339" s="88"/>
      <c r="D1339" s="88"/>
      <c r="E1339" s="88"/>
      <c r="F1339" s="88"/>
      <c r="G1339" s="87"/>
    </row>
    <row r="1340">
      <c r="A1340" s="87"/>
      <c r="B1340" s="88"/>
      <c r="C1340" s="88"/>
      <c r="D1340" s="88"/>
      <c r="E1340" s="88"/>
      <c r="F1340" s="88"/>
      <c r="G1340" s="87"/>
    </row>
    <row r="1341">
      <c r="A1341" s="87"/>
      <c r="B1341" s="88"/>
      <c r="C1341" s="88"/>
      <c r="D1341" s="88"/>
      <c r="E1341" s="88"/>
      <c r="F1341" s="88"/>
      <c r="G1341" s="87"/>
    </row>
    <row r="1342">
      <c r="A1342" s="87"/>
      <c r="B1342" s="88"/>
      <c r="C1342" s="88"/>
      <c r="D1342" s="88"/>
      <c r="E1342" s="88"/>
      <c r="F1342" s="88"/>
      <c r="G1342" s="87"/>
    </row>
    <row r="1343">
      <c r="A1343" s="87"/>
      <c r="B1343" s="88"/>
      <c r="C1343" s="88"/>
      <c r="D1343" s="88"/>
      <c r="E1343" s="88"/>
      <c r="F1343" s="88"/>
      <c r="G1343" s="87"/>
    </row>
    <row r="1344">
      <c r="A1344" s="87"/>
      <c r="B1344" s="88"/>
      <c r="C1344" s="88"/>
      <c r="D1344" s="88"/>
      <c r="E1344" s="88"/>
      <c r="F1344" s="88"/>
      <c r="G1344" s="87"/>
    </row>
    <row r="1345">
      <c r="A1345" s="87"/>
      <c r="B1345" s="88"/>
      <c r="C1345" s="88"/>
      <c r="D1345" s="88"/>
      <c r="E1345" s="88"/>
      <c r="F1345" s="88"/>
      <c r="G1345" s="87"/>
    </row>
    <row r="1346">
      <c r="A1346" s="87"/>
      <c r="B1346" s="88"/>
      <c r="C1346" s="88"/>
      <c r="D1346" s="88"/>
      <c r="E1346" s="88"/>
      <c r="F1346" s="88"/>
      <c r="G1346" s="87"/>
    </row>
    <row r="1347">
      <c r="A1347" s="87"/>
      <c r="B1347" s="88"/>
      <c r="C1347" s="88"/>
      <c r="D1347" s="88"/>
      <c r="E1347" s="88"/>
      <c r="F1347" s="88"/>
      <c r="G1347" s="87"/>
    </row>
    <row r="1348">
      <c r="A1348" s="87"/>
      <c r="B1348" s="88"/>
      <c r="C1348" s="88"/>
      <c r="D1348" s="88"/>
      <c r="E1348" s="88"/>
      <c r="F1348" s="88"/>
      <c r="G1348" s="87"/>
    </row>
    <row r="1349">
      <c r="A1349" s="87"/>
      <c r="B1349" s="88"/>
      <c r="C1349" s="88"/>
      <c r="D1349" s="88"/>
      <c r="E1349" s="88"/>
      <c r="F1349" s="88"/>
      <c r="G1349" s="87"/>
    </row>
    <row r="1350">
      <c r="A1350" s="87"/>
      <c r="B1350" s="88"/>
      <c r="C1350" s="88"/>
      <c r="D1350" s="88"/>
      <c r="E1350" s="88"/>
      <c r="F1350" s="88"/>
      <c r="G1350" s="87"/>
    </row>
    <row r="1351">
      <c r="A1351" s="87"/>
      <c r="B1351" s="88"/>
      <c r="C1351" s="88"/>
      <c r="D1351" s="88"/>
      <c r="E1351" s="88"/>
      <c r="F1351" s="88"/>
      <c r="G1351" s="87"/>
    </row>
    <row r="1352">
      <c r="A1352" s="87"/>
      <c r="B1352" s="88"/>
      <c r="C1352" s="88"/>
      <c r="D1352" s="88"/>
      <c r="E1352" s="88"/>
      <c r="F1352" s="88"/>
      <c r="G1352" s="87"/>
    </row>
    <row r="1353">
      <c r="A1353" s="87"/>
      <c r="B1353" s="88"/>
      <c r="C1353" s="88"/>
      <c r="D1353" s="88"/>
      <c r="E1353" s="88"/>
      <c r="F1353" s="88"/>
      <c r="G1353" s="87"/>
    </row>
    <row r="1354">
      <c r="A1354" s="87"/>
      <c r="B1354" s="88"/>
      <c r="C1354" s="88"/>
      <c r="D1354" s="88"/>
      <c r="E1354" s="88"/>
      <c r="F1354" s="88"/>
      <c r="G1354" s="87"/>
    </row>
    <row r="1355">
      <c r="A1355" s="87"/>
      <c r="B1355" s="88"/>
      <c r="C1355" s="88"/>
      <c r="D1355" s="88"/>
      <c r="E1355" s="88"/>
      <c r="F1355" s="88"/>
      <c r="G1355" s="87"/>
    </row>
    <row r="1356">
      <c r="A1356" s="87"/>
      <c r="B1356" s="88"/>
      <c r="C1356" s="88"/>
      <c r="D1356" s="88"/>
      <c r="E1356" s="88"/>
      <c r="F1356" s="88"/>
      <c r="G1356" s="87"/>
    </row>
    <row r="1357">
      <c r="A1357" s="87"/>
      <c r="B1357" s="88"/>
      <c r="C1357" s="88"/>
      <c r="D1357" s="88"/>
      <c r="E1357" s="88"/>
      <c r="F1357" s="88"/>
      <c r="G1357" s="87"/>
    </row>
    <row r="1358">
      <c r="A1358" s="87"/>
      <c r="B1358" s="88"/>
      <c r="C1358" s="88"/>
      <c r="D1358" s="88"/>
      <c r="E1358" s="88"/>
      <c r="F1358" s="88"/>
      <c r="G1358" s="87"/>
    </row>
    <row r="1359">
      <c r="A1359" s="87"/>
      <c r="B1359" s="88"/>
      <c r="C1359" s="88"/>
      <c r="D1359" s="88"/>
      <c r="E1359" s="88"/>
      <c r="F1359" s="88"/>
      <c r="G1359" s="87"/>
    </row>
    <row r="1360">
      <c r="A1360" s="87"/>
      <c r="B1360" s="88"/>
      <c r="C1360" s="88"/>
      <c r="D1360" s="88"/>
      <c r="E1360" s="88"/>
      <c r="F1360" s="88"/>
      <c r="G1360" s="87"/>
    </row>
    <row r="1361">
      <c r="A1361" s="87"/>
      <c r="B1361" s="88"/>
      <c r="C1361" s="88"/>
      <c r="D1361" s="88"/>
      <c r="E1361" s="88"/>
      <c r="F1361" s="88"/>
      <c r="G1361" s="87"/>
    </row>
    <row r="1362">
      <c r="A1362" s="87"/>
      <c r="B1362" s="88"/>
      <c r="C1362" s="88"/>
      <c r="D1362" s="88"/>
      <c r="E1362" s="88"/>
      <c r="F1362" s="88"/>
      <c r="G1362" s="87"/>
    </row>
    <row r="1363">
      <c r="A1363" s="87"/>
      <c r="B1363" s="88"/>
      <c r="C1363" s="88"/>
      <c r="D1363" s="88"/>
      <c r="E1363" s="88"/>
      <c r="F1363" s="88"/>
      <c r="G1363" s="87"/>
    </row>
    <row r="1364">
      <c r="A1364" s="87"/>
      <c r="B1364" s="88"/>
      <c r="C1364" s="88"/>
      <c r="D1364" s="88"/>
      <c r="E1364" s="88"/>
      <c r="F1364" s="88"/>
      <c r="G1364" s="87"/>
    </row>
    <row r="1365">
      <c r="A1365" s="87"/>
      <c r="B1365" s="88"/>
      <c r="C1365" s="88"/>
      <c r="D1365" s="88"/>
      <c r="E1365" s="88"/>
      <c r="F1365" s="88"/>
      <c r="G1365" s="87"/>
    </row>
    <row r="1366">
      <c r="A1366" s="87"/>
      <c r="B1366" s="88"/>
      <c r="C1366" s="88"/>
      <c r="D1366" s="88"/>
      <c r="E1366" s="88"/>
      <c r="F1366" s="88"/>
      <c r="G1366" s="87"/>
    </row>
    <row r="1367">
      <c r="A1367" s="87"/>
      <c r="B1367" s="88"/>
      <c r="C1367" s="88"/>
      <c r="D1367" s="88"/>
      <c r="E1367" s="88"/>
      <c r="F1367" s="88"/>
      <c r="G1367" s="87"/>
    </row>
    <row r="1368">
      <c r="A1368" s="87"/>
      <c r="B1368" s="88"/>
      <c r="C1368" s="88"/>
      <c r="D1368" s="88"/>
      <c r="E1368" s="88"/>
      <c r="F1368" s="88"/>
      <c r="G1368" s="87"/>
    </row>
    <row r="1369">
      <c r="A1369" s="87"/>
      <c r="B1369" s="88"/>
      <c r="C1369" s="88"/>
      <c r="D1369" s="88"/>
      <c r="E1369" s="88"/>
      <c r="F1369" s="88"/>
      <c r="G1369" s="87"/>
    </row>
    <row r="1370">
      <c r="A1370" s="87"/>
      <c r="B1370" s="88"/>
      <c r="C1370" s="88"/>
      <c r="D1370" s="88"/>
      <c r="E1370" s="88"/>
      <c r="F1370" s="88"/>
      <c r="G1370" s="87"/>
    </row>
    <row r="1371">
      <c r="A1371" s="87"/>
      <c r="B1371" s="88"/>
      <c r="C1371" s="88"/>
      <c r="D1371" s="88"/>
      <c r="E1371" s="88"/>
      <c r="F1371" s="88"/>
      <c r="G1371" s="87"/>
    </row>
    <row r="1372">
      <c r="A1372" s="87"/>
      <c r="B1372" s="88"/>
      <c r="C1372" s="88"/>
      <c r="D1372" s="88"/>
      <c r="E1372" s="88"/>
      <c r="F1372" s="88"/>
      <c r="G1372" s="87"/>
    </row>
    <row r="1373">
      <c r="A1373" s="87"/>
      <c r="B1373" s="88"/>
      <c r="C1373" s="88"/>
      <c r="D1373" s="88"/>
      <c r="E1373" s="88"/>
      <c r="F1373" s="88"/>
      <c r="G1373" s="87"/>
    </row>
    <row r="1374">
      <c r="A1374" s="87"/>
      <c r="B1374" s="88"/>
      <c r="C1374" s="88"/>
      <c r="D1374" s="88"/>
      <c r="E1374" s="88"/>
      <c r="F1374" s="88"/>
      <c r="G1374" s="87"/>
    </row>
    <row r="1375">
      <c r="A1375" s="87"/>
      <c r="B1375" s="88"/>
      <c r="C1375" s="88"/>
      <c r="D1375" s="88"/>
      <c r="E1375" s="88"/>
      <c r="F1375" s="88"/>
      <c r="G1375" s="87"/>
    </row>
    <row r="1376">
      <c r="A1376" s="87"/>
      <c r="B1376" s="88"/>
      <c r="C1376" s="88"/>
      <c r="D1376" s="88"/>
      <c r="E1376" s="88"/>
      <c r="F1376" s="88"/>
      <c r="G1376" s="87"/>
    </row>
    <row r="1377">
      <c r="A1377" s="87"/>
      <c r="B1377" s="88"/>
      <c r="C1377" s="88"/>
      <c r="D1377" s="88"/>
      <c r="E1377" s="88"/>
      <c r="F1377" s="88"/>
      <c r="G1377" s="87"/>
    </row>
    <row r="1378">
      <c r="A1378" s="87"/>
      <c r="B1378" s="88"/>
      <c r="C1378" s="88"/>
      <c r="D1378" s="88"/>
      <c r="E1378" s="88"/>
      <c r="F1378" s="88"/>
      <c r="G1378" s="87"/>
    </row>
    <row r="1379">
      <c r="A1379" s="87"/>
      <c r="B1379" s="88"/>
      <c r="C1379" s="88"/>
      <c r="D1379" s="88"/>
      <c r="E1379" s="88"/>
      <c r="F1379" s="88"/>
      <c r="G1379" s="87"/>
    </row>
    <row r="1380">
      <c r="A1380" s="87"/>
      <c r="B1380" s="88"/>
      <c r="C1380" s="88"/>
      <c r="D1380" s="88"/>
      <c r="E1380" s="88"/>
      <c r="F1380" s="88"/>
      <c r="G1380" s="87"/>
    </row>
    <row r="1381">
      <c r="A1381" s="87"/>
      <c r="B1381" s="88"/>
      <c r="C1381" s="88"/>
      <c r="D1381" s="88"/>
      <c r="E1381" s="88"/>
      <c r="F1381" s="88"/>
      <c r="G1381" s="87"/>
    </row>
    <row r="1382">
      <c r="A1382" s="87"/>
      <c r="B1382" s="88"/>
      <c r="C1382" s="88"/>
      <c r="D1382" s="88"/>
      <c r="E1382" s="88"/>
      <c r="F1382" s="88"/>
      <c r="G1382" s="87"/>
    </row>
    <row r="1383">
      <c r="A1383" s="87"/>
      <c r="B1383" s="88"/>
      <c r="C1383" s="88"/>
      <c r="D1383" s="88"/>
      <c r="E1383" s="88"/>
      <c r="F1383" s="88"/>
      <c r="G1383" s="87"/>
    </row>
    <row r="1384">
      <c r="A1384" s="87"/>
      <c r="B1384" s="88"/>
      <c r="C1384" s="88"/>
      <c r="D1384" s="88"/>
      <c r="E1384" s="88"/>
      <c r="F1384" s="88"/>
      <c r="G1384" s="87"/>
    </row>
    <row r="1385">
      <c r="A1385" s="87"/>
      <c r="B1385" s="88"/>
      <c r="C1385" s="88"/>
      <c r="D1385" s="88"/>
      <c r="E1385" s="88"/>
      <c r="F1385" s="88"/>
      <c r="G1385" s="87"/>
    </row>
    <row r="1386">
      <c r="A1386" s="87"/>
      <c r="B1386" s="88"/>
      <c r="C1386" s="88"/>
      <c r="D1386" s="88"/>
      <c r="E1386" s="88"/>
      <c r="F1386" s="88"/>
      <c r="G1386" s="87"/>
    </row>
    <row r="1387">
      <c r="A1387" s="87"/>
      <c r="B1387" s="88"/>
      <c r="C1387" s="88"/>
      <c r="D1387" s="88"/>
      <c r="E1387" s="88"/>
      <c r="F1387" s="88"/>
      <c r="G1387" s="87"/>
    </row>
    <row r="1388">
      <c r="A1388" s="87"/>
      <c r="B1388" s="88"/>
      <c r="C1388" s="88"/>
      <c r="D1388" s="88"/>
      <c r="E1388" s="88"/>
      <c r="F1388" s="88"/>
      <c r="G1388" s="87"/>
    </row>
    <row r="1389">
      <c r="A1389" s="87"/>
      <c r="B1389" s="88"/>
      <c r="C1389" s="88"/>
      <c r="D1389" s="88"/>
      <c r="E1389" s="88"/>
      <c r="F1389" s="88"/>
      <c r="G1389" s="87"/>
    </row>
    <row r="1390">
      <c r="A1390" s="87"/>
      <c r="B1390" s="88"/>
      <c r="C1390" s="88"/>
      <c r="D1390" s="88"/>
      <c r="E1390" s="88"/>
      <c r="F1390" s="88"/>
      <c r="G1390" s="87"/>
    </row>
    <row r="1391">
      <c r="A1391" s="87"/>
      <c r="B1391" s="88"/>
      <c r="C1391" s="88"/>
      <c r="D1391" s="88"/>
      <c r="E1391" s="88"/>
      <c r="F1391" s="88"/>
      <c r="G1391" s="87"/>
    </row>
    <row r="1392">
      <c r="A1392" s="87"/>
      <c r="B1392" s="88"/>
      <c r="C1392" s="88"/>
      <c r="D1392" s="88"/>
      <c r="E1392" s="88"/>
      <c r="F1392" s="88"/>
      <c r="G1392" s="87"/>
    </row>
    <row r="1393">
      <c r="A1393" s="87"/>
      <c r="B1393" s="88"/>
      <c r="C1393" s="88"/>
      <c r="D1393" s="88"/>
      <c r="E1393" s="88"/>
      <c r="F1393" s="88"/>
      <c r="G1393" s="87"/>
    </row>
    <row r="1394">
      <c r="A1394" s="87"/>
      <c r="B1394" s="88"/>
      <c r="C1394" s="88"/>
      <c r="D1394" s="88"/>
      <c r="E1394" s="88"/>
      <c r="F1394" s="88"/>
      <c r="G1394" s="87"/>
    </row>
    <row r="1395">
      <c r="A1395" s="87"/>
      <c r="B1395" s="88"/>
      <c r="C1395" s="88"/>
      <c r="D1395" s="88"/>
      <c r="E1395" s="88"/>
      <c r="F1395" s="88"/>
      <c r="G1395" s="87"/>
    </row>
    <row r="1396">
      <c r="A1396" s="87"/>
      <c r="B1396" s="88"/>
      <c r="C1396" s="88"/>
      <c r="D1396" s="88"/>
      <c r="E1396" s="88"/>
      <c r="F1396" s="88"/>
      <c r="G1396" s="87"/>
    </row>
    <row r="1397">
      <c r="A1397" s="87"/>
      <c r="B1397" s="88"/>
      <c r="C1397" s="88"/>
      <c r="D1397" s="88"/>
      <c r="E1397" s="88"/>
      <c r="F1397" s="88"/>
      <c r="G1397" s="87"/>
    </row>
    <row r="1398">
      <c r="A1398" s="87"/>
      <c r="B1398" s="88"/>
      <c r="C1398" s="88"/>
      <c r="D1398" s="88"/>
      <c r="E1398" s="88"/>
      <c r="F1398" s="88"/>
      <c r="G1398" s="87"/>
    </row>
    <row r="1399">
      <c r="A1399" s="87"/>
      <c r="B1399" s="88"/>
      <c r="C1399" s="88"/>
      <c r="D1399" s="88"/>
      <c r="E1399" s="88"/>
      <c r="F1399" s="88"/>
      <c r="G1399" s="87"/>
    </row>
    <row r="1400">
      <c r="A1400" s="87"/>
      <c r="B1400" s="88"/>
      <c r="C1400" s="88"/>
      <c r="D1400" s="88"/>
      <c r="E1400" s="88"/>
      <c r="F1400" s="88"/>
      <c r="G1400" s="87"/>
    </row>
    <row r="1401">
      <c r="A1401" s="87"/>
      <c r="B1401" s="88"/>
      <c r="C1401" s="88"/>
      <c r="D1401" s="88"/>
      <c r="E1401" s="88"/>
      <c r="F1401" s="88"/>
      <c r="G1401" s="87"/>
    </row>
    <row r="1402">
      <c r="A1402" s="87"/>
      <c r="B1402" s="88"/>
      <c r="C1402" s="88"/>
      <c r="D1402" s="88"/>
      <c r="E1402" s="88"/>
      <c r="F1402" s="88"/>
      <c r="G1402" s="87"/>
    </row>
    <row r="1403">
      <c r="A1403" s="87"/>
      <c r="B1403" s="88"/>
      <c r="C1403" s="88"/>
      <c r="D1403" s="88"/>
      <c r="E1403" s="88"/>
      <c r="F1403" s="88"/>
      <c r="G1403" s="87"/>
    </row>
    <row r="1404">
      <c r="A1404" s="87"/>
      <c r="B1404" s="88"/>
      <c r="C1404" s="88"/>
      <c r="D1404" s="88"/>
      <c r="E1404" s="88"/>
      <c r="F1404" s="88"/>
      <c r="G1404" s="87"/>
    </row>
    <row r="1405">
      <c r="A1405" s="87"/>
      <c r="B1405" s="88"/>
      <c r="C1405" s="88"/>
      <c r="D1405" s="88"/>
      <c r="E1405" s="88"/>
      <c r="F1405" s="88"/>
      <c r="G1405" s="87"/>
    </row>
    <row r="1406">
      <c r="A1406" s="87"/>
      <c r="B1406" s="88"/>
      <c r="C1406" s="88"/>
      <c r="D1406" s="88"/>
      <c r="E1406" s="88"/>
      <c r="F1406" s="88"/>
      <c r="G1406" s="87"/>
    </row>
    <row r="1407">
      <c r="A1407" s="87"/>
      <c r="B1407" s="88"/>
      <c r="C1407" s="88"/>
      <c r="D1407" s="88"/>
      <c r="E1407" s="88"/>
      <c r="F1407" s="88"/>
      <c r="G1407" s="87"/>
    </row>
    <row r="1408">
      <c r="A1408" s="87"/>
      <c r="B1408" s="88"/>
      <c r="C1408" s="88"/>
      <c r="D1408" s="88"/>
      <c r="E1408" s="88"/>
      <c r="F1408" s="88"/>
      <c r="G1408" s="87"/>
    </row>
    <row r="1409">
      <c r="A1409" s="87"/>
      <c r="B1409" s="88"/>
      <c r="C1409" s="88"/>
      <c r="D1409" s="88"/>
      <c r="E1409" s="88"/>
      <c r="F1409" s="88"/>
      <c r="G1409" s="87"/>
    </row>
    <row r="1410">
      <c r="A1410" s="87"/>
      <c r="B1410" s="88"/>
      <c r="C1410" s="88"/>
      <c r="D1410" s="88"/>
      <c r="E1410" s="88"/>
      <c r="F1410" s="88"/>
      <c r="G1410" s="87"/>
    </row>
    <row r="1411">
      <c r="A1411" s="87"/>
      <c r="B1411" s="88"/>
      <c r="C1411" s="88"/>
      <c r="D1411" s="88"/>
      <c r="E1411" s="88"/>
      <c r="F1411" s="88"/>
      <c r="G1411" s="87"/>
    </row>
    <row r="1412">
      <c r="A1412" s="87"/>
      <c r="B1412" s="88"/>
      <c r="C1412" s="88"/>
      <c r="D1412" s="88"/>
      <c r="E1412" s="88"/>
      <c r="F1412" s="88"/>
      <c r="G1412" s="87"/>
    </row>
    <row r="1413">
      <c r="A1413" s="87"/>
      <c r="B1413" s="88"/>
      <c r="C1413" s="88"/>
      <c r="D1413" s="88"/>
      <c r="E1413" s="88"/>
      <c r="F1413" s="88"/>
      <c r="G1413" s="87"/>
    </row>
    <row r="1414">
      <c r="A1414" s="87"/>
      <c r="B1414" s="88"/>
      <c r="C1414" s="88"/>
      <c r="D1414" s="88"/>
      <c r="E1414" s="88"/>
      <c r="F1414" s="88"/>
      <c r="G1414" s="87"/>
    </row>
    <row r="1415">
      <c r="A1415" s="87"/>
      <c r="B1415" s="88"/>
      <c r="C1415" s="88"/>
      <c r="D1415" s="88"/>
      <c r="E1415" s="88"/>
      <c r="F1415" s="88"/>
      <c r="G1415" s="87"/>
    </row>
    <row r="1416">
      <c r="A1416" s="87"/>
      <c r="B1416" s="88"/>
      <c r="C1416" s="88"/>
      <c r="D1416" s="88"/>
      <c r="E1416" s="88"/>
      <c r="F1416" s="88"/>
      <c r="G1416" s="87"/>
    </row>
    <row r="1417">
      <c r="A1417" s="87"/>
      <c r="B1417" s="88"/>
      <c r="C1417" s="88"/>
      <c r="D1417" s="88"/>
      <c r="E1417" s="88"/>
      <c r="F1417" s="88"/>
      <c r="G1417" s="87"/>
    </row>
    <row r="1418">
      <c r="A1418" s="87"/>
      <c r="B1418" s="88"/>
      <c r="C1418" s="88"/>
      <c r="D1418" s="88"/>
      <c r="E1418" s="88"/>
      <c r="F1418" s="88"/>
      <c r="G1418" s="87"/>
    </row>
    <row r="1419">
      <c r="A1419" s="87"/>
      <c r="B1419" s="88"/>
      <c r="C1419" s="88"/>
      <c r="D1419" s="88"/>
      <c r="E1419" s="88"/>
      <c r="F1419" s="88"/>
      <c r="G1419" s="87"/>
    </row>
    <row r="1420">
      <c r="A1420" s="87"/>
      <c r="B1420" s="88"/>
      <c r="C1420" s="88"/>
      <c r="D1420" s="88"/>
      <c r="E1420" s="88"/>
      <c r="F1420" s="88"/>
      <c r="G1420" s="87"/>
    </row>
    <row r="1421">
      <c r="A1421" s="87"/>
      <c r="B1421" s="88"/>
      <c r="C1421" s="88"/>
      <c r="D1421" s="88"/>
      <c r="E1421" s="88"/>
      <c r="F1421" s="88"/>
      <c r="G1421" s="87"/>
    </row>
    <row r="1422">
      <c r="A1422" s="87"/>
      <c r="B1422" s="88"/>
      <c r="C1422" s="88"/>
      <c r="D1422" s="88"/>
      <c r="E1422" s="88"/>
      <c r="F1422" s="88"/>
      <c r="G1422" s="87"/>
    </row>
    <row r="1423">
      <c r="A1423" s="87"/>
      <c r="B1423" s="88"/>
      <c r="C1423" s="88"/>
      <c r="D1423" s="88"/>
      <c r="E1423" s="88"/>
      <c r="F1423" s="88"/>
      <c r="G1423" s="87"/>
    </row>
    <row r="1424">
      <c r="A1424" s="87"/>
      <c r="B1424" s="88"/>
      <c r="C1424" s="88"/>
      <c r="D1424" s="88"/>
      <c r="E1424" s="88"/>
      <c r="F1424" s="88"/>
      <c r="G1424" s="87"/>
    </row>
    <row r="1425">
      <c r="A1425" s="87"/>
      <c r="B1425" s="88"/>
      <c r="C1425" s="88"/>
      <c r="D1425" s="88"/>
      <c r="E1425" s="88"/>
      <c r="F1425" s="88"/>
      <c r="G1425" s="87"/>
    </row>
    <row r="1426">
      <c r="A1426" s="87"/>
      <c r="B1426" s="88"/>
      <c r="C1426" s="88"/>
      <c r="D1426" s="88"/>
      <c r="E1426" s="88"/>
      <c r="F1426" s="88"/>
      <c r="G1426" s="87"/>
    </row>
    <row r="1427">
      <c r="A1427" s="87"/>
      <c r="B1427" s="88"/>
      <c r="C1427" s="88"/>
      <c r="D1427" s="88"/>
      <c r="E1427" s="88"/>
      <c r="F1427" s="88"/>
      <c r="G1427" s="87"/>
    </row>
    <row r="1428">
      <c r="A1428" s="87"/>
      <c r="B1428" s="88"/>
      <c r="C1428" s="88"/>
      <c r="D1428" s="88"/>
      <c r="E1428" s="88"/>
      <c r="F1428" s="88"/>
      <c r="G1428" s="87"/>
    </row>
    <row r="1429">
      <c r="A1429" s="87"/>
      <c r="B1429" s="88"/>
      <c r="C1429" s="88"/>
      <c r="D1429" s="88"/>
      <c r="E1429" s="88"/>
      <c r="F1429" s="88"/>
      <c r="G1429" s="87"/>
    </row>
    <row r="1430">
      <c r="A1430" s="87"/>
      <c r="B1430" s="88"/>
      <c r="C1430" s="88"/>
      <c r="D1430" s="88"/>
      <c r="E1430" s="88"/>
      <c r="F1430" s="88"/>
      <c r="G1430" s="87"/>
    </row>
    <row r="1431">
      <c r="A1431" s="87"/>
      <c r="B1431" s="88"/>
      <c r="C1431" s="88"/>
      <c r="D1431" s="88"/>
      <c r="E1431" s="88"/>
      <c r="F1431" s="88"/>
      <c r="G1431" s="87"/>
    </row>
    <row r="1432">
      <c r="A1432" s="87"/>
      <c r="B1432" s="88"/>
      <c r="C1432" s="88"/>
      <c r="D1432" s="88"/>
      <c r="E1432" s="88"/>
      <c r="F1432" s="88"/>
      <c r="G1432" s="87"/>
    </row>
    <row r="1433">
      <c r="A1433" s="87"/>
      <c r="B1433" s="88"/>
      <c r="C1433" s="88"/>
      <c r="D1433" s="88"/>
      <c r="E1433" s="88"/>
      <c r="F1433" s="88"/>
      <c r="G1433" s="87"/>
    </row>
    <row r="1434">
      <c r="A1434" s="87"/>
      <c r="B1434" s="88"/>
      <c r="C1434" s="88"/>
      <c r="D1434" s="88"/>
      <c r="E1434" s="88"/>
      <c r="F1434" s="88"/>
      <c r="G1434" s="87"/>
    </row>
    <row r="1435">
      <c r="A1435" s="87"/>
      <c r="B1435" s="88"/>
      <c r="C1435" s="88"/>
      <c r="D1435" s="88"/>
      <c r="E1435" s="88"/>
      <c r="F1435" s="88"/>
      <c r="G1435" s="87"/>
    </row>
    <row r="1436">
      <c r="A1436" s="87"/>
      <c r="B1436" s="88"/>
      <c r="C1436" s="88"/>
      <c r="D1436" s="88"/>
      <c r="E1436" s="88"/>
      <c r="F1436" s="88"/>
      <c r="G1436" s="87"/>
    </row>
    <row r="1437">
      <c r="A1437" s="87"/>
      <c r="B1437" s="88"/>
      <c r="C1437" s="88"/>
      <c r="D1437" s="88"/>
      <c r="E1437" s="88"/>
      <c r="F1437" s="88"/>
      <c r="G1437" s="87"/>
    </row>
    <row r="1438">
      <c r="A1438" s="87"/>
      <c r="B1438" s="88"/>
      <c r="C1438" s="88"/>
      <c r="D1438" s="88"/>
      <c r="E1438" s="88"/>
      <c r="F1438" s="88"/>
      <c r="G1438" s="87"/>
    </row>
    <row r="1439">
      <c r="A1439" s="87"/>
      <c r="B1439" s="88"/>
      <c r="C1439" s="88"/>
      <c r="D1439" s="88"/>
      <c r="E1439" s="88"/>
      <c r="F1439" s="88"/>
      <c r="G1439" s="87"/>
    </row>
    <row r="1440">
      <c r="A1440" s="87"/>
      <c r="B1440" s="88"/>
      <c r="C1440" s="88"/>
      <c r="D1440" s="88"/>
      <c r="E1440" s="88"/>
      <c r="F1440" s="88"/>
      <c r="G1440" s="87"/>
    </row>
    <row r="1441">
      <c r="A1441" s="87"/>
      <c r="B1441" s="88"/>
      <c r="C1441" s="88"/>
      <c r="D1441" s="88"/>
      <c r="E1441" s="88"/>
      <c r="F1441" s="88"/>
      <c r="G1441" s="87"/>
    </row>
    <row r="1442">
      <c r="A1442" s="87"/>
      <c r="B1442" s="88"/>
      <c r="C1442" s="88"/>
      <c r="D1442" s="88"/>
      <c r="E1442" s="88"/>
      <c r="F1442" s="88"/>
      <c r="G1442" s="87"/>
    </row>
    <row r="1443">
      <c r="A1443" s="87"/>
      <c r="B1443" s="88"/>
      <c r="C1443" s="88"/>
      <c r="D1443" s="88"/>
      <c r="E1443" s="88"/>
      <c r="F1443" s="88"/>
      <c r="G1443" s="87"/>
    </row>
    <row r="1444">
      <c r="A1444" s="87"/>
      <c r="B1444" s="88"/>
      <c r="C1444" s="88"/>
      <c r="D1444" s="88"/>
      <c r="E1444" s="88"/>
      <c r="F1444" s="88"/>
      <c r="G1444" s="87"/>
    </row>
    <row r="1445">
      <c r="A1445" s="87"/>
      <c r="B1445" s="88"/>
      <c r="C1445" s="88"/>
      <c r="D1445" s="88"/>
      <c r="E1445" s="88"/>
      <c r="F1445" s="88"/>
      <c r="G1445" s="87"/>
    </row>
    <row r="1446">
      <c r="A1446" s="87"/>
      <c r="B1446" s="88"/>
      <c r="C1446" s="88"/>
      <c r="D1446" s="88"/>
      <c r="E1446" s="88"/>
      <c r="F1446" s="88"/>
      <c r="G1446" s="87"/>
    </row>
    <row r="1447">
      <c r="A1447" s="87"/>
      <c r="B1447" s="88"/>
      <c r="C1447" s="88"/>
      <c r="D1447" s="88"/>
      <c r="E1447" s="88"/>
      <c r="F1447" s="88"/>
      <c r="G1447" s="87"/>
    </row>
    <row r="1448">
      <c r="A1448" s="87"/>
      <c r="B1448" s="88"/>
      <c r="C1448" s="88"/>
      <c r="D1448" s="88"/>
      <c r="E1448" s="88"/>
      <c r="F1448" s="88"/>
      <c r="G1448" s="87"/>
    </row>
    <row r="1449">
      <c r="A1449" s="87"/>
      <c r="B1449" s="88"/>
      <c r="C1449" s="88"/>
      <c r="D1449" s="88"/>
      <c r="E1449" s="88"/>
      <c r="F1449" s="88"/>
      <c r="G1449" s="87"/>
    </row>
    <row r="1450">
      <c r="A1450" s="87"/>
      <c r="B1450" s="88"/>
      <c r="C1450" s="88"/>
      <c r="D1450" s="88"/>
      <c r="E1450" s="88"/>
      <c r="F1450" s="88"/>
      <c r="G1450" s="87"/>
    </row>
    <row r="1451">
      <c r="A1451" s="87"/>
      <c r="B1451" s="88"/>
      <c r="C1451" s="88"/>
      <c r="D1451" s="88"/>
      <c r="E1451" s="88"/>
      <c r="F1451" s="88"/>
      <c r="G1451" s="87"/>
    </row>
    <row r="1452">
      <c r="A1452" s="87"/>
      <c r="B1452" s="88"/>
      <c r="C1452" s="88"/>
      <c r="D1452" s="88"/>
      <c r="E1452" s="88"/>
      <c r="F1452" s="88"/>
      <c r="G1452" s="87"/>
    </row>
    <row r="1453">
      <c r="A1453" s="87"/>
      <c r="B1453" s="88"/>
      <c r="C1453" s="88"/>
      <c r="D1453" s="88"/>
      <c r="E1453" s="88"/>
      <c r="F1453" s="88"/>
      <c r="G1453" s="87"/>
    </row>
    <row r="1454">
      <c r="A1454" s="87"/>
      <c r="B1454" s="88"/>
      <c r="C1454" s="88"/>
      <c r="D1454" s="88"/>
      <c r="E1454" s="88"/>
      <c r="F1454" s="88"/>
      <c r="G1454" s="87"/>
    </row>
    <row r="1455">
      <c r="A1455" s="87"/>
      <c r="B1455" s="88"/>
      <c r="C1455" s="88"/>
      <c r="D1455" s="88"/>
      <c r="E1455" s="88"/>
      <c r="F1455" s="88"/>
      <c r="G1455" s="87"/>
    </row>
    <row r="1456">
      <c r="A1456" s="87"/>
      <c r="B1456" s="88"/>
      <c r="C1456" s="88"/>
      <c r="D1456" s="88"/>
      <c r="E1456" s="88"/>
      <c r="F1456" s="88"/>
      <c r="G1456" s="87"/>
    </row>
    <row r="1457">
      <c r="A1457" s="87"/>
      <c r="B1457" s="88"/>
      <c r="C1457" s="88"/>
      <c r="D1457" s="88"/>
      <c r="E1457" s="88"/>
      <c r="F1457" s="88"/>
      <c r="G1457" s="87"/>
    </row>
    <row r="1458">
      <c r="A1458" s="87"/>
      <c r="B1458" s="88"/>
      <c r="C1458" s="88"/>
      <c r="D1458" s="88"/>
      <c r="E1458" s="88"/>
      <c r="F1458" s="88"/>
      <c r="G1458" s="87"/>
    </row>
    <row r="1459">
      <c r="A1459" s="87"/>
      <c r="B1459" s="88"/>
      <c r="C1459" s="88"/>
      <c r="D1459" s="88"/>
      <c r="E1459" s="88"/>
      <c r="F1459" s="88"/>
      <c r="G1459" s="87"/>
    </row>
    <row r="1460">
      <c r="A1460" s="87"/>
      <c r="B1460" s="88"/>
      <c r="C1460" s="88"/>
      <c r="D1460" s="88"/>
      <c r="E1460" s="88"/>
      <c r="F1460" s="88"/>
      <c r="G1460" s="87"/>
    </row>
    <row r="1461">
      <c r="A1461" s="87"/>
      <c r="B1461" s="88"/>
      <c r="C1461" s="88"/>
      <c r="D1461" s="88"/>
      <c r="E1461" s="88"/>
      <c r="F1461" s="88"/>
      <c r="G1461" s="87"/>
    </row>
    <row r="1462">
      <c r="A1462" s="87"/>
      <c r="B1462" s="88"/>
      <c r="C1462" s="88"/>
      <c r="D1462" s="88"/>
      <c r="E1462" s="88"/>
      <c r="F1462" s="88"/>
      <c r="G1462" s="87"/>
    </row>
    <row r="1463">
      <c r="A1463" s="87"/>
      <c r="B1463" s="88"/>
      <c r="C1463" s="88"/>
      <c r="D1463" s="88"/>
      <c r="E1463" s="88"/>
      <c r="F1463" s="88"/>
      <c r="G1463" s="87"/>
    </row>
    <row r="1464">
      <c r="A1464" s="87"/>
      <c r="B1464" s="88"/>
      <c r="C1464" s="88"/>
      <c r="D1464" s="88"/>
      <c r="E1464" s="88"/>
      <c r="F1464" s="88"/>
      <c r="G1464" s="87"/>
    </row>
    <row r="1465">
      <c r="A1465" s="87"/>
      <c r="B1465" s="88"/>
      <c r="C1465" s="88"/>
      <c r="D1465" s="88"/>
      <c r="E1465" s="88"/>
      <c r="F1465" s="88"/>
      <c r="G1465" s="87"/>
    </row>
    <row r="1466">
      <c r="A1466" s="87"/>
      <c r="B1466" s="88"/>
      <c r="C1466" s="88"/>
      <c r="D1466" s="88"/>
      <c r="E1466" s="88"/>
      <c r="F1466" s="88"/>
      <c r="G1466" s="87"/>
    </row>
    <row r="1467">
      <c r="A1467" s="87"/>
      <c r="B1467" s="88"/>
      <c r="C1467" s="88"/>
      <c r="D1467" s="88"/>
      <c r="E1467" s="88"/>
      <c r="F1467" s="88"/>
      <c r="G1467" s="87"/>
    </row>
    <row r="1468">
      <c r="A1468" s="87"/>
      <c r="B1468" s="88"/>
      <c r="C1468" s="88"/>
      <c r="D1468" s="88"/>
      <c r="E1468" s="88"/>
      <c r="F1468" s="88"/>
      <c r="G1468" s="87"/>
    </row>
    <row r="1469">
      <c r="A1469" s="87"/>
      <c r="B1469" s="88"/>
      <c r="C1469" s="88"/>
      <c r="D1469" s="88"/>
      <c r="E1469" s="88"/>
      <c r="F1469" s="88"/>
      <c r="G1469" s="87"/>
    </row>
    <row r="1470">
      <c r="A1470" s="87"/>
      <c r="B1470" s="88"/>
      <c r="C1470" s="88"/>
      <c r="D1470" s="88"/>
      <c r="E1470" s="88"/>
      <c r="F1470" s="88"/>
      <c r="G1470" s="87"/>
    </row>
    <row r="1471">
      <c r="A1471" s="87"/>
      <c r="B1471" s="88"/>
      <c r="C1471" s="88"/>
      <c r="D1471" s="88"/>
      <c r="E1471" s="88"/>
      <c r="F1471" s="88"/>
      <c r="G1471" s="87"/>
    </row>
    <row r="1472">
      <c r="A1472" s="87"/>
      <c r="B1472" s="88"/>
      <c r="C1472" s="88"/>
      <c r="D1472" s="88"/>
      <c r="E1472" s="88"/>
      <c r="F1472" s="88"/>
      <c r="G1472" s="87"/>
    </row>
    <row r="1473">
      <c r="A1473" s="87"/>
      <c r="B1473" s="88"/>
      <c r="C1473" s="88"/>
      <c r="D1473" s="88"/>
      <c r="E1473" s="88"/>
      <c r="F1473" s="88"/>
      <c r="G1473" s="87"/>
    </row>
    <row r="1474">
      <c r="A1474" s="87"/>
      <c r="B1474" s="88"/>
      <c r="C1474" s="88"/>
      <c r="D1474" s="88"/>
      <c r="E1474" s="88"/>
      <c r="F1474" s="88"/>
      <c r="G1474" s="87"/>
    </row>
    <row r="1475">
      <c r="A1475" s="87"/>
      <c r="B1475" s="88"/>
      <c r="C1475" s="88"/>
      <c r="D1475" s="88"/>
      <c r="E1475" s="88"/>
      <c r="F1475" s="88"/>
      <c r="G1475" s="87"/>
    </row>
    <row r="1476">
      <c r="A1476" s="87"/>
      <c r="B1476" s="88"/>
      <c r="C1476" s="88"/>
      <c r="D1476" s="88"/>
      <c r="E1476" s="88"/>
      <c r="F1476" s="88"/>
      <c r="G1476" s="87"/>
    </row>
    <row r="1477">
      <c r="A1477" s="87"/>
      <c r="B1477" s="88"/>
      <c r="C1477" s="88"/>
      <c r="D1477" s="88"/>
      <c r="E1477" s="88"/>
      <c r="F1477" s="88"/>
      <c r="G1477" s="87"/>
    </row>
    <row r="1478">
      <c r="A1478" s="87"/>
      <c r="B1478" s="88"/>
      <c r="C1478" s="88"/>
      <c r="D1478" s="88"/>
      <c r="E1478" s="88"/>
      <c r="F1478" s="88"/>
      <c r="G1478" s="87"/>
    </row>
    <row r="1479">
      <c r="A1479" s="87"/>
      <c r="B1479" s="88"/>
      <c r="C1479" s="88"/>
      <c r="D1479" s="88"/>
      <c r="E1479" s="88"/>
      <c r="F1479" s="88"/>
      <c r="G1479" s="87"/>
    </row>
    <row r="1480">
      <c r="A1480" s="87"/>
      <c r="B1480" s="88"/>
      <c r="C1480" s="88"/>
      <c r="D1480" s="88"/>
      <c r="E1480" s="88"/>
      <c r="F1480" s="88"/>
      <c r="G1480" s="87"/>
    </row>
    <row r="1481">
      <c r="A1481" s="87"/>
      <c r="B1481" s="88"/>
      <c r="C1481" s="88"/>
      <c r="D1481" s="88"/>
      <c r="E1481" s="88"/>
      <c r="F1481" s="88"/>
      <c r="G1481" s="87"/>
    </row>
    <row r="1482">
      <c r="A1482" s="87"/>
      <c r="B1482" s="88"/>
      <c r="C1482" s="88"/>
      <c r="D1482" s="88"/>
      <c r="E1482" s="88"/>
      <c r="F1482" s="88"/>
      <c r="G1482" s="87"/>
    </row>
    <row r="1483">
      <c r="A1483" s="87"/>
      <c r="B1483" s="88"/>
      <c r="C1483" s="88"/>
      <c r="D1483" s="88"/>
      <c r="E1483" s="88"/>
      <c r="F1483" s="88"/>
      <c r="G1483" s="87"/>
    </row>
    <row r="1484">
      <c r="A1484" s="87"/>
      <c r="B1484" s="88"/>
      <c r="C1484" s="88"/>
      <c r="D1484" s="88"/>
      <c r="E1484" s="88"/>
      <c r="F1484" s="88"/>
      <c r="G1484" s="87"/>
    </row>
    <row r="1485">
      <c r="A1485" s="87"/>
      <c r="B1485" s="88"/>
      <c r="C1485" s="88"/>
      <c r="D1485" s="88"/>
      <c r="E1485" s="88"/>
      <c r="F1485" s="88"/>
      <c r="G1485" s="87"/>
    </row>
    <row r="1486">
      <c r="A1486" s="87"/>
      <c r="B1486" s="88"/>
      <c r="C1486" s="88"/>
      <c r="D1486" s="88"/>
      <c r="E1486" s="88"/>
      <c r="F1486" s="88"/>
      <c r="G1486" s="87"/>
    </row>
    <row r="1487">
      <c r="A1487" s="87"/>
      <c r="B1487" s="88"/>
      <c r="C1487" s="88"/>
      <c r="D1487" s="88"/>
      <c r="E1487" s="88"/>
      <c r="F1487" s="88"/>
      <c r="G1487" s="87"/>
    </row>
    <row r="1488">
      <c r="A1488" s="87"/>
      <c r="B1488" s="88"/>
      <c r="C1488" s="88"/>
      <c r="D1488" s="88"/>
      <c r="E1488" s="88"/>
      <c r="F1488" s="88"/>
      <c r="G1488" s="87"/>
    </row>
    <row r="1489">
      <c r="A1489" s="87"/>
      <c r="B1489" s="88"/>
      <c r="C1489" s="88"/>
      <c r="D1489" s="88"/>
      <c r="E1489" s="88"/>
      <c r="F1489" s="88"/>
      <c r="G1489" s="87"/>
    </row>
    <row r="1490">
      <c r="A1490" s="87"/>
      <c r="B1490" s="88"/>
      <c r="C1490" s="88"/>
      <c r="D1490" s="88"/>
      <c r="E1490" s="88"/>
      <c r="F1490" s="88"/>
      <c r="G1490" s="87"/>
    </row>
    <row r="1491">
      <c r="A1491" s="87"/>
      <c r="B1491" s="88"/>
      <c r="C1491" s="88"/>
      <c r="D1491" s="88"/>
      <c r="E1491" s="88"/>
      <c r="F1491" s="88"/>
      <c r="G1491" s="87"/>
    </row>
    <row r="1492">
      <c r="A1492" s="87"/>
      <c r="B1492" s="88"/>
      <c r="C1492" s="88"/>
      <c r="D1492" s="88"/>
      <c r="E1492" s="88"/>
      <c r="F1492" s="88"/>
      <c r="G1492" s="87"/>
    </row>
    <row r="1493">
      <c r="A1493" s="87"/>
      <c r="B1493" s="88"/>
      <c r="C1493" s="88"/>
      <c r="D1493" s="88"/>
      <c r="E1493" s="88"/>
      <c r="F1493" s="88"/>
      <c r="G1493" s="87"/>
    </row>
    <row r="1494">
      <c r="A1494" s="87"/>
      <c r="B1494" s="88"/>
      <c r="C1494" s="88"/>
      <c r="D1494" s="88"/>
      <c r="E1494" s="88"/>
      <c r="F1494" s="88"/>
      <c r="G1494" s="87"/>
    </row>
    <row r="1495">
      <c r="A1495" s="87"/>
      <c r="B1495" s="88"/>
      <c r="C1495" s="88"/>
      <c r="D1495" s="88"/>
      <c r="E1495" s="88"/>
      <c r="F1495" s="88"/>
      <c r="G1495" s="87"/>
    </row>
    <row r="1496">
      <c r="A1496" s="87"/>
      <c r="B1496" s="88"/>
      <c r="C1496" s="88"/>
      <c r="D1496" s="88"/>
      <c r="E1496" s="88"/>
      <c r="F1496" s="88"/>
      <c r="G1496" s="87"/>
    </row>
    <row r="1497">
      <c r="A1497" s="87"/>
      <c r="B1497" s="88"/>
      <c r="C1497" s="88"/>
      <c r="D1497" s="88"/>
      <c r="E1497" s="88"/>
      <c r="F1497" s="88"/>
      <c r="G1497" s="87"/>
    </row>
    <row r="1498">
      <c r="A1498" s="87"/>
      <c r="B1498" s="88"/>
      <c r="C1498" s="88"/>
      <c r="D1498" s="88"/>
      <c r="E1498" s="88"/>
      <c r="F1498" s="88"/>
      <c r="G1498" s="87"/>
    </row>
    <row r="1499">
      <c r="A1499" s="87"/>
      <c r="B1499" s="88"/>
      <c r="C1499" s="88"/>
      <c r="D1499" s="88"/>
      <c r="E1499" s="88"/>
      <c r="F1499" s="88"/>
      <c r="G1499" s="87"/>
    </row>
    <row r="1500">
      <c r="A1500" s="87"/>
      <c r="B1500" s="88"/>
      <c r="C1500" s="88"/>
      <c r="D1500" s="88"/>
      <c r="E1500" s="88"/>
      <c r="F1500" s="88"/>
      <c r="G1500" s="87"/>
    </row>
    <row r="1501">
      <c r="A1501" s="87"/>
      <c r="B1501" s="88"/>
      <c r="C1501" s="88"/>
      <c r="D1501" s="88"/>
      <c r="E1501" s="88"/>
      <c r="F1501" s="88"/>
      <c r="G1501" s="87"/>
    </row>
    <row r="1502">
      <c r="A1502" s="87"/>
      <c r="B1502" s="88"/>
      <c r="C1502" s="88"/>
      <c r="D1502" s="88"/>
      <c r="E1502" s="88"/>
      <c r="F1502" s="88"/>
      <c r="G1502" s="87"/>
    </row>
    <row r="1503">
      <c r="A1503" s="87"/>
      <c r="B1503" s="88"/>
      <c r="C1503" s="88"/>
      <c r="D1503" s="88"/>
      <c r="E1503" s="88"/>
      <c r="F1503" s="88"/>
      <c r="G1503" s="87"/>
    </row>
    <row r="1504">
      <c r="A1504" s="87"/>
      <c r="B1504" s="88"/>
      <c r="C1504" s="88"/>
      <c r="D1504" s="88"/>
      <c r="E1504" s="88"/>
      <c r="F1504" s="88"/>
      <c r="G1504" s="87"/>
    </row>
    <row r="1505">
      <c r="A1505" s="87"/>
      <c r="B1505" s="88"/>
      <c r="C1505" s="88"/>
      <c r="D1505" s="88"/>
      <c r="E1505" s="88"/>
      <c r="F1505" s="88"/>
      <c r="G1505" s="87"/>
    </row>
    <row r="1506">
      <c r="A1506" s="87"/>
      <c r="B1506" s="88"/>
      <c r="C1506" s="88"/>
      <c r="D1506" s="88"/>
      <c r="E1506" s="88"/>
      <c r="F1506" s="88"/>
      <c r="G1506" s="87"/>
    </row>
    <row r="1507">
      <c r="A1507" s="87"/>
      <c r="B1507" s="88"/>
      <c r="C1507" s="88"/>
      <c r="D1507" s="88"/>
      <c r="E1507" s="88"/>
      <c r="F1507" s="88"/>
      <c r="G1507" s="87"/>
    </row>
    <row r="1508">
      <c r="A1508" s="87"/>
      <c r="B1508" s="88"/>
      <c r="C1508" s="88"/>
      <c r="D1508" s="88"/>
      <c r="E1508" s="88"/>
      <c r="F1508" s="88"/>
      <c r="G1508" s="87"/>
    </row>
    <row r="1509">
      <c r="A1509" s="87"/>
      <c r="B1509" s="88"/>
      <c r="C1509" s="88"/>
      <c r="D1509" s="88"/>
      <c r="E1509" s="88"/>
      <c r="F1509" s="88"/>
      <c r="G1509" s="87"/>
    </row>
    <row r="1510">
      <c r="A1510" s="87"/>
      <c r="B1510" s="88"/>
      <c r="C1510" s="88"/>
      <c r="D1510" s="88"/>
      <c r="E1510" s="88"/>
      <c r="F1510" s="88"/>
      <c r="G1510" s="87"/>
    </row>
    <row r="1511">
      <c r="A1511" s="87"/>
      <c r="B1511" s="88"/>
      <c r="C1511" s="88"/>
      <c r="D1511" s="88"/>
      <c r="E1511" s="88"/>
      <c r="F1511" s="88"/>
      <c r="G1511" s="87"/>
    </row>
    <row r="1512">
      <c r="A1512" s="87"/>
      <c r="B1512" s="88"/>
      <c r="C1512" s="88"/>
      <c r="D1512" s="88"/>
      <c r="E1512" s="88"/>
      <c r="F1512" s="88"/>
      <c r="G1512" s="87"/>
    </row>
    <row r="1513">
      <c r="A1513" s="87"/>
      <c r="B1513" s="88"/>
      <c r="C1513" s="88"/>
      <c r="D1513" s="88"/>
      <c r="E1513" s="88"/>
      <c r="F1513" s="88"/>
      <c r="G1513" s="87"/>
    </row>
    <row r="1514">
      <c r="A1514" s="87"/>
      <c r="B1514" s="88"/>
      <c r="C1514" s="88"/>
      <c r="D1514" s="88"/>
      <c r="E1514" s="88"/>
      <c r="F1514" s="88"/>
      <c r="G1514" s="87"/>
    </row>
    <row r="1515">
      <c r="A1515" s="87"/>
      <c r="B1515" s="88"/>
      <c r="C1515" s="88"/>
      <c r="D1515" s="88"/>
      <c r="E1515" s="88"/>
      <c r="F1515" s="88"/>
      <c r="G1515" s="87"/>
    </row>
    <row r="1516">
      <c r="A1516" s="87"/>
      <c r="B1516" s="88"/>
      <c r="C1516" s="88"/>
      <c r="D1516" s="88"/>
      <c r="E1516" s="88"/>
      <c r="F1516" s="88"/>
      <c r="G1516" s="87"/>
    </row>
    <row r="1517">
      <c r="A1517" s="87"/>
      <c r="B1517" s="88"/>
      <c r="C1517" s="88"/>
      <c r="D1517" s="88"/>
      <c r="E1517" s="88"/>
      <c r="F1517" s="88"/>
      <c r="G1517" s="87"/>
    </row>
    <row r="1518">
      <c r="A1518" s="87"/>
      <c r="B1518" s="88"/>
      <c r="C1518" s="88"/>
      <c r="D1518" s="88"/>
      <c r="E1518" s="88"/>
      <c r="F1518" s="88"/>
      <c r="G1518" s="87"/>
    </row>
    <row r="1519">
      <c r="A1519" s="87"/>
      <c r="B1519" s="88"/>
      <c r="C1519" s="88"/>
      <c r="D1519" s="88"/>
      <c r="E1519" s="88"/>
      <c r="F1519" s="88"/>
      <c r="G1519" s="87"/>
    </row>
    <row r="1520">
      <c r="A1520" s="87"/>
      <c r="B1520" s="88"/>
      <c r="C1520" s="88"/>
      <c r="D1520" s="88"/>
      <c r="E1520" s="88"/>
      <c r="F1520" s="88"/>
      <c r="G1520" s="87"/>
    </row>
    <row r="1521">
      <c r="A1521" s="87"/>
      <c r="B1521" s="88"/>
      <c r="C1521" s="88"/>
      <c r="D1521" s="88"/>
      <c r="E1521" s="88"/>
      <c r="F1521" s="88"/>
      <c r="G1521" s="87"/>
    </row>
    <row r="1522">
      <c r="A1522" s="87"/>
      <c r="B1522" s="88"/>
      <c r="C1522" s="88"/>
      <c r="D1522" s="88"/>
      <c r="E1522" s="88"/>
      <c r="F1522" s="88"/>
      <c r="G1522" s="87"/>
    </row>
    <row r="1523">
      <c r="A1523" s="87"/>
      <c r="B1523" s="88"/>
      <c r="C1523" s="88"/>
      <c r="D1523" s="88"/>
      <c r="E1523" s="88"/>
      <c r="F1523" s="88"/>
      <c r="G1523" s="87"/>
    </row>
    <row r="1524">
      <c r="A1524" s="87"/>
      <c r="B1524" s="88"/>
      <c r="C1524" s="88"/>
      <c r="D1524" s="88"/>
      <c r="E1524" s="88"/>
      <c r="F1524" s="88"/>
      <c r="G1524" s="87"/>
    </row>
    <row r="1525">
      <c r="A1525" s="87"/>
      <c r="B1525" s="88"/>
      <c r="C1525" s="88"/>
      <c r="D1525" s="88"/>
      <c r="E1525" s="88"/>
      <c r="F1525" s="88"/>
      <c r="G1525" s="87"/>
    </row>
    <row r="1526">
      <c r="A1526" s="87"/>
      <c r="B1526" s="88"/>
      <c r="C1526" s="88"/>
      <c r="D1526" s="88"/>
      <c r="E1526" s="88"/>
      <c r="F1526" s="88"/>
      <c r="G1526" s="87"/>
    </row>
    <row r="1527">
      <c r="A1527" s="87"/>
      <c r="B1527" s="88"/>
      <c r="C1527" s="88"/>
      <c r="D1527" s="88"/>
      <c r="E1527" s="88"/>
      <c r="F1527" s="88"/>
      <c r="G1527" s="87"/>
    </row>
    <row r="1528">
      <c r="A1528" s="87"/>
      <c r="B1528" s="88"/>
      <c r="C1528" s="88"/>
      <c r="D1528" s="88"/>
      <c r="E1528" s="88"/>
      <c r="F1528" s="88"/>
      <c r="G1528" s="87"/>
    </row>
    <row r="1529">
      <c r="A1529" s="87"/>
      <c r="B1529" s="88"/>
      <c r="C1529" s="88"/>
      <c r="D1529" s="88"/>
      <c r="E1529" s="88"/>
      <c r="F1529" s="88"/>
      <c r="G1529" s="87"/>
    </row>
    <row r="1530">
      <c r="A1530" s="87"/>
      <c r="B1530" s="88"/>
      <c r="C1530" s="88"/>
      <c r="D1530" s="88"/>
      <c r="E1530" s="88"/>
      <c r="F1530" s="88"/>
      <c r="G1530" s="87"/>
    </row>
    <row r="1531">
      <c r="A1531" s="87"/>
      <c r="B1531" s="88"/>
      <c r="C1531" s="88"/>
      <c r="D1531" s="88"/>
      <c r="E1531" s="88"/>
      <c r="F1531" s="88"/>
      <c r="G1531" s="87"/>
    </row>
    <row r="1532">
      <c r="A1532" s="87"/>
      <c r="B1532" s="88"/>
      <c r="C1532" s="88"/>
      <c r="D1532" s="88"/>
      <c r="E1532" s="88"/>
      <c r="F1532" s="88"/>
      <c r="G1532" s="87"/>
    </row>
    <row r="1533">
      <c r="A1533" s="87"/>
      <c r="B1533" s="88"/>
      <c r="C1533" s="88"/>
      <c r="D1533" s="88"/>
      <c r="E1533" s="88"/>
      <c r="F1533" s="88"/>
      <c r="G1533" s="87"/>
    </row>
    <row r="1534">
      <c r="A1534" s="87"/>
      <c r="B1534" s="88"/>
      <c r="C1534" s="88"/>
      <c r="D1534" s="88"/>
      <c r="E1534" s="88"/>
      <c r="F1534" s="88"/>
      <c r="G1534" s="87"/>
    </row>
    <row r="1535">
      <c r="A1535" s="87"/>
      <c r="B1535" s="88"/>
      <c r="C1535" s="88"/>
      <c r="D1535" s="88"/>
      <c r="E1535" s="88"/>
      <c r="F1535" s="88"/>
      <c r="G1535" s="87"/>
    </row>
    <row r="1536">
      <c r="A1536" s="87"/>
      <c r="B1536" s="88"/>
      <c r="C1536" s="88"/>
      <c r="D1536" s="88"/>
      <c r="E1536" s="88"/>
      <c r="F1536" s="88"/>
      <c r="G1536" s="87"/>
    </row>
    <row r="1537">
      <c r="A1537" s="87"/>
      <c r="B1537" s="88"/>
      <c r="C1537" s="88"/>
      <c r="D1537" s="88"/>
      <c r="E1537" s="88"/>
      <c r="F1537" s="88"/>
      <c r="G1537" s="87"/>
    </row>
    <row r="1538">
      <c r="A1538" s="87"/>
      <c r="B1538" s="88"/>
      <c r="C1538" s="88"/>
      <c r="D1538" s="88"/>
      <c r="E1538" s="88"/>
      <c r="F1538" s="88"/>
      <c r="G1538" s="87"/>
    </row>
    <row r="1539">
      <c r="A1539" s="87"/>
      <c r="B1539" s="88"/>
      <c r="C1539" s="88"/>
      <c r="D1539" s="88"/>
      <c r="E1539" s="88"/>
      <c r="F1539" s="88"/>
      <c r="G1539" s="87"/>
    </row>
    <row r="1540">
      <c r="A1540" s="87"/>
      <c r="B1540" s="88"/>
      <c r="C1540" s="88"/>
      <c r="D1540" s="88"/>
      <c r="E1540" s="88"/>
      <c r="F1540" s="88"/>
      <c r="G1540" s="87"/>
    </row>
    <row r="1541">
      <c r="A1541" s="87"/>
      <c r="B1541" s="88"/>
      <c r="C1541" s="88"/>
      <c r="D1541" s="88"/>
      <c r="E1541" s="88"/>
      <c r="F1541" s="88"/>
      <c r="G1541" s="87"/>
    </row>
    <row r="1542">
      <c r="A1542" s="87"/>
      <c r="B1542" s="88"/>
      <c r="C1542" s="88"/>
      <c r="D1542" s="88"/>
      <c r="E1542" s="88"/>
      <c r="F1542" s="88"/>
      <c r="G1542" s="87"/>
    </row>
    <row r="1543">
      <c r="A1543" s="87"/>
      <c r="B1543" s="88"/>
      <c r="C1543" s="88"/>
      <c r="D1543" s="88"/>
      <c r="E1543" s="88"/>
      <c r="F1543" s="88"/>
      <c r="G1543" s="87"/>
    </row>
    <row r="1544">
      <c r="A1544" s="87"/>
      <c r="B1544" s="88"/>
      <c r="C1544" s="88"/>
      <c r="D1544" s="88"/>
      <c r="E1544" s="88"/>
      <c r="F1544" s="88"/>
      <c r="G1544" s="87"/>
    </row>
    <row r="1545">
      <c r="A1545" s="87"/>
      <c r="B1545" s="88"/>
      <c r="C1545" s="88"/>
      <c r="D1545" s="88"/>
      <c r="E1545" s="88"/>
      <c r="F1545" s="88"/>
      <c r="G1545" s="87"/>
    </row>
    <row r="1546">
      <c r="A1546" s="87"/>
      <c r="B1546" s="88"/>
      <c r="C1546" s="88"/>
      <c r="D1546" s="88"/>
      <c r="E1546" s="88"/>
      <c r="F1546" s="88"/>
      <c r="G1546" s="87"/>
    </row>
    <row r="1547">
      <c r="A1547" s="87"/>
      <c r="B1547" s="88"/>
      <c r="C1547" s="88"/>
      <c r="D1547" s="88"/>
      <c r="E1547" s="88"/>
      <c r="F1547" s="88"/>
      <c r="G1547" s="87"/>
    </row>
    <row r="1548">
      <c r="A1548" s="87"/>
      <c r="B1548" s="88"/>
      <c r="C1548" s="88"/>
      <c r="D1548" s="88"/>
      <c r="E1548" s="88"/>
      <c r="F1548" s="88"/>
      <c r="G1548" s="87"/>
    </row>
    <row r="1549">
      <c r="A1549" s="87"/>
      <c r="B1549" s="88"/>
      <c r="C1549" s="88"/>
      <c r="D1549" s="88"/>
      <c r="E1549" s="88"/>
      <c r="F1549" s="88"/>
      <c r="G1549" s="87"/>
    </row>
    <row r="1550">
      <c r="A1550" s="87"/>
      <c r="B1550" s="88"/>
      <c r="C1550" s="88"/>
      <c r="D1550" s="88"/>
      <c r="E1550" s="88"/>
      <c r="F1550" s="88"/>
      <c r="G1550" s="87"/>
    </row>
    <row r="1551">
      <c r="A1551" s="87"/>
      <c r="B1551" s="88"/>
      <c r="C1551" s="88"/>
      <c r="D1551" s="88"/>
      <c r="E1551" s="88"/>
      <c r="F1551" s="88"/>
      <c r="G1551" s="87"/>
    </row>
    <row r="1552">
      <c r="A1552" s="87"/>
      <c r="B1552" s="88"/>
      <c r="C1552" s="88"/>
      <c r="D1552" s="88"/>
      <c r="E1552" s="88"/>
      <c r="F1552" s="88"/>
      <c r="G1552" s="87"/>
    </row>
    <row r="1553">
      <c r="A1553" s="87"/>
      <c r="B1553" s="88"/>
      <c r="C1553" s="88"/>
      <c r="D1553" s="88"/>
      <c r="E1553" s="88"/>
      <c r="F1553" s="88"/>
      <c r="G1553" s="87"/>
    </row>
    <row r="1554">
      <c r="A1554" s="87"/>
      <c r="B1554" s="88"/>
      <c r="C1554" s="88"/>
      <c r="D1554" s="88"/>
      <c r="E1554" s="88"/>
      <c r="F1554" s="88"/>
      <c r="G1554" s="87"/>
    </row>
    <row r="1555">
      <c r="A1555" s="87"/>
      <c r="B1555" s="88"/>
      <c r="C1555" s="88"/>
      <c r="D1555" s="88"/>
      <c r="E1555" s="88"/>
      <c r="F1555" s="88"/>
      <c r="G1555" s="87"/>
    </row>
    <row r="1556">
      <c r="A1556" s="87"/>
      <c r="B1556" s="88"/>
      <c r="C1556" s="88"/>
      <c r="D1556" s="88"/>
      <c r="E1556" s="88"/>
      <c r="F1556" s="88"/>
      <c r="G1556" s="87"/>
    </row>
    <row r="1557">
      <c r="A1557" s="87"/>
      <c r="B1557" s="88"/>
      <c r="C1557" s="88"/>
      <c r="D1557" s="88"/>
      <c r="E1557" s="88"/>
      <c r="F1557" s="88"/>
      <c r="G1557" s="87"/>
    </row>
    <row r="1558">
      <c r="A1558" s="87"/>
      <c r="B1558" s="88"/>
      <c r="C1558" s="88"/>
      <c r="D1558" s="88"/>
      <c r="E1558" s="88"/>
      <c r="F1558" s="88"/>
      <c r="G1558" s="87"/>
    </row>
    <row r="1559">
      <c r="A1559" s="87"/>
      <c r="B1559" s="88"/>
      <c r="C1559" s="88"/>
      <c r="D1559" s="88"/>
      <c r="E1559" s="88"/>
      <c r="F1559" s="88"/>
      <c r="G1559" s="87"/>
    </row>
    <row r="1560">
      <c r="A1560" s="87"/>
      <c r="B1560" s="88"/>
      <c r="C1560" s="88"/>
      <c r="D1560" s="88"/>
      <c r="E1560" s="88"/>
      <c r="F1560" s="88"/>
      <c r="G1560" s="87"/>
    </row>
    <row r="1561">
      <c r="A1561" s="87"/>
      <c r="B1561" s="88"/>
      <c r="C1561" s="88"/>
      <c r="D1561" s="88"/>
      <c r="E1561" s="88"/>
      <c r="F1561" s="88"/>
      <c r="G1561" s="87"/>
    </row>
    <row r="1562">
      <c r="A1562" s="87"/>
      <c r="B1562" s="88"/>
      <c r="C1562" s="88"/>
      <c r="D1562" s="88"/>
      <c r="E1562" s="88"/>
      <c r="F1562" s="88"/>
      <c r="G1562" s="87"/>
    </row>
    <row r="1563">
      <c r="A1563" s="87"/>
      <c r="B1563" s="88"/>
      <c r="C1563" s="88"/>
      <c r="D1563" s="88"/>
      <c r="E1563" s="88"/>
      <c r="F1563" s="88"/>
      <c r="G1563" s="87"/>
    </row>
    <row r="1564">
      <c r="A1564" s="87"/>
      <c r="B1564" s="88"/>
      <c r="C1564" s="88"/>
      <c r="D1564" s="88"/>
      <c r="E1564" s="88"/>
      <c r="F1564" s="88"/>
      <c r="G1564" s="87"/>
    </row>
    <row r="1565">
      <c r="A1565" s="87"/>
      <c r="B1565" s="88"/>
      <c r="C1565" s="88"/>
      <c r="D1565" s="88"/>
      <c r="E1565" s="88"/>
      <c r="F1565" s="88"/>
      <c r="G1565" s="87"/>
    </row>
    <row r="1566">
      <c r="A1566" s="87"/>
      <c r="B1566" s="88"/>
      <c r="C1566" s="88"/>
      <c r="D1566" s="88"/>
      <c r="E1566" s="88"/>
      <c r="F1566" s="88"/>
      <c r="G1566" s="87"/>
    </row>
    <row r="1567">
      <c r="A1567" s="87"/>
      <c r="B1567" s="88"/>
      <c r="C1567" s="88"/>
      <c r="D1567" s="88"/>
      <c r="E1567" s="88"/>
      <c r="F1567" s="88"/>
      <c r="G1567" s="87"/>
    </row>
    <row r="1568">
      <c r="A1568" s="87"/>
      <c r="B1568" s="88"/>
      <c r="C1568" s="88"/>
      <c r="D1568" s="88"/>
      <c r="E1568" s="88"/>
      <c r="F1568" s="88"/>
      <c r="G1568" s="87"/>
    </row>
    <row r="1569">
      <c r="A1569" s="87"/>
      <c r="B1569" s="88"/>
      <c r="C1569" s="88"/>
      <c r="D1569" s="88"/>
      <c r="E1569" s="88"/>
      <c r="F1569" s="88"/>
      <c r="G1569" s="87"/>
    </row>
    <row r="1570">
      <c r="A1570" s="87"/>
      <c r="B1570" s="88"/>
      <c r="C1570" s="88"/>
      <c r="D1570" s="88"/>
      <c r="E1570" s="88"/>
      <c r="F1570" s="88"/>
      <c r="G1570" s="87"/>
    </row>
    <row r="1571">
      <c r="A1571" s="87"/>
      <c r="B1571" s="88"/>
      <c r="C1571" s="88"/>
      <c r="D1571" s="88"/>
      <c r="E1571" s="88"/>
      <c r="F1571" s="88"/>
      <c r="G1571" s="87"/>
    </row>
    <row r="1572">
      <c r="A1572" s="87"/>
      <c r="B1572" s="88"/>
      <c r="C1572" s="88"/>
      <c r="D1572" s="88"/>
      <c r="E1572" s="88"/>
      <c r="F1572" s="88"/>
      <c r="G1572" s="87"/>
    </row>
    <row r="1573">
      <c r="A1573" s="87"/>
      <c r="B1573" s="88"/>
      <c r="C1573" s="88"/>
      <c r="D1573" s="88"/>
      <c r="E1573" s="88"/>
      <c r="F1573" s="88"/>
      <c r="G1573" s="87"/>
    </row>
    <row r="1574">
      <c r="A1574" s="87"/>
      <c r="B1574" s="88"/>
      <c r="C1574" s="88"/>
      <c r="D1574" s="88"/>
      <c r="E1574" s="88"/>
      <c r="F1574" s="88"/>
      <c r="G1574" s="87"/>
    </row>
    <row r="1575">
      <c r="A1575" s="87"/>
      <c r="B1575" s="88"/>
      <c r="C1575" s="88"/>
      <c r="D1575" s="88"/>
      <c r="E1575" s="88"/>
      <c r="F1575" s="88"/>
      <c r="G1575" s="87"/>
    </row>
    <row r="1576">
      <c r="A1576" s="87"/>
      <c r="B1576" s="88"/>
      <c r="C1576" s="88"/>
      <c r="D1576" s="88"/>
      <c r="E1576" s="88"/>
      <c r="F1576" s="88"/>
      <c r="G1576" s="87"/>
    </row>
    <row r="1577">
      <c r="A1577" s="87"/>
      <c r="B1577" s="88"/>
      <c r="C1577" s="88"/>
      <c r="D1577" s="88"/>
      <c r="E1577" s="88"/>
      <c r="F1577" s="88"/>
      <c r="G1577" s="87"/>
    </row>
    <row r="1578">
      <c r="A1578" s="87"/>
      <c r="B1578" s="88"/>
      <c r="C1578" s="88"/>
      <c r="D1578" s="88"/>
      <c r="E1578" s="88"/>
      <c r="F1578" s="88"/>
      <c r="G1578" s="87"/>
    </row>
    <row r="1579">
      <c r="A1579" s="87"/>
      <c r="B1579" s="88"/>
      <c r="C1579" s="88"/>
      <c r="D1579" s="88"/>
      <c r="E1579" s="88"/>
      <c r="F1579" s="88"/>
      <c r="G1579" s="87"/>
    </row>
    <row r="1580">
      <c r="A1580" s="87"/>
      <c r="B1580" s="88"/>
      <c r="C1580" s="88"/>
      <c r="D1580" s="88"/>
      <c r="E1580" s="88"/>
      <c r="F1580" s="88"/>
      <c r="G1580" s="87"/>
    </row>
    <row r="1581">
      <c r="A1581" s="87"/>
      <c r="B1581" s="88"/>
      <c r="C1581" s="88"/>
      <c r="D1581" s="88"/>
      <c r="E1581" s="88"/>
      <c r="F1581" s="88"/>
      <c r="G1581" s="87"/>
    </row>
    <row r="1582">
      <c r="A1582" s="87"/>
      <c r="B1582" s="88"/>
      <c r="C1582" s="88"/>
      <c r="D1582" s="88"/>
      <c r="E1582" s="88"/>
      <c r="F1582" s="88"/>
      <c r="G1582" s="87"/>
    </row>
    <row r="1583">
      <c r="A1583" s="87"/>
      <c r="B1583" s="88"/>
      <c r="C1583" s="88"/>
      <c r="D1583" s="88"/>
      <c r="E1583" s="88"/>
      <c r="F1583" s="88"/>
      <c r="G1583" s="87"/>
    </row>
    <row r="1584">
      <c r="A1584" s="87"/>
      <c r="B1584" s="88"/>
      <c r="C1584" s="88"/>
      <c r="D1584" s="88"/>
      <c r="E1584" s="88"/>
      <c r="F1584" s="88"/>
      <c r="G1584" s="87"/>
    </row>
    <row r="1585">
      <c r="A1585" s="87"/>
      <c r="B1585" s="88"/>
      <c r="C1585" s="88"/>
      <c r="D1585" s="88"/>
      <c r="E1585" s="88"/>
      <c r="F1585" s="88"/>
      <c r="G1585" s="87"/>
    </row>
    <row r="1586">
      <c r="A1586" s="87"/>
      <c r="B1586" s="88"/>
      <c r="C1586" s="88"/>
      <c r="D1586" s="88"/>
      <c r="E1586" s="88"/>
      <c r="F1586" s="88"/>
      <c r="G1586" s="87"/>
    </row>
    <row r="1587">
      <c r="A1587" s="87"/>
      <c r="B1587" s="88"/>
      <c r="C1587" s="88"/>
      <c r="D1587" s="88"/>
      <c r="E1587" s="88"/>
      <c r="F1587" s="88"/>
      <c r="G1587" s="87"/>
    </row>
    <row r="1588">
      <c r="A1588" s="87"/>
      <c r="B1588" s="88"/>
      <c r="C1588" s="88"/>
      <c r="D1588" s="88"/>
      <c r="E1588" s="88"/>
      <c r="F1588" s="88"/>
      <c r="G1588" s="87"/>
    </row>
    <row r="1589">
      <c r="A1589" s="87"/>
      <c r="B1589" s="88"/>
      <c r="C1589" s="88"/>
      <c r="D1589" s="88"/>
      <c r="E1589" s="88"/>
      <c r="F1589" s="88"/>
      <c r="G1589" s="87"/>
    </row>
    <row r="1590">
      <c r="A1590" s="87"/>
      <c r="B1590" s="88"/>
      <c r="C1590" s="88"/>
      <c r="D1590" s="88"/>
      <c r="E1590" s="88"/>
      <c r="F1590" s="88"/>
      <c r="G1590" s="87"/>
    </row>
    <row r="1591">
      <c r="A1591" s="87"/>
      <c r="B1591" s="88"/>
      <c r="C1591" s="88"/>
      <c r="D1591" s="88"/>
      <c r="E1591" s="88"/>
      <c r="F1591" s="88"/>
      <c r="G1591" s="87"/>
    </row>
    <row r="1592">
      <c r="A1592" s="87"/>
      <c r="B1592" s="88"/>
      <c r="C1592" s="88"/>
      <c r="D1592" s="88"/>
      <c r="E1592" s="88"/>
      <c r="F1592" s="88"/>
      <c r="G1592" s="87"/>
    </row>
    <row r="1593">
      <c r="A1593" s="87"/>
      <c r="B1593" s="88"/>
      <c r="C1593" s="88"/>
      <c r="D1593" s="88"/>
      <c r="E1593" s="88"/>
      <c r="F1593" s="88"/>
      <c r="G1593" s="87"/>
    </row>
    <row r="1594">
      <c r="A1594" s="87"/>
      <c r="B1594" s="88"/>
      <c r="C1594" s="88"/>
      <c r="D1594" s="88"/>
      <c r="E1594" s="88"/>
      <c r="F1594" s="88"/>
      <c r="G1594" s="87"/>
    </row>
    <row r="1595">
      <c r="A1595" s="87"/>
      <c r="B1595" s="88"/>
      <c r="C1595" s="88"/>
      <c r="D1595" s="88"/>
      <c r="E1595" s="88"/>
      <c r="F1595" s="88"/>
      <c r="G1595" s="87"/>
    </row>
    <row r="1596">
      <c r="A1596" s="87"/>
      <c r="B1596" s="88"/>
      <c r="C1596" s="88"/>
      <c r="D1596" s="88"/>
      <c r="E1596" s="88"/>
      <c r="F1596" s="88"/>
      <c r="G1596" s="87"/>
    </row>
    <row r="1597">
      <c r="A1597" s="87"/>
      <c r="B1597" s="88"/>
      <c r="C1597" s="88"/>
      <c r="D1597" s="88"/>
      <c r="E1597" s="88"/>
      <c r="F1597" s="88"/>
      <c r="G1597" s="87"/>
    </row>
    <row r="1598">
      <c r="A1598" s="87"/>
      <c r="B1598" s="88"/>
      <c r="C1598" s="88"/>
      <c r="D1598" s="88"/>
      <c r="E1598" s="88"/>
      <c r="F1598" s="88"/>
      <c r="G1598" s="87"/>
    </row>
    <row r="1599">
      <c r="A1599" s="87"/>
      <c r="B1599" s="88"/>
      <c r="C1599" s="88"/>
      <c r="D1599" s="88"/>
      <c r="E1599" s="88"/>
      <c r="F1599" s="88"/>
      <c r="G1599" s="87"/>
    </row>
    <row r="1600">
      <c r="A1600" s="87"/>
      <c r="B1600" s="88"/>
      <c r="C1600" s="88"/>
      <c r="D1600" s="88"/>
      <c r="E1600" s="88"/>
      <c r="F1600" s="88"/>
      <c r="G1600" s="87"/>
    </row>
    <row r="1601">
      <c r="A1601" s="87"/>
      <c r="B1601" s="88"/>
      <c r="C1601" s="88"/>
      <c r="D1601" s="88"/>
      <c r="E1601" s="88"/>
      <c r="F1601" s="88"/>
      <c r="G1601" s="87"/>
    </row>
    <row r="1602">
      <c r="A1602" s="87"/>
      <c r="B1602" s="88"/>
      <c r="C1602" s="88"/>
      <c r="D1602" s="88"/>
      <c r="E1602" s="88"/>
      <c r="F1602" s="88"/>
      <c r="G1602" s="87"/>
    </row>
    <row r="1603">
      <c r="A1603" s="87"/>
      <c r="B1603" s="88"/>
      <c r="C1603" s="88"/>
      <c r="D1603" s="88"/>
      <c r="E1603" s="88"/>
      <c r="F1603" s="88"/>
      <c r="G1603" s="87"/>
    </row>
    <row r="1604">
      <c r="A1604" s="87"/>
      <c r="B1604" s="88"/>
      <c r="C1604" s="88"/>
      <c r="D1604" s="88"/>
      <c r="E1604" s="88"/>
      <c r="F1604" s="88"/>
      <c r="G1604" s="87"/>
    </row>
    <row r="1605">
      <c r="A1605" s="87"/>
      <c r="B1605" s="88"/>
      <c r="C1605" s="88"/>
      <c r="D1605" s="88"/>
      <c r="E1605" s="88"/>
      <c r="F1605" s="88"/>
      <c r="G1605" s="87"/>
    </row>
    <row r="1606">
      <c r="A1606" s="87"/>
      <c r="B1606" s="88"/>
      <c r="C1606" s="88"/>
      <c r="D1606" s="88"/>
      <c r="E1606" s="88"/>
      <c r="F1606" s="88"/>
      <c r="G1606" s="87"/>
    </row>
    <row r="1607">
      <c r="A1607" s="87"/>
      <c r="B1607" s="88"/>
      <c r="C1607" s="88"/>
      <c r="D1607" s="88"/>
      <c r="E1607" s="88"/>
      <c r="F1607" s="88"/>
      <c r="G1607" s="87"/>
    </row>
    <row r="1608">
      <c r="A1608" s="87"/>
      <c r="B1608" s="88"/>
      <c r="C1608" s="88"/>
      <c r="D1608" s="88"/>
      <c r="E1608" s="88"/>
      <c r="F1608" s="88"/>
      <c r="G1608" s="87"/>
    </row>
    <row r="1609">
      <c r="A1609" s="87"/>
      <c r="B1609" s="88"/>
      <c r="C1609" s="88"/>
      <c r="D1609" s="88"/>
      <c r="E1609" s="88"/>
      <c r="F1609" s="88"/>
      <c r="G1609" s="87"/>
    </row>
    <row r="1610">
      <c r="A1610" s="87"/>
      <c r="B1610" s="88"/>
      <c r="C1610" s="88"/>
      <c r="D1610" s="88"/>
      <c r="E1610" s="88"/>
      <c r="F1610" s="88"/>
      <c r="G1610" s="87"/>
    </row>
    <row r="1611">
      <c r="A1611" s="87"/>
      <c r="B1611" s="88"/>
      <c r="C1611" s="88"/>
      <c r="D1611" s="88"/>
      <c r="E1611" s="88"/>
      <c r="F1611" s="88"/>
      <c r="G1611" s="87"/>
    </row>
    <row r="1612">
      <c r="A1612" s="87"/>
      <c r="B1612" s="88"/>
      <c r="C1612" s="88"/>
      <c r="D1612" s="88"/>
      <c r="E1612" s="88"/>
      <c r="F1612" s="88"/>
      <c r="G1612" s="87"/>
    </row>
    <row r="1613">
      <c r="A1613" s="87"/>
      <c r="B1613" s="88"/>
      <c r="C1613" s="88"/>
      <c r="D1613" s="88"/>
      <c r="E1613" s="88"/>
      <c r="F1613" s="88"/>
      <c r="G1613" s="87"/>
    </row>
    <row r="1614">
      <c r="A1614" s="87"/>
      <c r="B1614" s="88"/>
      <c r="C1614" s="88"/>
      <c r="D1614" s="88"/>
      <c r="E1614" s="88"/>
      <c r="F1614" s="88"/>
      <c r="G1614" s="87"/>
    </row>
    <row r="1615">
      <c r="A1615" s="87"/>
      <c r="B1615" s="88"/>
      <c r="C1615" s="88"/>
      <c r="D1615" s="88"/>
      <c r="E1615" s="88"/>
      <c r="F1615" s="88"/>
      <c r="G1615" s="87"/>
    </row>
    <row r="1616">
      <c r="A1616" s="87"/>
      <c r="B1616" s="88"/>
      <c r="C1616" s="88"/>
      <c r="D1616" s="88"/>
      <c r="E1616" s="88"/>
      <c r="F1616" s="88"/>
      <c r="G1616" s="87"/>
    </row>
    <row r="1617">
      <c r="A1617" s="87"/>
      <c r="B1617" s="88"/>
      <c r="C1617" s="88"/>
      <c r="D1617" s="88"/>
      <c r="E1617" s="88"/>
      <c r="F1617" s="88"/>
      <c r="G1617" s="87"/>
    </row>
    <row r="1618">
      <c r="A1618" s="87"/>
      <c r="B1618" s="88"/>
      <c r="C1618" s="88"/>
      <c r="D1618" s="88"/>
      <c r="E1618" s="88"/>
      <c r="F1618" s="88"/>
      <c r="G1618" s="87"/>
    </row>
    <row r="1619">
      <c r="A1619" s="87"/>
      <c r="B1619" s="88"/>
      <c r="C1619" s="88"/>
      <c r="D1619" s="88"/>
      <c r="E1619" s="88"/>
      <c r="F1619" s="88"/>
      <c r="G1619" s="87"/>
    </row>
    <row r="1620">
      <c r="A1620" s="87"/>
      <c r="B1620" s="88"/>
      <c r="C1620" s="88"/>
      <c r="D1620" s="88"/>
      <c r="E1620" s="88"/>
      <c r="F1620" s="88"/>
      <c r="G1620" s="87"/>
    </row>
    <row r="1621">
      <c r="A1621" s="87"/>
      <c r="B1621" s="88"/>
      <c r="C1621" s="88"/>
      <c r="D1621" s="88"/>
      <c r="E1621" s="88"/>
      <c r="F1621" s="88"/>
      <c r="G1621" s="87"/>
    </row>
    <row r="1622">
      <c r="A1622" s="87"/>
      <c r="B1622" s="88"/>
      <c r="C1622" s="88"/>
      <c r="D1622" s="88"/>
      <c r="E1622" s="88"/>
      <c r="F1622" s="88"/>
      <c r="G1622" s="87"/>
    </row>
    <row r="1623">
      <c r="A1623" s="87"/>
      <c r="B1623" s="88"/>
      <c r="C1623" s="88"/>
      <c r="D1623" s="88"/>
      <c r="E1623" s="88"/>
      <c r="F1623" s="88"/>
      <c r="G1623" s="87"/>
    </row>
    <row r="1624">
      <c r="A1624" s="87"/>
      <c r="B1624" s="88"/>
      <c r="C1624" s="88"/>
      <c r="D1624" s="88"/>
      <c r="E1624" s="88"/>
      <c r="F1624" s="88"/>
      <c r="G1624" s="87"/>
    </row>
    <row r="1625">
      <c r="A1625" s="87"/>
      <c r="B1625" s="88"/>
      <c r="C1625" s="88"/>
      <c r="D1625" s="88"/>
      <c r="E1625" s="88"/>
      <c r="F1625" s="88"/>
      <c r="G1625" s="87"/>
    </row>
    <row r="1626">
      <c r="A1626" s="87"/>
      <c r="B1626" s="88"/>
      <c r="C1626" s="88"/>
      <c r="D1626" s="88"/>
      <c r="E1626" s="88"/>
      <c r="F1626" s="88"/>
      <c r="G1626" s="87"/>
    </row>
    <row r="1627">
      <c r="A1627" s="87"/>
      <c r="B1627" s="88"/>
      <c r="C1627" s="88"/>
      <c r="D1627" s="88"/>
      <c r="E1627" s="88"/>
      <c r="F1627" s="88"/>
      <c r="G1627" s="87"/>
    </row>
    <row r="1628">
      <c r="A1628" s="87"/>
      <c r="B1628" s="88"/>
      <c r="C1628" s="88"/>
      <c r="D1628" s="88"/>
      <c r="E1628" s="88"/>
      <c r="F1628" s="88"/>
      <c r="G1628" s="87"/>
    </row>
    <row r="1629">
      <c r="A1629" s="87"/>
      <c r="B1629" s="88"/>
      <c r="C1629" s="88"/>
      <c r="D1629" s="88"/>
      <c r="E1629" s="88"/>
      <c r="F1629" s="88"/>
      <c r="G1629" s="87"/>
    </row>
    <row r="1630">
      <c r="A1630" s="87"/>
      <c r="B1630" s="88"/>
      <c r="C1630" s="88"/>
      <c r="D1630" s="88"/>
      <c r="E1630" s="88"/>
      <c r="F1630" s="88"/>
      <c r="G1630" s="87"/>
    </row>
    <row r="1631">
      <c r="A1631" s="87"/>
      <c r="B1631" s="88"/>
      <c r="C1631" s="88"/>
      <c r="D1631" s="88"/>
      <c r="E1631" s="88"/>
      <c r="F1631" s="88"/>
      <c r="G1631" s="87"/>
    </row>
    <row r="1632">
      <c r="A1632" s="87"/>
      <c r="B1632" s="88"/>
      <c r="C1632" s="88"/>
      <c r="D1632" s="88"/>
      <c r="E1632" s="88"/>
      <c r="F1632" s="88"/>
      <c r="G1632" s="87"/>
    </row>
    <row r="1633">
      <c r="A1633" s="87"/>
      <c r="B1633" s="88"/>
      <c r="C1633" s="88"/>
      <c r="D1633" s="88"/>
      <c r="E1633" s="88"/>
      <c r="F1633" s="88"/>
      <c r="G1633" s="87"/>
    </row>
    <row r="1634">
      <c r="A1634" s="87"/>
      <c r="B1634" s="88"/>
      <c r="C1634" s="88"/>
      <c r="D1634" s="88"/>
      <c r="E1634" s="88"/>
      <c r="F1634" s="88"/>
      <c r="G1634" s="87"/>
    </row>
    <row r="1635">
      <c r="A1635" s="87"/>
      <c r="B1635" s="88"/>
      <c r="C1635" s="88"/>
      <c r="D1635" s="88"/>
      <c r="E1635" s="88"/>
      <c r="F1635" s="88"/>
      <c r="G1635" s="87"/>
    </row>
    <row r="1636">
      <c r="A1636" s="87"/>
      <c r="B1636" s="88"/>
      <c r="C1636" s="88"/>
      <c r="D1636" s="88"/>
      <c r="E1636" s="88"/>
      <c r="F1636" s="88"/>
      <c r="G1636" s="87"/>
    </row>
    <row r="1637">
      <c r="A1637" s="87"/>
      <c r="B1637" s="88"/>
      <c r="C1637" s="88"/>
      <c r="D1637" s="88"/>
      <c r="E1637" s="88"/>
      <c r="F1637" s="88"/>
      <c r="G1637" s="87"/>
    </row>
    <row r="1638">
      <c r="A1638" s="87"/>
      <c r="B1638" s="88"/>
      <c r="C1638" s="88"/>
      <c r="D1638" s="88"/>
      <c r="E1638" s="88"/>
      <c r="F1638" s="88"/>
      <c r="G1638" s="87"/>
    </row>
    <row r="1639">
      <c r="A1639" s="87"/>
      <c r="B1639" s="88"/>
      <c r="C1639" s="88"/>
      <c r="D1639" s="88"/>
      <c r="E1639" s="88"/>
      <c r="F1639" s="88"/>
      <c r="G1639" s="87"/>
    </row>
    <row r="1640">
      <c r="A1640" s="87"/>
      <c r="B1640" s="88"/>
      <c r="C1640" s="88"/>
      <c r="D1640" s="88"/>
      <c r="E1640" s="88"/>
      <c r="F1640" s="88"/>
      <c r="G1640" s="87"/>
    </row>
    <row r="1641">
      <c r="A1641" s="87"/>
      <c r="B1641" s="88"/>
      <c r="C1641" s="88"/>
      <c r="D1641" s="88"/>
      <c r="E1641" s="88"/>
      <c r="F1641" s="88"/>
      <c r="G1641" s="87"/>
    </row>
    <row r="1642">
      <c r="A1642" s="87"/>
      <c r="B1642" s="88"/>
      <c r="C1642" s="88"/>
      <c r="D1642" s="88"/>
      <c r="E1642" s="88"/>
      <c r="F1642" s="88"/>
      <c r="G1642" s="87"/>
    </row>
    <row r="1643">
      <c r="A1643" s="87"/>
      <c r="B1643" s="88"/>
      <c r="C1643" s="88"/>
      <c r="D1643" s="88"/>
      <c r="E1643" s="88"/>
      <c r="F1643" s="88"/>
      <c r="G1643" s="87"/>
    </row>
    <row r="1644">
      <c r="A1644" s="87"/>
      <c r="B1644" s="88"/>
      <c r="C1644" s="88"/>
      <c r="D1644" s="88"/>
      <c r="E1644" s="88"/>
      <c r="F1644" s="88"/>
      <c r="G1644" s="87"/>
    </row>
    <row r="1645">
      <c r="A1645" s="87"/>
      <c r="B1645" s="88"/>
      <c r="C1645" s="88"/>
      <c r="D1645" s="88"/>
      <c r="E1645" s="88"/>
      <c r="F1645" s="88"/>
      <c r="G1645" s="87"/>
    </row>
    <row r="1646">
      <c r="A1646" s="87"/>
      <c r="B1646" s="88"/>
      <c r="C1646" s="88"/>
      <c r="D1646" s="88"/>
      <c r="E1646" s="88"/>
      <c r="F1646" s="88"/>
      <c r="G1646" s="87"/>
    </row>
    <row r="1647">
      <c r="A1647" s="87"/>
      <c r="B1647" s="88"/>
      <c r="C1647" s="88"/>
      <c r="D1647" s="88"/>
      <c r="E1647" s="88"/>
      <c r="F1647" s="88"/>
      <c r="G1647" s="87"/>
    </row>
    <row r="1648">
      <c r="A1648" s="87"/>
      <c r="B1648" s="88"/>
      <c r="C1648" s="88"/>
      <c r="D1648" s="88"/>
      <c r="E1648" s="88"/>
      <c r="F1648" s="88"/>
      <c r="G1648" s="87"/>
    </row>
    <row r="1649">
      <c r="A1649" s="87"/>
      <c r="B1649" s="88"/>
      <c r="C1649" s="88"/>
      <c r="D1649" s="88"/>
      <c r="E1649" s="88"/>
      <c r="F1649" s="88"/>
      <c r="G1649" s="87"/>
    </row>
    <row r="1650">
      <c r="A1650" s="87"/>
      <c r="B1650" s="88"/>
      <c r="C1650" s="88"/>
      <c r="D1650" s="88"/>
      <c r="E1650" s="88"/>
      <c r="F1650" s="88"/>
      <c r="G1650" s="87"/>
    </row>
    <row r="1651">
      <c r="A1651" s="87"/>
      <c r="B1651" s="88"/>
      <c r="C1651" s="88"/>
      <c r="D1651" s="88"/>
      <c r="E1651" s="88"/>
      <c r="F1651" s="88"/>
      <c r="G1651" s="87"/>
    </row>
    <row r="1652">
      <c r="A1652" s="87"/>
      <c r="B1652" s="88"/>
      <c r="C1652" s="88"/>
      <c r="D1652" s="88"/>
      <c r="E1652" s="88"/>
      <c r="F1652" s="88"/>
      <c r="G1652" s="87"/>
    </row>
    <row r="1653">
      <c r="A1653" s="87"/>
      <c r="B1653" s="88"/>
      <c r="C1653" s="88"/>
      <c r="D1653" s="88"/>
      <c r="E1653" s="88"/>
      <c r="F1653" s="88"/>
      <c r="G1653" s="87"/>
    </row>
    <row r="1654">
      <c r="A1654" s="87"/>
      <c r="B1654" s="88"/>
      <c r="C1654" s="88"/>
      <c r="D1654" s="88"/>
      <c r="E1654" s="88"/>
      <c r="F1654" s="88"/>
      <c r="G1654" s="87"/>
    </row>
    <row r="1655">
      <c r="A1655" s="87"/>
      <c r="B1655" s="88"/>
      <c r="C1655" s="88"/>
      <c r="D1655" s="88"/>
      <c r="E1655" s="88"/>
      <c r="F1655" s="88"/>
      <c r="G1655" s="87"/>
    </row>
    <row r="1656">
      <c r="A1656" s="87"/>
      <c r="B1656" s="88"/>
      <c r="C1656" s="88"/>
      <c r="D1656" s="88"/>
      <c r="E1656" s="88"/>
      <c r="F1656" s="88"/>
      <c r="G1656" s="87"/>
    </row>
    <row r="1657">
      <c r="A1657" s="87"/>
      <c r="B1657" s="88"/>
      <c r="C1657" s="88"/>
      <c r="D1657" s="88"/>
      <c r="E1657" s="88"/>
      <c r="F1657" s="88"/>
      <c r="G1657" s="87"/>
    </row>
    <row r="1658">
      <c r="A1658" s="87"/>
      <c r="B1658" s="88"/>
      <c r="C1658" s="88"/>
      <c r="D1658" s="88"/>
      <c r="E1658" s="88"/>
      <c r="F1658" s="88"/>
      <c r="G1658" s="87"/>
    </row>
    <row r="1659">
      <c r="A1659" s="87"/>
      <c r="B1659" s="88"/>
      <c r="C1659" s="88"/>
      <c r="D1659" s="88"/>
      <c r="E1659" s="88"/>
      <c r="F1659" s="88"/>
      <c r="G1659" s="87"/>
    </row>
    <row r="1660">
      <c r="A1660" s="87"/>
      <c r="B1660" s="88"/>
      <c r="C1660" s="88"/>
      <c r="D1660" s="88"/>
      <c r="E1660" s="88"/>
      <c r="F1660" s="88"/>
      <c r="G1660" s="87"/>
    </row>
    <row r="1661">
      <c r="A1661" s="87"/>
      <c r="B1661" s="88"/>
      <c r="C1661" s="88"/>
      <c r="D1661" s="88"/>
      <c r="E1661" s="88"/>
      <c r="F1661" s="88"/>
      <c r="G1661" s="87"/>
    </row>
    <row r="1662">
      <c r="A1662" s="87"/>
      <c r="B1662" s="88"/>
      <c r="C1662" s="88"/>
      <c r="D1662" s="88"/>
      <c r="E1662" s="88"/>
      <c r="F1662" s="88"/>
      <c r="G1662" s="87"/>
    </row>
    <row r="1663">
      <c r="A1663" s="87"/>
      <c r="B1663" s="88"/>
      <c r="C1663" s="88"/>
      <c r="D1663" s="88"/>
      <c r="E1663" s="88"/>
      <c r="F1663" s="88"/>
      <c r="G1663" s="87"/>
    </row>
    <row r="1664">
      <c r="A1664" s="87"/>
      <c r="B1664" s="88"/>
      <c r="C1664" s="88"/>
      <c r="D1664" s="88"/>
      <c r="E1664" s="88"/>
      <c r="F1664" s="88"/>
      <c r="G1664" s="87"/>
    </row>
    <row r="1665">
      <c r="A1665" s="87"/>
      <c r="B1665" s="88"/>
      <c r="C1665" s="88"/>
      <c r="D1665" s="88"/>
      <c r="E1665" s="88"/>
      <c r="F1665" s="88"/>
      <c r="G1665" s="87"/>
    </row>
    <row r="1666">
      <c r="A1666" s="87"/>
      <c r="B1666" s="88"/>
      <c r="C1666" s="88"/>
      <c r="D1666" s="88"/>
      <c r="E1666" s="88"/>
      <c r="F1666" s="88"/>
      <c r="G1666" s="87"/>
    </row>
    <row r="1667">
      <c r="A1667" s="87"/>
      <c r="B1667" s="88"/>
      <c r="C1667" s="88"/>
      <c r="D1667" s="88"/>
      <c r="E1667" s="88"/>
      <c r="F1667" s="88"/>
      <c r="G1667" s="87"/>
    </row>
    <row r="1668">
      <c r="A1668" s="87"/>
      <c r="B1668" s="88"/>
      <c r="C1668" s="88"/>
      <c r="D1668" s="88"/>
      <c r="E1668" s="88"/>
      <c r="F1668" s="88"/>
      <c r="G1668" s="87"/>
    </row>
    <row r="1669">
      <c r="A1669" s="87"/>
      <c r="B1669" s="88"/>
      <c r="C1669" s="88"/>
      <c r="D1669" s="88"/>
      <c r="E1669" s="88"/>
      <c r="F1669" s="88"/>
      <c r="G1669" s="87"/>
    </row>
    <row r="1670">
      <c r="A1670" s="87"/>
      <c r="B1670" s="88"/>
      <c r="C1670" s="88"/>
      <c r="D1670" s="88"/>
      <c r="E1670" s="88"/>
      <c r="F1670" s="88"/>
      <c r="G1670" s="87"/>
    </row>
    <row r="1671">
      <c r="A1671" s="87"/>
      <c r="B1671" s="88"/>
      <c r="C1671" s="88"/>
      <c r="D1671" s="88"/>
      <c r="E1671" s="88"/>
      <c r="F1671" s="88"/>
      <c r="G1671" s="87"/>
    </row>
    <row r="1672">
      <c r="A1672" s="87"/>
      <c r="B1672" s="88"/>
      <c r="C1672" s="88"/>
      <c r="D1672" s="88"/>
      <c r="E1672" s="88"/>
      <c r="F1672" s="88"/>
      <c r="G1672" s="87"/>
    </row>
    <row r="1673">
      <c r="A1673" s="87"/>
      <c r="B1673" s="88"/>
      <c r="C1673" s="88"/>
      <c r="D1673" s="88"/>
      <c r="E1673" s="88"/>
      <c r="F1673" s="88"/>
      <c r="G1673" s="87"/>
    </row>
    <row r="1674">
      <c r="A1674" s="87"/>
      <c r="B1674" s="88"/>
      <c r="C1674" s="88"/>
      <c r="D1674" s="88"/>
      <c r="E1674" s="88"/>
      <c r="F1674" s="88"/>
      <c r="G1674" s="87"/>
    </row>
    <row r="1675">
      <c r="A1675" s="87"/>
      <c r="B1675" s="88"/>
      <c r="C1675" s="88"/>
      <c r="D1675" s="88"/>
      <c r="E1675" s="88"/>
      <c r="F1675" s="88"/>
      <c r="G1675" s="87"/>
    </row>
    <row r="1676">
      <c r="A1676" s="87"/>
      <c r="B1676" s="88"/>
      <c r="C1676" s="88"/>
      <c r="D1676" s="88"/>
      <c r="E1676" s="88"/>
      <c r="F1676" s="88"/>
      <c r="G1676" s="87"/>
    </row>
    <row r="1677">
      <c r="A1677" s="87"/>
      <c r="B1677" s="88"/>
      <c r="C1677" s="88"/>
      <c r="D1677" s="88"/>
      <c r="E1677" s="88"/>
      <c r="F1677" s="88"/>
      <c r="G1677" s="87"/>
    </row>
    <row r="1678">
      <c r="A1678" s="87"/>
      <c r="B1678" s="88"/>
      <c r="C1678" s="88"/>
      <c r="D1678" s="88"/>
      <c r="E1678" s="88"/>
      <c r="F1678" s="88"/>
      <c r="G1678" s="87"/>
    </row>
    <row r="1679">
      <c r="A1679" s="87"/>
      <c r="B1679" s="88"/>
      <c r="C1679" s="88"/>
      <c r="D1679" s="88"/>
      <c r="E1679" s="88"/>
      <c r="F1679" s="88"/>
      <c r="G1679" s="87"/>
    </row>
    <row r="1680">
      <c r="A1680" s="87"/>
      <c r="B1680" s="88"/>
      <c r="C1680" s="88"/>
      <c r="D1680" s="88"/>
      <c r="E1680" s="88"/>
      <c r="F1680" s="88"/>
      <c r="G1680" s="87"/>
    </row>
    <row r="1681">
      <c r="A1681" s="87"/>
      <c r="B1681" s="88"/>
      <c r="C1681" s="88"/>
      <c r="D1681" s="88"/>
      <c r="E1681" s="88"/>
      <c r="F1681" s="88"/>
      <c r="G1681" s="87"/>
    </row>
    <row r="1682">
      <c r="A1682" s="87"/>
      <c r="B1682" s="88"/>
      <c r="C1682" s="88"/>
      <c r="D1682" s="88"/>
      <c r="E1682" s="88"/>
      <c r="F1682" s="88"/>
      <c r="G1682" s="87"/>
    </row>
    <row r="1683">
      <c r="A1683" s="87"/>
      <c r="B1683" s="88"/>
      <c r="C1683" s="88"/>
      <c r="D1683" s="88"/>
      <c r="E1683" s="88"/>
      <c r="F1683" s="88"/>
      <c r="G1683" s="87"/>
    </row>
    <row r="1684">
      <c r="A1684" s="87"/>
      <c r="B1684" s="88"/>
      <c r="C1684" s="88"/>
      <c r="D1684" s="88"/>
      <c r="E1684" s="88"/>
      <c r="F1684" s="88"/>
      <c r="G1684" s="87"/>
    </row>
    <row r="1685">
      <c r="A1685" s="87"/>
      <c r="B1685" s="88"/>
      <c r="C1685" s="88"/>
      <c r="D1685" s="88"/>
      <c r="E1685" s="88"/>
      <c r="F1685" s="88"/>
      <c r="G1685" s="87"/>
    </row>
    <row r="1686">
      <c r="A1686" s="87"/>
      <c r="B1686" s="88"/>
      <c r="C1686" s="88"/>
      <c r="D1686" s="88"/>
      <c r="E1686" s="88"/>
      <c r="F1686" s="88"/>
      <c r="G1686" s="87"/>
    </row>
    <row r="1687">
      <c r="A1687" s="87"/>
      <c r="B1687" s="88"/>
      <c r="C1687" s="88"/>
      <c r="D1687" s="88"/>
      <c r="E1687" s="88"/>
      <c r="F1687" s="88"/>
      <c r="G1687" s="87"/>
    </row>
    <row r="1688">
      <c r="A1688" s="87"/>
      <c r="B1688" s="88"/>
      <c r="C1688" s="88"/>
      <c r="D1688" s="88"/>
      <c r="E1688" s="88"/>
      <c r="F1688" s="88"/>
      <c r="G1688" s="87"/>
    </row>
    <row r="1689">
      <c r="A1689" s="87"/>
      <c r="B1689" s="88"/>
      <c r="C1689" s="88"/>
      <c r="D1689" s="88"/>
      <c r="E1689" s="88"/>
      <c r="F1689" s="88"/>
      <c r="G1689" s="87"/>
    </row>
    <row r="1690">
      <c r="A1690" s="87"/>
      <c r="B1690" s="88"/>
      <c r="C1690" s="88"/>
      <c r="D1690" s="88"/>
      <c r="E1690" s="88"/>
      <c r="F1690" s="88"/>
      <c r="G1690" s="87"/>
    </row>
    <row r="1691">
      <c r="A1691" s="87"/>
      <c r="B1691" s="88"/>
      <c r="C1691" s="88"/>
      <c r="D1691" s="88"/>
      <c r="E1691" s="88"/>
      <c r="F1691" s="88"/>
      <c r="G1691" s="87"/>
    </row>
    <row r="1692">
      <c r="A1692" s="87"/>
      <c r="B1692" s="88"/>
      <c r="C1692" s="88"/>
      <c r="D1692" s="88"/>
      <c r="E1692" s="88"/>
      <c r="F1692" s="88"/>
      <c r="G1692" s="87"/>
    </row>
    <row r="1693">
      <c r="A1693" s="87"/>
      <c r="B1693" s="88"/>
      <c r="C1693" s="88"/>
      <c r="D1693" s="88"/>
      <c r="E1693" s="88"/>
      <c r="F1693" s="88"/>
      <c r="G1693" s="87"/>
    </row>
    <row r="1694">
      <c r="A1694" s="87"/>
      <c r="B1694" s="88"/>
      <c r="C1694" s="88"/>
      <c r="D1694" s="88"/>
      <c r="E1694" s="88"/>
      <c r="F1694" s="88"/>
      <c r="G1694" s="87"/>
    </row>
    <row r="1695">
      <c r="A1695" s="87"/>
      <c r="B1695" s="88"/>
      <c r="C1695" s="88"/>
      <c r="D1695" s="88"/>
      <c r="E1695" s="88"/>
      <c r="F1695" s="88"/>
      <c r="G1695" s="87"/>
    </row>
    <row r="1696">
      <c r="A1696" s="87"/>
      <c r="B1696" s="88"/>
      <c r="C1696" s="88"/>
      <c r="D1696" s="88"/>
      <c r="E1696" s="88"/>
      <c r="F1696" s="88"/>
      <c r="G1696" s="87"/>
    </row>
    <row r="1697">
      <c r="A1697" s="87"/>
      <c r="B1697" s="88"/>
      <c r="C1697" s="88"/>
      <c r="D1697" s="88"/>
      <c r="E1697" s="88"/>
      <c r="F1697" s="88"/>
      <c r="G1697" s="87"/>
    </row>
    <row r="1698">
      <c r="A1698" s="87"/>
      <c r="B1698" s="88"/>
      <c r="C1698" s="88"/>
      <c r="D1698" s="88"/>
      <c r="E1698" s="88"/>
      <c r="F1698" s="88"/>
      <c r="G1698" s="87"/>
    </row>
    <row r="1699">
      <c r="A1699" s="87"/>
      <c r="B1699" s="88"/>
      <c r="C1699" s="88"/>
      <c r="D1699" s="88"/>
      <c r="E1699" s="88"/>
      <c r="F1699" s="88"/>
      <c r="G1699" s="87"/>
    </row>
    <row r="1700">
      <c r="A1700" s="87"/>
      <c r="B1700" s="88"/>
      <c r="C1700" s="88"/>
      <c r="D1700" s="88"/>
      <c r="E1700" s="88"/>
      <c r="F1700" s="88"/>
      <c r="G1700" s="87"/>
    </row>
    <row r="1701">
      <c r="A1701" s="87"/>
      <c r="B1701" s="88"/>
      <c r="C1701" s="88"/>
      <c r="D1701" s="88"/>
      <c r="E1701" s="88"/>
      <c r="F1701" s="88"/>
      <c r="G1701" s="87"/>
    </row>
    <row r="1702">
      <c r="A1702" s="87"/>
      <c r="B1702" s="88"/>
      <c r="C1702" s="88"/>
      <c r="D1702" s="88"/>
      <c r="E1702" s="88"/>
      <c r="F1702" s="88"/>
      <c r="G1702" s="87"/>
    </row>
    <row r="1703">
      <c r="A1703" s="87"/>
      <c r="B1703" s="88"/>
      <c r="C1703" s="88"/>
      <c r="D1703" s="88"/>
      <c r="E1703" s="88"/>
      <c r="F1703" s="88"/>
      <c r="G1703" s="87"/>
    </row>
    <row r="1704">
      <c r="A1704" s="87"/>
      <c r="B1704" s="88"/>
      <c r="C1704" s="88"/>
      <c r="D1704" s="88"/>
      <c r="E1704" s="88"/>
      <c r="F1704" s="88"/>
      <c r="G1704" s="87"/>
    </row>
    <row r="1705">
      <c r="A1705" s="87"/>
      <c r="B1705" s="88"/>
      <c r="C1705" s="88"/>
      <c r="D1705" s="88"/>
      <c r="E1705" s="88"/>
      <c r="F1705" s="88"/>
      <c r="G1705" s="87"/>
    </row>
    <row r="1706">
      <c r="A1706" s="87"/>
      <c r="B1706" s="88"/>
      <c r="C1706" s="88"/>
      <c r="D1706" s="88"/>
      <c r="E1706" s="88"/>
      <c r="F1706" s="88"/>
      <c r="G1706" s="87"/>
    </row>
    <row r="1707">
      <c r="A1707" s="87"/>
      <c r="B1707" s="88"/>
      <c r="C1707" s="88"/>
      <c r="D1707" s="88"/>
      <c r="E1707" s="88"/>
      <c r="F1707" s="88"/>
      <c r="G1707" s="87"/>
    </row>
    <row r="1708">
      <c r="A1708" s="87"/>
      <c r="B1708" s="88"/>
      <c r="C1708" s="88"/>
      <c r="D1708" s="88"/>
      <c r="E1708" s="88"/>
      <c r="F1708" s="88"/>
      <c r="G1708" s="87"/>
    </row>
    <row r="1709">
      <c r="A1709" s="87"/>
      <c r="B1709" s="88"/>
      <c r="C1709" s="88"/>
      <c r="D1709" s="88"/>
      <c r="E1709" s="88"/>
      <c r="F1709" s="88"/>
      <c r="G1709" s="87"/>
    </row>
    <row r="1710">
      <c r="A1710" s="87"/>
      <c r="B1710" s="88"/>
      <c r="C1710" s="88"/>
      <c r="D1710" s="88"/>
      <c r="E1710" s="88"/>
      <c r="F1710" s="88"/>
      <c r="G1710" s="87"/>
    </row>
    <row r="1711">
      <c r="A1711" s="87"/>
      <c r="B1711" s="88"/>
      <c r="C1711" s="88"/>
      <c r="D1711" s="88"/>
      <c r="E1711" s="88"/>
      <c r="F1711" s="88"/>
      <c r="G1711" s="87"/>
    </row>
    <row r="1712">
      <c r="A1712" s="87"/>
      <c r="B1712" s="88"/>
      <c r="C1712" s="88"/>
      <c r="D1712" s="88"/>
      <c r="E1712" s="88"/>
      <c r="F1712" s="88"/>
      <c r="G1712" s="87"/>
    </row>
    <row r="1713">
      <c r="A1713" s="87"/>
      <c r="B1713" s="88"/>
      <c r="C1713" s="88"/>
      <c r="D1713" s="88"/>
      <c r="E1713" s="88"/>
      <c r="F1713" s="88"/>
      <c r="G1713" s="87"/>
    </row>
    <row r="1714">
      <c r="A1714" s="87"/>
      <c r="B1714" s="88"/>
      <c r="C1714" s="88"/>
      <c r="D1714" s="88"/>
      <c r="E1714" s="88"/>
      <c r="F1714" s="88"/>
      <c r="G1714" s="87"/>
    </row>
    <row r="1715">
      <c r="A1715" s="87"/>
      <c r="B1715" s="88"/>
      <c r="C1715" s="88"/>
      <c r="D1715" s="88"/>
      <c r="E1715" s="88"/>
      <c r="F1715" s="88"/>
      <c r="G1715" s="87"/>
    </row>
    <row r="1716">
      <c r="A1716" s="87"/>
      <c r="B1716" s="88"/>
      <c r="C1716" s="88"/>
      <c r="D1716" s="88"/>
      <c r="E1716" s="88"/>
      <c r="F1716" s="88"/>
      <c r="G1716" s="87"/>
    </row>
    <row r="1717">
      <c r="A1717" s="87"/>
      <c r="B1717" s="88"/>
      <c r="C1717" s="88"/>
      <c r="D1717" s="88"/>
      <c r="E1717" s="88"/>
      <c r="F1717" s="88"/>
      <c r="G1717" s="87"/>
    </row>
    <row r="1718">
      <c r="A1718" s="87"/>
      <c r="B1718" s="88"/>
      <c r="C1718" s="88"/>
      <c r="D1718" s="88"/>
      <c r="E1718" s="88"/>
      <c r="F1718" s="88"/>
      <c r="G1718" s="87"/>
    </row>
    <row r="1719">
      <c r="A1719" s="87"/>
      <c r="B1719" s="88"/>
      <c r="C1719" s="88"/>
      <c r="D1719" s="88"/>
      <c r="E1719" s="88"/>
      <c r="F1719" s="88"/>
      <c r="G1719" s="87"/>
    </row>
    <row r="1720">
      <c r="A1720" s="87"/>
      <c r="B1720" s="88"/>
      <c r="C1720" s="88"/>
      <c r="D1720" s="88"/>
      <c r="E1720" s="88"/>
      <c r="F1720" s="88"/>
      <c r="G1720" s="87"/>
    </row>
    <row r="1721">
      <c r="A1721" s="87"/>
      <c r="B1721" s="88"/>
      <c r="C1721" s="88"/>
      <c r="D1721" s="88"/>
      <c r="E1721" s="88"/>
      <c r="F1721" s="88"/>
      <c r="G1721" s="87"/>
    </row>
    <row r="1722">
      <c r="A1722" s="87"/>
      <c r="B1722" s="88"/>
      <c r="C1722" s="88"/>
      <c r="D1722" s="88"/>
      <c r="E1722" s="88"/>
      <c r="F1722" s="88"/>
      <c r="G1722" s="87"/>
    </row>
    <row r="1723">
      <c r="A1723" s="87"/>
      <c r="B1723" s="88"/>
      <c r="C1723" s="88"/>
      <c r="D1723" s="88"/>
      <c r="E1723" s="88"/>
      <c r="F1723" s="88"/>
      <c r="G1723" s="87"/>
    </row>
    <row r="1724">
      <c r="A1724" s="87"/>
      <c r="B1724" s="88"/>
      <c r="C1724" s="88"/>
      <c r="D1724" s="88"/>
      <c r="E1724" s="88"/>
      <c r="F1724" s="88"/>
      <c r="G1724" s="87"/>
    </row>
    <row r="1725">
      <c r="A1725" s="87"/>
      <c r="B1725" s="88"/>
      <c r="C1725" s="88"/>
      <c r="D1725" s="88"/>
      <c r="E1725" s="88"/>
      <c r="F1725" s="88"/>
      <c r="G1725" s="87"/>
    </row>
    <row r="1726">
      <c r="A1726" s="87"/>
      <c r="B1726" s="88"/>
      <c r="C1726" s="88"/>
      <c r="D1726" s="88"/>
      <c r="E1726" s="88"/>
      <c r="F1726" s="88"/>
      <c r="G1726" s="87"/>
    </row>
    <row r="1727">
      <c r="A1727" s="87"/>
      <c r="B1727" s="88"/>
      <c r="C1727" s="88"/>
      <c r="D1727" s="88"/>
      <c r="E1727" s="88"/>
      <c r="F1727" s="88"/>
      <c r="G1727" s="87"/>
    </row>
    <row r="1728">
      <c r="A1728" s="87"/>
      <c r="B1728" s="88"/>
      <c r="C1728" s="88"/>
      <c r="D1728" s="88"/>
      <c r="E1728" s="88"/>
      <c r="F1728" s="88"/>
      <c r="G1728" s="87"/>
    </row>
    <row r="1729">
      <c r="A1729" s="87"/>
      <c r="B1729" s="88"/>
      <c r="C1729" s="88"/>
      <c r="D1729" s="88"/>
      <c r="E1729" s="88"/>
      <c r="F1729" s="88"/>
      <c r="G1729" s="87"/>
    </row>
    <row r="1730">
      <c r="A1730" s="87"/>
      <c r="B1730" s="88"/>
      <c r="C1730" s="88"/>
      <c r="D1730" s="88"/>
      <c r="E1730" s="88"/>
      <c r="F1730" s="88"/>
      <c r="G1730" s="87"/>
    </row>
    <row r="1731">
      <c r="A1731" s="87"/>
      <c r="B1731" s="88"/>
      <c r="C1731" s="88"/>
      <c r="D1731" s="88"/>
      <c r="E1731" s="88"/>
      <c r="F1731" s="88"/>
      <c r="G1731" s="87"/>
    </row>
    <row r="1732">
      <c r="A1732" s="87"/>
      <c r="B1732" s="88"/>
      <c r="C1732" s="88"/>
      <c r="D1732" s="88"/>
      <c r="E1732" s="88"/>
      <c r="F1732" s="88"/>
      <c r="G1732" s="87"/>
    </row>
    <row r="1733">
      <c r="A1733" s="87"/>
      <c r="B1733" s="88"/>
      <c r="C1733" s="88"/>
      <c r="D1733" s="88"/>
      <c r="E1733" s="88"/>
      <c r="F1733" s="88"/>
      <c r="G1733" s="87"/>
    </row>
    <row r="1734">
      <c r="A1734" s="87"/>
      <c r="B1734" s="88"/>
      <c r="C1734" s="88"/>
      <c r="D1734" s="88"/>
      <c r="E1734" s="88"/>
      <c r="F1734" s="88"/>
      <c r="G1734" s="87"/>
    </row>
    <row r="1735">
      <c r="A1735" s="87"/>
      <c r="B1735" s="88"/>
      <c r="C1735" s="88"/>
      <c r="D1735" s="88"/>
      <c r="E1735" s="88"/>
      <c r="F1735" s="88"/>
      <c r="G1735" s="87"/>
    </row>
    <row r="1736">
      <c r="A1736" s="87"/>
      <c r="B1736" s="88"/>
      <c r="C1736" s="88"/>
      <c r="D1736" s="88"/>
      <c r="E1736" s="88"/>
      <c r="F1736" s="88"/>
      <c r="G1736" s="87"/>
    </row>
    <row r="1737">
      <c r="A1737" s="87"/>
      <c r="B1737" s="88"/>
      <c r="C1737" s="88"/>
      <c r="D1737" s="88"/>
      <c r="E1737" s="88"/>
      <c r="F1737" s="88"/>
      <c r="G1737" s="87"/>
    </row>
    <row r="1738">
      <c r="A1738" s="87"/>
      <c r="B1738" s="88"/>
      <c r="C1738" s="88"/>
      <c r="D1738" s="88"/>
      <c r="E1738" s="88"/>
      <c r="F1738" s="88"/>
      <c r="G1738" s="87"/>
    </row>
    <row r="1739">
      <c r="A1739" s="87"/>
      <c r="B1739" s="88"/>
      <c r="C1739" s="88"/>
      <c r="D1739" s="88"/>
      <c r="E1739" s="88"/>
      <c r="F1739" s="88"/>
      <c r="G1739" s="87"/>
    </row>
    <row r="1740">
      <c r="A1740" s="87"/>
      <c r="B1740" s="88"/>
      <c r="C1740" s="88"/>
      <c r="D1740" s="88"/>
      <c r="E1740" s="88"/>
      <c r="F1740" s="88"/>
      <c r="G1740" s="87"/>
    </row>
    <row r="1741">
      <c r="A1741" s="87"/>
      <c r="B1741" s="88"/>
      <c r="C1741" s="88"/>
      <c r="D1741" s="88"/>
      <c r="E1741" s="88"/>
      <c r="F1741" s="88"/>
      <c r="G1741" s="87"/>
    </row>
    <row r="1742">
      <c r="A1742" s="87"/>
      <c r="B1742" s="88"/>
      <c r="C1742" s="88"/>
      <c r="D1742" s="88"/>
      <c r="E1742" s="88"/>
      <c r="F1742" s="88"/>
      <c r="G1742" s="87"/>
    </row>
    <row r="1743">
      <c r="A1743" s="87"/>
      <c r="B1743" s="88"/>
      <c r="C1743" s="88"/>
      <c r="D1743" s="88"/>
      <c r="E1743" s="88"/>
      <c r="F1743" s="88"/>
      <c r="G1743" s="87"/>
    </row>
    <row r="1744">
      <c r="A1744" s="87"/>
      <c r="B1744" s="88"/>
      <c r="C1744" s="88"/>
      <c r="D1744" s="88"/>
      <c r="E1744" s="88"/>
      <c r="F1744" s="88"/>
      <c r="G1744" s="87"/>
    </row>
    <row r="1745">
      <c r="A1745" s="87"/>
      <c r="B1745" s="88"/>
      <c r="C1745" s="88"/>
      <c r="D1745" s="88"/>
      <c r="E1745" s="88"/>
      <c r="F1745" s="88"/>
      <c r="G1745" s="87"/>
    </row>
    <row r="1746">
      <c r="A1746" s="87"/>
      <c r="B1746" s="97"/>
      <c r="C1746" s="88"/>
      <c r="D1746" s="88"/>
      <c r="E1746" s="88"/>
      <c r="F1746" s="88"/>
      <c r="G1746" s="87"/>
    </row>
    <row r="1747">
      <c r="A1747" s="87"/>
      <c r="B1747" s="88"/>
      <c r="C1747" s="88"/>
      <c r="D1747" s="88"/>
      <c r="E1747" s="88"/>
      <c r="F1747" s="88"/>
      <c r="G1747" s="87"/>
    </row>
    <row r="1748">
      <c r="A1748" s="87"/>
      <c r="B1748" s="88"/>
      <c r="C1748" s="88"/>
      <c r="D1748" s="88"/>
      <c r="E1748" s="88"/>
      <c r="F1748" s="88"/>
      <c r="G1748" s="87"/>
    </row>
    <row r="1749">
      <c r="A1749" s="87"/>
      <c r="B1749" s="88"/>
      <c r="C1749" s="88"/>
      <c r="D1749" s="88"/>
      <c r="E1749" s="88"/>
      <c r="F1749" s="88"/>
      <c r="G1749" s="87"/>
    </row>
    <row r="1750">
      <c r="A1750" s="87"/>
      <c r="B1750" s="88"/>
      <c r="C1750" s="88"/>
      <c r="D1750" s="88"/>
      <c r="E1750" s="88"/>
      <c r="F1750" s="88"/>
      <c r="G1750" s="87"/>
    </row>
    <row r="1751">
      <c r="A1751" s="87"/>
      <c r="B1751" s="88"/>
      <c r="C1751" s="88"/>
      <c r="D1751" s="88"/>
      <c r="E1751" s="88"/>
      <c r="F1751" s="88"/>
      <c r="G1751" s="87"/>
    </row>
    <row r="1752">
      <c r="A1752" s="87"/>
      <c r="B1752" s="88"/>
      <c r="C1752" s="88"/>
      <c r="D1752" s="88"/>
      <c r="E1752" s="88"/>
      <c r="F1752" s="88"/>
      <c r="G1752" s="87"/>
    </row>
    <row r="1753">
      <c r="A1753" s="87"/>
      <c r="B1753" s="88"/>
      <c r="C1753" s="88"/>
      <c r="D1753" s="88"/>
      <c r="E1753" s="88"/>
      <c r="F1753" s="88"/>
      <c r="G1753" s="87"/>
    </row>
    <row r="1754">
      <c r="A1754" s="87"/>
      <c r="B1754" s="97"/>
      <c r="C1754" s="88"/>
      <c r="D1754" s="88"/>
      <c r="E1754" s="88"/>
      <c r="F1754" s="88"/>
      <c r="G1754" s="87"/>
    </row>
    <row r="1755">
      <c r="A1755" s="87"/>
      <c r="B1755" s="88"/>
      <c r="C1755" s="88"/>
      <c r="D1755" s="88"/>
      <c r="E1755" s="88"/>
      <c r="F1755" s="88"/>
      <c r="G1755" s="87"/>
    </row>
    <row r="1756">
      <c r="A1756" s="87"/>
      <c r="B1756" s="88"/>
      <c r="C1756" s="88"/>
      <c r="D1756" s="88"/>
      <c r="E1756" s="88"/>
      <c r="F1756" s="88"/>
      <c r="G1756" s="87"/>
    </row>
    <row r="1757">
      <c r="A1757" s="87"/>
      <c r="B1757" s="88"/>
      <c r="C1757" s="88"/>
      <c r="D1757" s="88"/>
      <c r="E1757" s="88"/>
      <c r="F1757" s="88"/>
      <c r="G1757" s="87"/>
    </row>
    <row r="1758">
      <c r="A1758" s="87"/>
      <c r="B1758" s="88"/>
      <c r="C1758" s="88"/>
      <c r="D1758" s="88"/>
      <c r="E1758" s="88"/>
      <c r="F1758" s="88"/>
      <c r="G1758" s="87"/>
    </row>
    <row r="1759">
      <c r="A1759" s="87"/>
      <c r="B1759" s="88"/>
      <c r="C1759" s="88"/>
      <c r="D1759" s="88"/>
      <c r="E1759" s="88"/>
      <c r="F1759" s="88"/>
      <c r="G1759" s="87"/>
    </row>
    <row r="1760">
      <c r="A1760" s="87"/>
      <c r="B1760" s="88"/>
      <c r="C1760" s="88"/>
      <c r="D1760" s="88"/>
      <c r="E1760" s="88"/>
      <c r="F1760" s="88"/>
      <c r="G1760" s="87"/>
    </row>
    <row r="1761">
      <c r="A1761" s="87"/>
      <c r="B1761" s="88"/>
      <c r="C1761" s="88"/>
      <c r="D1761" s="88"/>
      <c r="E1761" s="88"/>
      <c r="F1761" s="88"/>
      <c r="G1761" s="87"/>
    </row>
    <row r="1762">
      <c r="A1762" s="87"/>
      <c r="B1762" s="88"/>
      <c r="C1762" s="88"/>
      <c r="D1762" s="88"/>
      <c r="E1762" s="88"/>
      <c r="F1762" s="88"/>
      <c r="G1762" s="87"/>
    </row>
    <row r="1763">
      <c r="A1763" s="87"/>
      <c r="B1763" s="88"/>
      <c r="C1763" s="88"/>
      <c r="D1763" s="88"/>
      <c r="E1763" s="88"/>
      <c r="F1763" s="88"/>
      <c r="G1763" s="87"/>
    </row>
    <row r="1764">
      <c r="A1764" s="87"/>
      <c r="B1764" s="88"/>
      <c r="C1764" s="88"/>
      <c r="D1764" s="88"/>
      <c r="E1764" s="88"/>
      <c r="F1764" s="88"/>
      <c r="G1764" s="87"/>
    </row>
    <row r="1765">
      <c r="A1765" s="87"/>
      <c r="B1765" s="88"/>
      <c r="C1765" s="88"/>
      <c r="D1765" s="88"/>
      <c r="E1765" s="88"/>
      <c r="F1765" s="88"/>
      <c r="G1765" s="87"/>
    </row>
    <row r="1766">
      <c r="A1766" s="87"/>
      <c r="B1766" s="88"/>
      <c r="C1766" s="88"/>
      <c r="D1766" s="88"/>
      <c r="E1766" s="88"/>
      <c r="F1766" s="88"/>
      <c r="G1766" s="87"/>
    </row>
    <row r="1767">
      <c r="A1767" s="87"/>
      <c r="B1767" s="88"/>
      <c r="C1767" s="88"/>
      <c r="D1767" s="88"/>
      <c r="E1767" s="88"/>
      <c r="F1767" s="88"/>
      <c r="G1767" s="87"/>
    </row>
    <row r="1768">
      <c r="A1768" s="87"/>
      <c r="B1768" s="88"/>
      <c r="C1768" s="88"/>
      <c r="D1768" s="88"/>
      <c r="E1768" s="88"/>
      <c r="F1768" s="88"/>
      <c r="G1768" s="87"/>
    </row>
    <row r="1769">
      <c r="A1769" s="87"/>
      <c r="B1769" s="88"/>
      <c r="C1769" s="88"/>
      <c r="D1769" s="88"/>
      <c r="E1769" s="88"/>
      <c r="F1769" s="88"/>
      <c r="G1769" s="87"/>
    </row>
    <row r="1770">
      <c r="A1770" s="87"/>
      <c r="B1770" s="88"/>
      <c r="C1770" s="88"/>
      <c r="D1770" s="88"/>
      <c r="E1770" s="88"/>
      <c r="F1770" s="88"/>
      <c r="G1770" s="87"/>
    </row>
    <row r="1771">
      <c r="A1771" s="87"/>
      <c r="B1771" s="88"/>
      <c r="C1771" s="88"/>
      <c r="D1771" s="88"/>
      <c r="E1771" s="88"/>
      <c r="F1771" s="88"/>
      <c r="G1771" s="87"/>
    </row>
    <row r="1772">
      <c r="A1772" s="87"/>
      <c r="B1772" s="88"/>
      <c r="C1772" s="88"/>
      <c r="D1772" s="88"/>
      <c r="E1772" s="88"/>
      <c r="F1772" s="88"/>
      <c r="G1772" s="87"/>
    </row>
    <row r="1773">
      <c r="A1773" s="87"/>
      <c r="B1773" s="88"/>
      <c r="C1773" s="88"/>
      <c r="D1773" s="88"/>
      <c r="E1773" s="88"/>
      <c r="F1773" s="88"/>
      <c r="G1773" s="87"/>
    </row>
    <row r="1774">
      <c r="A1774" s="87"/>
      <c r="B1774" s="88"/>
      <c r="C1774" s="88"/>
      <c r="D1774" s="88"/>
      <c r="E1774" s="88"/>
      <c r="F1774" s="88"/>
      <c r="G1774" s="87"/>
    </row>
    <row r="1775">
      <c r="A1775" s="87"/>
      <c r="B1775" s="88"/>
      <c r="C1775" s="88"/>
      <c r="D1775" s="88"/>
      <c r="E1775" s="88"/>
      <c r="F1775" s="88"/>
      <c r="G1775" s="87"/>
    </row>
    <row r="1776">
      <c r="A1776" s="87"/>
      <c r="B1776" s="88"/>
      <c r="C1776" s="88"/>
      <c r="D1776" s="88"/>
      <c r="E1776" s="88"/>
      <c r="F1776" s="88"/>
      <c r="G1776" s="87"/>
    </row>
    <row r="1777">
      <c r="A1777" s="87"/>
      <c r="B1777" s="88"/>
      <c r="C1777" s="88"/>
      <c r="D1777" s="88"/>
      <c r="E1777" s="88"/>
      <c r="F1777" s="88"/>
      <c r="G1777" s="87"/>
    </row>
    <row r="1778">
      <c r="A1778" s="87"/>
      <c r="B1778" s="88"/>
      <c r="C1778" s="88"/>
      <c r="D1778" s="88"/>
      <c r="E1778" s="88"/>
      <c r="F1778" s="88"/>
      <c r="G1778" s="87"/>
    </row>
    <row r="1779">
      <c r="A1779" s="87"/>
      <c r="B1779" s="88"/>
      <c r="C1779" s="88"/>
      <c r="D1779" s="88"/>
      <c r="E1779" s="88"/>
      <c r="F1779" s="88"/>
      <c r="G1779" s="87"/>
    </row>
    <row r="1780">
      <c r="A1780" s="87"/>
      <c r="B1780" s="88"/>
      <c r="C1780" s="88"/>
      <c r="D1780" s="88"/>
      <c r="E1780" s="88"/>
      <c r="F1780" s="88"/>
      <c r="G1780" s="87"/>
    </row>
    <row r="1781">
      <c r="A1781" s="87"/>
      <c r="B1781" s="88"/>
      <c r="C1781" s="88"/>
      <c r="D1781" s="88"/>
      <c r="E1781" s="88"/>
      <c r="F1781" s="88"/>
      <c r="G1781" s="87"/>
    </row>
    <row r="1782">
      <c r="A1782" s="87"/>
      <c r="B1782" s="88"/>
      <c r="C1782" s="88"/>
      <c r="D1782" s="88"/>
      <c r="E1782" s="88"/>
      <c r="F1782" s="88"/>
      <c r="G1782" s="87"/>
    </row>
    <row r="1783">
      <c r="A1783" s="87"/>
      <c r="B1783" s="88"/>
      <c r="C1783" s="88"/>
      <c r="D1783" s="88"/>
      <c r="E1783" s="88"/>
      <c r="F1783" s="88"/>
      <c r="G1783" s="87"/>
    </row>
    <row r="1784">
      <c r="A1784" s="87"/>
      <c r="B1784" s="88"/>
      <c r="C1784" s="88"/>
      <c r="D1784" s="88"/>
      <c r="E1784" s="88"/>
      <c r="F1784" s="88"/>
      <c r="G1784" s="87"/>
    </row>
    <row r="1785">
      <c r="A1785" s="87"/>
      <c r="B1785" s="88"/>
      <c r="C1785" s="88"/>
      <c r="D1785" s="88"/>
      <c r="E1785" s="88"/>
      <c r="F1785" s="88"/>
      <c r="G1785" s="87"/>
    </row>
    <row r="1786">
      <c r="A1786" s="87"/>
      <c r="B1786" s="88"/>
      <c r="C1786" s="88"/>
      <c r="D1786" s="88"/>
      <c r="E1786" s="88"/>
      <c r="F1786" s="88"/>
      <c r="G1786" s="87"/>
    </row>
    <row r="1787">
      <c r="A1787" s="87"/>
      <c r="B1787" s="88"/>
      <c r="C1787" s="88"/>
      <c r="D1787" s="88"/>
      <c r="E1787" s="88"/>
      <c r="F1787" s="88"/>
      <c r="G1787" s="87"/>
    </row>
    <row r="1788">
      <c r="A1788" s="87"/>
      <c r="B1788" s="88"/>
      <c r="C1788" s="88"/>
      <c r="D1788" s="88"/>
      <c r="E1788" s="88"/>
      <c r="F1788" s="88"/>
      <c r="G1788" s="87"/>
    </row>
    <row r="1789">
      <c r="A1789" s="87"/>
      <c r="B1789" s="88"/>
      <c r="C1789" s="88"/>
      <c r="D1789" s="88"/>
      <c r="E1789" s="88"/>
      <c r="F1789" s="88"/>
      <c r="G1789" s="87"/>
    </row>
    <row r="1790">
      <c r="A1790" s="87"/>
      <c r="B1790" s="88"/>
      <c r="C1790" s="88"/>
      <c r="D1790" s="88"/>
      <c r="E1790" s="88"/>
      <c r="F1790" s="88"/>
      <c r="G1790" s="87"/>
    </row>
    <row r="1791">
      <c r="A1791" s="87"/>
      <c r="B1791" s="88"/>
      <c r="C1791" s="88"/>
      <c r="D1791" s="88"/>
      <c r="E1791" s="88"/>
      <c r="F1791" s="88"/>
      <c r="G1791" s="87"/>
    </row>
    <row r="1792">
      <c r="A1792" s="87"/>
      <c r="B1792" s="88"/>
      <c r="C1792" s="88"/>
      <c r="D1792" s="88"/>
      <c r="E1792" s="88"/>
      <c r="F1792" s="88"/>
      <c r="G1792" s="87"/>
    </row>
    <row r="1793">
      <c r="A1793" s="87"/>
      <c r="B1793" s="88"/>
      <c r="C1793" s="88"/>
      <c r="D1793" s="88"/>
      <c r="E1793" s="88"/>
      <c r="F1793" s="88"/>
      <c r="G1793" s="87"/>
    </row>
    <row r="1794">
      <c r="A1794" s="87"/>
      <c r="B1794" s="88"/>
      <c r="C1794" s="88"/>
      <c r="D1794" s="88"/>
      <c r="E1794" s="88"/>
      <c r="F1794" s="88"/>
      <c r="G1794" s="87"/>
    </row>
    <row r="1795">
      <c r="A1795" s="87"/>
      <c r="B1795" s="88"/>
      <c r="C1795" s="88"/>
      <c r="D1795" s="88"/>
      <c r="E1795" s="88"/>
      <c r="F1795" s="88"/>
      <c r="G1795" s="87"/>
    </row>
    <row r="1796">
      <c r="A1796" s="87"/>
      <c r="B1796" s="88"/>
      <c r="C1796" s="88"/>
      <c r="D1796" s="88"/>
      <c r="E1796" s="88"/>
      <c r="F1796" s="88"/>
      <c r="G1796" s="87"/>
    </row>
    <row r="1797">
      <c r="A1797" s="87"/>
      <c r="B1797" s="88"/>
      <c r="C1797" s="88"/>
      <c r="D1797" s="88"/>
      <c r="E1797" s="88"/>
      <c r="F1797" s="88"/>
      <c r="G1797" s="87"/>
    </row>
    <row r="1798">
      <c r="A1798" s="87"/>
      <c r="B1798" s="88"/>
      <c r="C1798" s="88"/>
      <c r="D1798" s="88"/>
      <c r="E1798" s="88"/>
      <c r="F1798" s="88"/>
      <c r="G1798" s="87"/>
    </row>
    <row r="1799">
      <c r="A1799" s="87"/>
      <c r="B1799" s="88"/>
      <c r="C1799" s="88"/>
      <c r="D1799" s="88"/>
      <c r="E1799" s="88"/>
      <c r="F1799" s="88"/>
      <c r="G1799" s="87"/>
    </row>
    <row r="1800">
      <c r="A1800" s="87"/>
      <c r="B1800" s="88"/>
      <c r="C1800" s="88"/>
      <c r="D1800" s="88"/>
      <c r="E1800" s="88"/>
      <c r="F1800" s="88"/>
      <c r="G1800" s="87"/>
    </row>
    <row r="1801">
      <c r="A1801" s="87"/>
      <c r="B1801" s="88"/>
      <c r="C1801" s="88"/>
      <c r="D1801" s="88"/>
      <c r="E1801" s="88"/>
      <c r="F1801" s="88"/>
      <c r="G1801" s="87"/>
    </row>
    <row r="1802">
      <c r="A1802" s="87"/>
      <c r="B1802" s="88"/>
      <c r="C1802" s="88"/>
      <c r="D1802" s="88"/>
      <c r="E1802" s="88"/>
      <c r="F1802" s="88"/>
      <c r="G1802" s="87"/>
    </row>
    <row r="1803">
      <c r="A1803" s="87"/>
      <c r="B1803" s="88"/>
      <c r="C1803" s="88"/>
      <c r="D1803" s="88"/>
      <c r="E1803" s="88"/>
      <c r="F1803" s="88"/>
      <c r="G1803" s="87"/>
    </row>
    <row r="1804">
      <c r="A1804" s="87"/>
      <c r="B1804" s="88"/>
      <c r="C1804" s="88"/>
      <c r="D1804" s="88"/>
      <c r="E1804" s="88"/>
      <c r="F1804" s="88"/>
      <c r="G1804" s="87"/>
    </row>
    <row r="1805">
      <c r="A1805" s="87"/>
      <c r="B1805" s="88"/>
      <c r="C1805" s="88"/>
      <c r="D1805" s="88"/>
      <c r="E1805" s="88"/>
      <c r="F1805" s="88"/>
      <c r="G1805" s="87"/>
    </row>
    <row r="1806">
      <c r="A1806" s="87"/>
      <c r="B1806" s="88"/>
      <c r="C1806" s="88"/>
      <c r="D1806" s="88"/>
      <c r="E1806" s="88"/>
      <c r="F1806" s="88"/>
      <c r="G1806" s="87"/>
    </row>
    <row r="1807">
      <c r="A1807" s="87"/>
      <c r="B1807" s="88"/>
      <c r="C1807" s="88"/>
      <c r="D1807" s="88"/>
      <c r="E1807" s="88"/>
      <c r="F1807" s="88"/>
      <c r="G1807" s="87"/>
    </row>
    <row r="1808">
      <c r="A1808" s="87"/>
      <c r="B1808" s="88"/>
      <c r="C1808" s="88"/>
      <c r="D1808" s="88"/>
      <c r="E1808" s="88"/>
      <c r="F1808" s="88"/>
      <c r="G1808" s="87"/>
    </row>
    <row r="1809">
      <c r="A1809" s="87"/>
      <c r="B1809" s="88"/>
      <c r="C1809" s="88"/>
      <c r="D1809" s="88"/>
      <c r="E1809" s="88"/>
      <c r="F1809" s="88"/>
      <c r="G1809" s="87"/>
    </row>
    <row r="1810">
      <c r="A1810" s="87"/>
      <c r="B1810" s="88"/>
      <c r="C1810" s="88"/>
      <c r="D1810" s="88"/>
      <c r="E1810" s="88"/>
      <c r="F1810" s="88"/>
      <c r="G1810" s="87"/>
    </row>
    <row r="1811">
      <c r="A1811" s="87"/>
      <c r="B1811" s="88"/>
      <c r="C1811" s="88"/>
      <c r="D1811" s="88"/>
      <c r="E1811" s="88"/>
      <c r="F1811" s="88"/>
      <c r="G1811" s="87"/>
    </row>
    <row r="1812">
      <c r="A1812" s="87"/>
      <c r="B1812" s="88"/>
      <c r="C1812" s="88"/>
      <c r="D1812" s="88"/>
      <c r="E1812" s="88"/>
      <c r="F1812" s="88"/>
      <c r="G1812" s="87"/>
    </row>
    <row r="1813">
      <c r="A1813" s="87"/>
      <c r="B1813" s="88"/>
      <c r="C1813" s="88"/>
      <c r="D1813" s="88"/>
      <c r="E1813" s="88"/>
      <c r="F1813" s="88"/>
      <c r="G1813" s="87"/>
    </row>
    <row r="1814">
      <c r="A1814" s="87"/>
      <c r="B1814" s="88"/>
      <c r="C1814" s="88"/>
      <c r="D1814" s="88"/>
      <c r="E1814" s="88"/>
      <c r="F1814" s="88"/>
      <c r="G1814" s="87"/>
    </row>
    <row r="1815">
      <c r="A1815" s="87"/>
      <c r="B1815" s="88"/>
      <c r="C1815" s="88"/>
      <c r="D1815" s="88"/>
      <c r="E1815" s="88"/>
      <c r="F1815" s="88"/>
      <c r="G1815" s="87"/>
    </row>
    <row r="1816">
      <c r="A1816" s="87"/>
      <c r="B1816" s="88"/>
      <c r="C1816" s="88"/>
      <c r="D1816" s="88"/>
      <c r="E1816" s="88"/>
      <c r="F1816" s="88"/>
      <c r="G1816" s="87"/>
    </row>
    <row r="1817">
      <c r="A1817" s="87"/>
      <c r="B1817" s="88"/>
      <c r="C1817" s="88"/>
      <c r="D1817" s="88"/>
      <c r="E1817" s="88"/>
      <c r="F1817" s="88"/>
      <c r="G1817" s="87"/>
    </row>
    <row r="1818">
      <c r="A1818" s="87"/>
      <c r="B1818" s="88"/>
      <c r="C1818" s="88"/>
      <c r="D1818" s="88"/>
      <c r="E1818" s="88"/>
      <c r="F1818" s="88"/>
      <c r="G1818" s="87"/>
    </row>
    <row r="1819">
      <c r="A1819" s="87"/>
      <c r="B1819" s="88"/>
      <c r="C1819" s="88"/>
      <c r="D1819" s="88"/>
      <c r="E1819" s="88"/>
      <c r="F1819" s="88"/>
      <c r="G1819" s="87"/>
    </row>
    <row r="1820">
      <c r="A1820" s="87"/>
      <c r="B1820" s="88"/>
      <c r="C1820" s="88"/>
      <c r="D1820" s="88"/>
      <c r="E1820" s="88"/>
      <c r="F1820" s="88"/>
      <c r="G1820" s="87"/>
    </row>
    <row r="1821">
      <c r="A1821" s="87"/>
      <c r="B1821" s="88"/>
      <c r="C1821" s="88"/>
      <c r="D1821" s="88"/>
      <c r="E1821" s="88"/>
      <c r="F1821" s="88"/>
      <c r="G1821" s="87"/>
    </row>
    <row r="1822">
      <c r="A1822" s="87"/>
      <c r="B1822" s="88"/>
      <c r="C1822" s="88"/>
      <c r="D1822" s="88"/>
      <c r="E1822" s="88"/>
      <c r="F1822" s="88"/>
      <c r="G1822" s="87"/>
    </row>
    <row r="1823">
      <c r="A1823" s="87"/>
      <c r="B1823" s="88"/>
      <c r="C1823" s="88"/>
      <c r="D1823" s="88"/>
      <c r="E1823" s="88"/>
      <c r="F1823" s="88"/>
      <c r="G1823" s="87"/>
    </row>
    <row r="1824">
      <c r="A1824" s="87"/>
      <c r="B1824" s="88"/>
      <c r="C1824" s="88"/>
      <c r="D1824" s="88"/>
      <c r="E1824" s="88"/>
      <c r="F1824" s="88"/>
      <c r="G1824" s="87"/>
    </row>
    <row r="1825">
      <c r="A1825" s="87"/>
      <c r="B1825" s="88"/>
      <c r="C1825" s="88"/>
      <c r="D1825" s="88"/>
      <c r="E1825" s="88"/>
      <c r="F1825" s="88"/>
      <c r="G1825" s="87"/>
    </row>
    <row r="1826">
      <c r="A1826" s="87"/>
      <c r="B1826" s="88"/>
      <c r="C1826" s="88"/>
      <c r="D1826" s="88"/>
      <c r="E1826" s="88"/>
      <c r="F1826" s="88"/>
      <c r="G1826" s="87"/>
    </row>
    <row r="1827">
      <c r="A1827" s="87"/>
      <c r="B1827" s="88"/>
      <c r="C1827" s="88"/>
      <c r="D1827" s="88"/>
      <c r="E1827" s="88"/>
      <c r="F1827" s="88"/>
      <c r="G1827" s="87"/>
    </row>
    <row r="1828">
      <c r="A1828" s="87"/>
      <c r="B1828" s="88"/>
      <c r="C1828" s="88"/>
      <c r="D1828" s="88"/>
      <c r="E1828" s="88"/>
      <c r="F1828" s="88"/>
      <c r="G1828" s="87"/>
    </row>
    <row r="1829">
      <c r="A1829" s="87"/>
      <c r="B1829" s="88"/>
      <c r="C1829" s="88"/>
      <c r="D1829" s="88"/>
      <c r="E1829" s="88"/>
      <c r="F1829" s="88"/>
      <c r="G1829" s="87"/>
    </row>
    <row r="1830">
      <c r="A1830" s="87"/>
      <c r="B1830" s="88"/>
      <c r="C1830" s="88"/>
      <c r="D1830" s="88"/>
      <c r="E1830" s="88"/>
      <c r="F1830" s="88"/>
      <c r="G1830" s="87"/>
    </row>
    <row r="1831">
      <c r="A1831" s="87"/>
      <c r="B1831" s="88"/>
      <c r="C1831" s="88"/>
      <c r="D1831" s="88"/>
      <c r="E1831" s="88"/>
      <c r="F1831" s="88"/>
      <c r="G1831" s="87"/>
    </row>
    <row r="1832">
      <c r="A1832" s="87"/>
      <c r="B1832" s="88"/>
      <c r="C1832" s="88"/>
      <c r="D1832" s="88"/>
      <c r="E1832" s="88"/>
      <c r="F1832" s="88"/>
      <c r="G1832" s="87"/>
    </row>
    <row r="1833">
      <c r="A1833" s="87"/>
      <c r="B1833" s="88"/>
      <c r="C1833" s="88"/>
      <c r="D1833" s="88"/>
      <c r="E1833" s="88"/>
      <c r="F1833" s="88"/>
      <c r="G1833" s="87"/>
    </row>
    <row r="1834">
      <c r="A1834" s="87"/>
      <c r="B1834" s="88"/>
      <c r="C1834" s="88"/>
      <c r="D1834" s="88"/>
      <c r="E1834" s="88"/>
      <c r="F1834" s="88"/>
      <c r="G1834" s="87"/>
    </row>
    <row r="1835">
      <c r="A1835" s="87"/>
      <c r="B1835" s="88"/>
      <c r="C1835" s="88"/>
      <c r="D1835" s="88"/>
      <c r="E1835" s="88"/>
      <c r="F1835" s="88"/>
      <c r="G1835" s="87"/>
    </row>
    <row r="1836">
      <c r="A1836" s="87"/>
      <c r="B1836" s="88"/>
      <c r="C1836" s="88"/>
      <c r="D1836" s="88"/>
      <c r="E1836" s="88"/>
      <c r="F1836" s="88"/>
      <c r="G1836" s="87"/>
    </row>
    <row r="1837">
      <c r="A1837" s="87"/>
      <c r="B1837" s="88"/>
      <c r="C1837" s="88"/>
      <c r="D1837" s="88"/>
      <c r="E1837" s="88"/>
      <c r="F1837" s="88"/>
      <c r="G1837" s="87"/>
    </row>
    <row r="1838">
      <c r="A1838" s="87"/>
      <c r="B1838" s="88"/>
      <c r="C1838" s="88"/>
      <c r="D1838" s="88"/>
      <c r="E1838" s="88"/>
      <c r="F1838" s="88"/>
      <c r="G1838" s="87"/>
    </row>
    <row r="1839">
      <c r="A1839" s="87"/>
      <c r="B1839" s="88"/>
      <c r="C1839" s="88"/>
      <c r="D1839" s="88"/>
      <c r="E1839" s="88"/>
      <c r="F1839" s="88"/>
      <c r="G1839" s="87"/>
    </row>
    <row r="1840">
      <c r="A1840" s="87"/>
      <c r="B1840" s="88"/>
      <c r="C1840" s="88"/>
      <c r="D1840" s="88"/>
      <c r="E1840" s="88"/>
      <c r="F1840" s="88"/>
      <c r="G1840" s="87"/>
    </row>
    <row r="1841">
      <c r="A1841" s="87"/>
      <c r="B1841" s="88"/>
      <c r="C1841" s="88"/>
      <c r="D1841" s="88"/>
      <c r="E1841" s="88"/>
      <c r="F1841" s="88"/>
      <c r="G1841" s="87"/>
    </row>
    <row r="1842">
      <c r="A1842" s="87"/>
      <c r="B1842" s="88"/>
      <c r="C1842" s="88"/>
      <c r="D1842" s="88"/>
      <c r="E1842" s="88"/>
      <c r="F1842" s="88"/>
      <c r="G1842" s="87"/>
    </row>
    <row r="1843">
      <c r="A1843" s="87"/>
      <c r="B1843" s="88"/>
      <c r="C1843" s="88"/>
      <c r="D1843" s="88"/>
      <c r="E1843" s="88"/>
      <c r="F1843" s="88"/>
      <c r="G1843" s="87"/>
    </row>
    <row r="1844">
      <c r="A1844" s="87"/>
      <c r="B1844" s="88"/>
      <c r="C1844" s="88"/>
      <c r="D1844" s="88"/>
      <c r="E1844" s="88"/>
      <c r="F1844" s="88"/>
      <c r="G1844" s="87"/>
    </row>
    <row r="1845">
      <c r="A1845" s="87"/>
      <c r="B1845" s="88"/>
      <c r="C1845" s="88"/>
      <c r="D1845" s="88"/>
      <c r="E1845" s="88"/>
      <c r="F1845" s="88"/>
      <c r="G1845" s="87"/>
    </row>
    <row r="1846">
      <c r="A1846" s="87"/>
      <c r="B1846" s="88"/>
      <c r="C1846" s="88"/>
      <c r="D1846" s="88"/>
      <c r="E1846" s="88"/>
      <c r="F1846" s="88"/>
      <c r="G1846" s="87"/>
    </row>
    <row r="1847">
      <c r="A1847" s="87"/>
      <c r="B1847" s="88"/>
      <c r="C1847" s="88"/>
      <c r="D1847" s="88"/>
      <c r="E1847" s="88"/>
      <c r="F1847" s="88"/>
      <c r="G1847" s="87"/>
    </row>
    <row r="1848">
      <c r="A1848" s="87"/>
      <c r="B1848" s="88"/>
      <c r="C1848" s="88"/>
      <c r="D1848" s="88"/>
      <c r="E1848" s="88"/>
      <c r="F1848" s="88"/>
      <c r="G1848" s="87"/>
    </row>
    <row r="1849">
      <c r="A1849" s="87"/>
      <c r="B1849" s="88"/>
      <c r="C1849" s="88"/>
      <c r="D1849" s="88"/>
      <c r="E1849" s="88"/>
      <c r="F1849" s="88"/>
      <c r="G1849" s="87"/>
    </row>
    <row r="1850">
      <c r="A1850" s="87"/>
      <c r="B1850" s="88"/>
      <c r="C1850" s="88"/>
      <c r="D1850" s="88"/>
      <c r="E1850" s="88"/>
      <c r="F1850" s="88"/>
      <c r="G1850" s="87"/>
    </row>
    <row r="1851">
      <c r="A1851" s="87"/>
      <c r="B1851" s="88"/>
      <c r="C1851" s="88"/>
      <c r="D1851" s="88"/>
      <c r="E1851" s="88"/>
      <c r="F1851" s="88"/>
      <c r="G1851" s="87"/>
    </row>
    <row r="1852">
      <c r="A1852" s="87"/>
      <c r="B1852" s="88"/>
      <c r="C1852" s="88"/>
      <c r="D1852" s="88"/>
      <c r="E1852" s="88"/>
      <c r="F1852" s="88"/>
      <c r="G1852" s="87"/>
    </row>
    <row r="1853">
      <c r="A1853" s="87"/>
      <c r="B1853" s="88"/>
      <c r="C1853" s="88"/>
      <c r="D1853" s="88"/>
      <c r="E1853" s="88"/>
      <c r="F1853" s="88"/>
      <c r="G1853" s="87"/>
    </row>
    <row r="1854">
      <c r="A1854" s="87"/>
      <c r="B1854" s="88"/>
      <c r="C1854" s="88"/>
      <c r="D1854" s="88"/>
      <c r="E1854" s="88"/>
      <c r="F1854" s="88"/>
      <c r="G1854" s="87"/>
    </row>
    <row r="1855">
      <c r="A1855" s="87"/>
      <c r="B1855" s="88"/>
      <c r="C1855" s="88"/>
      <c r="D1855" s="88"/>
      <c r="E1855" s="88"/>
      <c r="F1855" s="88"/>
      <c r="G1855" s="87"/>
    </row>
    <row r="1856">
      <c r="A1856" s="87"/>
      <c r="B1856" s="88"/>
      <c r="C1856" s="88"/>
      <c r="D1856" s="88"/>
      <c r="E1856" s="88"/>
      <c r="F1856" s="88"/>
      <c r="G1856" s="87"/>
    </row>
    <row r="1857">
      <c r="A1857" s="87"/>
      <c r="B1857" s="88"/>
      <c r="C1857" s="88"/>
      <c r="D1857" s="88"/>
      <c r="E1857" s="88"/>
      <c r="F1857" s="88"/>
      <c r="G1857" s="87"/>
    </row>
    <row r="1858">
      <c r="A1858" s="87"/>
      <c r="B1858" s="88"/>
      <c r="C1858" s="88"/>
      <c r="D1858" s="88"/>
      <c r="E1858" s="88"/>
      <c r="F1858" s="88"/>
      <c r="G1858" s="87"/>
    </row>
    <row r="1859">
      <c r="A1859" s="87"/>
      <c r="B1859" s="88"/>
      <c r="C1859" s="88"/>
      <c r="D1859" s="88"/>
      <c r="E1859" s="88"/>
      <c r="F1859" s="88"/>
      <c r="G1859" s="87"/>
    </row>
    <row r="1860">
      <c r="A1860" s="87"/>
      <c r="B1860" s="88"/>
      <c r="C1860" s="88"/>
      <c r="D1860" s="88"/>
      <c r="E1860" s="88"/>
      <c r="F1860" s="88"/>
      <c r="G1860" s="87"/>
    </row>
    <row r="1861">
      <c r="A1861" s="87"/>
      <c r="B1861" s="88"/>
      <c r="C1861" s="88"/>
      <c r="D1861" s="88"/>
      <c r="E1861" s="88"/>
      <c r="F1861" s="88"/>
      <c r="G1861" s="87"/>
    </row>
    <row r="1862">
      <c r="A1862" s="87"/>
      <c r="B1862" s="88"/>
      <c r="C1862" s="88"/>
      <c r="D1862" s="88"/>
      <c r="E1862" s="88"/>
      <c r="F1862" s="88"/>
      <c r="G1862" s="87"/>
    </row>
    <row r="1863">
      <c r="A1863" s="87"/>
      <c r="B1863" s="88"/>
      <c r="C1863" s="88"/>
      <c r="D1863" s="88"/>
      <c r="E1863" s="88"/>
      <c r="F1863" s="88"/>
      <c r="G1863" s="87"/>
    </row>
    <row r="1864">
      <c r="A1864" s="87"/>
      <c r="B1864" s="88"/>
      <c r="C1864" s="88"/>
      <c r="D1864" s="88"/>
      <c r="E1864" s="88"/>
      <c r="F1864" s="88"/>
      <c r="G1864" s="87"/>
    </row>
    <row r="1865">
      <c r="A1865" s="87"/>
      <c r="B1865" s="88"/>
      <c r="C1865" s="88"/>
      <c r="D1865" s="88"/>
      <c r="E1865" s="88"/>
      <c r="F1865" s="88"/>
      <c r="G1865" s="87"/>
    </row>
    <row r="1866">
      <c r="A1866" s="87"/>
      <c r="B1866" s="88"/>
      <c r="C1866" s="88"/>
      <c r="D1866" s="88"/>
      <c r="E1866" s="88"/>
      <c r="F1866" s="88"/>
      <c r="G1866" s="87"/>
    </row>
    <row r="1867">
      <c r="A1867" s="87"/>
      <c r="B1867" s="88"/>
      <c r="C1867" s="88"/>
      <c r="D1867" s="88"/>
      <c r="E1867" s="88"/>
      <c r="F1867" s="88"/>
      <c r="G1867" s="87"/>
    </row>
    <row r="1868">
      <c r="A1868" s="87"/>
      <c r="B1868" s="88"/>
      <c r="C1868" s="88"/>
      <c r="D1868" s="88"/>
      <c r="E1868" s="88"/>
      <c r="F1868" s="88"/>
      <c r="G1868" s="87"/>
    </row>
    <row r="1869">
      <c r="A1869" s="87"/>
      <c r="B1869" s="88"/>
      <c r="C1869" s="88"/>
      <c r="D1869" s="88"/>
      <c r="E1869" s="88"/>
      <c r="F1869" s="88"/>
      <c r="G1869" s="87"/>
    </row>
    <row r="1870">
      <c r="A1870" s="87"/>
      <c r="B1870" s="88"/>
      <c r="C1870" s="88"/>
      <c r="D1870" s="88"/>
      <c r="E1870" s="88"/>
      <c r="F1870" s="88"/>
      <c r="G1870" s="87"/>
    </row>
    <row r="1871">
      <c r="A1871" s="87"/>
      <c r="B1871" s="88"/>
      <c r="C1871" s="88"/>
      <c r="D1871" s="88"/>
      <c r="E1871" s="88"/>
      <c r="F1871" s="88"/>
      <c r="G1871" s="87"/>
    </row>
    <row r="1872">
      <c r="A1872" s="87"/>
      <c r="B1872" s="88"/>
      <c r="C1872" s="88"/>
      <c r="D1872" s="88"/>
      <c r="E1872" s="88"/>
      <c r="F1872" s="88"/>
      <c r="G1872" s="87"/>
    </row>
    <row r="1873">
      <c r="A1873" s="87"/>
      <c r="B1873" s="88"/>
      <c r="C1873" s="88"/>
      <c r="D1873" s="88"/>
      <c r="E1873" s="88"/>
      <c r="F1873" s="88"/>
      <c r="G1873" s="87"/>
    </row>
    <row r="1874">
      <c r="A1874" s="87"/>
      <c r="B1874" s="88"/>
      <c r="C1874" s="88"/>
      <c r="D1874" s="88"/>
      <c r="E1874" s="88"/>
      <c r="F1874" s="88"/>
      <c r="G1874" s="87"/>
    </row>
    <row r="1875">
      <c r="A1875" s="87"/>
      <c r="B1875" s="88"/>
      <c r="C1875" s="88"/>
      <c r="D1875" s="88"/>
      <c r="E1875" s="88"/>
      <c r="F1875" s="88"/>
      <c r="G1875" s="87"/>
    </row>
    <row r="1876">
      <c r="A1876" s="87"/>
      <c r="B1876" s="88"/>
      <c r="C1876" s="88"/>
      <c r="D1876" s="88"/>
      <c r="E1876" s="88"/>
      <c r="F1876" s="88"/>
      <c r="G1876" s="87"/>
    </row>
    <row r="1877">
      <c r="A1877" s="87"/>
      <c r="B1877" s="88"/>
      <c r="C1877" s="88"/>
      <c r="D1877" s="88"/>
      <c r="E1877" s="88"/>
      <c r="F1877" s="88"/>
      <c r="G1877" s="87"/>
    </row>
    <row r="1878">
      <c r="A1878" s="87"/>
      <c r="B1878" s="88"/>
      <c r="C1878" s="88"/>
      <c r="D1878" s="88"/>
      <c r="E1878" s="88"/>
      <c r="F1878" s="88"/>
      <c r="G1878" s="87"/>
    </row>
    <row r="1879">
      <c r="A1879" s="87"/>
      <c r="B1879" s="88"/>
      <c r="C1879" s="88"/>
      <c r="D1879" s="88"/>
      <c r="E1879" s="88"/>
      <c r="F1879" s="88"/>
      <c r="G1879" s="87"/>
    </row>
    <row r="1880">
      <c r="A1880" s="87"/>
      <c r="B1880" s="88"/>
      <c r="C1880" s="88"/>
      <c r="D1880" s="88"/>
      <c r="E1880" s="88"/>
      <c r="F1880" s="88"/>
      <c r="G1880" s="87"/>
    </row>
    <row r="1881">
      <c r="A1881" s="87"/>
      <c r="B1881" s="88"/>
      <c r="C1881" s="88"/>
      <c r="D1881" s="88"/>
      <c r="E1881" s="88"/>
      <c r="F1881" s="88"/>
      <c r="G1881" s="87"/>
    </row>
    <row r="1882">
      <c r="A1882" s="87"/>
      <c r="B1882" s="88"/>
      <c r="C1882" s="88"/>
      <c r="D1882" s="88"/>
      <c r="E1882" s="88"/>
      <c r="F1882" s="88"/>
      <c r="G1882" s="87"/>
    </row>
    <row r="1883">
      <c r="A1883" s="87"/>
      <c r="B1883" s="88"/>
      <c r="C1883" s="88"/>
      <c r="D1883" s="88"/>
      <c r="E1883" s="88"/>
      <c r="F1883" s="88"/>
      <c r="G1883" s="87"/>
    </row>
    <row r="1884">
      <c r="A1884" s="87"/>
      <c r="B1884" s="88"/>
      <c r="C1884" s="88"/>
      <c r="D1884" s="88"/>
      <c r="E1884" s="88"/>
      <c r="F1884" s="88"/>
      <c r="G1884" s="87"/>
    </row>
    <row r="1885">
      <c r="A1885" s="87"/>
      <c r="B1885" s="88"/>
      <c r="C1885" s="88"/>
      <c r="D1885" s="88"/>
      <c r="E1885" s="88"/>
      <c r="F1885" s="88"/>
      <c r="G1885" s="87"/>
    </row>
    <row r="1886">
      <c r="A1886" s="87"/>
      <c r="B1886" s="88"/>
      <c r="C1886" s="88"/>
      <c r="D1886" s="88"/>
      <c r="E1886" s="88"/>
      <c r="F1886" s="88"/>
      <c r="G1886" s="87"/>
    </row>
    <row r="1887">
      <c r="A1887" s="87"/>
      <c r="B1887" s="88"/>
      <c r="C1887" s="88"/>
      <c r="D1887" s="88"/>
      <c r="E1887" s="88"/>
      <c r="F1887" s="88"/>
      <c r="G1887" s="87"/>
    </row>
    <row r="1888">
      <c r="A1888" s="87"/>
      <c r="B1888" s="88"/>
      <c r="C1888" s="88"/>
      <c r="D1888" s="88"/>
      <c r="E1888" s="88"/>
      <c r="F1888" s="88"/>
      <c r="G1888" s="87"/>
    </row>
    <row r="1889">
      <c r="A1889" s="87"/>
      <c r="B1889" s="88"/>
      <c r="C1889" s="88"/>
      <c r="D1889" s="88"/>
      <c r="E1889" s="88"/>
      <c r="F1889" s="88"/>
      <c r="G1889" s="87"/>
    </row>
    <row r="1890">
      <c r="A1890" s="87"/>
      <c r="B1890" s="88"/>
      <c r="C1890" s="88"/>
      <c r="D1890" s="88"/>
      <c r="E1890" s="88"/>
      <c r="F1890" s="88"/>
      <c r="G1890" s="87"/>
    </row>
    <row r="1891">
      <c r="A1891" s="87"/>
      <c r="B1891" s="88"/>
      <c r="C1891" s="88"/>
      <c r="D1891" s="88"/>
      <c r="E1891" s="88"/>
      <c r="F1891" s="88"/>
      <c r="G1891" s="87"/>
    </row>
    <row r="1892">
      <c r="A1892" s="87"/>
      <c r="B1892" s="88"/>
      <c r="C1892" s="88"/>
      <c r="D1892" s="88"/>
      <c r="E1892" s="88"/>
      <c r="F1892" s="88"/>
      <c r="G1892" s="87"/>
    </row>
    <row r="1893">
      <c r="A1893" s="87"/>
      <c r="B1893" s="88"/>
      <c r="C1893" s="88"/>
      <c r="D1893" s="88"/>
      <c r="E1893" s="88"/>
      <c r="F1893" s="88"/>
      <c r="G1893" s="87"/>
    </row>
    <row r="1894">
      <c r="A1894" s="87"/>
      <c r="B1894" s="88"/>
      <c r="C1894" s="88"/>
      <c r="D1894" s="88"/>
      <c r="E1894" s="88"/>
      <c r="F1894" s="88"/>
      <c r="G1894" s="87"/>
    </row>
    <row r="1895">
      <c r="A1895" s="87"/>
      <c r="B1895" s="88"/>
      <c r="C1895" s="88"/>
      <c r="D1895" s="88"/>
      <c r="E1895" s="88"/>
      <c r="F1895" s="88"/>
      <c r="G1895" s="87"/>
    </row>
    <row r="1896">
      <c r="A1896" s="87"/>
      <c r="B1896" s="88"/>
      <c r="C1896" s="88"/>
      <c r="D1896" s="88"/>
      <c r="E1896" s="88"/>
      <c r="F1896" s="88"/>
      <c r="G1896" s="87"/>
    </row>
    <row r="1897">
      <c r="A1897" s="87"/>
      <c r="B1897" s="88"/>
      <c r="C1897" s="88"/>
      <c r="D1897" s="88"/>
      <c r="E1897" s="88"/>
      <c r="F1897" s="88"/>
      <c r="G1897" s="87"/>
    </row>
    <row r="1898">
      <c r="A1898" s="87"/>
      <c r="B1898" s="88"/>
      <c r="C1898" s="88"/>
      <c r="D1898" s="88"/>
      <c r="E1898" s="88"/>
      <c r="F1898" s="88"/>
      <c r="G1898" s="87"/>
    </row>
    <row r="1899">
      <c r="A1899" s="87"/>
      <c r="B1899" s="88"/>
      <c r="C1899" s="88"/>
      <c r="D1899" s="88"/>
      <c r="E1899" s="88"/>
      <c r="F1899" s="88"/>
      <c r="G1899" s="87"/>
    </row>
    <row r="1900">
      <c r="A1900" s="87"/>
      <c r="B1900" s="88"/>
      <c r="C1900" s="88"/>
      <c r="D1900" s="88"/>
      <c r="E1900" s="88"/>
      <c r="F1900" s="88"/>
      <c r="G1900" s="87"/>
    </row>
    <row r="1901">
      <c r="A1901" s="87"/>
      <c r="B1901" s="88"/>
      <c r="C1901" s="88"/>
      <c r="D1901" s="88"/>
      <c r="E1901" s="88"/>
      <c r="F1901" s="88"/>
      <c r="G1901" s="87"/>
    </row>
    <row r="1902">
      <c r="A1902" s="87"/>
      <c r="B1902" s="88"/>
      <c r="C1902" s="88"/>
      <c r="D1902" s="88"/>
      <c r="E1902" s="88"/>
      <c r="F1902" s="88"/>
      <c r="G1902" s="87"/>
    </row>
    <row r="1903">
      <c r="A1903" s="87"/>
      <c r="B1903" s="88"/>
      <c r="C1903" s="88"/>
      <c r="D1903" s="88"/>
      <c r="E1903" s="88"/>
      <c r="F1903" s="88"/>
      <c r="G1903" s="87"/>
    </row>
    <row r="1904">
      <c r="A1904" s="87"/>
      <c r="B1904" s="88"/>
      <c r="C1904" s="88"/>
      <c r="D1904" s="88"/>
      <c r="E1904" s="88"/>
      <c r="F1904" s="88"/>
      <c r="G1904" s="87"/>
    </row>
    <row r="1905">
      <c r="A1905" s="87"/>
      <c r="B1905" s="88"/>
      <c r="C1905" s="88"/>
      <c r="D1905" s="88"/>
      <c r="E1905" s="88"/>
      <c r="F1905" s="88"/>
      <c r="G1905" s="87"/>
    </row>
    <row r="1906">
      <c r="A1906" s="87"/>
      <c r="B1906" s="88"/>
      <c r="C1906" s="88"/>
      <c r="D1906" s="88"/>
      <c r="E1906" s="88"/>
      <c r="F1906" s="88"/>
      <c r="G1906" s="87"/>
    </row>
    <row r="1907">
      <c r="A1907" s="87"/>
      <c r="B1907" s="88"/>
      <c r="C1907" s="88"/>
      <c r="D1907" s="88"/>
      <c r="E1907" s="88"/>
      <c r="F1907" s="88"/>
      <c r="G1907" s="87"/>
    </row>
    <row r="1908">
      <c r="A1908" s="87"/>
      <c r="B1908" s="88"/>
      <c r="C1908" s="88"/>
      <c r="D1908" s="88"/>
      <c r="E1908" s="88"/>
      <c r="F1908" s="88"/>
      <c r="G1908" s="87"/>
    </row>
    <row r="1909">
      <c r="A1909" s="87"/>
      <c r="B1909" s="88"/>
      <c r="C1909" s="88"/>
      <c r="D1909" s="88"/>
      <c r="E1909" s="88"/>
      <c r="F1909" s="88"/>
      <c r="G1909" s="87"/>
    </row>
    <row r="1910">
      <c r="A1910" s="87"/>
      <c r="B1910" s="88"/>
      <c r="C1910" s="88"/>
      <c r="D1910" s="88"/>
      <c r="E1910" s="88"/>
      <c r="F1910" s="88"/>
      <c r="G1910" s="87"/>
    </row>
    <row r="1911">
      <c r="A1911" s="87"/>
      <c r="B1911" s="88"/>
      <c r="C1911" s="88"/>
      <c r="D1911" s="88"/>
      <c r="E1911" s="88"/>
      <c r="F1911" s="88"/>
      <c r="G1911" s="87"/>
    </row>
    <row r="1912">
      <c r="A1912" s="87"/>
      <c r="B1912" s="88"/>
      <c r="C1912" s="88"/>
      <c r="D1912" s="88"/>
      <c r="E1912" s="88"/>
      <c r="F1912" s="88"/>
      <c r="G1912" s="87"/>
    </row>
    <row r="1913">
      <c r="A1913" s="87"/>
      <c r="B1913" s="88"/>
      <c r="C1913" s="88"/>
      <c r="D1913" s="88"/>
      <c r="E1913" s="88"/>
      <c r="F1913" s="88"/>
      <c r="G1913" s="87"/>
    </row>
    <row r="1914">
      <c r="A1914" s="87"/>
      <c r="B1914" s="88"/>
      <c r="C1914" s="88"/>
      <c r="D1914" s="88"/>
      <c r="E1914" s="88"/>
      <c r="F1914" s="88"/>
      <c r="G1914" s="87"/>
    </row>
    <row r="1915">
      <c r="A1915" s="87"/>
      <c r="B1915" s="88"/>
      <c r="C1915" s="88"/>
      <c r="D1915" s="88"/>
      <c r="E1915" s="88"/>
      <c r="F1915" s="88"/>
      <c r="G1915" s="87"/>
    </row>
    <row r="1916">
      <c r="A1916" s="87"/>
      <c r="B1916" s="88"/>
      <c r="C1916" s="88"/>
      <c r="D1916" s="88"/>
      <c r="E1916" s="88"/>
      <c r="F1916" s="88"/>
      <c r="G1916" s="87"/>
    </row>
    <row r="1917">
      <c r="A1917" s="87"/>
      <c r="B1917" s="88"/>
      <c r="C1917" s="88"/>
      <c r="D1917" s="88"/>
      <c r="E1917" s="88"/>
      <c r="F1917" s="88"/>
      <c r="G1917" s="87"/>
    </row>
    <row r="1918">
      <c r="A1918" s="87"/>
      <c r="B1918" s="88"/>
      <c r="C1918" s="88"/>
      <c r="D1918" s="88"/>
      <c r="E1918" s="88"/>
      <c r="F1918" s="88"/>
      <c r="G1918" s="87"/>
    </row>
    <row r="1919">
      <c r="A1919" s="87"/>
      <c r="B1919" s="88"/>
      <c r="C1919" s="88"/>
      <c r="D1919" s="88"/>
      <c r="E1919" s="88"/>
      <c r="F1919" s="88"/>
      <c r="G1919" s="87"/>
    </row>
    <row r="1920">
      <c r="A1920" s="87"/>
      <c r="B1920" s="88"/>
      <c r="C1920" s="88"/>
      <c r="D1920" s="88"/>
      <c r="E1920" s="88"/>
      <c r="F1920" s="88"/>
      <c r="G1920" s="87"/>
    </row>
    <row r="1921">
      <c r="A1921" s="87"/>
      <c r="B1921" s="88"/>
      <c r="C1921" s="88"/>
      <c r="D1921" s="88"/>
      <c r="E1921" s="88"/>
      <c r="F1921" s="88"/>
      <c r="G1921" s="87"/>
    </row>
    <row r="1922">
      <c r="A1922" s="87"/>
      <c r="B1922" s="88"/>
      <c r="C1922" s="88"/>
      <c r="D1922" s="88"/>
      <c r="E1922" s="88"/>
      <c r="F1922" s="88"/>
      <c r="G1922" s="87"/>
    </row>
    <row r="1923">
      <c r="A1923" s="87"/>
      <c r="B1923" s="88"/>
      <c r="C1923" s="88"/>
      <c r="D1923" s="88"/>
      <c r="E1923" s="88"/>
      <c r="F1923" s="88"/>
      <c r="G1923" s="87"/>
    </row>
    <row r="1924">
      <c r="A1924" s="87"/>
      <c r="B1924" s="88"/>
      <c r="C1924" s="88"/>
      <c r="D1924" s="88"/>
      <c r="E1924" s="88"/>
      <c r="F1924" s="88"/>
      <c r="G1924" s="87"/>
    </row>
    <row r="1925">
      <c r="A1925" s="87"/>
      <c r="B1925" s="88"/>
      <c r="C1925" s="88"/>
      <c r="D1925" s="88"/>
      <c r="E1925" s="88"/>
      <c r="F1925" s="88"/>
      <c r="G1925" s="87"/>
    </row>
    <row r="1926">
      <c r="A1926" s="87"/>
      <c r="B1926" s="88"/>
      <c r="C1926" s="88"/>
      <c r="D1926" s="88"/>
      <c r="E1926" s="88"/>
      <c r="F1926" s="88"/>
      <c r="G1926" s="87"/>
    </row>
    <row r="1927">
      <c r="A1927" s="87"/>
      <c r="B1927" s="88"/>
      <c r="C1927" s="88"/>
      <c r="D1927" s="88"/>
      <c r="E1927" s="88"/>
      <c r="F1927" s="88"/>
      <c r="G1927" s="87"/>
    </row>
    <row r="1928">
      <c r="A1928" s="87"/>
      <c r="B1928" s="88"/>
      <c r="C1928" s="88"/>
      <c r="D1928" s="88"/>
      <c r="E1928" s="88"/>
      <c r="F1928" s="88"/>
      <c r="G1928" s="87"/>
    </row>
    <row r="1929">
      <c r="A1929" s="87"/>
      <c r="B1929" s="88"/>
      <c r="C1929" s="88"/>
      <c r="D1929" s="88"/>
      <c r="E1929" s="88"/>
      <c r="F1929" s="88"/>
      <c r="G1929" s="87"/>
    </row>
    <row r="1930">
      <c r="A1930" s="87"/>
      <c r="B1930" s="88"/>
      <c r="C1930" s="88"/>
      <c r="D1930" s="88"/>
      <c r="E1930" s="88"/>
      <c r="F1930" s="88"/>
      <c r="G1930" s="87"/>
    </row>
    <row r="1931">
      <c r="A1931" s="87"/>
      <c r="B1931" s="88"/>
      <c r="C1931" s="88"/>
      <c r="D1931" s="88"/>
      <c r="E1931" s="88"/>
      <c r="F1931" s="88"/>
      <c r="G1931" s="87"/>
    </row>
    <row r="1932">
      <c r="A1932" s="87"/>
      <c r="B1932" s="88"/>
      <c r="C1932" s="88"/>
      <c r="D1932" s="88"/>
      <c r="E1932" s="88"/>
      <c r="F1932" s="88"/>
      <c r="G1932" s="87"/>
    </row>
    <row r="1933">
      <c r="A1933" s="87"/>
      <c r="B1933" s="88"/>
      <c r="C1933" s="88"/>
      <c r="D1933" s="88"/>
      <c r="E1933" s="88"/>
      <c r="F1933" s="88"/>
      <c r="G1933" s="87"/>
    </row>
    <row r="1934">
      <c r="A1934" s="87"/>
      <c r="B1934" s="88"/>
      <c r="C1934" s="88"/>
      <c r="D1934" s="88"/>
      <c r="E1934" s="88"/>
      <c r="F1934" s="88"/>
      <c r="G1934" s="87"/>
    </row>
    <row r="1935">
      <c r="A1935" s="87"/>
      <c r="B1935" s="88"/>
      <c r="C1935" s="88"/>
      <c r="D1935" s="88"/>
      <c r="E1935" s="88"/>
      <c r="F1935" s="88"/>
      <c r="G1935" s="87"/>
    </row>
    <row r="1936">
      <c r="A1936" s="87"/>
      <c r="B1936" s="88"/>
      <c r="C1936" s="88"/>
      <c r="D1936" s="88"/>
      <c r="E1936" s="88"/>
      <c r="F1936" s="88"/>
      <c r="G1936" s="87"/>
    </row>
    <row r="1937">
      <c r="A1937" s="87"/>
      <c r="B1937" s="88"/>
      <c r="C1937" s="88"/>
      <c r="D1937" s="88"/>
      <c r="E1937" s="88"/>
      <c r="F1937" s="88"/>
      <c r="G1937" s="87"/>
    </row>
    <row r="1938">
      <c r="A1938" s="87"/>
      <c r="B1938" s="88"/>
      <c r="C1938" s="88"/>
      <c r="D1938" s="88"/>
      <c r="E1938" s="88"/>
      <c r="F1938" s="88"/>
      <c r="G1938" s="87"/>
    </row>
    <row r="1939">
      <c r="A1939" s="87"/>
      <c r="B1939" s="88"/>
      <c r="C1939" s="88"/>
      <c r="D1939" s="88"/>
      <c r="E1939" s="88"/>
      <c r="F1939" s="88"/>
      <c r="G1939" s="87"/>
    </row>
    <row r="1940">
      <c r="A1940" s="87"/>
      <c r="B1940" s="88"/>
      <c r="C1940" s="88"/>
      <c r="D1940" s="88"/>
      <c r="E1940" s="88"/>
      <c r="F1940" s="88"/>
      <c r="G1940" s="87"/>
    </row>
    <row r="1941">
      <c r="A1941" s="87"/>
      <c r="B1941" s="88"/>
      <c r="C1941" s="88"/>
      <c r="D1941" s="88"/>
      <c r="E1941" s="88"/>
      <c r="F1941" s="88"/>
      <c r="G1941" s="87"/>
    </row>
    <row r="1942">
      <c r="A1942" s="87"/>
      <c r="B1942" s="88"/>
      <c r="C1942" s="88"/>
      <c r="D1942" s="88"/>
      <c r="E1942" s="88"/>
      <c r="F1942" s="88"/>
      <c r="G1942" s="87"/>
    </row>
    <row r="1943">
      <c r="A1943" s="87"/>
      <c r="B1943" s="88"/>
      <c r="C1943" s="88"/>
      <c r="D1943" s="88"/>
      <c r="E1943" s="88"/>
      <c r="F1943" s="88"/>
      <c r="G1943" s="87"/>
    </row>
    <row r="1944">
      <c r="A1944" s="87"/>
      <c r="B1944" s="88"/>
      <c r="C1944" s="88"/>
      <c r="D1944" s="88"/>
      <c r="E1944" s="88"/>
      <c r="F1944" s="88"/>
      <c r="G1944" s="87"/>
    </row>
    <row r="1945">
      <c r="A1945" s="87"/>
      <c r="B1945" s="88"/>
      <c r="C1945" s="88"/>
      <c r="D1945" s="88"/>
      <c r="E1945" s="88"/>
      <c r="F1945" s="88"/>
      <c r="G1945" s="87"/>
    </row>
    <row r="1946">
      <c r="A1946" s="87"/>
      <c r="B1946" s="88"/>
      <c r="C1946" s="88"/>
      <c r="D1946" s="88"/>
      <c r="E1946" s="88"/>
      <c r="F1946" s="88"/>
      <c r="G1946" s="87"/>
    </row>
    <row r="1947">
      <c r="A1947" s="87"/>
      <c r="B1947" s="88"/>
      <c r="C1947" s="88"/>
      <c r="D1947" s="88"/>
      <c r="E1947" s="88"/>
      <c r="F1947" s="88"/>
      <c r="G1947" s="87"/>
    </row>
    <row r="1948">
      <c r="A1948" s="87"/>
      <c r="B1948" s="88"/>
      <c r="C1948" s="88"/>
      <c r="D1948" s="88"/>
      <c r="E1948" s="88"/>
      <c r="F1948" s="88"/>
      <c r="G1948" s="87"/>
    </row>
    <row r="1949">
      <c r="A1949" s="87"/>
      <c r="B1949" s="88"/>
      <c r="C1949" s="88"/>
      <c r="D1949" s="88"/>
      <c r="E1949" s="88"/>
      <c r="F1949" s="88"/>
      <c r="G1949" s="87"/>
    </row>
    <row r="1950">
      <c r="A1950" s="87"/>
      <c r="B1950" s="88"/>
      <c r="C1950" s="88"/>
      <c r="D1950" s="88"/>
      <c r="E1950" s="88"/>
      <c r="F1950" s="88"/>
      <c r="G1950" s="87"/>
    </row>
    <row r="1951">
      <c r="A1951" s="87"/>
      <c r="B1951" s="88"/>
      <c r="C1951" s="88"/>
      <c r="D1951" s="88"/>
      <c r="E1951" s="88"/>
      <c r="F1951" s="88"/>
      <c r="G1951" s="87"/>
    </row>
    <row r="1952">
      <c r="A1952" s="87"/>
      <c r="B1952" s="88"/>
      <c r="C1952" s="88"/>
      <c r="D1952" s="88"/>
      <c r="E1952" s="88"/>
      <c r="F1952" s="88"/>
      <c r="G1952" s="87"/>
    </row>
    <row r="1953">
      <c r="A1953" s="87"/>
      <c r="B1953" s="88"/>
      <c r="C1953" s="88"/>
      <c r="D1953" s="88"/>
      <c r="E1953" s="88"/>
      <c r="F1953" s="88"/>
      <c r="G1953" s="87"/>
    </row>
    <row r="1954">
      <c r="A1954" s="87"/>
      <c r="B1954" s="88"/>
      <c r="C1954" s="88"/>
      <c r="D1954" s="88"/>
      <c r="E1954" s="88"/>
      <c r="F1954" s="88"/>
      <c r="G1954" s="87"/>
    </row>
    <row r="1955">
      <c r="A1955" s="87"/>
      <c r="B1955" s="88"/>
      <c r="C1955" s="88"/>
      <c r="D1955" s="88"/>
      <c r="E1955" s="88"/>
      <c r="F1955" s="88"/>
      <c r="G1955" s="87"/>
    </row>
    <row r="1956">
      <c r="A1956" s="87"/>
      <c r="B1956" s="88"/>
      <c r="C1956" s="88"/>
      <c r="D1956" s="88"/>
      <c r="E1956" s="88"/>
      <c r="F1956" s="88"/>
      <c r="G1956" s="87"/>
    </row>
    <row r="1957">
      <c r="A1957" s="87"/>
      <c r="B1957" s="88"/>
      <c r="C1957" s="88"/>
      <c r="D1957" s="88"/>
      <c r="E1957" s="88"/>
      <c r="F1957" s="88"/>
      <c r="G1957" s="87"/>
    </row>
    <row r="1958">
      <c r="A1958" s="87"/>
      <c r="B1958" s="88"/>
      <c r="C1958" s="88"/>
      <c r="D1958" s="88"/>
      <c r="E1958" s="88"/>
      <c r="F1958" s="88"/>
      <c r="G1958" s="87"/>
    </row>
    <row r="1959">
      <c r="A1959" s="87"/>
      <c r="B1959" s="88"/>
      <c r="C1959" s="88"/>
      <c r="D1959" s="88"/>
      <c r="E1959" s="88"/>
      <c r="F1959" s="88"/>
      <c r="G1959" s="87"/>
    </row>
    <row r="1960">
      <c r="A1960" s="87"/>
      <c r="B1960" s="88"/>
      <c r="C1960" s="88"/>
      <c r="D1960" s="88"/>
      <c r="E1960" s="88"/>
      <c r="F1960" s="88"/>
      <c r="G1960" s="87"/>
    </row>
    <row r="1961">
      <c r="A1961" s="87"/>
      <c r="B1961" s="88"/>
      <c r="C1961" s="88"/>
      <c r="D1961" s="88"/>
      <c r="E1961" s="88"/>
      <c r="F1961" s="88"/>
      <c r="G1961" s="87"/>
    </row>
    <row r="1962">
      <c r="A1962" s="87"/>
      <c r="B1962" s="88"/>
      <c r="C1962" s="88"/>
      <c r="D1962" s="88"/>
      <c r="E1962" s="88"/>
      <c r="F1962" s="88"/>
      <c r="G1962" s="87"/>
    </row>
    <row r="1963">
      <c r="A1963" s="87"/>
      <c r="B1963" s="88"/>
      <c r="C1963" s="88"/>
      <c r="D1963" s="88"/>
      <c r="E1963" s="88"/>
      <c r="F1963" s="88"/>
      <c r="G1963" s="87"/>
    </row>
    <row r="1964">
      <c r="A1964" s="87"/>
      <c r="B1964" s="88"/>
      <c r="C1964" s="88"/>
      <c r="D1964" s="88"/>
      <c r="E1964" s="88"/>
      <c r="F1964" s="88"/>
      <c r="G1964" s="87"/>
    </row>
    <row r="1965">
      <c r="A1965" s="87"/>
      <c r="B1965" s="88"/>
      <c r="C1965" s="88"/>
      <c r="D1965" s="88"/>
      <c r="E1965" s="88"/>
      <c r="F1965" s="88"/>
      <c r="G1965" s="87"/>
    </row>
    <row r="1966">
      <c r="A1966" s="87"/>
      <c r="B1966" s="88"/>
      <c r="C1966" s="88"/>
      <c r="D1966" s="88"/>
      <c r="E1966" s="88"/>
      <c r="F1966" s="88"/>
      <c r="G1966" s="87"/>
    </row>
    <row r="1967">
      <c r="A1967" s="87"/>
      <c r="B1967" s="88"/>
      <c r="C1967" s="88"/>
      <c r="D1967" s="88"/>
      <c r="E1967" s="88"/>
      <c r="F1967" s="88"/>
      <c r="G1967" s="87"/>
    </row>
    <row r="1968">
      <c r="A1968" s="87"/>
      <c r="B1968" s="88"/>
      <c r="C1968" s="88"/>
      <c r="D1968" s="88"/>
      <c r="E1968" s="88"/>
      <c r="F1968" s="88"/>
      <c r="G1968" s="87"/>
    </row>
    <row r="1969">
      <c r="A1969" s="87"/>
      <c r="B1969" s="88"/>
      <c r="C1969" s="88"/>
      <c r="D1969" s="88"/>
      <c r="E1969" s="88"/>
      <c r="F1969" s="88"/>
      <c r="G1969" s="87"/>
    </row>
    <row r="1970">
      <c r="A1970" s="87"/>
      <c r="B1970" s="88"/>
      <c r="C1970" s="88"/>
      <c r="D1970" s="88"/>
      <c r="E1970" s="88"/>
      <c r="F1970" s="88"/>
      <c r="G1970" s="87"/>
    </row>
    <row r="1971">
      <c r="A1971" s="87"/>
      <c r="B1971" s="88"/>
      <c r="C1971" s="88"/>
      <c r="D1971" s="88"/>
      <c r="E1971" s="88"/>
      <c r="F1971" s="88"/>
      <c r="G1971" s="87"/>
    </row>
    <row r="1972">
      <c r="A1972" s="87"/>
      <c r="B1972" s="88"/>
      <c r="C1972" s="88"/>
      <c r="D1972" s="88"/>
      <c r="E1972" s="88"/>
      <c r="F1972" s="88"/>
      <c r="G1972" s="87"/>
    </row>
    <row r="1973">
      <c r="A1973" s="87"/>
      <c r="B1973" s="88"/>
      <c r="C1973" s="88"/>
      <c r="D1973" s="88"/>
      <c r="E1973" s="88"/>
      <c r="F1973" s="88"/>
      <c r="G1973" s="87"/>
    </row>
    <row r="1974">
      <c r="A1974" s="87"/>
      <c r="B1974" s="88"/>
      <c r="C1974" s="88"/>
      <c r="D1974" s="88"/>
      <c r="E1974" s="88"/>
      <c r="F1974" s="88"/>
      <c r="G1974" s="87"/>
    </row>
    <row r="1975">
      <c r="A1975" s="87"/>
      <c r="B1975" s="88"/>
      <c r="C1975" s="88"/>
      <c r="D1975" s="88"/>
      <c r="E1975" s="88"/>
      <c r="F1975" s="88"/>
      <c r="G1975" s="87"/>
    </row>
    <row r="1976">
      <c r="A1976" s="87"/>
      <c r="B1976" s="88"/>
      <c r="C1976" s="88"/>
      <c r="D1976" s="88"/>
      <c r="E1976" s="88"/>
      <c r="F1976" s="88"/>
      <c r="G1976" s="87"/>
    </row>
    <row r="1977">
      <c r="A1977" s="87"/>
      <c r="B1977" s="88"/>
      <c r="C1977" s="88"/>
      <c r="D1977" s="88"/>
      <c r="E1977" s="88"/>
      <c r="F1977" s="88"/>
      <c r="G1977" s="87"/>
    </row>
    <row r="1978">
      <c r="A1978" s="87"/>
      <c r="B1978" s="88"/>
      <c r="C1978" s="88"/>
      <c r="D1978" s="88"/>
      <c r="E1978" s="88"/>
      <c r="F1978" s="88"/>
      <c r="G1978" s="87"/>
    </row>
    <row r="1979">
      <c r="A1979" s="87"/>
      <c r="B1979" s="88"/>
      <c r="C1979" s="88"/>
      <c r="D1979" s="88"/>
      <c r="E1979" s="88"/>
      <c r="F1979" s="88"/>
      <c r="G1979" s="87"/>
    </row>
    <row r="1980">
      <c r="A1980" s="87"/>
      <c r="B1980" s="88"/>
      <c r="C1980" s="88"/>
      <c r="D1980" s="88"/>
      <c r="E1980" s="88"/>
      <c r="F1980" s="88"/>
      <c r="G1980" s="87"/>
    </row>
    <row r="1981">
      <c r="A1981" s="87"/>
      <c r="B1981" s="88"/>
      <c r="C1981" s="88"/>
      <c r="D1981" s="88"/>
      <c r="E1981" s="88"/>
      <c r="F1981" s="88"/>
      <c r="G1981" s="87"/>
    </row>
    <row r="1982">
      <c r="A1982" s="87"/>
      <c r="B1982" s="88"/>
      <c r="C1982" s="88"/>
      <c r="D1982" s="88"/>
      <c r="E1982" s="88"/>
      <c r="F1982" s="88"/>
      <c r="G1982" s="87"/>
    </row>
    <row r="1983">
      <c r="A1983" s="87"/>
      <c r="B1983" s="88"/>
      <c r="C1983" s="88"/>
      <c r="D1983" s="88"/>
      <c r="E1983" s="88"/>
      <c r="F1983" s="88"/>
      <c r="G1983" s="87"/>
    </row>
    <row r="1984">
      <c r="A1984" s="87"/>
      <c r="B1984" s="88"/>
      <c r="C1984" s="88"/>
      <c r="D1984" s="88"/>
      <c r="E1984" s="88"/>
      <c r="F1984" s="88"/>
      <c r="G1984" s="87"/>
    </row>
    <row r="1985">
      <c r="A1985" s="87"/>
      <c r="B1985" s="88"/>
      <c r="C1985" s="88"/>
      <c r="D1985" s="88"/>
      <c r="E1985" s="88"/>
      <c r="F1985" s="88"/>
      <c r="G1985" s="87"/>
    </row>
    <row r="1986">
      <c r="A1986" s="87"/>
      <c r="B1986" s="88"/>
      <c r="C1986" s="88"/>
      <c r="D1986" s="88"/>
      <c r="E1986" s="88"/>
      <c r="F1986" s="88"/>
      <c r="G1986" s="87"/>
    </row>
    <row r="1987">
      <c r="A1987" s="87"/>
      <c r="B1987" s="88"/>
      <c r="C1987" s="88"/>
      <c r="D1987" s="88"/>
      <c r="E1987" s="88"/>
      <c r="F1987" s="88"/>
      <c r="G1987" s="87"/>
    </row>
    <row r="1988">
      <c r="A1988" s="87"/>
      <c r="B1988" s="88"/>
      <c r="C1988" s="88"/>
      <c r="D1988" s="88"/>
      <c r="E1988" s="88"/>
      <c r="F1988" s="88"/>
      <c r="G1988" s="87"/>
    </row>
    <row r="1989">
      <c r="A1989" s="87"/>
      <c r="B1989" s="88"/>
      <c r="C1989" s="88"/>
      <c r="D1989" s="88"/>
      <c r="E1989" s="88"/>
      <c r="F1989" s="88"/>
      <c r="G1989" s="87"/>
    </row>
    <row r="1990">
      <c r="A1990" s="87"/>
      <c r="B1990" s="88"/>
      <c r="C1990" s="88"/>
      <c r="D1990" s="88"/>
      <c r="E1990" s="88"/>
      <c r="F1990" s="88"/>
      <c r="G1990" s="87"/>
    </row>
    <row r="1991">
      <c r="A1991" s="87"/>
      <c r="B1991" s="88"/>
      <c r="C1991" s="88"/>
      <c r="D1991" s="88"/>
      <c r="E1991" s="88"/>
      <c r="F1991" s="88"/>
      <c r="G1991" s="87"/>
    </row>
    <row r="1992">
      <c r="A1992" s="87"/>
      <c r="B1992" s="88"/>
      <c r="C1992" s="88"/>
      <c r="D1992" s="88"/>
      <c r="E1992" s="88"/>
      <c r="F1992" s="88"/>
      <c r="G1992" s="87"/>
    </row>
    <row r="1993">
      <c r="A1993" s="87"/>
      <c r="B1993" s="88"/>
      <c r="C1993" s="88"/>
      <c r="D1993" s="88"/>
      <c r="E1993" s="88"/>
      <c r="F1993" s="88"/>
      <c r="G1993" s="87"/>
    </row>
    <row r="1994">
      <c r="A1994" s="87"/>
      <c r="B1994" s="88"/>
      <c r="C1994" s="88"/>
      <c r="D1994" s="88"/>
      <c r="E1994" s="88"/>
      <c r="F1994" s="88"/>
      <c r="G1994" s="87"/>
    </row>
    <row r="1995">
      <c r="A1995" s="87"/>
      <c r="B1995" s="88"/>
      <c r="C1995" s="88"/>
      <c r="D1995" s="88"/>
      <c r="E1995" s="88"/>
      <c r="F1995" s="88"/>
      <c r="G1995" s="87"/>
    </row>
    <row r="1996">
      <c r="A1996" s="87"/>
      <c r="B1996" s="88"/>
      <c r="C1996" s="88"/>
      <c r="D1996" s="88"/>
      <c r="E1996" s="88"/>
      <c r="F1996" s="88"/>
      <c r="G1996" s="87"/>
    </row>
    <row r="1997">
      <c r="A1997" s="87"/>
      <c r="B1997" s="88"/>
      <c r="C1997" s="88"/>
      <c r="D1997" s="88"/>
      <c r="E1997" s="88"/>
      <c r="F1997" s="88"/>
      <c r="G1997" s="87"/>
    </row>
    <row r="1998">
      <c r="A1998" s="87"/>
      <c r="B1998" s="88"/>
      <c r="C1998" s="88"/>
      <c r="D1998" s="88"/>
      <c r="E1998" s="88"/>
      <c r="F1998" s="88"/>
      <c r="G1998" s="87"/>
    </row>
    <row r="1999">
      <c r="A1999" s="87"/>
      <c r="B1999" s="88"/>
      <c r="C1999" s="88"/>
      <c r="D1999" s="88"/>
      <c r="E1999" s="88"/>
      <c r="F1999" s="88"/>
      <c r="G1999" s="87"/>
    </row>
    <row r="2000">
      <c r="A2000" s="87"/>
      <c r="B2000" s="88"/>
      <c r="C2000" s="88"/>
      <c r="D2000" s="88"/>
      <c r="E2000" s="88"/>
      <c r="F2000" s="88"/>
      <c r="G2000" s="87"/>
    </row>
    <row r="2001">
      <c r="A2001" s="87"/>
      <c r="B2001" s="88"/>
      <c r="C2001" s="88"/>
      <c r="D2001" s="88"/>
      <c r="E2001" s="88"/>
      <c r="F2001" s="88"/>
      <c r="G2001" s="87"/>
    </row>
    <row r="2002">
      <c r="A2002" s="87"/>
      <c r="B2002" s="88"/>
      <c r="C2002" s="88"/>
      <c r="D2002" s="88"/>
      <c r="E2002" s="88"/>
      <c r="F2002" s="88"/>
      <c r="G2002" s="87"/>
    </row>
    <row r="2003">
      <c r="A2003" s="87"/>
      <c r="B2003" s="88"/>
      <c r="C2003" s="88"/>
      <c r="D2003" s="88"/>
      <c r="E2003" s="88"/>
      <c r="F2003" s="88"/>
      <c r="G2003" s="87"/>
    </row>
    <row r="2004">
      <c r="A2004" s="87"/>
      <c r="B2004" s="88"/>
      <c r="C2004" s="88"/>
      <c r="D2004" s="88"/>
      <c r="E2004" s="88"/>
      <c r="F2004" s="88"/>
      <c r="G2004" s="87"/>
    </row>
    <row r="2005">
      <c r="A2005" s="87"/>
      <c r="B2005" s="88"/>
      <c r="C2005" s="88"/>
      <c r="D2005" s="88"/>
      <c r="E2005" s="88"/>
      <c r="F2005" s="88"/>
      <c r="G2005" s="87"/>
    </row>
    <row r="2006">
      <c r="A2006" s="87"/>
      <c r="B2006" s="88"/>
      <c r="C2006" s="88"/>
      <c r="D2006" s="88"/>
      <c r="E2006" s="88"/>
      <c r="F2006" s="88"/>
      <c r="G2006" s="87"/>
    </row>
    <row r="2007">
      <c r="A2007" s="87"/>
      <c r="B2007" s="88"/>
      <c r="C2007" s="88"/>
      <c r="D2007" s="88"/>
      <c r="E2007" s="88"/>
      <c r="F2007" s="88"/>
      <c r="G2007" s="87"/>
    </row>
    <row r="2008">
      <c r="A2008" s="87"/>
      <c r="B2008" s="88"/>
      <c r="C2008" s="88"/>
      <c r="D2008" s="88"/>
      <c r="E2008" s="88"/>
      <c r="F2008" s="88"/>
      <c r="G2008" s="87"/>
    </row>
    <row r="2009">
      <c r="A2009" s="87"/>
      <c r="B2009" s="88"/>
      <c r="C2009" s="88"/>
      <c r="D2009" s="88"/>
      <c r="E2009" s="88"/>
      <c r="F2009" s="88"/>
      <c r="G2009" s="87"/>
    </row>
    <row r="2010">
      <c r="A2010" s="87"/>
      <c r="B2010" s="88"/>
      <c r="C2010" s="88"/>
      <c r="D2010" s="88"/>
      <c r="E2010" s="88"/>
      <c r="F2010" s="88"/>
      <c r="G2010" s="87"/>
    </row>
    <row r="2011">
      <c r="A2011" s="87"/>
      <c r="B2011" s="88"/>
      <c r="C2011" s="88"/>
      <c r="D2011" s="88"/>
      <c r="E2011" s="88"/>
      <c r="F2011" s="88"/>
      <c r="G2011" s="87"/>
    </row>
    <row r="2012">
      <c r="A2012" s="87"/>
      <c r="B2012" s="88"/>
      <c r="C2012" s="88"/>
      <c r="D2012" s="88"/>
      <c r="E2012" s="88"/>
      <c r="F2012" s="88"/>
      <c r="G2012" s="87"/>
    </row>
    <row r="2013">
      <c r="A2013" s="87"/>
      <c r="B2013" s="88"/>
      <c r="C2013" s="88"/>
      <c r="D2013" s="88"/>
      <c r="E2013" s="88"/>
      <c r="F2013" s="88"/>
      <c r="G2013" s="87"/>
    </row>
    <row r="2014">
      <c r="A2014" s="87"/>
      <c r="B2014" s="88"/>
      <c r="C2014" s="88"/>
      <c r="D2014" s="88"/>
      <c r="E2014" s="88"/>
      <c r="F2014" s="88"/>
      <c r="G2014" s="87"/>
    </row>
    <row r="2015">
      <c r="A2015" s="87"/>
      <c r="B2015" s="88"/>
      <c r="C2015" s="88"/>
      <c r="D2015" s="88"/>
      <c r="E2015" s="88"/>
      <c r="F2015" s="88"/>
      <c r="G2015" s="87"/>
    </row>
    <row r="2016">
      <c r="A2016" s="87"/>
      <c r="B2016" s="88"/>
      <c r="C2016" s="88"/>
      <c r="D2016" s="88"/>
      <c r="E2016" s="88"/>
      <c r="F2016" s="88"/>
      <c r="G2016" s="87"/>
    </row>
    <row r="2017">
      <c r="A2017" s="87"/>
      <c r="B2017" s="88"/>
      <c r="C2017" s="88"/>
      <c r="D2017" s="88"/>
      <c r="E2017" s="88"/>
      <c r="F2017" s="88"/>
      <c r="G2017" s="87"/>
    </row>
    <row r="2018">
      <c r="A2018" s="87"/>
      <c r="B2018" s="88"/>
      <c r="C2018" s="88"/>
      <c r="D2018" s="88"/>
      <c r="E2018" s="88"/>
      <c r="F2018" s="88"/>
      <c r="G2018" s="87"/>
    </row>
    <row r="2019">
      <c r="A2019" s="87"/>
      <c r="B2019" s="88"/>
      <c r="C2019" s="88"/>
      <c r="D2019" s="88"/>
      <c r="E2019" s="88"/>
      <c r="F2019" s="88"/>
      <c r="G2019" s="87"/>
    </row>
    <row r="2020">
      <c r="A2020" s="87"/>
      <c r="B2020" s="88"/>
      <c r="C2020" s="88"/>
      <c r="D2020" s="88"/>
      <c r="E2020" s="88"/>
      <c r="F2020" s="88"/>
      <c r="G2020" s="87"/>
    </row>
    <row r="2021">
      <c r="A2021" s="87"/>
      <c r="B2021" s="88"/>
      <c r="C2021" s="88"/>
      <c r="D2021" s="88"/>
      <c r="E2021" s="88"/>
      <c r="F2021" s="88"/>
      <c r="G2021" s="87"/>
    </row>
    <row r="2022">
      <c r="A2022" s="87"/>
      <c r="B2022" s="88"/>
      <c r="C2022" s="88"/>
      <c r="D2022" s="88"/>
      <c r="E2022" s="88"/>
      <c r="F2022" s="88"/>
      <c r="G2022" s="87"/>
    </row>
    <row r="2023">
      <c r="A2023" s="87"/>
      <c r="B2023" s="88"/>
      <c r="C2023" s="88"/>
      <c r="D2023" s="88"/>
      <c r="E2023" s="88"/>
      <c r="F2023" s="88"/>
      <c r="G2023" s="87"/>
    </row>
    <row r="2024">
      <c r="A2024" s="87"/>
      <c r="B2024" s="88"/>
      <c r="C2024" s="88"/>
      <c r="D2024" s="88"/>
      <c r="E2024" s="88"/>
      <c r="F2024" s="88"/>
      <c r="G2024" s="87"/>
    </row>
    <row r="2025">
      <c r="A2025" s="87"/>
      <c r="B2025" s="88"/>
      <c r="C2025" s="88"/>
      <c r="D2025" s="88"/>
      <c r="E2025" s="88"/>
      <c r="F2025" s="88"/>
      <c r="G2025" s="87"/>
    </row>
    <row r="2026">
      <c r="A2026" s="87"/>
      <c r="B2026" s="88"/>
      <c r="C2026" s="88"/>
      <c r="D2026" s="88"/>
      <c r="E2026" s="88"/>
      <c r="F2026" s="88"/>
      <c r="G2026" s="87"/>
    </row>
    <row r="2027">
      <c r="A2027" s="87"/>
      <c r="B2027" s="88"/>
      <c r="C2027" s="88"/>
      <c r="D2027" s="88"/>
      <c r="E2027" s="88"/>
      <c r="F2027" s="88"/>
      <c r="G2027" s="87"/>
    </row>
    <row r="2028">
      <c r="A2028" s="87"/>
      <c r="B2028" s="88"/>
      <c r="C2028" s="88"/>
      <c r="D2028" s="88"/>
      <c r="E2028" s="88"/>
      <c r="F2028" s="88"/>
      <c r="G2028" s="87"/>
    </row>
    <row r="2029">
      <c r="A2029" s="87"/>
      <c r="B2029" s="88"/>
      <c r="C2029" s="88"/>
      <c r="D2029" s="88"/>
      <c r="E2029" s="88"/>
      <c r="F2029" s="88"/>
      <c r="G2029" s="87"/>
    </row>
    <row r="2030">
      <c r="A2030" s="87"/>
      <c r="B2030" s="88"/>
      <c r="C2030" s="88"/>
      <c r="D2030" s="88"/>
      <c r="E2030" s="88"/>
      <c r="F2030" s="88"/>
      <c r="G2030" s="87"/>
    </row>
    <row r="2031">
      <c r="A2031" s="87"/>
      <c r="B2031" s="88"/>
      <c r="C2031" s="88"/>
      <c r="D2031" s="88"/>
      <c r="E2031" s="88"/>
      <c r="F2031" s="88"/>
      <c r="G2031" s="87"/>
    </row>
    <row r="2032">
      <c r="A2032" s="87"/>
      <c r="B2032" s="88"/>
      <c r="C2032" s="88"/>
      <c r="D2032" s="88"/>
      <c r="E2032" s="88"/>
      <c r="F2032" s="88"/>
      <c r="G2032" s="87"/>
    </row>
    <row r="2033">
      <c r="A2033" s="87"/>
      <c r="B2033" s="88"/>
      <c r="C2033" s="88"/>
      <c r="D2033" s="88"/>
      <c r="E2033" s="88"/>
      <c r="F2033" s="88"/>
      <c r="G2033" s="87"/>
    </row>
    <row r="2034">
      <c r="A2034" s="87"/>
      <c r="B2034" s="88"/>
      <c r="C2034" s="88"/>
      <c r="D2034" s="88"/>
      <c r="E2034" s="88"/>
      <c r="F2034" s="88"/>
      <c r="G2034" s="87"/>
    </row>
    <row r="2035">
      <c r="A2035" s="87"/>
      <c r="B2035" s="88"/>
      <c r="C2035" s="88"/>
      <c r="D2035" s="88"/>
      <c r="E2035" s="88"/>
      <c r="F2035" s="88"/>
      <c r="G2035" s="87"/>
    </row>
    <row r="2036">
      <c r="A2036" s="87"/>
      <c r="B2036" s="88"/>
      <c r="C2036" s="88"/>
      <c r="D2036" s="88"/>
      <c r="E2036" s="88"/>
      <c r="F2036" s="88"/>
      <c r="G2036" s="87"/>
    </row>
    <row r="2037">
      <c r="A2037" s="87"/>
      <c r="B2037" s="88"/>
      <c r="C2037" s="88"/>
      <c r="D2037" s="88"/>
      <c r="E2037" s="88"/>
      <c r="F2037" s="88"/>
      <c r="G2037" s="87"/>
    </row>
    <row r="2038">
      <c r="A2038" s="87"/>
      <c r="B2038" s="88"/>
      <c r="C2038" s="88"/>
      <c r="D2038" s="88"/>
      <c r="E2038" s="88"/>
      <c r="F2038" s="88"/>
      <c r="G2038" s="87"/>
    </row>
    <row r="2039">
      <c r="A2039" s="87"/>
      <c r="B2039" s="88"/>
      <c r="C2039" s="88"/>
      <c r="D2039" s="88"/>
      <c r="E2039" s="88"/>
      <c r="F2039" s="88"/>
      <c r="G2039" s="87"/>
    </row>
    <row r="2040">
      <c r="A2040" s="87"/>
      <c r="B2040" s="88"/>
      <c r="C2040" s="88"/>
      <c r="D2040" s="88"/>
      <c r="E2040" s="88"/>
      <c r="F2040" s="88"/>
      <c r="G2040" s="87"/>
    </row>
    <row r="2041">
      <c r="A2041" s="87"/>
      <c r="B2041" s="88"/>
      <c r="C2041" s="88"/>
      <c r="D2041" s="88"/>
      <c r="E2041" s="88"/>
      <c r="F2041" s="88"/>
      <c r="G2041" s="87"/>
    </row>
    <row r="2042">
      <c r="A2042" s="87"/>
      <c r="B2042" s="88"/>
      <c r="C2042" s="88"/>
      <c r="D2042" s="88"/>
      <c r="E2042" s="88"/>
      <c r="F2042" s="88"/>
      <c r="G2042" s="87"/>
    </row>
    <row r="2043">
      <c r="A2043" s="87"/>
      <c r="B2043" s="88"/>
      <c r="C2043" s="88"/>
      <c r="D2043" s="88"/>
      <c r="E2043" s="88"/>
      <c r="F2043" s="88"/>
      <c r="G2043" s="87"/>
    </row>
    <row r="2044">
      <c r="A2044" s="87"/>
      <c r="B2044" s="88"/>
      <c r="C2044" s="88"/>
      <c r="D2044" s="88"/>
      <c r="E2044" s="88"/>
      <c r="F2044" s="88"/>
      <c r="G2044" s="87"/>
    </row>
    <row r="2045">
      <c r="A2045" s="87"/>
      <c r="B2045" s="88"/>
      <c r="C2045" s="88"/>
      <c r="D2045" s="88"/>
      <c r="E2045" s="88"/>
      <c r="F2045" s="88"/>
      <c r="G2045" s="87"/>
    </row>
    <row r="2046">
      <c r="A2046" s="87"/>
      <c r="B2046" s="88"/>
      <c r="C2046" s="88"/>
      <c r="D2046" s="88"/>
      <c r="E2046" s="88"/>
      <c r="F2046" s="88"/>
      <c r="G2046" s="87"/>
    </row>
    <row r="2047">
      <c r="A2047" s="87"/>
      <c r="B2047" s="88"/>
      <c r="C2047" s="88"/>
      <c r="D2047" s="88"/>
      <c r="E2047" s="88"/>
      <c r="F2047" s="88"/>
      <c r="G2047" s="87"/>
    </row>
    <row r="2048">
      <c r="A2048" s="87"/>
      <c r="B2048" s="88"/>
      <c r="C2048" s="88"/>
      <c r="D2048" s="88"/>
      <c r="E2048" s="88"/>
      <c r="F2048" s="88"/>
      <c r="G2048" s="87"/>
    </row>
    <row r="2049">
      <c r="A2049" s="87"/>
      <c r="B2049" s="88"/>
      <c r="C2049" s="88"/>
      <c r="D2049" s="88"/>
      <c r="E2049" s="88"/>
      <c r="F2049" s="88"/>
      <c r="G2049" s="87"/>
    </row>
    <row r="2050">
      <c r="A2050" s="87"/>
      <c r="B2050" s="88"/>
      <c r="C2050" s="88"/>
      <c r="D2050" s="88"/>
      <c r="E2050" s="88"/>
      <c r="F2050" s="88"/>
      <c r="G2050" s="87"/>
    </row>
    <row r="2051">
      <c r="A2051" s="87"/>
      <c r="B2051" s="88"/>
      <c r="C2051" s="88"/>
      <c r="D2051" s="88"/>
      <c r="E2051" s="88"/>
      <c r="F2051" s="88"/>
      <c r="G2051" s="87"/>
    </row>
    <row r="2052">
      <c r="A2052" s="87"/>
      <c r="B2052" s="88"/>
      <c r="C2052" s="88"/>
      <c r="D2052" s="88"/>
      <c r="E2052" s="88"/>
      <c r="F2052" s="88"/>
      <c r="G2052" s="87"/>
    </row>
    <row r="2053">
      <c r="A2053" s="87"/>
      <c r="B2053" s="88"/>
      <c r="C2053" s="88"/>
      <c r="D2053" s="88"/>
      <c r="E2053" s="88"/>
      <c r="F2053" s="88"/>
      <c r="G2053" s="87"/>
    </row>
    <row r="2054">
      <c r="A2054" s="87"/>
      <c r="B2054" s="88"/>
      <c r="C2054" s="88"/>
      <c r="D2054" s="88"/>
      <c r="E2054" s="88"/>
      <c r="F2054" s="88"/>
      <c r="G2054" s="87"/>
    </row>
    <row r="2055">
      <c r="A2055" s="87"/>
      <c r="B2055" s="88"/>
      <c r="C2055" s="88"/>
      <c r="D2055" s="88"/>
      <c r="E2055" s="88"/>
      <c r="F2055" s="88"/>
      <c r="G2055" s="87"/>
    </row>
    <row r="2056">
      <c r="A2056" s="87"/>
      <c r="B2056" s="88"/>
      <c r="C2056" s="88"/>
      <c r="D2056" s="88"/>
      <c r="E2056" s="88"/>
      <c r="F2056" s="88"/>
      <c r="G2056" s="87"/>
    </row>
    <row r="2057">
      <c r="A2057" s="87"/>
      <c r="B2057" s="88"/>
      <c r="C2057" s="88"/>
      <c r="D2057" s="88"/>
      <c r="E2057" s="88"/>
      <c r="F2057" s="88"/>
      <c r="G2057" s="87"/>
    </row>
    <row r="2058">
      <c r="A2058" s="87"/>
      <c r="B2058" s="88"/>
      <c r="C2058" s="88"/>
      <c r="D2058" s="88"/>
      <c r="E2058" s="88"/>
      <c r="F2058" s="88"/>
      <c r="G2058" s="87"/>
    </row>
    <row r="2059">
      <c r="A2059" s="87"/>
      <c r="B2059" s="88"/>
      <c r="C2059" s="88"/>
      <c r="D2059" s="88"/>
      <c r="E2059" s="88"/>
      <c r="F2059" s="88"/>
      <c r="G2059" s="87"/>
    </row>
    <row r="2060">
      <c r="A2060" s="87"/>
      <c r="B2060" s="88"/>
      <c r="C2060" s="88"/>
      <c r="D2060" s="88"/>
      <c r="E2060" s="88"/>
      <c r="F2060" s="88"/>
      <c r="G2060" s="87"/>
    </row>
    <row r="2061">
      <c r="A2061" s="87"/>
      <c r="B2061" s="88"/>
      <c r="C2061" s="88"/>
      <c r="D2061" s="88"/>
      <c r="E2061" s="88"/>
      <c r="F2061" s="88"/>
      <c r="G2061" s="87"/>
    </row>
    <row r="2062">
      <c r="A2062" s="87"/>
      <c r="B2062" s="88"/>
      <c r="C2062" s="88"/>
      <c r="D2062" s="88"/>
      <c r="E2062" s="88"/>
      <c r="F2062" s="88"/>
      <c r="G2062" s="87"/>
    </row>
    <row r="2063">
      <c r="A2063" s="87"/>
      <c r="B2063" s="88"/>
      <c r="C2063" s="88"/>
      <c r="D2063" s="88"/>
      <c r="E2063" s="88"/>
      <c r="F2063" s="88"/>
      <c r="G2063" s="87"/>
    </row>
    <row r="2064">
      <c r="A2064" s="87"/>
      <c r="B2064" s="88"/>
      <c r="C2064" s="88"/>
      <c r="D2064" s="88"/>
      <c r="E2064" s="88"/>
      <c r="F2064" s="88"/>
      <c r="G2064" s="87"/>
    </row>
    <row r="2065">
      <c r="A2065" s="87"/>
      <c r="B2065" s="88"/>
      <c r="C2065" s="88"/>
      <c r="D2065" s="88"/>
      <c r="E2065" s="88"/>
      <c r="F2065" s="88"/>
      <c r="G2065" s="87"/>
    </row>
    <row r="2066">
      <c r="A2066" s="87"/>
      <c r="B2066" s="88"/>
      <c r="C2066" s="88"/>
      <c r="D2066" s="88"/>
      <c r="E2066" s="88"/>
      <c r="F2066" s="88"/>
      <c r="G2066" s="87"/>
    </row>
    <row r="2067">
      <c r="A2067" s="87"/>
      <c r="B2067" s="88"/>
      <c r="C2067" s="88"/>
      <c r="D2067" s="88"/>
      <c r="E2067" s="88"/>
      <c r="F2067" s="88"/>
      <c r="G2067" s="87"/>
    </row>
    <row r="2068">
      <c r="A2068" s="87"/>
      <c r="B2068" s="88"/>
      <c r="C2068" s="88"/>
      <c r="D2068" s="88"/>
      <c r="E2068" s="88"/>
      <c r="F2068" s="88"/>
      <c r="G2068" s="87"/>
    </row>
    <row r="2069">
      <c r="A2069" s="87"/>
      <c r="B2069" s="88"/>
      <c r="C2069" s="88"/>
      <c r="D2069" s="88"/>
      <c r="E2069" s="88"/>
      <c r="F2069" s="88"/>
      <c r="G2069" s="87"/>
    </row>
    <row r="2070">
      <c r="A2070" s="87"/>
      <c r="B2070" s="88"/>
      <c r="C2070" s="88"/>
      <c r="D2070" s="88"/>
      <c r="E2070" s="88"/>
      <c r="F2070" s="88"/>
      <c r="G2070" s="87"/>
    </row>
    <row r="2071">
      <c r="A2071" s="87"/>
      <c r="B2071" s="88"/>
      <c r="C2071" s="88"/>
      <c r="D2071" s="88"/>
      <c r="E2071" s="88"/>
      <c r="F2071" s="88"/>
      <c r="G2071" s="87"/>
    </row>
    <row r="2072">
      <c r="A2072" s="87"/>
      <c r="B2072" s="88"/>
      <c r="C2072" s="88"/>
      <c r="D2072" s="88"/>
      <c r="E2072" s="88"/>
      <c r="F2072" s="88"/>
      <c r="G2072" s="87"/>
    </row>
    <row r="2073">
      <c r="A2073" s="87"/>
      <c r="B2073" s="88"/>
      <c r="C2073" s="88"/>
      <c r="D2073" s="88"/>
      <c r="E2073" s="88"/>
      <c r="F2073" s="88"/>
      <c r="G2073" s="87"/>
    </row>
    <row r="2074">
      <c r="A2074" s="87"/>
      <c r="B2074" s="88"/>
      <c r="C2074" s="88"/>
      <c r="D2074" s="88"/>
      <c r="E2074" s="88"/>
      <c r="F2074" s="88"/>
      <c r="G2074" s="87"/>
    </row>
    <row r="2075">
      <c r="A2075" s="87"/>
      <c r="B2075" s="88"/>
      <c r="C2075" s="88"/>
      <c r="D2075" s="88"/>
      <c r="E2075" s="88"/>
      <c r="F2075" s="88"/>
      <c r="G2075" s="87"/>
    </row>
    <row r="2076">
      <c r="A2076" s="87"/>
      <c r="B2076" s="88"/>
      <c r="C2076" s="88"/>
      <c r="D2076" s="88"/>
      <c r="E2076" s="88"/>
      <c r="F2076" s="88"/>
      <c r="G2076" s="87"/>
    </row>
    <row r="2077">
      <c r="A2077" s="87"/>
      <c r="B2077" s="88"/>
      <c r="C2077" s="88"/>
      <c r="D2077" s="88"/>
      <c r="E2077" s="88"/>
      <c r="F2077" s="88"/>
      <c r="G2077" s="87"/>
    </row>
    <row r="2078">
      <c r="A2078" s="87"/>
      <c r="B2078" s="88"/>
      <c r="C2078" s="88"/>
      <c r="D2078" s="88"/>
      <c r="E2078" s="88"/>
      <c r="F2078" s="88"/>
      <c r="G2078" s="87"/>
    </row>
    <row r="2079">
      <c r="A2079" s="87"/>
      <c r="B2079" s="88"/>
      <c r="C2079" s="88"/>
      <c r="D2079" s="88"/>
      <c r="E2079" s="88"/>
      <c r="F2079" s="88"/>
      <c r="G2079" s="87"/>
    </row>
    <row r="2080">
      <c r="A2080" s="87"/>
      <c r="B2080" s="88"/>
      <c r="C2080" s="88"/>
      <c r="D2080" s="88"/>
      <c r="E2080" s="88"/>
      <c r="F2080" s="88"/>
      <c r="G2080" s="87"/>
    </row>
    <row r="2081">
      <c r="A2081" s="87"/>
      <c r="B2081" s="88"/>
      <c r="C2081" s="88"/>
      <c r="D2081" s="88"/>
      <c r="E2081" s="88"/>
      <c r="F2081" s="88"/>
      <c r="G2081" s="87"/>
    </row>
    <row r="2082">
      <c r="A2082" s="87"/>
      <c r="B2082" s="88"/>
      <c r="C2082" s="88"/>
      <c r="D2082" s="88"/>
      <c r="E2082" s="88"/>
      <c r="F2082" s="88"/>
      <c r="G2082" s="87"/>
    </row>
    <row r="2083">
      <c r="A2083" s="87"/>
      <c r="B2083" s="88"/>
      <c r="C2083" s="88"/>
      <c r="D2083" s="88"/>
      <c r="E2083" s="88"/>
      <c r="F2083" s="88"/>
      <c r="G2083" s="87"/>
    </row>
    <row r="2084">
      <c r="A2084" s="87"/>
      <c r="B2084" s="88"/>
      <c r="C2084" s="88"/>
      <c r="D2084" s="88"/>
      <c r="E2084" s="88"/>
      <c r="F2084" s="88"/>
      <c r="G2084" s="87"/>
    </row>
    <row r="2085">
      <c r="A2085" s="87"/>
      <c r="B2085" s="88"/>
      <c r="C2085" s="88"/>
      <c r="D2085" s="88"/>
      <c r="E2085" s="88"/>
      <c r="F2085" s="88"/>
      <c r="G2085" s="87"/>
    </row>
    <row r="2086">
      <c r="A2086" s="87"/>
      <c r="B2086" s="88"/>
      <c r="C2086" s="88"/>
      <c r="D2086" s="88"/>
      <c r="E2086" s="88"/>
      <c r="F2086" s="88"/>
      <c r="G2086" s="87"/>
    </row>
    <row r="2087">
      <c r="A2087" s="87"/>
      <c r="B2087" s="88"/>
      <c r="C2087" s="88"/>
      <c r="D2087" s="88"/>
      <c r="E2087" s="88"/>
      <c r="F2087" s="88"/>
      <c r="G2087" s="87"/>
    </row>
    <row r="2088">
      <c r="A2088" s="87"/>
      <c r="B2088" s="88"/>
      <c r="C2088" s="88"/>
      <c r="D2088" s="88"/>
      <c r="E2088" s="88"/>
      <c r="F2088" s="88"/>
      <c r="G2088" s="87"/>
    </row>
    <row r="2089">
      <c r="A2089" s="87"/>
      <c r="B2089" s="88"/>
      <c r="C2089" s="88"/>
      <c r="D2089" s="88"/>
      <c r="E2089" s="88"/>
      <c r="F2089" s="88"/>
      <c r="G2089" s="87"/>
    </row>
    <row r="2090">
      <c r="A2090" s="87"/>
      <c r="B2090" s="88"/>
      <c r="C2090" s="88"/>
      <c r="D2090" s="88"/>
      <c r="E2090" s="88"/>
      <c r="F2090" s="88"/>
      <c r="G2090" s="87"/>
    </row>
    <row r="2091">
      <c r="A2091" s="87"/>
      <c r="B2091" s="88"/>
      <c r="C2091" s="88"/>
      <c r="D2091" s="88"/>
      <c r="E2091" s="88"/>
      <c r="F2091" s="88"/>
      <c r="G2091" s="87"/>
    </row>
    <row r="2092">
      <c r="A2092" s="87"/>
      <c r="B2092" s="88"/>
      <c r="C2092" s="88"/>
      <c r="D2092" s="88"/>
      <c r="E2092" s="88"/>
      <c r="F2092" s="88"/>
      <c r="G2092" s="87"/>
    </row>
    <row r="2093">
      <c r="A2093" s="87"/>
      <c r="B2093" s="88"/>
      <c r="C2093" s="88"/>
      <c r="D2093" s="88"/>
      <c r="E2093" s="88"/>
      <c r="F2093" s="88"/>
      <c r="G2093" s="87"/>
    </row>
    <row r="2094">
      <c r="A2094" s="87"/>
      <c r="B2094" s="88"/>
      <c r="C2094" s="88"/>
      <c r="D2094" s="88"/>
      <c r="E2094" s="88"/>
      <c r="F2094" s="88"/>
      <c r="G2094" s="87"/>
    </row>
    <row r="2095">
      <c r="A2095" s="87"/>
      <c r="B2095" s="88"/>
      <c r="C2095" s="88"/>
      <c r="D2095" s="88"/>
      <c r="E2095" s="88"/>
      <c r="F2095" s="88"/>
      <c r="G2095" s="87"/>
    </row>
    <row r="2096">
      <c r="A2096" s="87"/>
      <c r="B2096" s="88"/>
      <c r="C2096" s="88"/>
      <c r="D2096" s="88"/>
      <c r="E2096" s="88"/>
      <c r="F2096" s="88"/>
      <c r="G2096" s="87"/>
    </row>
    <row r="2097">
      <c r="A2097" s="87"/>
      <c r="B2097" s="88"/>
      <c r="C2097" s="88"/>
      <c r="D2097" s="88"/>
      <c r="E2097" s="88"/>
      <c r="F2097" s="88"/>
      <c r="G2097" s="87"/>
    </row>
    <row r="2098">
      <c r="A2098" s="87"/>
      <c r="B2098" s="88"/>
      <c r="C2098" s="88"/>
      <c r="D2098" s="88"/>
      <c r="E2098" s="88"/>
      <c r="F2098" s="88"/>
      <c r="G2098" s="87"/>
    </row>
    <row r="2099">
      <c r="A2099" s="87"/>
      <c r="B2099" s="88"/>
      <c r="C2099" s="88"/>
      <c r="D2099" s="88"/>
      <c r="E2099" s="88"/>
      <c r="F2099" s="88"/>
      <c r="G2099" s="87"/>
    </row>
    <row r="2100">
      <c r="A2100" s="87"/>
      <c r="B2100" s="88"/>
      <c r="C2100" s="88"/>
      <c r="D2100" s="88"/>
      <c r="E2100" s="88"/>
      <c r="F2100" s="88"/>
      <c r="G2100" s="87"/>
    </row>
    <row r="2101">
      <c r="A2101" s="87"/>
      <c r="B2101" s="88"/>
      <c r="C2101" s="88"/>
      <c r="D2101" s="88"/>
      <c r="E2101" s="88"/>
      <c r="F2101" s="88"/>
      <c r="G2101" s="87"/>
    </row>
    <row r="2102">
      <c r="A2102" s="87"/>
      <c r="B2102" s="88"/>
      <c r="C2102" s="88"/>
      <c r="D2102" s="88"/>
      <c r="E2102" s="88"/>
      <c r="F2102" s="88"/>
      <c r="G2102" s="87"/>
    </row>
    <row r="2103">
      <c r="A2103" s="87"/>
      <c r="B2103" s="88"/>
      <c r="C2103" s="88"/>
      <c r="D2103" s="88"/>
      <c r="E2103" s="88"/>
      <c r="F2103" s="88"/>
      <c r="G2103" s="87"/>
    </row>
    <row r="2104">
      <c r="A2104" s="87"/>
      <c r="B2104" s="88"/>
      <c r="C2104" s="88"/>
      <c r="D2104" s="88"/>
      <c r="E2104" s="88"/>
      <c r="F2104" s="88"/>
      <c r="G2104" s="87"/>
    </row>
    <row r="2105">
      <c r="A2105" s="87"/>
      <c r="B2105" s="88"/>
      <c r="C2105" s="88"/>
      <c r="D2105" s="88"/>
      <c r="E2105" s="88"/>
      <c r="F2105" s="88"/>
      <c r="G2105" s="87"/>
    </row>
    <row r="2106">
      <c r="A2106" s="87"/>
      <c r="B2106" s="88"/>
      <c r="C2106" s="88"/>
      <c r="D2106" s="88"/>
      <c r="E2106" s="88"/>
      <c r="F2106" s="88"/>
      <c r="G2106" s="87"/>
    </row>
    <row r="2107">
      <c r="A2107" s="87"/>
      <c r="B2107" s="88"/>
      <c r="C2107" s="88"/>
      <c r="D2107" s="88"/>
      <c r="E2107" s="88"/>
      <c r="F2107" s="88"/>
      <c r="G2107" s="87"/>
    </row>
    <row r="2108">
      <c r="A2108" s="87"/>
      <c r="B2108" s="88"/>
      <c r="C2108" s="88"/>
      <c r="D2108" s="88"/>
      <c r="E2108" s="88"/>
      <c r="F2108" s="88"/>
      <c r="G2108" s="87"/>
    </row>
    <row r="2109">
      <c r="A2109" s="87"/>
      <c r="B2109" s="88"/>
      <c r="C2109" s="88"/>
      <c r="D2109" s="88"/>
      <c r="E2109" s="88"/>
      <c r="F2109" s="88"/>
      <c r="G2109" s="87"/>
    </row>
    <row r="2110">
      <c r="A2110" s="87"/>
      <c r="B2110" s="88"/>
      <c r="C2110" s="88"/>
      <c r="D2110" s="88"/>
      <c r="E2110" s="88"/>
      <c r="F2110" s="88"/>
      <c r="G2110" s="87"/>
    </row>
    <row r="2111">
      <c r="A2111" s="87"/>
      <c r="B2111" s="88"/>
      <c r="C2111" s="88"/>
      <c r="D2111" s="88"/>
      <c r="E2111" s="88"/>
      <c r="F2111" s="88"/>
      <c r="G2111" s="87"/>
    </row>
    <row r="2112">
      <c r="A2112" s="87"/>
      <c r="B2112" s="88"/>
      <c r="C2112" s="88"/>
      <c r="D2112" s="88"/>
      <c r="E2112" s="88"/>
      <c r="F2112" s="88"/>
      <c r="G2112" s="87"/>
    </row>
    <row r="2113">
      <c r="A2113" s="87"/>
      <c r="B2113" s="88"/>
      <c r="C2113" s="88"/>
      <c r="D2113" s="88"/>
      <c r="E2113" s="88"/>
      <c r="F2113" s="88"/>
      <c r="G2113" s="87"/>
    </row>
    <row r="2114">
      <c r="A2114" s="87"/>
      <c r="B2114" s="88"/>
      <c r="C2114" s="88"/>
      <c r="D2114" s="88"/>
      <c r="E2114" s="88"/>
      <c r="F2114" s="88"/>
      <c r="G2114" s="87"/>
    </row>
    <row r="2115">
      <c r="A2115" s="87"/>
      <c r="B2115" s="88"/>
      <c r="C2115" s="88"/>
      <c r="D2115" s="88"/>
      <c r="E2115" s="88"/>
      <c r="F2115" s="88"/>
      <c r="G2115" s="87"/>
    </row>
    <row r="2116">
      <c r="A2116" s="87"/>
      <c r="B2116" s="88"/>
      <c r="C2116" s="88"/>
      <c r="D2116" s="88"/>
      <c r="E2116" s="88"/>
      <c r="F2116" s="88"/>
      <c r="G2116" s="87"/>
    </row>
    <row r="2117">
      <c r="A2117" s="87"/>
      <c r="B2117" s="88"/>
      <c r="C2117" s="88"/>
      <c r="D2117" s="88"/>
      <c r="E2117" s="88"/>
      <c r="F2117" s="88"/>
      <c r="G2117" s="87"/>
    </row>
    <row r="2118">
      <c r="A2118" s="87"/>
      <c r="B2118" s="88"/>
      <c r="C2118" s="88"/>
      <c r="D2118" s="88"/>
      <c r="E2118" s="88"/>
      <c r="F2118" s="88"/>
      <c r="G2118" s="87"/>
    </row>
    <row r="2119">
      <c r="A2119" s="87"/>
      <c r="B2119" s="88"/>
      <c r="C2119" s="88"/>
      <c r="D2119" s="88"/>
      <c r="E2119" s="88"/>
      <c r="F2119" s="88"/>
      <c r="G2119" s="87"/>
    </row>
    <row r="2120">
      <c r="A2120" s="87"/>
      <c r="B2120" s="88"/>
      <c r="C2120" s="88"/>
      <c r="D2120" s="88"/>
      <c r="E2120" s="88"/>
      <c r="F2120" s="88"/>
      <c r="G2120" s="87"/>
    </row>
    <row r="2121">
      <c r="A2121" s="87"/>
      <c r="B2121" s="88"/>
      <c r="C2121" s="88"/>
      <c r="D2121" s="88"/>
      <c r="E2121" s="88"/>
      <c r="F2121" s="88"/>
      <c r="G2121" s="87"/>
    </row>
    <row r="2122">
      <c r="A2122" s="87"/>
      <c r="B2122" s="88"/>
      <c r="C2122" s="88"/>
      <c r="D2122" s="88"/>
      <c r="E2122" s="88"/>
      <c r="F2122" s="88"/>
      <c r="G2122" s="87"/>
    </row>
    <row r="2123">
      <c r="A2123" s="87"/>
      <c r="B2123" s="88"/>
      <c r="C2123" s="88"/>
      <c r="D2123" s="88"/>
      <c r="E2123" s="88"/>
      <c r="F2123" s="88"/>
      <c r="G2123" s="87"/>
    </row>
    <row r="2124">
      <c r="A2124" s="87"/>
      <c r="B2124" s="88"/>
      <c r="C2124" s="88"/>
      <c r="D2124" s="88"/>
      <c r="E2124" s="88"/>
      <c r="F2124" s="88"/>
      <c r="G2124" s="87"/>
    </row>
    <row r="2125">
      <c r="A2125" s="87"/>
      <c r="B2125" s="88"/>
      <c r="C2125" s="88"/>
      <c r="D2125" s="88"/>
      <c r="E2125" s="88"/>
      <c r="F2125" s="88"/>
      <c r="G2125" s="87"/>
    </row>
    <row r="2126">
      <c r="A2126" s="87"/>
      <c r="B2126" s="88"/>
      <c r="C2126" s="88"/>
      <c r="D2126" s="88"/>
      <c r="E2126" s="88"/>
      <c r="F2126" s="88"/>
      <c r="G2126" s="87"/>
    </row>
    <row r="2127">
      <c r="A2127" s="87"/>
      <c r="B2127" s="88"/>
      <c r="C2127" s="88"/>
      <c r="D2127" s="88"/>
      <c r="E2127" s="88"/>
      <c r="F2127" s="88"/>
      <c r="G2127" s="87"/>
    </row>
    <row r="2128">
      <c r="A2128" s="87"/>
      <c r="B2128" s="88"/>
      <c r="C2128" s="88"/>
      <c r="D2128" s="88"/>
      <c r="E2128" s="88"/>
      <c r="F2128" s="88"/>
      <c r="G2128" s="87"/>
    </row>
    <row r="2129">
      <c r="A2129" s="87"/>
      <c r="B2129" s="88"/>
      <c r="C2129" s="88"/>
      <c r="D2129" s="88"/>
      <c r="E2129" s="88"/>
      <c r="F2129" s="88"/>
      <c r="G2129" s="87"/>
    </row>
    <row r="2130">
      <c r="A2130" s="87"/>
      <c r="B2130" s="88"/>
      <c r="C2130" s="88"/>
      <c r="D2130" s="88"/>
      <c r="E2130" s="88"/>
      <c r="F2130" s="88"/>
      <c r="G2130" s="87"/>
    </row>
    <row r="2131">
      <c r="A2131" s="87"/>
      <c r="B2131" s="88"/>
      <c r="C2131" s="88"/>
      <c r="D2131" s="88"/>
      <c r="E2131" s="88"/>
      <c r="F2131" s="88"/>
      <c r="G2131" s="87"/>
    </row>
    <row r="2132">
      <c r="A2132" s="87"/>
      <c r="B2132" s="88"/>
      <c r="C2132" s="88"/>
      <c r="D2132" s="88"/>
      <c r="E2132" s="88"/>
      <c r="F2132" s="88"/>
      <c r="G2132" s="87"/>
    </row>
    <row r="2133">
      <c r="A2133" s="87"/>
      <c r="B2133" s="88"/>
      <c r="C2133" s="88"/>
      <c r="D2133" s="88"/>
      <c r="E2133" s="88"/>
      <c r="F2133" s="88"/>
      <c r="G2133" s="87"/>
    </row>
    <row r="2134">
      <c r="A2134" s="87"/>
      <c r="B2134" s="88"/>
      <c r="C2134" s="88"/>
      <c r="D2134" s="88"/>
      <c r="E2134" s="88"/>
      <c r="F2134" s="88"/>
      <c r="G2134" s="87"/>
    </row>
    <row r="2135">
      <c r="A2135" s="87"/>
      <c r="B2135" s="88"/>
      <c r="C2135" s="88"/>
      <c r="D2135" s="88"/>
      <c r="E2135" s="88"/>
      <c r="F2135" s="88"/>
      <c r="G2135" s="87"/>
    </row>
    <row r="2136">
      <c r="A2136" s="87"/>
      <c r="B2136" s="88"/>
      <c r="C2136" s="88"/>
      <c r="D2136" s="88"/>
      <c r="E2136" s="88"/>
      <c r="F2136" s="88"/>
      <c r="G2136" s="87"/>
    </row>
    <row r="2137">
      <c r="A2137" s="87"/>
      <c r="B2137" s="88"/>
      <c r="C2137" s="88"/>
      <c r="D2137" s="88"/>
      <c r="E2137" s="88"/>
      <c r="F2137" s="88"/>
      <c r="G2137" s="87"/>
    </row>
    <row r="2138">
      <c r="A2138" s="87"/>
      <c r="B2138" s="88"/>
      <c r="C2138" s="88"/>
      <c r="D2138" s="88"/>
      <c r="E2138" s="88"/>
      <c r="F2138" s="88"/>
      <c r="G2138" s="87"/>
    </row>
    <row r="2139">
      <c r="A2139" s="87"/>
      <c r="B2139" s="88"/>
      <c r="C2139" s="88"/>
      <c r="D2139" s="88"/>
      <c r="E2139" s="88"/>
      <c r="F2139" s="88"/>
      <c r="G2139" s="87"/>
    </row>
    <row r="2140">
      <c r="A2140" s="87"/>
      <c r="B2140" s="88"/>
      <c r="C2140" s="88"/>
      <c r="D2140" s="88"/>
      <c r="E2140" s="88"/>
      <c r="F2140" s="88"/>
      <c r="G2140" s="87"/>
    </row>
    <row r="2141">
      <c r="A2141" s="87"/>
      <c r="B2141" s="88"/>
      <c r="C2141" s="88"/>
      <c r="D2141" s="88"/>
      <c r="E2141" s="88"/>
      <c r="F2141" s="88"/>
      <c r="G2141" s="87"/>
    </row>
    <row r="2142">
      <c r="A2142" s="87"/>
      <c r="B2142" s="88"/>
      <c r="C2142" s="88"/>
      <c r="D2142" s="88"/>
      <c r="E2142" s="88"/>
      <c r="F2142" s="88"/>
      <c r="G2142" s="87"/>
    </row>
    <row r="2143">
      <c r="A2143" s="87"/>
      <c r="B2143" s="88"/>
      <c r="C2143" s="88"/>
      <c r="D2143" s="88"/>
      <c r="E2143" s="88"/>
      <c r="F2143" s="88"/>
      <c r="G2143" s="87"/>
    </row>
    <row r="2144">
      <c r="A2144" s="87"/>
      <c r="B2144" s="88"/>
      <c r="C2144" s="88"/>
      <c r="D2144" s="88"/>
      <c r="E2144" s="88"/>
      <c r="F2144" s="88"/>
      <c r="G2144" s="87"/>
    </row>
    <row r="2145">
      <c r="A2145" s="87"/>
      <c r="B2145" s="88"/>
      <c r="C2145" s="88"/>
      <c r="D2145" s="88"/>
      <c r="E2145" s="88"/>
      <c r="F2145" s="88"/>
      <c r="G2145" s="87"/>
    </row>
    <row r="2146">
      <c r="A2146" s="87"/>
      <c r="B2146" s="88"/>
      <c r="C2146" s="88"/>
      <c r="D2146" s="88"/>
      <c r="E2146" s="88"/>
      <c r="F2146" s="88"/>
      <c r="G2146" s="87"/>
    </row>
    <row r="2147">
      <c r="A2147" s="87"/>
      <c r="B2147" s="88"/>
      <c r="C2147" s="88"/>
      <c r="D2147" s="88"/>
      <c r="E2147" s="88"/>
      <c r="F2147" s="88"/>
      <c r="G2147" s="87"/>
    </row>
    <row r="2148">
      <c r="A2148" s="87"/>
      <c r="B2148" s="88"/>
      <c r="C2148" s="88"/>
      <c r="D2148" s="88"/>
      <c r="E2148" s="88"/>
      <c r="F2148" s="88"/>
      <c r="G2148" s="87"/>
    </row>
    <row r="2149">
      <c r="A2149" s="87"/>
      <c r="B2149" s="88"/>
      <c r="C2149" s="88"/>
      <c r="D2149" s="88"/>
      <c r="E2149" s="88"/>
      <c r="F2149" s="88"/>
      <c r="G2149" s="87"/>
    </row>
    <row r="2150">
      <c r="A2150" s="87"/>
      <c r="B2150" s="88"/>
      <c r="C2150" s="88"/>
      <c r="D2150" s="88"/>
      <c r="E2150" s="88"/>
      <c r="F2150" s="88"/>
      <c r="G2150" s="87"/>
    </row>
    <row r="2151">
      <c r="A2151" s="87"/>
      <c r="B2151" s="88"/>
      <c r="C2151" s="88"/>
      <c r="D2151" s="88"/>
      <c r="E2151" s="88"/>
      <c r="F2151" s="88"/>
      <c r="G2151" s="87"/>
    </row>
    <row r="2152">
      <c r="A2152" s="87"/>
      <c r="B2152" s="98"/>
      <c r="C2152" s="88"/>
      <c r="D2152" s="88"/>
      <c r="E2152" s="88"/>
      <c r="F2152" s="88"/>
      <c r="G2152" s="87"/>
    </row>
    <row r="2153">
      <c r="A2153" s="87"/>
      <c r="B2153" s="88"/>
      <c r="C2153" s="88"/>
      <c r="D2153" s="88"/>
      <c r="E2153" s="88"/>
      <c r="F2153" s="88"/>
      <c r="G2153" s="87"/>
    </row>
    <row r="2154">
      <c r="A2154" s="87"/>
      <c r="B2154" s="88"/>
      <c r="C2154" s="88"/>
      <c r="D2154" s="88"/>
      <c r="E2154" s="88"/>
      <c r="F2154" s="88"/>
      <c r="G2154" s="87"/>
    </row>
    <row r="2155">
      <c r="A2155" s="87"/>
      <c r="B2155" s="88"/>
      <c r="C2155" s="88"/>
      <c r="D2155" s="88"/>
      <c r="E2155" s="88"/>
      <c r="F2155" s="88"/>
      <c r="G2155" s="87"/>
    </row>
    <row r="2156">
      <c r="A2156" s="87"/>
      <c r="B2156" s="88"/>
      <c r="C2156" s="88"/>
      <c r="D2156" s="88"/>
      <c r="E2156" s="88"/>
      <c r="F2156" s="88"/>
      <c r="G2156" s="87"/>
    </row>
    <row r="2157">
      <c r="A2157" s="87"/>
      <c r="B2157" s="88"/>
      <c r="C2157" s="88"/>
      <c r="D2157" s="88"/>
      <c r="E2157" s="88"/>
      <c r="F2157" s="88"/>
      <c r="G2157" s="87"/>
    </row>
    <row r="2158">
      <c r="A2158" s="87"/>
      <c r="B2158" s="98"/>
      <c r="C2158" s="88"/>
      <c r="D2158" s="88"/>
      <c r="E2158" s="88"/>
      <c r="F2158" s="88"/>
      <c r="G2158" s="87"/>
    </row>
    <row r="2159">
      <c r="A2159" s="87"/>
      <c r="B2159" s="88"/>
      <c r="C2159" s="88"/>
      <c r="D2159" s="88"/>
      <c r="E2159" s="88"/>
      <c r="F2159" s="88"/>
      <c r="G2159" s="87"/>
    </row>
    <row r="2160">
      <c r="A2160" s="87"/>
      <c r="B2160" s="88"/>
      <c r="C2160" s="88"/>
      <c r="D2160" s="88"/>
      <c r="E2160" s="88"/>
      <c r="F2160" s="88"/>
      <c r="G2160" s="87"/>
    </row>
    <row r="2161">
      <c r="A2161" s="87"/>
      <c r="B2161" s="88"/>
      <c r="C2161" s="88"/>
      <c r="D2161" s="88"/>
      <c r="E2161" s="88"/>
      <c r="F2161" s="88"/>
      <c r="G2161" s="87"/>
    </row>
    <row r="2162">
      <c r="A2162" s="87"/>
      <c r="B2162" s="88"/>
      <c r="C2162" s="88"/>
      <c r="D2162" s="88"/>
      <c r="E2162" s="88"/>
      <c r="F2162" s="88"/>
      <c r="G2162" s="87"/>
    </row>
    <row r="2163">
      <c r="A2163" s="87"/>
      <c r="B2163" s="88"/>
      <c r="C2163" s="88"/>
      <c r="D2163" s="88"/>
      <c r="E2163" s="88"/>
      <c r="F2163" s="88"/>
      <c r="G2163" s="87"/>
    </row>
    <row r="2164">
      <c r="A2164" s="87"/>
      <c r="B2164" s="88"/>
      <c r="C2164" s="88"/>
      <c r="D2164" s="88"/>
      <c r="E2164" s="88"/>
      <c r="F2164" s="88"/>
      <c r="G2164" s="87"/>
    </row>
    <row r="2165">
      <c r="A2165" s="87"/>
      <c r="B2165" s="88"/>
      <c r="C2165" s="88"/>
      <c r="D2165" s="88"/>
      <c r="E2165" s="88"/>
      <c r="F2165" s="88"/>
      <c r="G2165" s="87"/>
    </row>
    <row r="2166">
      <c r="A2166" s="87"/>
      <c r="B2166" s="88"/>
      <c r="C2166" s="88"/>
      <c r="D2166" s="88"/>
      <c r="E2166" s="88"/>
      <c r="F2166" s="88"/>
      <c r="G2166" s="87"/>
    </row>
    <row r="2167">
      <c r="A2167" s="87"/>
      <c r="B2167" s="88"/>
      <c r="C2167" s="88"/>
      <c r="D2167" s="88"/>
      <c r="E2167" s="88"/>
      <c r="F2167" s="88"/>
      <c r="G2167" s="87"/>
    </row>
    <row r="2168">
      <c r="A2168" s="87"/>
      <c r="B2168" s="88"/>
      <c r="C2168" s="88"/>
      <c r="D2168" s="88"/>
      <c r="E2168" s="88"/>
      <c r="F2168" s="88"/>
      <c r="G2168" s="87"/>
    </row>
    <row r="2169">
      <c r="A2169" s="87"/>
      <c r="B2169" s="88"/>
      <c r="C2169" s="88"/>
      <c r="D2169" s="88"/>
      <c r="E2169" s="88"/>
      <c r="F2169" s="88"/>
      <c r="G2169" s="87"/>
    </row>
    <row r="2170">
      <c r="A2170" s="87"/>
      <c r="B2170" s="88"/>
      <c r="C2170" s="88"/>
      <c r="D2170" s="88"/>
      <c r="E2170" s="88"/>
      <c r="F2170" s="88"/>
      <c r="G2170" s="87"/>
    </row>
    <row r="2171">
      <c r="A2171" s="87"/>
      <c r="B2171" s="88"/>
      <c r="C2171" s="88"/>
      <c r="D2171" s="88"/>
      <c r="E2171" s="88"/>
      <c r="F2171" s="88"/>
      <c r="G2171" s="87"/>
    </row>
    <row r="2172">
      <c r="A2172" s="87"/>
      <c r="B2172" s="88"/>
      <c r="C2172" s="88"/>
      <c r="D2172" s="88"/>
      <c r="E2172" s="88"/>
      <c r="F2172" s="88"/>
      <c r="G2172" s="87"/>
    </row>
    <row r="2173">
      <c r="A2173" s="87"/>
      <c r="B2173" s="88"/>
      <c r="C2173" s="88"/>
      <c r="D2173" s="88"/>
      <c r="E2173" s="88"/>
      <c r="F2173" s="88"/>
      <c r="G2173" s="87"/>
    </row>
    <row r="2174">
      <c r="A2174" s="87"/>
      <c r="B2174" s="88"/>
      <c r="C2174" s="88"/>
      <c r="D2174" s="88"/>
      <c r="E2174" s="88"/>
      <c r="F2174" s="88"/>
      <c r="G2174" s="87"/>
    </row>
    <row r="2175">
      <c r="A2175" s="87"/>
      <c r="B2175" s="88"/>
      <c r="C2175" s="88"/>
      <c r="D2175" s="88"/>
      <c r="E2175" s="88"/>
      <c r="F2175" s="88"/>
      <c r="G2175" s="87"/>
    </row>
    <row r="2176">
      <c r="A2176" s="87"/>
      <c r="B2176" s="88"/>
      <c r="C2176" s="88"/>
      <c r="D2176" s="88"/>
      <c r="E2176" s="88"/>
      <c r="F2176" s="88"/>
      <c r="G2176" s="87"/>
    </row>
    <row r="2177">
      <c r="A2177" s="87"/>
      <c r="B2177" s="88"/>
      <c r="C2177" s="88"/>
      <c r="D2177" s="88"/>
      <c r="E2177" s="88"/>
      <c r="F2177" s="88"/>
      <c r="G2177" s="87"/>
    </row>
    <row r="2178">
      <c r="A2178" s="87"/>
      <c r="B2178" s="88"/>
      <c r="C2178" s="88"/>
      <c r="D2178" s="88"/>
      <c r="E2178" s="88"/>
      <c r="F2178" s="88"/>
      <c r="G2178" s="87"/>
    </row>
    <row r="2179">
      <c r="A2179" s="87"/>
      <c r="B2179" s="88"/>
      <c r="C2179" s="88"/>
      <c r="D2179" s="88"/>
      <c r="E2179" s="88"/>
      <c r="F2179" s="88"/>
      <c r="G2179" s="87"/>
    </row>
    <row r="2180">
      <c r="A2180" s="87"/>
      <c r="B2180" s="88"/>
      <c r="C2180" s="88"/>
      <c r="D2180" s="88"/>
      <c r="E2180" s="88"/>
      <c r="F2180" s="88"/>
      <c r="G2180" s="87"/>
    </row>
    <row r="2181">
      <c r="A2181" s="87"/>
      <c r="B2181" s="88"/>
      <c r="C2181" s="88"/>
      <c r="D2181" s="88"/>
      <c r="E2181" s="88"/>
      <c r="F2181" s="88"/>
      <c r="G2181" s="87"/>
    </row>
    <row r="2182">
      <c r="A2182" s="87"/>
      <c r="B2182" s="88"/>
      <c r="C2182" s="88"/>
      <c r="D2182" s="88"/>
      <c r="E2182" s="88"/>
      <c r="F2182" s="88"/>
      <c r="G2182" s="87"/>
    </row>
    <row r="2183">
      <c r="A2183" s="87"/>
      <c r="B2183" s="88"/>
      <c r="C2183" s="88"/>
      <c r="D2183" s="88"/>
      <c r="E2183" s="88"/>
      <c r="F2183" s="88"/>
      <c r="G2183" s="87"/>
    </row>
    <row r="2184">
      <c r="A2184" s="87"/>
      <c r="B2184" s="88"/>
      <c r="C2184" s="88"/>
      <c r="D2184" s="88"/>
      <c r="E2184" s="88"/>
      <c r="F2184" s="88"/>
      <c r="G2184" s="87"/>
    </row>
    <row r="2185">
      <c r="A2185" s="87"/>
      <c r="B2185" s="88"/>
      <c r="C2185" s="88"/>
      <c r="D2185" s="88"/>
      <c r="E2185" s="88"/>
      <c r="F2185" s="88"/>
      <c r="G2185" s="87"/>
    </row>
    <row r="2186">
      <c r="A2186" s="87"/>
      <c r="B2186" s="88"/>
      <c r="C2186" s="88"/>
      <c r="D2186" s="88"/>
      <c r="E2186" s="88"/>
      <c r="F2186" s="88"/>
      <c r="G2186" s="87"/>
    </row>
    <row r="2187">
      <c r="A2187" s="87"/>
      <c r="B2187" s="88"/>
      <c r="C2187" s="88"/>
      <c r="D2187" s="88"/>
      <c r="E2187" s="88"/>
      <c r="F2187" s="88"/>
      <c r="G2187" s="87"/>
    </row>
    <row r="2188">
      <c r="A2188" s="87"/>
      <c r="B2188" s="88"/>
      <c r="C2188" s="88"/>
      <c r="D2188" s="88"/>
      <c r="E2188" s="88"/>
      <c r="F2188" s="88"/>
      <c r="G2188" s="87"/>
    </row>
    <row r="2189">
      <c r="A2189" s="87"/>
      <c r="B2189" s="88"/>
      <c r="C2189" s="88"/>
      <c r="D2189" s="88"/>
      <c r="E2189" s="88"/>
      <c r="F2189" s="88"/>
      <c r="G2189" s="87"/>
    </row>
    <row r="2190">
      <c r="A2190" s="87"/>
      <c r="B2190" s="88"/>
      <c r="C2190" s="88"/>
      <c r="D2190" s="88"/>
      <c r="E2190" s="88"/>
      <c r="F2190" s="88"/>
      <c r="G2190" s="87"/>
    </row>
    <row r="2191">
      <c r="A2191" s="87"/>
      <c r="B2191" s="88"/>
      <c r="C2191" s="88"/>
      <c r="D2191" s="88"/>
      <c r="E2191" s="88"/>
      <c r="F2191" s="88"/>
      <c r="G2191" s="87"/>
    </row>
    <row r="2192">
      <c r="A2192" s="87"/>
      <c r="B2192" s="88"/>
      <c r="C2192" s="88"/>
      <c r="D2192" s="88"/>
      <c r="E2192" s="88"/>
      <c r="F2192" s="88"/>
      <c r="G2192" s="87"/>
    </row>
    <row r="2193">
      <c r="A2193" s="87"/>
      <c r="B2193" s="88"/>
      <c r="C2193" s="88"/>
      <c r="D2193" s="88"/>
      <c r="E2193" s="88"/>
      <c r="F2193" s="88"/>
      <c r="G2193" s="87"/>
    </row>
    <row r="2194">
      <c r="A2194" s="87"/>
      <c r="B2194" s="88"/>
      <c r="C2194" s="88"/>
      <c r="D2194" s="88"/>
      <c r="E2194" s="88"/>
      <c r="F2194" s="88"/>
      <c r="G2194" s="87"/>
    </row>
    <row r="2195">
      <c r="A2195" s="87"/>
      <c r="B2195" s="88"/>
      <c r="C2195" s="88"/>
      <c r="D2195" s="88"/>
      <c r="E2195" s="88"/>
      <c r="F2195" s="88"/>
      <c r="G2195" s="87"/>
    </row>
    <row r="2196">
      <c r="A2196" s="87"/>
      <c r="B2196" s="88"/>
      <c r="C2196" s="88"/>
      <c r="D2196" s="88"/>
      <c r="E2196" s="88"/>
      <c r="F2196" s="88"/>
      <c r="G2196" s="87"/>
    </row>
    <row r="2197">
      <c r="A2197" s="87"/>
      <c r="B2197" s="88"/>
      <c r="C2197" s="88"/>
      <c r="D2197" s="88"/>
      <c r="E2197" s="88"/>
      <c r="F2197" s="88"/>
      <c r="G2197" s="87"/>
    </row>
    <row r="2198">
      <c r="A2198" s="87"/>
      <c r="B2198" s="88"/>
      <c r="C2198" s="88"/>
      <c r="D2198" s="88"/>
      <c r="E2198" s="88"/>
      <c r="F2198" s="88"/>
      <c r="G2198" s="87"/>
    </row>
    <row r="2199">
      <c r="A2199" s="87"/>
      <c r="B2199" s="88"/>
      <c r="C2199" s="88"/>
      <c r="D2199" s="88"/>
      <c r="E2199" s="88"/>
      <c r="F2199" s="88"/>
      <c r="G2199" s="87"/>
    </row>
    <row r="2200">
      <c r="A2200" s="87"/>
      <c r="B2200" s="88"/>
      <c r="C2200" s="88"/>
      <c r="D2200" s="88"/>
      <c r="E2200" s="88"/>
      <c r="F2200" s="88"/>
      <c r="G2200" s="87"/>
    </row>
    <row r="2201">
      <c r="A2201" s="87"/>
      <c r="B2201" s="88"/>
      <c r="C2201" s="88"/>
      <c r="D2201" s="88"/>
      <c r="E2201" s="88"/>
      <c r="F2201" s="88"/>
      <c r="G2201" s="87"/>
    </row>
    <row r="2202">
      <c r="A2202" s="87"/>
      <c r="B2202" s="88"/>
      <c r="C2202" s="88"/>
      <c r="D2202" s="88"/>
      <c r="E2202" s="88"/>
      <c r="F2202" s="88"/>
      <c r="G2202" s="87"/>
    </row>
    <row r="2203">
      <c r="A2203" s="87"/>
      <c r="B2203" s="88"/>
      <c r="C2203" s="88"/>
      <c r="D2203" s="88"/>
      <c r="E2203" s="88"/>
      <c r="F2203" s="88"/>
      <c r="G2203" s="87"/>
    </row>
    <row r="2204">
      <c r="A2204" s="87"/>
      <c r="B2204" s="88"/>
      <c r="C2204" s="88"/>
      <c r="D2204" s="88"/>
      <c r="E2204" s="88"/>
      <c r="F2204" s="88"/>
      <c r="G2204" s="87"/>
    </row>
    <row r="2205">
      <c r="A2205" s="87"/>
      <c r="B2205" s="88"/>
      <c r="C2205" s="88"/>
      <c r="D2205" s="88"/>
      <c r="E2205" s="88"/>
      <c r="F2205" s="88"/>
      <c r="G2205" s="87"/>
    </row>
    <row r="2206">
      <c r="A2206" s="87"/>
      <c r="B2206" s="88"/>
      <c r="C2206" s="88"/>
      <c r="D2206" s="88"/>
      <c r="E2206" s="88"/>
      <c r="F2206" s="88"/>
      <c r="G2206" s="87"/>
    </row>
    <row r="2207">
      <c r="A2207" s="87"/>
      <c r="B2207" s="88"/>
      <c r="C2207" s="88"/>
      <c r="D2207" s="88"/>
      <c r="E2207" s="88"/>
      <c r="F2207" s="88"/>
      <c r="G2207" s="87"/>
    </row>
    <row r="2208">
      <c r="A2208" s="87"/>
      <c r="B2208" s="88"/>
      <c r="C2208" s="88"/>
      <c r="D2208" s="88"/>
      <c r="E2208" s="88"/>
      <c r="F2208" s="88"/>
      <c r="G2208" s="87"/>
    </row>
    <row r="2209">
      <c r="A2209" s="87"/>
      <c r="B2209" s="88"/>
      <c r="C2209" s="88"/>
      <c r="D2209" s="88"/>
      <c r="E2209" s="88"/>
      <c r="F2209" s="88"/>
      <c r="G2209" s="87"/>
    </row>
    <row r="2210">
      <c r="A2210" s="87"/>
      <c r="B2210" s="88"/>
      <c r="C2210" s="88"/>
      <c r="D2210" s="88"/>
      <c r="E2210" s="88"/>
      <c r="F2210" s="88"/>
      <c r="G2210" s="87"/>
    </row>
    <row r="2211">
      <c r="A2211" s="87"/>
      <c r="B2211" s="88"/>
      <c r="C2211" s="88"/>
      <c r="D2211" s="88"/>
      <c r="E2211" s="88"/>
      <c r="F2211" s="88"/>
      <c r="G2211" s="87"/>
    </row>
    <row r="2212">
      <c r="A2212" s="87"/>
      <c r="B2212" s="88"/>
      <c r="C2212" s="88"/>
      <c r="D2212" s="88"/>
      <c r="E2212" s="88"/>
      <c r="F2212" s="88"/>
      <c r="G2212" s="87"/>
    </row>
    <row r="2213">
      <c r="A2213" s="87"/>
      <c r="B2213" s="88"/>
      <c r="C2213" s="88"/>
      <c r="D2213" s="88"/>
      <c r="E2213" s="88"/>
      <c r="F2213" s="88"/>
      <c r="G2213" s="87"/>
    </row>
    <row r="2214">
      <c r="A2214" s="87"/>
      <c r="B2214" s="88"/>
      <c r="C2214" s="88"/>
      <c r="D2214" s="88"/>
      <c r="E2214" s="88"/>
      <c r="F2214" s="88"/>
      <c r="G2214" s="87"/>
    </row>
    <row r="2215">
      <c r="A2215" s="87"/>
      <c r="B2215" s="88"/>
      <c r="C2215" s="88"/>
      <c r="D2215" s="88"/>
      <c r="E2215" s="88"/>
      <c r="F2215" s="88"/>
      <c r="G2215" s="87"/>
    </row>
    <row r="2216">
      <c r="A2216" s="87"/>
      <c r="B2216" s="88"/>
      <c r="C2216" s="88"/>
      <c r="D2216" s="88"/>
      <c r="E2216" s="88"/>
      <c r="F2216" s="88"/>
      <c r="G2216" s="87"/>
    </row>
    <row r="2217">
      <c r="A2217" s="87"/>
      <c r="B2217" s="88"/>
      <c r="C2217" s="88"/>
      <c r="D2217" s="88"/>
      <c r="E2217" s="88"/>
      <c r="F2217" s="88"/>
      <c r="G2217" s="87"/>
    </row>
    <row r="2218">
      <c r="A2218" s="87"/>
      <c r="B2218" s="88"/>
      <c r="C2218" s="88"/>
      <c r="D2218" s="88"/>
      <c r="E2218" s="88"/>
      <c r="F2218" s="88"/>
      <c r="G2218" s="87"/>
    </row>
    <row r="2219">
      <c r="A2219" s="87"/>
      <c r="B2219" s="88"/>
      <c r="C2219" s="88"/>
      <c r="D2219" s="88"/>
      <c r="E2219" s="88"/>
      <c r="F2219" s="88"/>
      <c r="G2219" s="87"/>
    </row>
    <row r="2220">
      <c r="A2220" s="87"/>
      <c r="B2220" s="88"/>
      <c r="C2220" s="88"/>
      <c r="D2220" s="88"/>
      <c r="E2220" s="88"/>
      <c r="F2220" s="88"/>
      <c r="G2220" s="87"/>
    </row>
    <row r="2221">
      <c r="A2221" s="87"/>
      <c r="B2221" s="88"/>
      <c r="C2221" s="88"/>
      <c r="D2221" s="88"/>
      <c r="E2221" s="88"/>
      <c r="F2221" s="88"/>
      <c r="G2221" s="87"/>
    </row>
    <row r="2222">
      <c r="A2222" s="87"/>
      <c r="B2222" s="88"/>
      <c r="C2222" s="88"/>
      <c r="D2222" s="88"/>
      <c r="E2222" s="88"/>
      <c r="F2222" s="88"/>
      <c r="G2222" s="87"/>
    </row>
    <row r="2223">
      <c r="A2223" s="87"/>
      <c r="B2223" s="88"/>
      <c r="C2223" s="88"/>
      <c r="D2223" s="88"/>
      <c r="E2223" s="88"/>
      <c r="F2223" s="88"/>
      <c r="G2223" s="87"/>
    </row>
    <row r="2224">
      <c r="A2224" s="87"/>
      <c r="B2224" s="88"/>
      <c r="C2224" s="88"/>
      <c r="D2224" s="88"/>
      <c r="E2224" s="88"/>
      <c r="F2224" s="88"/>
      <c r="G2224" s="87"/>
    </row>
    <row r="2225">
      <c r="A2225" s="87"/>
      <c r="B2225" s="88"/>
      <c r="C2225" s="88"/>
      <c r="D2225" s="88"/>
      <c r="E2225" s="88"/>
      <c r="F2225" s="88"/>
      <c r="G2225" s="87"/>
    </row>
    <row r="2226">
      <c r="A2226" s="87"/>
      <c r="B2226" s="88"/>
      <c r="C2226" s="88"/>
      <c r="D2226" s="88"/>
      <c r="E2226" s="88"/>
      <c r="F2226" s="88"/>
      <c r="G2226" s="87"/>
    </row>
    <row r="2227">
      <c r="A2227" s="87"/>
      <c r="B2227" s="88"/>
      <c r="C2227" s="88"/>
      <c r="D2227" s="88"/>
      <c r="E2227" s="88"/>
      <c r="F2227" s="88"/>
      <c r="G2227" s="87"/>
    </row>
    <row r="2228">
      <c r="A2228" s="87"/>
      <c r="B2228" s="88"/>
      <c r="C2228" s="88"/>
      <c r="D2228" s="88"/>
      <c r="E2228" s="88"/>
      <c r="F2228" s="88"/>
      <c r="G2228" s="87"/>
    </row>
    <row r="2229">
      <c r="A2229" s="87"/>
      <c r="B2229" s="88"/>
      <c r="C2229" s="88"/>
      <c r="D2229" s="88"/>
      <c r="E2229" s="88"/>
      <c r="F2229" s="88"/>
      <c r="G2229" s="87"/>
    </row>
    <row r="2230">
      <c r="A2230" s="87"/>
      <c r="B2230" s="88"/>
      <c r="C2230" s="88"/>
      <c r="D2230" s="88"/>
      <c r="E2230" s="88"/>
      <c r="F2230" s="88"/>
      <c r="G2230" s="87"/>
    </row>
    <row r="2231">
      <c r="A2231" s="87"/>
      <c r="B2231" s="88"/>
      <c r="C2231" s="88"/>
      <c r="D2231" s="88"/>
      <c r="E2231" s="88"/>
      <c r="F2231" s="88"/>
      <c r="G2231" s="87"/>
    </row>
    <row r="2232">
      <c r="A2232" s="87"/>
      <c r="B2232" s="88"/>
      <c r="C2232" s="88"/>
      <c r="D2232" s="88"/>
      <c r="E2232" s="88"/>
      <c r="F2232" s="88"/>
      <c r="G2232" s="87"/>
    </row>
    <row r="2233">
      <c r="A2233" s="87"/>
      <c r="B2233" s="88"/>
      <c r="C2233" s="88"/>
      <c r="D2233" s="88"/>
      <c r="E2233" s="88"/>
      <c r="F2233" s="88"/>
      <c r="G2233" s="87"/>
    </row>
    <row r="2234">
      <c r="A2234" s="87"/>
      <c r="B2234" s="88"/>
      <c r="C2234" s="88"/>
      <c r="D2234" s="88"/>
      <c r="E2234" s="88"/>
      <c r="F2234" s="88"/>
      <c r="G2234" s="87"/>
    </row>
    <row r="2235">
      <c r="A2235" s="87"/>
      <c r="B2235" s="88"/>
      <c r="C2235" s="88"/>
      <c r="D2235" s="88"/>
      <c r="E2235" s="88"/>
      <c r="F2235" s="88"/>
      <c r="G2235" s="87"/>
    </row>
    <row r="2236">
      <c r="A2236" s="87"/>
      <c r="B2236" s="88"/>
      <c r="C2236" s="88"/>
      <c r="D2236" s="88"/>
      <c r="E2236" s="88"/>
      <c r="F2236" s="88"/>
      <c r="G2236" s="87"/>
    </row>
    <row r="2237">
      <c r="A2237" s="87"/>
      <c r="B2237" s="88"/>
      <c r="C2237" s="88"/>
      <c r="D2237" s="88"/>
      <c r="E2237" s="88"/>
      <c r="F2237" s="88"/>
      <c r="G2237" s="87"/>
    </row>
    <row r="2238">
      <c r="A2238" s="87"/>
      <c r="B2238" s="88"/>
      <c r="C2238" s="88"/>
      <c r="D2238" s="88"/>
      <c r="E2238" s="88"/>
      <c r="F2238" s="88"/>
      <c r="G2238" s="87"/>
    </row>
    <row r="2239">
      <c r="A2239" s="87"/>
      <c r="B2239" s="88"/>
      <c r="C2239" s="88"/>
      <c r="D2239" s="88"/>
      <c r="E2239" s="88"/>
      <c r="F2239" s="88"/>
      <c r="G2239" s="87"/>
    </row>
    <row r="2240">
      <c r="A2240" s="87"/>
      <c r="B2240" s="88"/>
      <c r="C2240" s="88"/>
      <c r="D2240" s="88"/>
      <c r="E2240" s="88"/>
      <c r="F2240" s="88"/>
      <c r="G2240" s="87"/>
    </row>
    <row r="2241">
      <c r="A2241" s="87"/>
      <c r="B2241" s="88"/>
      <c r="C2241" s="88"/>
      <c r="D2241" s="88"/>
      <c r="E2241" s="88"/>
      <c r="F2241" s="88"/>
      <c r="G2241" s="87"/>
    </row>
    <row r="2242">
      <c r="A2242" s="87"/>
      <c r="B2242" s="88"/>
      <c r="C2242" s="88"/>
      <c r="D2242" s="88"/>
      <c r="E2242" s="88"/>
      <c r="F2242" s="88"/>
      <c r="G2242" s="87"/>
    </row>
    <row r="2243">
      <c r="A2243" s="87"/>
      <c r="B2243" s="88"/>
      <c r="C2243" s="88"/>
      <c r="D2243" s="88"/>
      <c r="E2243" s="88"/>
      <c r="F2243" s="88"/>
      <c r="G2243" s="87"/>
    </row>
    <row r="2244">
      <c r="A2244" s="87"/>
      <c r="B2244" s="88"/>
      <c r="C2244" s="88"/>
      <c r="D2244" s="88"/>
      <c r="E2244" s="88"/>
      <c r="F2244" s="88"/>
      <c r="G2244" s="87"/>
    </row>
    <row r="2245">
      <c r="A2245" s="87"/>
      <c r="B2245" s="88"/>
      <c r="C2245" s="88"/>
      <c r="D2245" s="88"/>
      <c r="E2245" s="88"/>
      <c r="F2245" s="88"/>
      <c r="G2245" s="87"/>
    </row>
    <row r="2246">
      <c r="A2246" s="87"/>
      <c r="B2246" s="88"/>
      <c r="C2246" s="88"/>
      <c r="D2246" s="88"/>
      <c r="E2246" s="88"/>
      <c r="F2246" s="88"/>
      <c r="G2246" s="87"/>
    </row>
    <row r="2247">
      <c r="A2247" s="87"/>
      <c r="B2247" s="88"/>
      <c r="C2247" s="88"/>
      <c r="D2247" s="88"/>
      <c r="E2247" s="88"/>
      <c r="F2247" s="88"/>
      <c r="G2247" s="87"/>
    </row>
    <row r="2248">
      <c r="A2248" s="87"/>
      <c r="B2248" s="88"/>
      <c r="C2248" s="88"/>
      <c r="D2248" s="88"/>
      <c r="E2248" s="88"/>
      <c r="F2248" s="88"/>
      <c r="G2248" s="87"/>
    </row>
    <row r="2249">
      <c r="A2249" s="87"/>
      <c r="B2249" s="88"/>
      <c r="C2249" s="88"/>
      <c r="D2249" s="88"/>
      <c r="E2249" s="88"/>
      <c r="F2249" s="88"/>
      <c r="G2249" s="87"/>
    </row>
    <row r="2250">
      <c r="A2250" s="87"/>
      <c r="B2250" s="88"/>
      <c r="C2250" s="88"/>
      <c r="D2250" s="88"/>
      <c r="E2250" s="88"/>
      <c r="F2250" s="88"/>
      <c r="G2250" s="87"/>
    </row>
    <row r="2251">
      <c r="A2251" s="87"/>
      <c r="B2251" s="88"/>
      <c r="C2251" s="88"/>
      <c r="D2251" s="88"/>
      <c r="E2251" s="88"/>
      <c r="F2251" s="88"/>
      <c r="G2251" s="87"/>
    </row>
    <row r="2252">
      <c r="A2252" s="87"/>
      <c r="B2252" s="88"/>
      <c r="C2252" s="88"/>
      <c r="D2252" s="88"/>
      <c r="E2252" s="88"/>
      <c r="F2252" s="88"/>
      <c r="G2252" s="87"/>
    </row>
    <row r="2253">
      <c r="A2253" s="87"/>
      <c r="B2253" s="88"/>
      <c r="C2253" s="88"/>
      <c r="D2253" s="88"/>
      <c r="E2253" s="88"/>
      <c r="F2253" s="88"/>
      <c r="G2253" s="87"/>
    </row>
    <row r="2254">
      <c r="A2254" s="87"/>
      <c r="B2254" s="88"/>
      <c r="C2254" s="88"/>
      <c r="D2254" s="88"/>
      <c r="E2254" s="88"/>
      <c r="F2254" s="88"/>
      <c r="G2254" s="87"/>
    </row>
    <row r="2255">
      <c r="A2255" s="87"/>
      <c r="B2255" s="88"/>
      <c r="C2255" s="88"/>
      <c r="D2255" s="88"/>
      <c r="E2255" s="88"/>
      <c r="F2255" s="88"/>
      <c r="G2255" s="87"/>
    </row>
    <row r="2256">
      <c r="A2256" s="87"/>
      <c r="B2256" s="88"/>
      <c r="C2256" s="88"/>
      <c r="D2256" s="88"/>
      <c r="E2256" s="88"/>
      <c r="F2256" s="88"/>
      <c r="G2256" s="87"/>
    </row>
    <row r="2257">
      <c r="A2257" s="87"/>
      <c r="B2257" s="88"/>
      <c r="C2257" s="88"/>
      <c r="D2257" s="88"/>
      <c r="E2257" s="88"/>
      <c r="F2257" s="88"/>
      <c r="G2257" s="87"/>
    </row>
    <row r="2258">
      <c r="A2258" s="87"/>
      <c r="B2258" s="88"/>
      <c r="C2258" s="88"/>
      <c r="D2258" s="88"/>
      <c r="E2258" s="88"/>
      <c r="F2258" s="88"/>
      <c r="G2258" s="87"/>
    </row>
    <row r="2259">
      <c r="A2259" s="87"/>
      <c r="B2259" s="88"/>
      <c r="C2259" s="88"/>
      <c r="D2259" s="88"/>
      <c r="E2259" s="88"/>
      <c r="F2259" s="88"/>
      <c r="G2259" s="87"/>
    </row>
    <row r="2260">
      <c r="A2260" s="87"/>
      <c r="B2260" s="88"/>
      <c r="C2260" s="88"/>
      <c r="D2260" s="88"/>
      <c r="E2260" s="88"/>
      <c r="F2260" s="88"/>
      <c r="G2260" s="87"/>
    </row>
    <row r="2261">
      <c r="A2261" s="87"/>
      <c r="B2261" s="88"/>
      <c r="C2261" s="88"/>
      <c r="D2261" s="88"/>
      <c r="E2261" s="88"/>
      <c r="F2261" s="88"/>
      <c r="G2261" s="87"/>
    </row>
    <row r="2262">
      <c r="A2262" s="87"/>
      <c r="B2262" s="88"/>
      <c r="C2262" s="88"/>
      <c r="D2262" s="88"/>
      <c r="E2262" s="88"/>
      <c r="F2262" s="88"/>
      <c r="G2262" s="87"/>
    </row>
    <row r="2263">
      <c r="A2263" s="87"/>
      <c r="B2263" s="88"/>
      <c r="C2263" s="88"/>
      <c r="D2263" s="88"/>
      <c r="E2263" s="88"/>
      <c r="F2263" s="88"/>
      <c r="G2263" s="87"/>
    </row>
    <row r="2264">
      <c r="A2264" s="87"/>
      <c r="B2264" s="88"/>
      <c r="C2264" s="88"/>
      <c r="D2264" s="88"/>
      <c r="E2264" s="88"/>
      <c r="F2264" s="88"/>
      <c r="G2264" s="87"/>
    </row>
    <row r="2265">
      <c r="A2265" s="87"/>
      <c r="B2265" s="88"/>
      <c r="C2265" s="88"/>
      <c r="D2265" s="88"/>
      <c r="E2265" s="88"/>
      <c r="F2265" s="88"/>
      <c r="G2265" s="87"/>
    </row>
    <row r="2266">
      <c r="A2266" s="87"/>
      <c r="B2266" s="88"/>
      <c r="C2266" s="88"/>
      <c r="D2266" s="88"/>
      <c r="E2266" s="88"/>
      <c r="F2266" s="88"/>
      <c r="G2266" s="87"/>
    </row>
    <row r="2267">
      <c r="A2267" s="87"/>
      <c r="B2267" s="88"/>
      <c r="C2267" s="88"/>
      <c r="D2267" s="88"/>
      <c r="E2267" s="88"/>
      <c r="F2267" s="88"/>
      <c r="G2267" s="87"/>
    </row>
    <row r="2268">
      <c r="A2268" s="87"/>
      <c r="B2268" s="88"/>
      <c r="C2268" s="88"/>
      <c r="D2268" s="88"/>
      <c r="E2268" s="88"/>
      <c r="F2268" s="88"/>
      <c r="G2268" s="87"/>
    </row>
    <row r="2269">
      <c r="A2269" s="87"/>
      <c r="B2269" s="88"/>
      <c r="C2269" s="88"/>
      <c r="D2269" s="88"/>
      <c r="E2269" s="88"/>
      <c r="F2269" s="88"/>
      <c r="G2269" s="87"/>
    </row>
    <row r="2270">
      <c r="A2270" s="87"/>
      <c r="B2270" s="88"/>
      <c r="C2270" s="88"/>
      <c r="D2270" s="88"/>
      <c r="E2270" s="88"/>
      <c r="F2270" s="88"/>
      <c r="G2270" s="87"/>
    </row>
    <row r="2271">
      <c r="A2271" s="87"/>
      <c r="B2271" s="88"/>
      <c r="C2271" s="88"/>
      <c r="D2271" s="88"/>
      <c r="E2271" s="88"/>
      <c r="F2271" s="88"/>
      <c r="G2271" s="87"/>
    </row>
    <row r="2272">
      <c r="A2272" s="87"/>
      <c r="B2272" s="88"/>
      <c r="C2272" s="88"/>
      <c r="D2272" s="88"/>
      <c r="E2272" s="88"/>
      <c r="F2272" s="88"/>
      <c r="G2272" s="87"/>
    </row>
    <row r="2273">
      <c r="A2273" s="87"/>
      <c r="B2273" s="88"/>
      <c r="C2273" s="88"/>
      <c r="D2273" s="88"/>
      <c r="E2273" s="88"/>
      <c r="F2273" s="88"/>
      <c r="G2273" s="87"/>
    </row>
    <row r="2274">
      <c r="A2274" s="87"/>
      <c r="B2274" s="88"/>
      <c r="C2274" s="88"/>
      <c r="D2274" s="88"/>
      <c r="E2274" s="88"/>
      <c r="F2274" s="88"/>
      <c r="G2274" s="87"/>
    </row>
    <row r="2275">
      <c r="A2275" s="87"/>
      <c r="B2275" s="88"/>
      <c r="C2275" s="88"/>
      <c r="D2275" s="88"/>
      <c r="E2275" s="88"/>
      <c r="F2275" s="88"/>
      <c r="G2275" s="87"/>
    </row>
    <row r="2276">
      <c r="A2276" s="87"/>
      <c r="B2276" s="88"/>
      <c r="C2276" s="88"/>
      <c r="D2276" s="88"/>
      <c r="E2276" s="88"/>
      <c r="F2276" s="88"/>
      <c r="G2276" s="87"/>
    </row>
    <row r="2277">
      <c r="A2277" s="87"/>
      <c r="B2277" s="88"/>
      <c r="C2277" s="88"/>
      <c r="D2277" s="88"/>
      <c r="E2277" s="88"/>
      <c r="F2277" s="88"/>
      <c r="G2277" s="87"/>
    </row>
    <row r="2278">
      <c r="A2278" s="87"/>
      <c r="B2278" s="88"/>
      <c r="C2278" s="88"/>
      <c r="D2278" s="88"/>
      <c r="E2278" s="88"/>
      <c r="F2278" s="88"/>
      <c r="G2278" s="87"/>
    </row>
    <row r="2279">
      <c r="A2279" s="87"/>
      <c r="B2279" s="88"/>
      <c r="C2279" s="88"/>
      <c r="D2279" s="88"/>
      <c r="E2279" s="88"/>
      <c r="F2279" s="88"/>
      <c r="G2279" s="87"/>
    </row>
    <row r="2280">
      <c r="A2280" s="87"/>
      <c r="B2280" s="88"/>
      <c r="C2280" s="88"/>
      <c r="D2280" s="88"/>
      <c r="E2280" s="88"/>
      <c r="F2280" s="88"/>
      <c r="G2280" s="87"/>
    </row>
    <row r="2281">
      <c r="A2281" s="87"/>
      <c r="B2281" s="88"/>
      <c r="C2281" s="88"/>
      <c r="D2281" s="88"/>
      <c r="E2281" s="88"/>
      <c r="F2281" s="88"/>
      <c r="G2281" s="87"/>
    </row>
    <row r="2282">
      <c r="A2282" s="87"/>
      <c r="B2282" s="88"/>
      <c r="C2282" s="88"/>
      <c r="D2282" s="88"/>
      <c r="E2282" s="88"/>
      <c r="F2282" s="88"/>
      <c r="G2282" s="87"/>
    </row>
    <row r="2283">
      <c r="A2283" s="87"/>
      <c r="B2283" s="88"/>
      <c r="C2283" s="88"/>
      <c r="D2283" s="88"/>
      <c r="E2283" s="88"/>
      <c r="F2283" s="88"/>
      <c r="G2283" s="87"/>
    </row>
    <row r="2284">
      <c r="A2284" s="87"/>
      <c r="B2284" s="88"/>
      <c r="C2284" s="88"/>
      <c r="D2284" s="88"/>
      <c r="E2284" s="88"/>
      <c r="F2284" s="88"/>
      <c r="G2284" s="87"/>
    </row>
    <row r="2285">
      <c r="A2285" s="87"/>
      <c r="B2285" s="88"/>
      <c r="C2285" s="88"/>
      <c r="D2285" s="88"/>
      <c r="E2285" s="88"/>
      <c r="F2285" s="88"/>
      <c r="G2285" s="87"/>
    </row>
    <row r="2286">
      <c r="A2286" s="87"/>
      <c r="B2286" s="88"/>
      <c r="C2286" s="88"/>
      <c r="D2286" s="88"/>
      <c r="E2286" s="88"/>
      <c r="F2286" s="88"/>
      <c r="G2286" s="87"/>
    </row>
    <row r="2287">
      <c r="A2287" s="87"/>
      <c r="B2287" s="88"/>
      <c r="C2287" s="88"/>
      <c r="D2287" s="88"/>
      <c r="E2287" s="88"/>
      <c r="F2287" s="88"/>
      <c r="G2287" s="87"/>
    </row>
    <row r="2288">
      <c r="A2288" s="87"/>
      <c r="B2288" s="88"/>
      <c r="C2288" s="88"/>
      <c r="D2288" s="88"/>
      <c r="E2288" s="88"/>
      <c r="F2288" s="88"/>
      <c r="G2288" s="87"/>
    </row>
    <row r="2289">
      <c r="A2289" s="87"/>
      <c r="B2289" s="88"/>
      <c r="C2289" s="88"/>
      <c r="D2289" s="88"/>
      <c r="E2289" s="88"/>
      <c r="F2289" s="88"/>
      <c r="G2289" s="87"/>
    </row>
    <row r="2290">
      <c r="A2290" s="87"/>
      <c r="B2290" s="88"/>
      <c r="C2290" s="88"/>
      <c r="D2290" s="88"/>
      <c r="E2290" s="88"/>
      <c r="F2290" s="88"/>
      <c r="G2290" s="87"/>
    </row>
    <row r="2291">
      <c r="A2291" s="87"/>
      <c r="B2291" s="88"/>
      <c r="C2291" s="88"/>
      <c r="D2291" s="88"/>
      <c r="E2291" s="88"/>
      <c r="F2291" s="88"/>
      <c r="G2291" s="87"/>
    </row>
    <row r="2292">
      <c r="A2292" s="87"/>
      <c r="B2292" s="88"/>
      <c r="C2292" s="88"/>
      <c r="D2292" s="88"/>
      <c r="E2292" s="88"/>
      <c r="F2292" s="88"/>
      <c r="G2292" s="87"/>
    </row>
    <row r="2293">
      <c r="A2293" s="87"/>
      <c r="B2293" s="88"/>
      <c r="C2293" s="88"/>
      <c r="D2293" s="88"/>
      <c r="E2293" s="88"/>
      <c r="F2293" s="88"/>
      <c r="G2293" s="87"/>
    </row>
    <row r="2294">
      <c r="A2294" s="87"/>
      <c r="B2294" s="88"/>
      <c r="C2294" s="88"/>
      <c r="D2294" s="88"/>
      <c r="E2294" s="88"/>
      <c r="F2294" s="88"/>
      <c r="G2294" s="87"/>
    </row>
    <row r="2295">
      <c r="A2295" s="87"/>
      <c r="B2295" s="88"/>
      <c r="C2295" s="88"/>
      <c r="D2295" s="88"/>
      <c r="E2295" s="88"/>
      <c r="F2295" s="88"/>
      <c r="G2295" s="87"/>
    </row>
    <row r="2296">
      <c r="A2296" s="87"/>
      <c r="B2296" s="88"/>
      <c r="C2296" s="88"/>
      <c r="D2296" s="88"/>
      <c r="E2296" s="88"/>
      <c r="F2296" s="88"/>
      <c r="G2296" s="87"/>
    </row>
    <row r="2297">
      <c r="A2297" s="87"/>
      <c r="B2297" s="88"/>
      <c r="C2297" s="88"/>
      <c r="D2297" s="88"/>
      <c r="E2297" s="88"/>
      <c r="F2297" s="88"/>
      <c r="G2297" s="87"/>
    </row>
    <row r="2298">
      <c r="A2298" s="87"/>
      <c r="B2298" s="88"/>
      <c r="C2298" s="88"/>
      <c r="D2298" s="88"/>
      <c r="E2298" s="88"/>
      <c r="F2298" s="88"/>
      <c r="G2298" s="87"/>
    </row>
    <row r="2299">
      <c r="A2299" s="87"/>
      <c r="B2299" s="88"/>
      <c r="C2299" s="88"/>
      <c r="D2299" s="88"/>
      <c r="E2299" s="88"/>
      <c r="F2299" s="88"/>
      <c r="G2299" s="87"/>
    </row>
    <row r="2300">
      <c r="A2300" s="87"/>
      <c r="B2300" s="88"/>
      <c r="C2300" s="88"/>
      <c r="D2300" s="88"/>
      <c r="E2300" s="88"/>
      <c r="F2300" s="88"/>
      <c r="G2300" s="87"/>
    </row>
    <row r="2301">
      <c r="A2301" s="87"/>
      <c r="B2301" s="88"/>
      <c r="C2301" s="88"/>
      <c r="D2301" s="88"/>
      <c r="E2301" s="88"/>
      <c r="F2301" s="88"/>
      <c r="G2301" s="87"/>
    </row>
    <row r="2302">
      <c r="A2302" s="87"/>
      <c r="B2302" s="88"/>
      <c r="C2302" s="88"/>
      <c r="D2302" s="88"/>
      <c r="E2302" s="88"/>
      <c r="F2302" s="88"/>
      <c r="G2302" s="87"/>
    </row>
    <row r="2303">
      <c r="A2303" s="87"/>
      <c r="B2303" s="88"/>
      <c r="C2303" s="88"/>
      <c r="D2303" s="88"/>
      <c r="E2303" s="88"/>
      <c r="F2303" s="88"/>
      <c r="G2303" s="87"/>
    </row>
    <row r="2304">
      <c r="A2304" s="87"/>
      <c r="B2304" s="88"/>
      <c r="C2304" s="88"/>
      <c r="D2304" s="88"/>
      <c r="E2304" s="88"/>
      <c r="F2304" s="88"/>
      <c r="G2304" s="87"/>
    </row>
    <row r="2305">
      <c r="A2305" s="87"/>
      <c r="B2305" s="88"/>
      <c r="C2305" s="88"/>
      <c r="D2305" s="88"/>
      <c r="E2305" s="88"/>
      <c r="F2305" s="88"/>
      <c r="G2305" s="87"/>
    </row>
    <row r="2306">
      <c r="A2306" s="87"/>
      <c r="B2306" s="88"/>
      <c r="C2306" s="88"/>
      <c r="D2306" s="88"/>
      <c r="E2306" s="88"/>
      <c r="F2306" s="88"/>
      <c r="G2306" s="87"/>
    </row>
    <row r="2307">
      <c r="A2307" s="87"/>
      <c r="B2307" s="88"/>
      <c r="C2307" s="88"/>
      <c r="D2307" s="88"/>
      <c r="E2307" s="88"/>
      <c r="F2307" s="88"/>
      <c r="G2307" s="87"/>
    </row>
    <row r="2308">
      <c r="A2308" s="87"/>
      <c r="B2308" s="88"/>
      <c r="C2308" s="88"/>
      <c r="D2308" s="88"/>
      <c r="E2308" s="88"/>
      <c r="F2308" s="88"/>
      <c r="G2308" s="87"/>
    </row>
    <row r="2309">
      <c r="A2309" s="87"/>
      <c r="B2309" s="88"/>
      <c r="C2309" s="88"/>
      <c r="D2309" s="88"/>
      <c r="E2309" s="88"/>
      <c r="F2309" s="88"/>
      <c r="G2309" s="87"/>
    </row>
    <row r="2310">
      <c r="A2310" s="87"/>
      <c r="B2310" s="88"/>
      <c r="C2310" s="88"/>
      <c r="D2310" s="88"/>
      <c r="E2310" s="88"/>
      <c r="F2310" s="88"/>
      <c r="G2310" s="87"/>
    </row>
    <row r="2311">
      <c r="A2311" s="87"/>
      <c r="B2311" s="88"/>
      <c r="C2311" s="88"/>
      <c r="D2311" s="88"/>
      <c r="E2311" s="88"/>
      <c r="F2311" s="88"/>
      <c r="G2311" s="87"/>
    </row>
    <row r="2312">
      <c r="A2312" s="87"/>
      <c r="B2312" s="88"/>
      <c r="C2312" s="88"/>
      <c r="D2312" s="88"/>
      <c r="E2312" s="88"/>
      <c r="F2312" s="88"/>
      <c r="G2312" s="87"/>
    </row>
    <row r="2313">
      <c r="A2313" s="87"/>
      <c r="B2313" s="88"/>
      <c r="C2313" s="88"/>
      <c r="D2313" s="88"/>
      <c r="E2313" s="88"/>
      <c r="F2313" s="88"/>
      <c r="G2313" s="87"/>
    </row>
    <row r="2314">
      <c r="A2314" s="87"/>
      <c r="B2314" s="88"/>
      <c r="C2314" s="88"/>
      <c r="D2314" s="88"/>
      <c r="E2314" s="88"/>
      <c r="F2314" s="88"/>
      <c r="G2314" s="87"/>
    </row>
    <row r="2315">
      <c r="A2315" s="87"/>
      <c r="B2315" s="88"/>
      <c r="C2315" s="88"/>
      <c r="D2315" s="88"/>
      <c r="E2315" s="88"/>
      <c r="F2315" s="88"/>
      <c r="G2315" s="87"/>
    </row>
    <row r="2316">
      <c r="A2316" s="87"/>
      <c r="B2316" s="88"/>
      <c r="C2316" s="88"/>
      <c r="D2316" s="88"/>
      <c r="E2316" s="88"/>
      <c r="F2316" s="88"/>
      <c r="G2316" s="87"/>
    </row>
    <row r="2317">
      <c r="A2317" s="87"/>
      <c r="B2317" s="88"/>
      <c r="C2317" s="88"/>
      <c r="D2317" s="88"/>
      <c r="E2317" s="88"/>
      <c r="F2317" s="88"/>
      <c r="G2317" s="87"/>
    </row>
    <row r="2318">
      <c r="A2318" s="87"/>
      <c r="B2318" s="88"/>
      <c r="C2318" s="88"/>
      <c r="D2318" s="88"/>
      <c r="E2318" s="88"/>
      <c r="F2318" s="88"/>
      <c r="G2318" s="87"/>
    </row>
    <row r="2319">
      <c r="A2319" s="87"/>
      <c r="B2319" s="88"/>
      <c r="C2319" s="88"/>
      <c r="D2319" s="88"/>
      <c r="E2319" s="88"/>
      <c r="F2319" s="88"/>
      <c r="G2319" s="87"/>
    </row>
    <row r="2320">
      <c r="A2320" s="87"/>
      <c r="B2320" s="88"/>
      <c r="C2320" s="88"/>
      <c r="D2320" s="88"/>
      <c r="E2320" s="88"/>
      <c r="F2320" s="88"/>
      <c r="G2320" s="87"/>
    </row>
    <row r="2321">
      <c r="A2321" s="87"/>
      <c r="B2321" s="88"/>
      <c r="C2321" s="88"/>
      <c r="D2321" s="88"/>
      <c r="E2321" s="88"/>
      <c r="F2321" s="88"/>
      <c r="G2321" s="87"/>
    </row>
    <row r="2322">
      <c r="A2322" s="87"/>
      <c r="B2322" s="88"/>
      <c r="C2322" s="88"/>
      <c r="D2322" s="88"/>
      <c r="E2322" s="88"/>
      <c r="F2322" s="88"/>
      <c r="G2322" s="87"/>
    </row>
    <row r="2323">
      <c r="A2323" s="87"/>
      <c r="B2323" s="88"/>
      <c r="C2323" s="88"/>
      <c r="D2323" s="88"/>
      <c r="E2323" s="88"/>
      <c r="F2323" s="88"/>
      <c r="G2323" s="87"/>
    </row>
    <row r="2324">
      <c r="A2324" s="87"/>
      <c r="B2324" s="88"/>
      <c r="C2324" s="88"/>
      <c r="D2324" s="88"/>
      <c r="E2324" s="88"/>
      <c r="F2324" s="88"/>
      <c r="G2324" s="87"/>
    </row>
    <row r="2325">
      <c r="A2325" s="87"/>
      <c r="B2325" s="88"/>
      <c r="C2325" s="88"/>
      <c r="D2325" s="88"/>
      <c r="E2325" s="88"/>
      <c r="F2325" s="88"/>
      <c r="G2325" s="87"/>
    </row>
    <row r="2326">
      <c r="A2326" s="87"/>
      <c r="B2326" s="88"/>
      <c r="C2326" s="88"/>
      <c r="D2326" s="88"/>
      <c r="E2326" s="88"/>
      <c r="F2326" s="88"/>
      <c r="G2326" s="87"/>
    </row>
    <row r="2327">
      <c r="A2327" s="87"/>
      <c r="B2327" s="88"/>
      <c r="C2327" s="88"/>
      <c r="D2327" s="88"/>
      <c r="E2327" s="88"/>
      <c r="F2327" s="88"/>
      <c r="G2327" s="87"/>
    </row>
    <row r="2328">
      <c r="A2328" s="87"/>
      <c r="B2328" s="88"/>
      <c r="C2328" s="88"/>
      <c r="D2328" s="88"/>
      <c r="E2328" s="88"/>
      <c r="F2328" s="88"/>
      <c r="G2328" s="87"/>
    </row>
    <row r="2329">
      <c r="A2329" s="87"/>
      <c r="B2329" s="88"/>
      <c r="C2329" s="88"/>
      <c r="D2329" s="88"/>
      <c r="E2329" s="88"/>
      <c r="F2329" s="88"/>
      <c r="G2329" s="87"/>
    </row>
    <row r="2330">
      <c r="A2330" s="87"/>
      <c r="B2330" s="88"/>
      <c r="C2330" s="88"/>
      <c r="D2330" s="88"/>
      <c r="E2330" s="88"/>
      <c r="F2330" s="88"/>
      <c r="G2330" s="87"/>
    </row>
    <row r="2331">
      <c r="A2331" s="87"/>
      <c r="B2331" s="88"/>
      <c r="C2331" s="88"/>
      <c r="D2331" s="88"/>
      <c r="E2331" s="88"/>
      <c r="F2331" s="88"/>
      <c r="G2331" s="87"/>
    </row>
    <row r="2332">
      <c r="A2332" s="87"/>
      <c r="B2332" s="88"/>
      <c r="C2332" s="88"/>
      <c r="D2332" s="88"/>
      <c r="E2332" s="88"/>
      <c r="F2332" s="88"/>
      <c r="G2332" s="87"/>
    </row>
    <row r="2333">
      <c r="A2333" s="87"/>
      <c r="B2333" s="88"/>
      <c r="C2333" s="88"/>
      <c r="D2333" s="88"/>
      <c r="E2333" s="88"/>
      <c r="F2333" s="88"/>
      <c r="G2333" s="87"/>
    </row>
    <row r="2334">
      <c r="A2334" s="87"/>
      <c r="B2334" s="88"/>
      <c r="C2334" s="88"/>
      <c r="D2334" s="88"/>
      <c r="E2334" s="88"/>
      <c r="F2334" s="88"/>
      <c r="G2334" s="87"/>
    </row>
    <row r="2335">
      <c r="A2335" s="87"/>
      <c r="B2335" s="88"/>
      <c r="C2335" s="88"/>
      <c r="D2335" s="88"/>
      <c r="E2335" s="88"/>
      <c r="F2335" s="88"/>
      <c r="G2335" s="87"/>
    </row>
    <row r="2336">
      <c r="A2336" s="87"/>
      <c r="B2336" s="88"/>
      <c r="C2336" s="88"/>
      <c r="D2336" s="88"/>
      <c r="E2336" s="88"/>
      <c r="F2336" s="88"/>
      <c r="G2336" s="87"/>
    </row>
    <row r="2337">
      <c r="A2337" s="87"/>
      <c r="B2337" s="88"/>
      <c r="C2337" s="88"/>
      <c r="D2337" s="88"/>
      <c r="E2337" s="88"/>
      <c r="F2337" s="88"/>
      <c r="G2337" s="87"/>
    </row>
    <row r="2338">
      <c r="A2338" s="87"/>
      <c r="B2338" s="88"/>
      <c r="C2338" s="88"/>
      <c r="D2338" s="88"/>
      <c r="E2338" s="88"/>
      <c r="F2338" s="88"/>
      <c r="G2338" s="87"/>
    </row>
    <row r="2339">
      <c r="A2339" s="87"/>
      <c r="B2339" s="88"/>
      <c r="C2339" s="88"/>
      <c r="D2339" s="88"/>
      <c r="E2339" s="88"/>
      <c r="F2339" s="88"/>
      <c r="G2339" s="87"/>
    </row>
    <row r="2340">
      <c r="A2340" s="87"/>
      <c r="B2340" s="88"/>
      <c r="C2340" s="88"/>
      <c r="D2340" s="88"/>
      <c r="E2340" s="88"/>
      <c r="F2340" s="88"/>
      <c r="G2340" s="87"/>
    </row>
    <row r="2341">
      <c r="A2341" s="87"/>
      <c r="B2341" s="88"/>
      <c r="C2341" s="88"/>
      <c r="D2341" s="88"/>
      <c r="E2341" s="88"/>
      <c r="F2341" s="88"/>
      <c r="G2341" s="87"/>
    </row>
    <row r="2342">
      <c r="A2342" s="87"/>
      <c r="B2342" s="88"/>
      <c r="C2342" s="88"/>
      <c r="D2342" s="88"/>
      <c r="E2342" s="88"/>
      <c r="F2342" s="88"/>
      <c r="G2342" s="87"/>
    </row>
    <row r="2343">
      <c r="A2343" s="87"/>
      <c r="B2343" s="88"/>
      <c r="C2343" s="88"/>
      <c r="D2343" s="88"/>
      <c r="E2343" s="88"/>
      <c r="F2343" s="88"/>
      <c r="G2343" s="87"/>
    </row>
    <row r="2344">
      <c r="A2344" s="87"/>
      <c r="B2344" s="88"/>
      <c r="C2344" s="88"/>
      <c r="D2344" s="88"/>
      <c r="E2344" s="88"/>
      <c r="F2344" s="88"/>
      <c r="G2344" s="87"/>
    </row>
    <row r="2345">
      <c r="A2345" s="87"/>
      <c r="B2345" s="88"/>
      <c r="C2345" s="88"/>
      <c r="D2345" s="88"/>
      <c r="E2345" s="88"/>
      <c r="F2345" s="88"/>
      <c r="G2345" s="87"/>
    </row>
    <row r="2346">
      <c r="A2346" s="87"/>
      <c r="B2346" s="88"/>
      <c r="C2346" s="88"/>
      <c r="D2346" s="88"/>
      <c r="E2346" s="88"/>
      <c r="F2346" s="88"/>
      <c r="G2346" s="87"/>
    </row>
    <row r="2347">
      <c r="A2347" s="87"/>
      <c r="B2347" s="88"/>
      <c r="C2347" s="88"/>
      <c r="D2347" s="88"/>
      <c r="E2347" s="88"/>
      <c r="F2347" s="88"/>
      <c r="G2347" s="87"/>
    </row>
    <row r="2348">
      <c r="A2348" s="87"/>
      <c r="B2348" s="88"/>
      <c r="C2348" s="88"/>
      <c r="D2348" s="88"/>
      <c r="E2348" s="88"/>
      <c r="F2348" s="88"/>
      <c r="G2348" s="87"/>
    </row>
    <row r="2349">
      <c r="A2349" s="87"/>
      <c r="B2349" s="88"/>
      <c r="C2349" s="88"/>
      <c r="D2349" s="88"/>
      <c r="E2349" s="88"/>
      <c r="F2349" s="88"/>
      <c r="G2349" s="87"/>
    </row>
    <row r="2350">
      <c r="A2350" s="87"/>
      <c r="B2350" s="88"/>
      <c r="C2350" s="88"/>
      <c r="D2350" s="88"/>
      <c r="E2350" s="88"/>
      <c r="F2350" s="88"/>
      <c r="G2350" s="87"/>
    </row>
    <row r="2351">
      <c r="A2351" s="87"/>
      <c r="B2351" s="88"/>
      <c r="C2351" s="88"/>
      <c r="D2351" s="88"/>
      <c r="E2351" s="88"/>
      <c r="F2351" s="88"/>
      <c r="G2351" s="87"/>
    </row>
    <row r="2352">
      <c r="A2352" s="87"/>
      <c r="B2352" s="88"/>
      <c r="C2352" s="88"/>
      <c r="D2352" s="88"/>
      <c r="E2352" s="88"/>
      <c r="F2352" s="88"/>
      <c r="G2352" s="87"/>
    </row>
    <row r="2353">
      <c r="A2353" s="87"/>
      <c r="B2353" s="88"/>
      <c r="C2353" s="88"/>
      <c r="D2353" s="88"/>
      <c r="E2353" s="88"/>
      <c r="F2353" s="88"/>
      <c r="G2353" s="87"/>
    </row>
    <row r="2354">
      <c r="A2354" s="87"/>
      <c r="B2354" s="88"/>
      <c r="C2354" s="88"/>
      <c r="D2354" s="88"/>
      <c r="E2354" s="88"/>
      <c r="F2354" s="88"/>
      <c r="G2354" s="87"/>
    </row>
    <row r="2355">
      <c r="A2355" s="87"/>
      <c r="B2355" s="88"/>
      <c r="C2355" s="88"/>
      <c r="D2355" s="88"/>
      <c r="E2355" s="88"/>
      <c r="F2355" s="88"/>
      <c r="G2355" s="87"/>
    </row>
    <row r="2356">
      <c r="A2356" s="87"/>
      <c r="B2356" s="88"/>
      <c r="C2356" s="88"/>
      <c r="D2356" s="88"/>
      <c r="E2356" s="88"/>
      <c r="F2356" s="88"/>
      <c r="G2356" s="87"/>
    </row>
    <row r="2357">
      <c r="A2357" s="87"/>
      <c r="B2357" s="88"/>
      <c r="C2357" s="88"/>
      <c r="D2357" s="88"/>
      <c r="E2357" s="88"/>
      <c r="F2357" s="88"/>
      <c r="G2357" s="87"/>
    </row>
    <row r="2358">
      <c r="A2358" s="87"/>
      <c r="B2358" s="88"/>
      <c r="C2358" s="88"/>
      <c r="D2358" s="88"/>
      <c r="E2358" s="88"/>
      <c r="F2358" s="88"/>
      <c r="G2358" s="87"/>
    </row>
    <row r="2359">
      <c r="A2359" s="87"/>
      <c r="B2359" s="88"/>
      <c r="C2359" s="88"/>
      <c r="D2359" s="88"/>
      <c r="E2359" s="88"/>
      <c r="F2359" s="88"/>
      <c r="G2359" s="87"/>
    </row>
    <row r="2360">
      <c r="A2360" s="87"/>
      <c r="B2360" s="88"/>
      <c r="C2360" s="88"/>
      <c r="D2360" s="88"/>
      <c r="E2360" s="88"/>
      <c r="F2360" s="88"/>
      <c r="G2360" s="87"/>
    </row>
    <row r="2361">
      <c r="A2361" s="87"/>
      <c r="B2361" s="88"/>
      <c r="C2361" s="88"/>
      <c r="D2361" s="88"/>
      <c r="E2361" s="88"/>
      <c r="F2361" s="88"/>
      <c r="G2361" s="87"/>
    </row>
    <row r="2362">
      <c r="A2362" s="87"/>
      <c r="B2362" s="88"/>
      <c r="C2362" s="88"/>
      <c r="D2362" s="88"/>
      <c r="E2362" s="88"/>
      <c r="F2362" s="88"/>
      <c r="G2362" s="87"/>
    </row>
    <row r="2363">
      <c r="A2363" s="87"/>
      <c r="B2363" s="88"/>
      <c r="C2363" s="88"/>
      <c r="D2363" s="88"/>
      <c r="E2363" s="88"/>
      <c r="F2363" s="88"/>
      <c r="G2363" s="87"/>
    </row>
    <row r="2364">
      <c r="A2364" s="87"/>
      <c r="B2364" s="88"/>
      <c r="C2364" s="88"/>
      <c r="D2364" s="88"/>
      <c r="E2364" s="88"/>
      <c r="F2364" s="88"/>
      <c r="G2364" s="87"/>
    </row>
    <row r="2365">
      <c r="A2365" s="87"/>
      <c r="B2365" s="88"/>
      <c r="C2365" s="88"/>
      <c r="D2365" s="88"/>
      <c r="E2365" s="88"/>
      <c r="F2365" s="88"/>
      <c r="G2365" s="87"/>
    </row>
    <row r="2366">
      <c r="A2366" s="87"/>
      <c r="B2366" s="88"/>
      <c r="C2366" s="88"/>
      <c r="D2366" s="88"/>
      <c r="E2366" s="88"/>
      <c r="F2366" s="88"/>
      <c r="G2366" s="87"/>
    </row>
    <row r="2367">
      <c r="A2367" s="87"/>
      <c r="B2367" s="88"/>
      <c r="C2367" s="88"/>
      <c r="D2367" s="88"/>
      <c r="E2367" s="88"/>
      <c r="F2367" s="88"/>
      <c r="G2367" s="87"/>
    </row>
    <row r="2368">
      <c r="A2368" s="87"/>
      <c r="B2368" s="88"/>
      <c r="C2368" s="88"/>
      <c r="D2368" s="88"/>
      <c r="E2368" s="88"/>
      <c r="F2368" s="88"/>
      <c r="G2368" s="87"/>
    </row>
    <row r="2369">
      <c r="A2369" s="87"/>
      <c r="B2369" s="88"/>
      <c r="C2369" s="88"/>
      <c r="D2369" s="88"/>
      <c r="E2369" s="88"/>
      <c r="F2369" s="88"/>
      <c r="G2369" s="87"/>
    </row>
    <row r="2370">
      <c r="A2370" s="87"/>
      <c r="B2370" s="88"/>
      <c r="C2370" s="88"/>
      <c r="D2370" s="88"/>
      <c r="E2370" s="88"/>
      <c r="F2370" s="88"/>
      <c r="G2370" s="87"/>
    </row>
    <row r="2371">
      <c r="A2371" s="87"/>
      <c r="B2371" s="88"/>
      <c r="C2371" s="88"/>
      <c r="D2371" s="88"/>
      <c r="E2371" s="88"/>
      <c r="F2371" s="88"/>
      <c r="G2371" s="87"/>
    </row>
    <row r="2372">
      <c r="A2372" s="87"/>
      <c r="B2372" s="88"/>
      <c r="C2372" s="88"/>
      <c r="D2372" s="88"/>
      <c r="E2372" s="88"/>
      <c r="F2372" s="88"/>
      <c r="G2372" s="87"/>
    </row>
    <row r="2373">
      <c r="A2373" s="87"/>
      <c r="B2373" s="88"/>
      <c r="C2373" s="88"/>
      <c r="D2373" s="88"/>
      <c r="E2373" s="88"/>
      <c r="F2373" s="88"/>
      <c r="G2373" s="87"/>
    </row>
    <row r="2374">
      <c r="A2374" s="87"/>
      <c r="B2374" s="88"/>
      <c r="C2374" s="88"/>
      <c r="D2374" s="88"/>
      <c r="E2374" s="88"/>
      <c r="F2374" s="88"/>
      <c r="G2374" s="87"/>
    </row>
    <row r="2375">
      <c r="A2375" s="87"/>
      <c r="B2375" s="88"/>
      <c r="C2375" s="88"/>
      <c r="D2375" s="88"/>
      <c r="E2375" s="88"/>
      <c r="F2375" s="88"/>
      <c r="G2375" s="87"/>
    </row>
    <row r="2376">
      <c r="A2376" s="87"/>
      <c r="B2376" s="88"/>
      <c r="C2376" s="88"/>
      <c r="D2376" s="88"/>
      <c r="E2376" s="88"/>
      <c r="F2376" s="88"/>
      <c r="G2376" s="87"/>
    </row>
    <row r="2377">
      <c r="A2377" s="87"/>
      <c r="B2377" s="88"/>
      <c r="C2377" s="88"/>
      <c r="D2377" s="88"/>
      <c r="E2377" s="88"/>
      <c r="F2377" s="88"/>
      <c r="G2377" s="87"/>
    </row>
    <row r="2378">
      <c r="A2378" s="87"/>
      <c r="B2378" s="88"/>
      <c r="C2378" s="88"/>
      <c r="D2378" s="88"/>
      <c r="E2378" s="88"/>
      <c r="F2378" s="88"/>
      <c r="G2378" s="87"/>
    </row>
    <row r="2379">
      <c r="A2379" s="87"/>
      <c r="B2379" s="88"/>
      <c r="C2379" s="88"/>
      <c r="D2379" s="88"/>
      <c r="E2379" s="88"/>
      <c r="F2379" s="88"/>
      <c r="G2379" s="87"/>
    </row>
    <row r="2380">
      <c r="A2380" s="87"/>
      <c r="B2380" s="88"/>
      <c r="C2380" s="88"/>
      <c r="D2380" s="88"/>
      <c r="E2380" s="88"/>
      <c r="F2380" s="88"/>
      <c r="G2380" s="87"/>
    </row>
    <row r="2381">
      <c r="A2381" s="87"/>
      <c r="B2381" s="88"/>
      <c r="C2381" s="88"/>
      <c r="D2381" s="88"/>
      <c r="E2381" s="88"/>
      <c r="F2381" s="88"/>
      <c r="G2381" s="87"/>
    </row>
    <row r="2382">
      <c r="A2382" s="87"/>
      <c r="B2382" s="88"/>
      <c r="C2382" s="88"/>
      <c r="D2382" s="88"/>
      <c r="E2382" s="88"/>
      <c r="F2382" s="88"/>
      <c r="G2382" s="87"/>
    </row>
    <row r="2383">
      <c r="A2383" s="87"/>
      <c r="B2383" s="88"/>
      <c r="C2383" s="88"/>
      <c r="D2383" s="88"/>
      <c r="E2383" s="88"/>
      <c r="F2383" s="88"/>
      <c r="G2383" s="87"/>
    </row>
    <row r="2384">
      <c r="A2384" s="87"/>
      <c r="B2384" s="88"/>
      <c r="C2384" s="88"/>
      <c r="D2384" s="88"/>
      <c r="E2384" s="88"/>
      <c r="F2384" s="88"/>
      <c r="G2384" s="87"/>
    </row>
    <row r="2385">
      <c r="A2385" s="87"/>
      <c r="B2385" s="88"/>
      <c r="C2385" s="88"/>
      <c r="D2385" s="88"/>
      <c r="E2385" s="88"/>
      <c r="F2385" s="88"/>
      <c r="G2385" s="87"/>
    </row>
    <row r="2386">
      <c r="A2386" s="87"/>
      <c r="B2386" s="88"/>
      <c r="C2386" s="88"/>
      <c r="D2386" s="88"/>
      <c r="E2386" s="88"/>
      <c r="F2386" s="88"/>
      <c r="G2386" s="87"/>
    </row>
    <row r="2387">
      <c r="A2387" s="87"/>
      <c r="B2387" s="88"/>
      <c r="C2387" s="88"/>
      <c r="D2387" s="88"/>
      <c r="E2387" s="88"/>
      <c r="F2387" s="88"/>
      <c r="G2387" s="87"/>
    </row>
    <row r="2388">
      <c r="A2388" s="87"/>
      <c r="B2388" s="88"/>
      <c r="C2388" s="88"/>
      <c r="D2388" s="88"/>
      <c r="E2388" s="88"/>
      <c r="F2388" s="88"/>
      <c r="G2388" s="87"/>
    </row>
    <row r="2389">
      <c r="A2389" s="87"/>
      <c r="B2389" s="88"/>
      <c r="C2389" s="88"/>
      <c r="D2389" s="88"/>
      <c r="E2389" s="88"/>
      <c r="F2389" s="88"/>
      <c r="G2389" s="87"/>
    </row>
    <row r="2390">
      <c r="A2390" s="87"/>
      <c r="B2390" s="88"/>
      <c r="C2390" s="88"/>
      <c r="D2390" s="88"/>
      <c r="E2390" s="88"/>
      <c r="F2390" s="88"/>
      <c r="G2390" s="87"/>
    </row>
    <row r="2391">
      <c r="A2391" s="87"/>
      <c r="B2391" s="88"/>
      <c r="C2391" s="88"/>
      <c r="D2391" s="88"/>
      <c r="E2391" s="88"/>
      <c r="F2391" s="88"/>
      <c r="G2391" s="87"/>
    </row>
    <row r="2392">
      <c r="A2392" s="87"/>
      <c r="B2392" s="88"/>
      <c r="C2392" s="88"/>
      <c r="D2392" s="88"/>
      <c r="E2392" s="88"/>
      <c r="F2392" s="88"/>
      <c r="G2392" s="87"/>
    </row>
    <row r="2393">
      <c r="A2393" s="87"/>
      <c r="B2393" s="88"/>
      <c r="C2393" s="88"/>
      <c r="D2393" s="88"/>
      <c r="E2393" s="88"/>
      <c r="F2393" s="88"/>
      <c r="G2393" s="87"/>
    </row>
    <row r="2394">
      <c r="A2394" s="87"/>
      <c r="B2394" s="88"/>
      <c r="C2394" s="88"/>
      <c r="D2394" s="88"/>
      <c r="E2394" s="88"/>
      <c r="F2394" s="88"/>
      <c r="G2394" s="87"/>
    </row>
    <row r="2395">
      <c r="A2395" s="87"/>
      <c r="B2395" s="88"/>
      <c r="C2395" s="88"/>
      <c r="D2395" s="88"/>
      <c r="E2395" s="88"/>
      <c r="F2395" s="88"/>
      <c r="G2395" s="87"/>
    </row>
    <row r="2396">
      <c r="A2396" s="87"/>
      <c r="B2396" s="88"/>
      <c r="C2396" s="88"/>
      <c r="D2396" s="88"/>
      <c r="E2396" s="88"/>
      <c r="F2396" s="88"/>
      <c r="G2396" s="87"/>
    </row>
    <row r="2397">
      <c r="A2397" s="87"/>
      <c r="B2397" s="88"/>
      <c r="C2397" s="88"/>
      <c r="D2397" s="88"/>
      <c r="E2397" s="88"/>
      <c r="F2397" s="88"/>
      <c r="G2397" s="87"/>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13"/>
  </cols>
  <sheetData>
    <row r="1">
      <c r="A1" s="99" t="str">
        <f>IFERROR(__xludf.DUMMYFUNCTION("importrange('Data Master Location'!$B$1,""Sales Tax!A:z"")"),"Adams")</f>
        <v>Adams</v>
      </c>
      <c r="B1" s="100">
        <f>IFERROR(__xludf.DUMMYFUNCTION("""COMPUTED_VALUE"""),0.0725)</f>
        <v>0.0725</v>
      </c>
      <c r="C1" s="20" t="str">
        <f>IFERROR(__xludf.DUMMYFUNCTION("""COMPUTED_VALUE"""),"Current")</f>
        <v>Current</v>
      </c>
      <c r="D1" s="20"/>
      <c r="E1" s="20"/>
      <c r="F1" s="20"/>
      <c r="G1" s="20"/>
      <c r="H1" s="20"/>
      <c r="I1" s="20"/>
      <c r="J1" s="20"/>
      <c r="K1" s="20"/>
      <c r="L1" s="20"/>
      <c r="M1" s="20"/>
      <c r="N1" s="20"/>
      <c r="O1" s="20"/>
      <c r="P1" s="20"/>
      <c r="Q1" s="20"/>
      <c r="R1" s="20"/>
      <c r="S1" s="20"/>
      <c r="T1" s="20"/>
      <c r="U1" s="20"/>
      <c r="V1" s="20"/>
      <c r="W1" s="20"/>
      <c r="X1" s="20"/>
      <c r="Y1" s="20"/>
      <c r="Z1" s="20"/>
    </row>
    <row r="2">
      <c r="A2" s="20" t="str">
        <f>IFERROR(__xludf.DUMMYFUNCTION("""COMPUTED_VALUE"""),"Allen")</f>
        <v>Allen</v>
      </c>
      <c r="B2" s="100">
        <f>IFERROR(__xludf.DUMMYFUNCTION("""COMPUTED_VALUE"""),0.0685)</f>
        <v>0.0685</v>
      </c>
      <c r="C2" s="20"/>
      <c r="D2" s="20"/>
      <c r="E2" s="20"/>
      <c r="F2" s="20"/>
      <c r="G2" s="20"/>
      <c r="H2" s="20"/>
      <c r="I2" s="20"/>
      <c r="J2" s="20"/>
      <c r="K2" s="20"/>
      <c r="L2" s="20"/>
      <c r="M2" s="20"/>
      <c r="N2" s="20"/>
      <c r="O2" s="20"/>
      <c r="P2" s="20"/>
      <c r="Q2" s="20"/>
      <c r="R2" s="20"/>
      <c r="S2" s="20"/>
      <c r="T2" s="20"/>
      <c r="U2" s="20"/>
      <c r="V2" s="20"/>
      <c r="W2" s="20"/>
      <c r="X2" s="20"/>
      <c r="Y2" s="20"/>
      <c r="Z2" s="20"/>
    </row>
    <row r="3">
      <c r="A3" s="20" t="str">
        <f>IFERROR(__xludf.DUMMYFUNCTION("""COMPUTED_VALUE"""),"Ashland")</f>
        <v>Ashland</v>
      </c>
      <c r="B3" s="100">
        <f>IFERROR(__xludf.DUMMYFUNCTION("""COMPUTED_VALUE"""),0.07)</f>
        <v>0.07</v>
      </c>
      <c r="C3" s="20"/>
      <c r="D3" s="20"/>
      <c r="E3" s="20"/>
      <c r="F3" s="20"/>
      <c r="G3" s="20"/>
      <c r="H3" s="20"/>
      <c r="I3" s="20"/>
      <c r="J3" s="20"/>
      <c r="K3" s="20"/>
      <c r="L3" s="20"/>
      <c r="M3" s="20"/>
      <c r="N3" s="20"/>
      <c r="O3" s="20"/>
      <c r="P3" s="20"/>
      <c r="Q3" s="20"/>
      <c r="R3" s="20"/>
      <c r="S3" s="20"/>
      <c r="T3" s="20"/>
      <c r="U3" s="20"/>
      <c r="V3" s="20"/>
      <c r="W3" s="20"/>
      <c r="X3" s="20"/>
      <c r="Y3" s="20"/>
      <c r="Z3" s="20"/>
    </row>
    <row r="4">
      <c r="A4" s="20" t="str">
        <f>IFERROR(__xludf.DUMMYFUNCTION("""COMPUTED_VALUE"""),"Ashtabula")</f>
        <v>Ashtabula</v>
      </c>
      <c r="B4" s="100">
        <f>IFERROR(__xludf.DUMMYFUNCTION("""COMPUTED_VALUE"""),0.0675)</f>
        <v>0.0675</v>
      </c>
      <c r="C4" s="20"/>
      <c r="D4" s="20"/>
      <c r="E4" s="20"/>
      <c r="F4" s="20"/>
      <c r="G4" s="20"/>
      <c r="H4" s="20"/>
      <c r="I4" s="20"/>
      <c r="J4" s="20"/>
      <c r="K4" s="20"/>
      <c r="L4" s="20"/>
      <c r="M4" s="20"/>
      <c r="N4" s="20"/>
      <c r="O4" s="20"/>
      <c r="P4" s="20"/>
      <c r="Q4" s="20"/>
      <c r="R4" s="20"/>
      <c r="S4" s="20"/>
      <c r="T4" s="20"/>
      <c r="U4" s="20"/>
      <c r="V4" s="20"/>
      <c r="W4" s="20"/>
      <c r="X4" s="20"/>
      <c r="Y4" s="20"/>
      <c r="Z4" s="20"/>
    </row>
    <row r="5">
      <c r="A5" s="20" t="str">
        <f>IFERROR(__xludf.DUMMYFUNCTION("""COMPUTED_VALUE"""),"Athens")</f>
        <v>Athens</v>
      </c>
      <c r="B5" s="100">
        <f>IFERROR(__xludf.DUMMYFUNCTION("""COMPUTED_VALUE"""),0.0725)</f>
        <v>0.0725</v>
      </c>
      <c r="C5" s="20"/>
      <c r="D5" s="20"/>
      <c r="E5" s="20"/>
      <c r="F5" s="20"/>
      <c r="G5" s="20"/>
      <c r="H5" s="20"/>
      <c r="I5" s="20"/>
      <c r="J5" s="20"/>
      <c r="K5" s="20"/>
      <c r="L5" s="20"/>
      <c r="M5" s="20"/>
      <c r="N5" s="20"/>
      <c r="O5" s="20"/>
      <c r="P5" s="20"/>
      <c r="Q5" s="20"/>
      <c r="R5" s="20"/>
      <c r="S5" s="20"/>
      <c r="T5" s="20"/>
      <c r="U5" s="20"/>
      <c r="V5" s="20"/>
      <c r="W5" s="20"/>
      <c r="X5" s="20"/>
      <c r="Y5" s="20"/>
      <c r="Z5" s="20"/>
    </row>
    <row r="6">
      <c r="A6" s="20" t="str">
        <f>IFERROR(__xludf.DUMMYFUNCTION("""COMPUTED_VALUE"""),"Auglaize")</f>
        <v>Auglaize</v>
      </c>
      <c r="B6" s="100">
        <f>IFERROR(__xludf.DUMMYFUNCTION("""COMPUTED_VALUE"""),0.0725)</f>
        <v>0.0725</v>
      </c>
      <c r="C6" s="20"/>
      <c r="D6" s="20"/>
      <c r="E6" s="20"/>
      <c r="F6" s="20"/>
      <c r="G6" s="20"/>
      <c r="H6" s="20"/>
      <c r="I6" s="20"/>
      <c r="J6" s="20"/>
      <c r="K6" s="20"/>
      <c r="L6" s="20"/>
      <c r="M6" s="20"/>
      <c r="N6" s="20"/>
      <c r="O6" s="20"/>
      <c r="P6" s="20"/>
      <c r="Q6" s="20"/>
      <c r="R6" s="20"/>
      <c r="S6" s="20"/>
      <c r="T6" s="20"/>
      <c r="U6" s="20"/>
      <c r="V6" s="20"/>
      <c r="W6" s="20"/>
      <c r="X6" s="20"/>
      <c r="Y6" s="20"/>
      <c r="Z6" s="20"/>
    </row>
    <row r="7">
      <c r="A7" s="20" t="str">
        <f>IFERROR(__xludf.DUMMYFUNCTION("""COMPUTED_VALUE"""),"Belmont")</f>
        <v>Belmont</v>
      </c>
      <c r="B7" s="100">
        <f>IFERROR(__xludf.DUMMYFUNCTION("""COMPUTED_VALUE"""),0.0725)</f>
        <v>0.0725</v>
      </c>
      <c r="C7" s="20"/>
      <c r="D7" s="20"/>
      <c r="E7" s="20"/>
      <c r="F7" s="20"/>
      <c r="G7" s="20"/>
      <c r="H7" s="20"/>
      <c r="I7" s="20"/>
      <c r="J7" s="20"/>
      <c r="K7" s="20"/>
      <c r="L7" s="20"/>
      <c r="M7" s="20"/>
      <c r="N7" s="20"/>
      <c r="O7" s="20"/>
      <c r="P7" s="20"/>
      <c r="Q7" s="20"/>
      <c r="R7" s="20"/>
      <c r="S7" s="20"/>
      <c r="T7" s="20"/>
      <c r="U7" s="20"/>
      <c r="V7" s="20"/>
      <c r="W7" s="20"/>
      <c r="X7" s="20"/>
      <c r="Y7" s="20"/>
      <c r="Z7" s="20"/>
    </row>
    <row r="8">
      <c r="A8" s="20" t="str">
        <f>IFERROR(__xludf.DUMMYFUNCTION("""COMPUTED_VALUE"""),"Brown")</f>
        <v>Brown</v>
      </c>
      <c r="B8" s="100">
        <f>IFERROR(__xludf.DUMMYFUNCTION("""COMPUTED_VALUE"""),0.0725)</f>
        <v>0.0725</v>
      </c>
      <c r="C8" s="20"/>
      <c r="D8" s="20"/>
      <c r="E8" s="20"/>
      <c r="F8" s="20"/>
      <c r="G8" s="20"/>
      <c r="H8" s="20"/>
      <c r="I8" s="20"/>
      <c r="J8" s="20"/>
      <c r="K8" s="20"/>
      <c r="L8" s="20"/>
      <c r="M8" s="20"/>
      <c r="N8" s="20"/>
      <c r="O8" s="20"/>
      <c r="P8" s="20"/>
      <c r="Q8" s="20"/>
      <c r="R8" s="20"/>
      <c r="S8" s="20"/>
      <c r="T8" s="20"/>
      <c r="U8" s="20"/>
      <c r="V8" s="20"/>
      <c r="W8" s="20"/>
      <c r="X8" s="20"/>
      <c r="Y8" s="20"/>
      <c r="Z8" s="20"/>
    </row>
    <row r="9">
      <c r="A9" s="20" t="str">
        <f>IFERROR(__xludf.DUMMYFUNCTION("""COMPUTED_VALUE"""),"Butler")</f>
        <v>Butler</v>
      </c>
      <c r="B9" s="100">
        <f>IFERROR(__xludf.DUMMYFUNCTION("""COMPUTED_VALUE"""),0.065)</f>
        <v>0.065</v>
      </c>
      <c r="C9" s="20"/>
      <c r="D9" s="20"/>
      <c r="E9" s="20"/>
      <c r="F9" s="20"/>
      <c r="G9" s="20"/>
      <c r="H9" s="20"/>
      <c r="I9" s="20"/>
      <c r="J9" s="20"/>
      <c r="K9" s="20"/>
      <c r="L9" s="20"/>
      <c r="M9" s="20"/>
      <c r="N9" s="20"/>
      <c r="O9" s="20"/>
      <c r="P9" s="20"/>
      <c r="Q9" s="20"/>
      <c r="R9" s="20"/>
      <c r="S9" s="20"/>
      <c r="T9" s="20"/>
      <c r="U9" s="20"/>
      <c r="V9" s="20"/>
      <c r="W9" s="20"/>
      <c r="X9" s="20"/>
      <c r="Y9" s="20"/>
      <c r="Z9" s="20"/>
    </row>
    <row r="10">
      <c r="A10" s="20" t="str">
        <f>IFERROR(__xludf.DUMMYFUNCTION("""COMPUTED_VALUE"""),"Carroll")</f>
        <v>Carroll</v>
      </c>
      <c r="B10" s="100">
        <f>IFERROR(__xludf.DUMMYFUNCTION("""COMPUTED_VALUE"""),0.0675)</f>
        <v>0.0675</v>
      </c>
      <c r="C10" s="20"/>
      <c r="D10" s="20"/>
      <c r="E10" s="20"/>
      <c r="F10" s="20"/>
      <c r="G10" s="20"/>
      <c r="H10" s="20"/>
      <c r="I10" s="20"/>
      <c r="J10" s="20"/>
      <c r="K10" s="20"/>
      <c r="L10" s="20"/>
      <c r="M10" s="20"/>
      <c r="N10" s="20"/>
      <c r="O10" s="20"/>
      <c r="P10" s="20"/>
      <c r="Q10" s="20"/>
      <c r="R10" s="20"/>
      <c r="S10" s="20"/>
      <c r="T10" s="20"/>
      <c r="U10" s="20"/>
      <c r="V10" s="20"/>
      <c r="W10" s="20"/>
      <c r="X10" s="20"/>
      <c r="Y10" s="20"/>
      <c r="Z10" s="20"/>
    </row>
    <row r="11">
      <c r="A11" s="20" t="str">
        <f>IFERROR(__xludf.DUMMYFUNCTION("""COMPUTED_VALUE"""),"Champaign")</f>
        <v>Champaign</v>
      </c>
      <c r="B11" s="100">
        <f>IFERROR(__xludf.DUMMYFUNCTION("""COMPUTED_VALUE"""),0.0725)</f>
        <v>0.0725</v>
      </c>
      <c r="C11" s="20"/>
      <c r="D11" s="20"/>
      <c r="E11" s="20"/>
      <c r="F11" s="20"/>
      <c r="G11" s="20"/>
      <c r="H11" s="20"/>
      <c r="I11" s="20"/>
      <c r="J11" s="20"/>
      <c r="K11" s="20"/>
      <c r="L11" s="20"/>
      <c r="M11" s="20"/>
      <c r="N11" s="20"/>
      <c r="O11" s="20"/>
      <c r="P11" s="20"/>
      <c r="Q11" s="20"/>
      <c r="R11" s="20"/>
      <c r="S11" s="20"/>
      <c r="T11" s="20"/>
      <c r="U11" s="20"/>
      <c r="V11" s="20"/>
      <c r="W11" s="20"/>
      <c r="X11" s="20"/>
      <c r="Y11" s="20"/>
      <c r="Z11" s="20"/>
    </row>
    <row r="12">
      <c r="A12" s="20" t="str">
        <f>IFERROR(__xludf.DUMMYFUNCTION("""COMPUTED_VALUE"""),"Clark")</f>
        <v>Clark</v>
      </c>
      <c r="B12" s="100">
        <f>IFERROR(__xludf.DUMMYFUNCTION("""COMPUTED_VALUE"""),0.0725)</f>
        <v>0.0725</v>
      </c>
      <c r="C12" s="20"/>
      <c r="D12" s="20"/>
      <c r="E12" s="20"/>
      <c r="F12" s="20"/>
      <c r="G12" s="20"/>
      <c r="H12" s="20"/>
      <c r="I12" s="20"/>
      <c r="J12" s="20"/>
      <c r="K12" s="20"/>
      <c r="L12" s="20"/>
      <c r="M12" s="20"/>
      <c r="N12" s="20"/>
      <c r="O12" s="20"/>
      <c r="P12" s="20"/>
      <c r="Q12" s="20"/>
      <c r="R12" s="20"/>
      <c r="S12" s="20"/>
      <c r="T12" s="20"/>
      <c r="U12" s="20"/>
      <c r="V12" s="20"/>
      <c r="W12" s="20"/>
      <c r="X12" s="20"/>
      <c r="Y12" s="20"/>
      <c r="Z12" s="20"/>
    </row>
    <row r="13">
      <c r="A13" s="20" t="str">
        <f>IFERROR(__xludf.DUMMYFUNCTION("""COMPUTED_VALUE"""),"Clermont")</f>
        <v>Clermont</v>
      </c>
      <c r="B13" s="100">
        <f>IFERROR(__xludf.DUMMYFUNCTION("""COMPUTED_VALUE"""),0.0675)</f>
        <v>0.0675</v>
      </c>
      <c r="C13" s="20"/>
      <c r="D13" s="20"/>
      <c r="E13" s="20"/>
      <c r="F13" s="20"/>
      <c r="G13" s="20"/>
      <c r="H13" s="20"/>
      <c r="I13" s="20"/>
      <c r="J13" s="20"/>
      <c r="K13" s="20"/>
      <c r="L13" s="20"/>
      <c r="M13" s="20"/>
      <c r="N13" s="20"/>
      <c r="O13" s="20"/>
      <c r="P13" s="20"/>
      <c r="Q13" s="20"/>
      <c r="R13" s="20"/>
      <c r="S13" s="20"/>
      <c r="T13" s="20"/>
      <c r="U13" s="20"/>
      <c r="V13" s="20"/>
      <c r="W13" s="20"/>
      <c r="X13" s="20"/>
      <c r="Y13" s="20"/>
      <c r="Z13" s="20"/>
    </row>
    <row r="14">
      <c r="A14" s="20" t="str">
        <f>IFERROR(__xludf.DUMMYFUNCTION("""COMPUTED_VALUE"""),"Clinton")</f>
        <v>Clinton</v>
      </c>
      <c r="B14" s="100">
        <f>IFERROR(__xludf.DUMMYFUNCTION("""COMPUTED_VALUE"""),0.0725)</f>
        <v>0.0725</v>
      </c>
      <c r="C14" s="20"/>
      <c r="D14" s="20"/>
      <c r="E14" s="20"/>
      <c r="F14" s="20"/>
      <c r="G14" s="20"/>
      <c r="H14" s="20"/>
      <c r="I14" s="20"/>
      <c r="J14" s="20"/>
      <c r="K14" s="20"/>
      <c r="L14" s="20"/>
      <c r="M14" s="20"/>
      <c r="N14" s="20"/>
      <c r="O14" s="20"/>
      <c r="P14" s="20"/>
      <c r="Q14" s="20"/>
      <c r="R14" s="20"/>
      <c r="S14" s="20"/>
      <c r="T14" s="20"/>
      <c r="U14" s="20"/>
      <c r="V14" s="20"/>
      <c r="W14" s="20"/>
      <c r="X14" s="20"/>
      <c r="Y14" s="20"/>
      <c r="Z14" s="20"/>
    </row>
    <row r="15">
      <c r="A15" s="20" t="str">
        <f>IFERROR(__xludf.DUMMYFUNCTION("""COMPUTED_VALUE"""),"Columbiana")</f>
        <v>Columbiana</v>
      </c>
      <c r="B15" s="100">
        <f>IFERROR(__xludf.DUMMYFUNCTION("""COMPUTED_VALUE"""),0.0725)</f>
        <v>0.0725</v>
      </c>
      <c r="C15" s="20"/>
      <c r="D15" s="20"/>
      <c r="E15" s="20"/>
      <c r="F15" s="20"/>
      <c r="G15" s="20"/>
      <c r="H15" s="20"/>
      <c r="I15" s="20"/>
      <c r="J15" s="20"/>
      <c r="K15" s="20"/>
      <c r="L15" s="20"/>
      <c r="M15" s="20"/>
      <c r="N15" s="20"/>
      <c r="O15" s="20"/>
      <c r="P15" s="20"/>
      <c r="Q15" s="20"/>
      <c r="R15" s="20"/>
      <c r="S15" s="20"/>
      <c r="T15" s="20"/>
      <c r="U15" s="20"/>
      <c r="V15" s="20"/>
      <c r="W15" s="20"/>
      <c r="X15" s="20"/>
      <c r="Y15" s="20"/>
      <c r="Z15" s="20"/>
    </row>
    <row r="16">
      <c r="A16" s="20" t="str">
        <f>IFERROR(__xludf.DUMMYFUNCTION("""COMPUTED_VALUE"""),"Coshocton")</f>
        <v>Coshocton</v>
      </c>
      <c r="B16" s="100">
        <f>IFERROR(__xludf.DUMMYFUNCTION("""COMPUTED_VALUE"""),0.0775)</f>
        <v>0.0775</v>
      </c>
      <c r="C16" s="20"/>
      <c r="D16" s="20"/>
      <c r="E16" s="20"/>
      <c r="F16" s="20"/>
      <c r="G16" s="20"/>
      <c r="H16" s="20"/>
      <c r="I16" s="20"/>
      <c r="J16" s="20"/>
      <c r="K16" s="20"/>
      <c r="L16" s="20"/>
      <c r="M16" s="20"/>
      <c r="N16" s="20"/>
      <c r="O16" s="20"/>
      <c r="P16" s="20"/>
      <c r="Q16" s="20"/>
      <c r="R16" s="20"/>
      <c r="S16" s="20"/>
      <c r="T16" s="20"/>
      <c r="U16" s="20"/>
      <c r="V16" s="20"/>
      <c r="W16" s="20"/>
      <c r="X16" s="20"/>
      <c r="Y16" s="20"/>
      <c r="Z16" s="20"/>
    </row>
    <row r="17">
      <c r="A17" s="20" t="str">
        <f>IFERROR(__xludf.DUMMYFUNCTION("""COMPUTED_VALUE"""),"Crawford")</f>
        <v>Crawford</v>
      </c>
      <c r="B17" s="100">
        <f>IFERROR(__xludf.DUMMYFUNCTION("""COMPUTED_VALUE"""),0.0725)</f>
        <v>0.0725</v>
      </c>
      <c r="C17" s="20"/>
      <c r="D17" s="20"/>
      <c r="E17" s="20"/>
      <c r="F17" s="20"/>
      <c r="G17" s="20"/>
      <c r="H17" s="20"/>
      <c r="I17" s="20"/>
      <c r="J17" s="20"/>
      <c r="K17" s="20"/>
      <c r="L17" s="20"/>
      <c r="M17" s="20"/>
      <c r="N17" s="20"/>
      <c r="O17" s="20"/>
      <c r="P17" s="20"/>
      <c r="Q17" s="20"/>
      <c r="R17" s="20"/>
      <c r="S17" s="20"/>
      <c r="T17" s="20"/>
      <c r="U17" s="20"/>
      <c r="V17" s="20"/>
      <c r="W17" s="20"/>
      <c r="X17" s="20"/>
      <c r="Y17" s="20"/>
      <c r="Z17" s="20"/>
    </row>
    <row r="18">
      <c r="A18" s="20" t="str">
        <f>IFERROR(__xludf.DUMMYFUNCTION("""COMPUTED_VALUE"""),"Cuyahoga")</f>
        <v>Cuyahoga</v>
      </c>
      <c r="B18" s="100">
        <f>IFERROR(__xludf.DUMMYFUNCTION("""COMPUTED_VALUE"""),0.08)</f>
        <v>0.08</v>
      </c>
      <c r="C18" s="20"/>
      <c r="D18" s="20"/>
      <c r="E18" s="20"/>
      <c r="F18" s="20"/>
      <c r="G18" s="20"/>
      <c r="H18" s="20"/>
      <c r="I18" s="20"/>
      <c r="J18" s="20"/>
      <c r="K18" s="20"/>
      <c r="L18" s="20"/>
      <c r="M18" s="20"/>
      <c r="N18" s="20"/>
      <c r="O18" s="20"/>
      <c r="P18" s="20"/>
      <c r="Q18" s="20"/>
      <c r="R18" s="20"/>
      <c r="S18" s="20"/>
      <c r="T18" s="20"/>
      <c r="U18" s="20"/>
      <c r="V18" s="20"/>
      <c r="W18" s="20"/>
      <c r="X18" s="20"/>
      <c r="Y18" s="20"/>
      <c r="Z18" s="20"/>
    </row>
    <row r="19">
      <c r="A19" s="20" t="str">
        <f>IFERROR(__xludf.DUMMYFUNCTION("""COMPUTED_VALUE"""),"Darke")</f>
        <v>Darke</v>
      </c>
      <c r="B19" s="100">
        <f>IFERROR(__xludf.DUMMYFUNCTION("""COMPUTED_VALUE"""),0.0725)</f>
        <v>0.0725</v>
      </c>
      <c r="C19" s="20"/>
      <c r="D19" s="20"/>
      <c r="E19" s="20"/>
      <c r="F19" s="20"/>
      <c r="G19" s="20"/>
      <c r="H19" s="20"/>
      <c r="I19" s="20"/>
      <c r="J19" s="20"/>
      <c r="K19" s="20"/>
      <c r="L19" s="20"/>
      <c r="M19" s="20"/>
      <c r="N19" s="20"/>
      <c r="O19" s="20"/>
      <c r="P19" s="20"/>
      <c r="Q19" s="20"/>
      <c r="R19" s="20"/>
      <c r="S19" s="20"/>
      <c r="T19" s="20"/>
      <c r="U19" s="20"/>
      <c r="V19" s="20"/>
      <c r="W19" s="20"/>
      <c r="X19" s="20"/>
      <c r="Y19" s="20"/>
      <c r="Z19" s="20"/>
    </row>
    <row r="20">
      <c r="A20" s="20" t="str">
        <f>IFERROR(__xludf.DUMMYFUNCTION("""COMPUTED_VALUE"""),"Defiance")</f>
        <v>Defiance</v>
      </c>
      <c r="B20" s="100">
        <f>IFERROR(__xludf.DUMMYFUNCTION("""COMPUTED_VALUE"""),0.0675)</f>
        <v>0.0675</v>
      </c>
      <c r="C20" s="20"/>
      <c r="D20" s="20"/>
      <c r="E20" s="20"/>
      <c r="F20" s="20"/>
      <c r="G20" s="20"/>
      <c r="H20" s="20"/>
      <c r="I20" s="20"/>
      <c r="J20" s="20"/>
      <c r="K20" s="20"/>
      <c r="L20" s="20"/>
      <c r="M20" s="20"/>
      <c r="N20" s="20"/>
      <c r="O20" s="20"/>
      <c r="P20" s="20"/>
      <c r="Q20" s="20"/>
      <c r="R20" s="20"/>
      <c r="S20" s="20"/>
      <c r="T20" s="20"/>
      <c r="U20" s="20"/>
      <c r="V20" s="20"/>
      <c r="W20" s="20"/>
      <c r="X20" s="20"/>
      <c r="Y20" s="20"/>
      <c r="Z20" s="20"/>
    </row>
    <row r="21">
      <c r="A21" s="20" t="str">
        <f>IFERROR(__xludf.DUMMYFUNCTION("""COMPUTED_VALUE"""),"Delaware")</f>
        <v>Delaware</v>
      </c>
      <c r="B21" s="100">
        <f>IFERROR(__xludf.DUMMYFUNCTION("""COMPUTED_VALUE"""),0.07)</f>
        <v>0.07</v>
      </c>
      <c r="C21" s="20"/>
      <c r="D21" s="20"/>
      <c r="E21" s="20"/>
      <c r="F21" s="20"/>
      <c r="G21" s="20"/>
      <c r="H21" s="20"/>
      <c r="I21" s="20"/>
      <c r="J21" s="20"/>
      <c r="K21" s="20"/>
      <c r="L21" s="20"/>
      <c r="M21" s="20"/>
      <c r="N21" s="20"/>
      <c r="O21" s="20"/>
      <c r="P21" s="20"/>
      <c r="Q21" s="20"/>
      <c r="R21" s="20"/>
      <c r="S21" s="20"/>
      <c r="T21" s="20"/>
      <c r="U21" s="20"/>
      <c r="V21" s="20"/>
      <c r="W21" s="20"/>
      <c r="X21" s="20"/>
      <c r="Y21" s="20"/>
      <c r="Z21" s="20"/>
    </row>
    <row r="22">
      <c r="A22" s="20" t="str">
        <f>IFERROR(__xludf.DUMMYFUNCTION("""COMPUTED_VALUE"""),"Delaware (COTA)")</f>
        <v>Delaware (COTA)</v>
      </c>
      <c r="B22" s="100">
        <f>IFERROR(__xludf.DUMMYFUNCTION("""COMPUTED_VALUE"""),0.075)</f>
        <v>0.075</v>
      </c>
      <c r="C22" s="20"/>
      <c r="D22" s="20"/>
      <c r="E22" s="20"/>
      <c r="F22" s="20"/>
      <c r="G22" s="20"/>
      <c r="H22" s="20"/>
      <c r="I22" s="20"/>
      <c r="J22" s="20"/>
      <c r="K22" s="20"/>
      <c r="L22" s="20"/>
      <c r="M22" s="20"/>
      <c r="N22" s="20"/>
      <c r="O22" s="20"/>
      <c r="P22" s="20"/>
      <c r="Q22" s="20"/>
      <c r="R22" s="20"/>
      <c r="S22" s="20"/>
      <c r="T22" s="20"/>
      <c r="U22" s="20"/>
      <c r="V22" s="20"/>
      <c r="W22" s="20"/>
      <c r="X22" s="20"/>
      <c r="Y22" s="20"/>
      <c r="Z22" s="20"/>
    </row>
    <row r="23">
      <c r="A23" s="20" t="str">
        <f>IFERROR(__xludf.DUMMYFUNCTION("""COMPUTED_VALUE"""),"Erie")</f>
        <v>Erie</v>
      </c>
      <c r="B23" s="100">
        <f>IFERROR(__xludf.DUMMYFUNCTION("""COMPUTED_VALUE"""),0.0675)</f>
        <v>0.0675</v>
      </c>
      <c r="C23" s="20"/>
      <c r="D23" s="20"/>
      <c r="E23" s="20"/>
      <c r="F23" s="20"/>
      <c r="G23" s="20"/>
      <c r="H23" s="20"/>
      <c r="I23" s="20"/>
      <c r="J23" s="20"/>
      <c r="K23" s="20"/>
      <c r="L23" s="20"/>
      <c r="M23" s="20"/>
      <c r="N23" s="20"/>
      <c r="O23" s="20"/>
      <c r="P23" s="20"/>
      <c r="Q23" s="20"/>
      <c r="R23" s="20"/>
      <c r="S23" s="20"/>
      <c r="T23" s="20"/>
      <c r="U23" s="20"/>
      <c r="V23" s="20"/>
      <c r="W23" s="20"/>
      <c r="X23" s="20"/>
      <c r="Y23" s="20"/>
      <c r="Z23" s="20"/>
    </row>
    <row r="24">
      <c r="A24" s="20" t="str">
        <f>IFERROR(__xludf.DUMMYFUNCTION("""COMPUTED_VALUE"""),"Fairfield")</f>
        <v>Fairfield</v>
      </c>
      <c r="B24" s="100">
        <f>IFERROR(__xludf.DUMMYFUNCTION("""COMPUTED_VALUE"""),0.0675)</f>
        <v>0.0675</v>
      </c>
      <c r="C24" s="20"/>
      <c r="D24" s="20"/>
      <c r="E24" s="20"/>
      <c r="F24" s="20"/>
      <c r="G24" s="20"/>
      <c r="H24" s="20"/>
      <c r="I24" s="20"/>
      <c r="J24" s="20"/>
      <c r="K24" s="20"/>
      <c r="L24" s="20"/>
      <c r="M24" s="20"/>
      <c r="N24" s="20"/>
      <c r="O24" s="20"/>
      <c r="P24" s="20"/>
      <c r="Q24" s="20"/>
      <c r="R24" s="20"/>
      <c r="S24" s="20"/>
      <c r="T24" s="20"/>
      <c r="U24" s="20"/>
      <c r="V24" s="20"/>
      <c r="W24" s="20"/>
      <c r="X24" s="20"/>
      <c r="Y24" s="20"/>
      <c r="Z24" s="20"/>
    </row>
    <row r="25">
      <c r="A25" s="20" t="str">
        <f>IFERROR(__xludf.DUMMYFUNCTION("""COMPUTED_VALUE"""),"Fairfield (COTA)")</f>
        <v>Fairfield (COTA)</v>
      </c>
      <c r="B25" s="100">
        <f>IFERROR(__xludf.DUMMYFUNCTION("""COMPUTED_VALUE"""),0.0725)</f>
        <v>0.0725</v>
      </c>
      <c r="C25" s="20"/>
      <c r="D25" s="20"/>
      <c r="E25" s="20"/>
      <c r="F25" s="20"/>
      <c r="G25" s="20"/>
      <c r="H25" s="20"/>
      <c r="I25" s="20"/>
      <c r="J25" s="20"/>
      <c r="K25" s="20"/>
      <c r="L25" s="20"/>
      <c r="M25" s="20"/>
      <c r="N25" s="20"/>
      <c r="O25" s="20"/>
      <c r="P25" s="20"/>
      <c r="Q25" s="20"/>
      <c r="R25" s="20"/>
      <c r="S25" s="20"/>
      <c r="T25" s="20"/>
      <c r="U25" s="20"/>
      <c r="V25" s="20"/>
      <c r="W25" s="20"/>
      <c r="X25" s="20"/>
      <c r="Y25" s="20"/>
      <c r="Z25" s="20"/>
    </row>
    <row r="26">
      <c r="A26" s="20" t="str">
        <f>IFERROR(__xludf.DUMMYFUNCTION("""COMPUTED_VALUE"""),"Fayette")</f>
        <v>Fayette</v>
      </c>
      <c r="B26" s="100">
        <f>IFERROR(__xludf.DUMMYFUNCTION("""COMPUTED_VALUE"""),0.0725)</f>
        <v>0.0725</v>
      </c>
      <c r="C26" s="20"/>
      <c r="D26" s="20"/>
      <c r="E26" s="20"/>
      <c r="F26" s="20"/>
      <c r="G26" s="20"/>
      <c r="H26" s="20"/>
      <c r="I26" s="20"/>
      <c r="J26" s="20"/>
      <c r="K26" s="20"/>
      <c r="L26" s="20"/>
      <c r="M26" s="20"/>
      <c r="N26" s="20"/>
      <c r="O26" s="20"/>
      <c r="P26" s="20"/>
      <c r="Q26" s="20"/>
      <c r="R26" s="20"/>
      <c r="S26" s="20"/>
      <c r="T26" s="20"/>
      <c r="U26" s="20"/>
      <c r="V26" s="20"/>
      <c r="W26" s="20"/>
      <c r="X26" s="20"/>
      <c r="Y26" s="20"/>
      <c r="Z26" s="20"/>
    </row>
    <row r="27">
      <c r="A27" s="20" t="str">
        <f>IFERROR(__xludf.DUMMYFUNCTION("""COMPUTED_VALUE"""),"Franklin")</f>
        <v>Franklin</v>
      </c>
      <c r="B27" s="100">
        <f>IFERROR(__xludf.DUMMYFUNCTION("""COMPUTED_VALUE"""),0.08)</f>
        <v>0.08</v>
      </c>
      <c r="C27" s="20"/>
      <c r="D27" s="20"/>
      <c r="E27" s="20"/>
      <c r="F27" s="20"/>
      <c r="G27" s="20"/>
      <c r="H27" s="20"/>
      <c r="I27" s="20"/>
      <c r="J27" s="20"/>
      <c r="K27" s="20"/>
      <c r="L27" s="20"/>
      <c r="M27" s="20"/>
      <c r="N27" s="20"/>
      <c r="O27" s="20"/>
      <c r="P27" s="20"/>
      <c r="Q27" s="20"/>
      <c r="R27" s="20"/>
      <c r="S27" s="20"/>
      <c r="T27" s="20"/>
      <c r="U27" s="20"/>
      <c r="V27" s="20"/>
      <c r="W27" s="20"/>
      <c r="X27" s="20"/>
      <c r="Y27" s="20"/>
      <c r="Z27" s="20"/>
    </row>
    <row r="28">
      <c r="A28" s="20" t="str">
        <f>IFERROR(__xludf.DUMMYFUNCTION("""COMPUTED_VALUE"""),"Fulton")</f>
        <v>Fulton</v>
      </c>
      <c r="B28" s="100">
        <f>IFERROR(__xludf.DUMMYFUNCTION("""COMPUTED_VALUE"""),0.0725)</f>
        <v>0.0725</v>
      </c>
      <c r="C28" s="20"/>
      <c r="D28" s="20"/>
      <c r="E28" s="20"/>
      <c r="F28" s="20"/>
      <c r="G28" s="20"/>
      <c r="H28" s="20"/>
      <c r="I28" s="20"/>
      <c r="J28" s="20"/>
      <c r="K28" s="20"/>
      <c r="L28" s="20"/>
      <c r="M28" s="20"/>
      <c r="N28" s="20"/>
      <c r="O28" s="20"/>
      <c r="P28" s="20"/>
      <c r="Q28" s="20"/>
      <c r="R28" s="20"/>
      <c r="S28" s="20"/>
      <c r="T28" s="20"/>
      <c r="U28" s="20"/>
      <c r="V28" s="20"/>
      <c r="W28" s="20"/>
      <c r="X28" s="20"/>
      <c r="Y28" s="20"/>
      <c r="Z28" s="20"/>
    </row>
    <row r="29">
      <c r="A29" s="20" t="str">
        <f>IFERROR(__xludf.DUMMYFUNCTION("""COMPUTED_VALUE"""),"Gallia")</f>
        <v>Gallia</v>
      </c>
      <c r="B29" s="100">
        <f>IFERROR(__xludf.DUMMYFUNCTION("""COMPUTED_VALUE"""),0.0725)</f>
        <v>0.0725</v>
      </c>
      <c r="C29" s="20"/>
      <c r="D29" s="20"/>
      <c r="E29" s="20"/>
      <c r="F29" s="20"/>
      <c r="G29" s="20"/>
      <c r="H29" s="20"/>
      <c r="I29" s="20"/>
      <c r="J29" s="20"/>
      <c r="K29" s="20"/>
      <c r="L29" s="20"/>
      <c r="M29" s="20"/>
      <c r="N29" s="20"/>
      <c r="O29" s="20"/>
      <c r="P29" s="20"/>
      <c r="Q29" s="20"/>
      <c r="R29" s="20"/>
      <c r="S29" s="20"/>
      <c r="T29" s="20"/>
      <c r="U29" s="20"/>
      <c r="V29" s="20"/>
      <c r="W29" s="20"/>
      <c r="X29" s="20"/>
      <c r="Y29" s="20"/>
      <c r="Z29" s="20"/>
    </row>
    <row r="30">
      <c r="A30" s="20" t="str">
        <f>IFERROR(__xludf.DUMMYFUNCTION("""COMPUTED_VALUE"""),"Geauga")</f>
        <v>Geauga</v>
      </c>
      <c r="B30" s="100">
        <f>IFERROR(__xludf.DUMMYFUNCTION("""COMPUTED_VALUE"""),0.0675)</f>
        <v>0.0675</v>
      </c>
      <c r="C30" s="20"/>
      <c r="D30" s="20"/>
      <c r="E30" s="20"/>
      <c r="F30" s="20"/>
      <c r="G30" s="20"/>
      <c r="H30" s="20"/>
      <c r="I30" s="20"/>
      <c r="J30" s="20"/>
      <c r="K30" s="20"/>
      <c r="L30" s="20"/>
      <c r="M30" s="20"/>
      <c r="N30" s="20"/>
      <c r="O30" s="20"/>
      <c r="P30" s="20"/>
      <c r="Q30" s="20"/>
      <c r="R30" s="20"/>
      <c r="S30" s="20"/>
      <c r="T30" s="20"/>
      <c r="U30" s="20"/>
      <c r="V30" s="20"/>
      <c r="W30" s="20"/>
      <c r="X30" s="20"/>
      <c r="Y30" s="20"/>
      <c r="Z30" s="20"/>
    </row>
    <row r="31">
      <c r="A31" s="20" t="str">
        <f>IFERROR(__xludf.DUMMYFUNCTION("""COMPUTED_VALUE"""),"Greene")</f>
        <v>Greene</v>
      </c>
      <c r="B31" s="100">
        <f>IFERROR(__xludf.DUMMYFUNCTION("""COMPUTED_VALUE"""),0.0675)</f>
        <v>0.0675</v>
      </c>
      <c r="C31" s="20"/>
      <c r="D31" s="20"/>
      <c r="E31" s="20"/>
      <c r="F31" s="20"/>
      <c r="G31" s="20"/>
      <c r="H31" s="20"/>
      <c r="I31" s="20"/>
      <c r="J31" s="20"/>
      <c r="K31" s="20"/>
      <c r="L31" s="20"/>
      <c r="M31" s="20"/>
      <c r="N31" s="20"/>
      <c r="O31" s="20"/>
      <c r="P31" s="20"/>
      <c r="Q31" s="20"/>
      <c r="R31" s="20"/>
      <c r="S31" s="20"/>
      <c r="T31" s="20"/>
      <c r="U31" s="20"/>
      <c r="V31" s="20"/>
      <c r="W31" s="20"/>
      <c r="X31" s="20"/>
      <c r="Y31" s="20"/>
      <c r="Z31" s="20"/>
    </row>
    <row r="32">
      <c r="A32" s="20" t="str">
        <f>IFERROR(__xludf.DUMMYFUNCTION("""COMPUTED_VALUE"""),"Guernsey")</f>
        <v>Guernsey</v>
      </c>
      <c r="B32" s="100">
        <f>IFERROR(__xludf.DUMMYFUNCTION("""COMPUTED_VALUE"""),0.0725)</f>
        <v>0.0725</v>
      </c>
      <c r="C32" s="20"/>
      <c r="D32" s="20"/>
      <c r="E32" s="20"/>
      <c r="F32" s="20"/>
      <c r="G32" s="20"/>
      <c r="H32" s="20"/>
      <c r="I32" s="20"/>
      <c r="J32" s="20"/>
      <c r="K32" s="20"/>
      <c r="L32" s="20"/>
      <c r="M32" s="20"/>
      <c r="N32" s="20"/>
      <c r="O32" s="20"/>
      <c r="P32" s="20"/>
      <c r="Q32" s="20"/>
      <c r="R32" s="20"/>
      <c r="S32" s="20"/>
      <c r="T32" s="20"/>
      <c r="U32" s="20"/>
      <c r="V32" s="20"/>
      <c r="W32" s="20"/>
      <c r="X32" s="20"/>
      <c r="Y32" s="20"/>
      <c r="Z32" s="20"/>
    </row>
    <row r="33">
      <c r="A33" s="20" t="str">
        <f>IFERROR(__xludf.DUMMYFUNCTION("""COMPUTED_VALUE"""),"Hamilton")</f>
        <v>Hamilton</v>
      </c>
      <c r="B33" s="100">
        <f>IFERROR(__xludf.DUMMYFUNCTION("""COMPUTED_VALUE"""),0.078)</f>
        <v>0.078</v>
      </c>
      <c r="C33" s="20"/>
      <c r="D33" s="20"/>
      <c r="E33" s="20"/>
      <c r="F33" s="20"/>
      <c r="G33" s="20"/>
      <c r="H33" s="20"/>
      <c r="I33" s="20"/>
      <c r="J33" s="20"/>
      <c r="K33" s="20"/>
      <c r="L33" s="20"/>
      <c r="M33" s="20"/>
      <c r="N33" s="20"/>
      <c r="O33" s="20"/>
      <c r="P33" s="20"/>
      <c r="Q33" s="20"/>
      <c r="R33" s="20"/>
      <c r="S33" s="20"/>
      <c r="T33" s="20"/>
      <c r="U33" s="20"/>
      <c r="V33" s="20"/>
      <c r="W33" s="20"/>
      <c r="X33" s="20"/>
      <c r="Y33" s="20"/>
      <c r="Z33" s="20"/>
    </row>
    <row r="34">
      <c r="A34" s="20" t="str">
        <f>IFERROR(__xludf.DUMMYFUNCTION("""COMPUTED_VALUE"""),"Hancock")</f>
        <v>Hancock</v>
      </c>
      <c r="B34" s="100">
        <f>IFERROR(__xludf.DUMMYFUNCTION("""COMPUTED_VALUE"""),0.0675)</f>
        <v>0.0675</v>
      </c>
      <c r="C34" s="20"/>
      <c r="D34" s="20"/>
      <c r="E34" s="20"/>
      <c r="F34" s="20"/>
      <c r="G34" s="20"/>
      <c r="H34" s="20"/>
      <c r="I34" s="20"/>
      <c r="J34" s="20"/>
      <c r="K34" s="20"/>
      <c r="L34" s="20"/>
      <c r="M34" s="20"/>
      <c r="N34" s="20"/>
      <c r="O34" s="20"/>
      <c r="P34" s="20"/>
      <c r="Q34" s="20"/>
      <c r="R34" s="20"/>
      <c r="S34" s="20"/>
      <c r="T34" s="20"/>
      <c r="U34" s="20"/>
      <c r="V34" s="20"/>
      <c r="W34" s="20"/>
      <c r="X34" s="20"/>
      <c r="Y34" s="20"/>
      <c r="Z34" s="20"/>
    </row>
    <row r="35">
      <c r="A35" s="20" t="str">
        <f>IFERROR(__xludf.DUMMYFUNCTION("""COMPUTED_VALUE"""),"Hardin")</f>
        <v>Hardin</v>
      </c>
      <c r="B35" s="100">
        <f>IFERROR(__xludf.DUMMYFUNCTION("""COMPUTED_VALUE"""),0.0725)</f>
        <v>0.0725</v>
      </c>
      <c r="C35" s="20"/>
      <c r="D35" s="20"/>
      <c r="E35" s="20"/>
      <c r="F35" s="20"/>
      <c r="G35" s="20"/>
      <c r="H35" s="20"/>
      <c r="I35" s="20"/>
      <c r="J35" s="20"/>
      <c r="K35" s="20"/>
      <c r="L35" s="20"/>
      <c r="M35" s="20"/>
      <c r="N35" s="20"/>
      <c r="O35" s="20"/>
      <c r="P35" s="20"/>
      <c r="Q35" s="20"/>
      <c r="R35" s="20"/>
      <c r="S35" s="20"/>
      <c r="T35" s="20"/>
      <c r="U35" s="20"/>
      <c r="V35" s="20"/>
      <c r="W35" s="20"/>
      <c r="X35" s="20"/>
      <c r="Y35" s="20"/>
      <c r="Z35" s="20"/>
    </row>
    <row r="36">
      <c r="A36" s="20" t="str">
        <f>IFERROR(__xludf.DUMMYFUNCTION("""COMPUTED_VALUE"""),"Harrison")</f>
        <v>Harrison</v>
      </c>
      <c r="B36" s="100">
        <f>IFERROR(__xludf.DUMMYFUNCTION("""COMPUTED_VALUE"""),0.0725)</f>
        <v>0.0725</v>
      </c>
      <c r="C36" s="20"/>
      <c r="D36" s="20"/>
      <c r="E36" s="20"/>
      <c r="F36" s="20"/>
      <c r="G36" s="20"/>
      <c r="H36" s="20"/>
      <c r="I36" s="20"/>
      <c r="J36" s="20"/>
      <c r="K36" s="20"/>
      <c r="L36" s="20"/>
      <c r="M36" s="20"/>
      <c r="N36" s="20"/>
      <c r="O36" s="20"/>
      <c r="P36" s="20"/>
      <c r="Q36" s="20"/>
      <c r="R36" s="20"/>
      <c r="S36" s="20"/>
      <c r="T36" s="20"/>
      <c r="U36" s="20"/>
      <c r="V36" s="20"/>
      <c r="W36" s="20"/>
      <c r="X36" s="20"/>
      <c r="Y36" s="20"/>
      <c r="Z36" s="20"/>
    </row>
    <row r="37">
      <c r="A37" s="20" t="str">
        <f>IFERROR(__xludf.DUMMYFUNCTION("""COMPUTED_VALUE"""),"Henry")</f>
        <v>Henry</v>
      </c>
      <c r="B37" s="100">
        <f>IFERROR(__xludf.DUMMYFUNCTION("""COMPUTED_VALUE"""),0.0725)</f>
        <v>0.0725</v>
      </c>
      <c r="C37" s="20"/>
      <c r="D37" s="20"/>
      <c r="E37" s="20"/>
      <c r="F37" s="20"/>
      <c r="G37" s="20"/>
      <c r="H37" s="20"/>
      <c r="I37" s="20"/>
      <c r="J37" s="20"/>
      <c r="K37" s="20"/>
      <c r="L37" s="20"/>
      <c r="M37" s="20"/>
      <c r="N37" s="20"/>
      <c r="O37" s="20"/>
      <c r="P37" s="20"/>
      <c r="Q37" s="20"/>
      <c r="R37" s="20"/>
      <c r="S37" s="20"/>
      <c r="T37" s="20"/>
      <c r="U37" s="20"/>
      <c r="V37" s="20"/>
      <c r="W37" s="20"/>
      <c r="X37" s="20"/>
      <c r="Y37" s="20"/>
      <c r="Z37" s="20"/>
    </row>
    <row r="38">
      <c r="A38" s="20" t="str">
        <f>IFERROR(__xludf.DUMMYFUNCTION("""COMPUTED_VALUE"""),"Highland")</f>
        <v>Highland</v>
      </c>
      <c r="B38" s="100">
        <f>IFERROR(__xludf.DUMMYFUNCTION("""COMPUTED_VALUE"""),0.0725)</f>
        <v>0.0725</v>
      </c>
      <c r="C38" s="20"/>
      <c r="D38" s="20"/>
      <c r="E38" s="20"/>
      <c r="F38" s="20"/>
      <c r="G38" s="20"/>
      <c r="H38" s="20"/>
      <c r="I38" s="20"/>
      <c r="J38" s="20"/>
      <c r="K38" s="20"/>
      <c r="L38" s="20"/>
      <c r="M38" s="20"/>
      <c r="N38" s="20"/>
      <c r="O38" s="20"/>
      <c r="P38" s="20"/>
      <c r="Q38" s="20"/>
      <c r="R38" s="20"/>
      <c r="S38" s="20"/>
      <c r="T38" s="20"/>
      <c r="U38" s="20"/>
      <c r="V38" s="20"/>
      <c r="W38" s="20"/>
      <c r="X38" s="20"/>
      <c r="Y38" s="20"/>
      <c r="Z38" s="20"/>
    </row>
    <row r="39">
      <c r="A39" s="20" t="str">
        <f>IFERROR(__xludf.DUMMYFUNCTION("""COMPUTED_VALUE"""),"Hocking")</f>
        <v>Hocking</v>
      </c>
      <c r="B39" s="100">
        <f>IFERROR(__xludf.DUMMYFUNCTION("""COMPUTED_VALUE"""),0.0725)</f>
        <v>0.0725</v>
      </c>
      <c r="C39" s="20"/>
      <c r="D39" s="20"/>
      <c r="E39" s="20"/>
      <c r="F39" s="20"/>
      <c r="G39" s="20"/>
      <c r="H39" s="20"/>
      <c r="I39" s="20"/>
      <c r="J39" s="20"/>
      <c r="K39" s="20"/>
      <c r="L39" s="20"/>
      <c r="M39" s="20"/>
      <c r="N39" s="20"/>
      <c r="O39" s="20"/>
      <c r="P39" s="20"/>
      <c r="Q39" s="20"/>
      <c r="R39" s="20"/>
      <c r="S39" s="20"/>
      <c r="T39" s="20"/>
      <c r="U39" s="20"/>
      <c r="V39" s="20"/>
      <c r="W39" s="20"/>
      <c r="X39" s="20"/>
      <c r="Y39" s="20"/>
      <c r="Z39" s="20"/>
    </row>
    <row r="40">
      <c r="A40" s="20" t="str">
        <f>IFERROR(__xludf.DUMMYFUNCTION("""COMPUTED_VALUE"""),"Holmes")</f>
        <v>Holmes</v>
      </c>
      <c r="B40" s="100">
        <f>IFERROR(__xludf.DUMMYFUNCTION("""COMPUTED_VALUE"""),0.07)</f>
        <v>0.07</v>
      </c>
      <c r="C40" s="20"/>
      <c r="D40" s="20"/>
      <c r="E40" s="20"/>
      <c r="F40" s="20"/>
      <c r="G40" s="20"/>
      <c r="H40" s="20"/>
      <c r="I40" s="20"/>
      <c r="J40" s="20"/>
      <c r="K40" s="20"/>
      <c r="L40" s="20"/>
      <c r="M40" s="20"/>
      <c r="N40" s="20"/>
      <c r="O40" s="20"/>
      <c r="P40" s="20"/>
      <c r="Q40" s="20"/>
      <c r="R40" s="20"/>
      <c r="S40" s="20"/>
      <c r="T40" s="20"/>
      <c r="U40" s="20"/>
      <c r="V40" s="20"/>
      <c r="W40" s="20"/>
      <c r="X40" s="20"/>
      <c r="Y40" s="20"/>
      <c r="Z40" s="20"/>
    </row>
    <row r="41">
      <c r="A41" s="20" t="str">
        <f>IFERROR(__xludf.DUMMYFUNCTION("""COMPUTED_VALUE"""),"Huron")</f>
        <v>Huron</v>
      </c>
      <c r="B41" s="100">
        <f>IFERROR(__xludf.DUMMYFUNCTION("""COMPUTED_VALUE"""),0.0725)</f>
        <v>0.0725</v>
      </c>
      <c r="C41" s="20"/>
      <c r="D41" s="20"/>
      <c r="E41" s="20"/>
      <c r="F41" s="20"/>
      <c r="G41" s="20"/>
      <c r="H41" s="20"/>
      <c r="I41" s="20"/>
      <c r="J41" s="20"/>
      <c r="K41" s="20"/>
      <c r="L41" s="20"/>
      <c r="M41" s="20"/>
      <c r="N41" s="20"/>
      <c r="O41" s="20"/>
      <c r="P41" s="20"/>
      <c r="Q41" s="20"/>
      <c r="R41" s="20"/>
      <c r="S41" s="20"/>
      <c r="T41" s="20"/>
      <c r="U41" s="20"/>
      <c r="V41" s="20"/>
      <c r="W41" s="20"/>
      <c r="X41" s="20"/>
      <c r="Y41" s="20"/>
      <c r="Z41" s="20"/>
    </row>
    <row r="42">
      <c r="A42" s="20" t="str">
        <f>IFERROR(__xludf.DUMMYFUNCTION("""COMPUTED_VALUE"""),"Jackson")</f>
        <v>Jackson</v>
      </c>
      <c r="B42" s="100">
        <f>IFERROR(__xludf.DUMMYFUNCTION("""COMPUTED_VALUE"""),0.0725)</f>
        <v>0.0725</v>
      </c>
      <c r="C42" s="20"/>
      <c r="D42" s="20"/>
      <c r="E42" s="20"/>
      <c r="F42" s="20"/>
      <c r="G42" s="20"/>
      <c r="H42" s="20"/>
      <c r="I42" s="20"/>
      <c r="J42" s="20"/>
      <c r="K42" s="20"/>
      <c r="L42" s="20"/>
      <c r="M42" s="20"/>
      <c r="N42" s="20"/>
      <c r="O42" s="20"/>
      <c r="P42" s="20"/>
      <c r="Q42" s="20"/>
      <c r="R42" s="20"/>
      <c r="S42" s="20"/>
      <c r="T42" s="20"/>
      <c r="U42" s="20"/>
      <c r="V42" s="20"/>
      <c r="W42" s="20"/>
      <c r="X42" s="20"/>
      <c r="Y42" s="20"/>
      <c r="Z42" s="20"/>
    </row>
    <row r="43">
      <c r="A43" s="20" t="str">
        <f>IFERROR(__xludf.DUMMYFUNCTION("""COMPUTED_VALUE"""),"Jefferson")</f>
        <v>Jefferson</v>
      </c>
      <c r="B43" s="100">
        <f>IFERROR(__xludf.DUMMYFUNCTION("""COMPUTED_VALUE"""),0.0725)</f>
        <v>0.0725</v>
      </c>
      <c r="C43" s="20"/>
      <c r="D43" s="20"/>
      <c r="E43" s="20"/>
      <c r="F43" s="20"/>
      <c r="G43" s="20"/>
      <c r="H43" s="20"/>
      <c r="I43" s="20"/>
      <c r="J43" s="20"/>
      <c r="K43" s="20"/>
      <c r="L43" s="20"/>
      <c r="M43" s="20"/>
      <c r="N43" s="20"/>
      <c r="O43" s="20"/>
      <c r="P43" s="20"/>
      <c r="Q43" s="20"/>
      <c r="R43" s="20"/>
      <c r="S43" s="20"/>
      <c r="T43" s="20"/>
      <c r="U43" s="20"/>
      <c r="V43" s="20"/>
      <c r="W43" s="20"/>
      <c r="X43" s="20"/>
      <c r="Y43" s="20"/>
      <c r="Z43" s="20"/>
    </row>
    <row r="44">
      <c r="A44" s="20" t="str">
        <f>IFERROR(__xludf.DUMMYFUNCTION("""COMPUTED_VALUE"""),"Knox")</f>
        <v>Knox</v>
      </c>
      <c r="B44" s="100">
        <f>IFERROR(__xludf.DUMMYFUNCTION("""COMPUTED_VALUE"""),0.0725)</f>
        <v>0.0725</v>
      </c>
      <c r="C44" s="20"/>
      <c r="D44" s="20"/>
      <c r="E44" s="20"/>
      <c r="F44" s="20"/>
      <c r="G44" s="20"/>
      <c r="H44" s="20"/>
      <c r="I44" s="20"/>
      <c r="J44" s="20"/>
      <c r="K44" s="20"/>
      <c r="L44" s="20"/>
      <c r="M44" s="20"/>
      <c r="N44" s="20"/>
      <c r="O44" s="20"/>
      <c r="P44" s="20"/>
      <c r="Q44" s="20"/>
      <c r="R44" s="20"/>
      <c r="S44" s="20"/>
      <c r="T44" s="20"/>
      <c r="U44" s="20"/>
      <c r="V44" s="20"/>
      <c r="W44" s="20"/>
      <c r="X44" s="20"/>
      <c r="Y44" s="20"/>
      <c r="Z44" s="20"/>
    </row>
    <row r="45">
      <c r="A45" s="20" t="str">
        <f>IFERROR(__xludf.DUMMYFUNCTION("""COMPUTED_VALUE"""),"Lake")</f>
        <v>Lake</v>
      </c>
      <c r="B45" s="100">
        <f>IFERROR(__xludf.DUMMYFUNCTION("""COMPUTED_VALUE"""),0.07)</f>
        <v>0.07</v>
      </c>
      <c r="C45" s="20"/>
      <c r="D45" s="20"/>
      <c r="E45" s="20"/>
      <c r="F45" s="20"/>
      <c r="G45" s="20"/>
      <c r="H45" s="20"/>
      <c r="I45" s="20"/>
      <c r="J45" s="20"/>
      <c r="K45" s="20"/>
      <c r="L45" s="20"/>
      <c r="M45" s="20"/>
      <c r="N45" s="20"/>
      <c r="O45" s="20"/>
      <c r="P45" s="20"/>
      <c r="Q45" s="20"/>
      <c r="R45" s="20"/>
      <c r="S45" s="20"/>
      <c r="T45" s="20"/>
      <c r="U45" s="20"/>
      <c r="V45" s="20"/>
      <c r="W45" s="20"/>
      <c r="X45" s="20"/>
      <c r="Y45" s="20"/>
      <c r="Z45" s="20"/>
    </row>
    <row r="46">
      <c r="A46" s="20" t="str">
        <f>IFERROR(__xludf.DUMMYFUNCTION("""COMPUTED_VALUE"""),"Lawrence")</f>
        <v>Lawrence</v>
      </c>
      <c r="B46" s="100">
        <f>IFERROR(__xludf.DUMMYFUNCTION("""COMPUTED_VALUE"""),0.0725)</f>
        <v>0.0725</v>
      </c>
      <c r="C46" s="20"/>
      <c r="D46" s="20"/>
      <c r="E46" s="20"/>
      <c r="F46" s="20"/>
      <c r="G46" s="20"/>
      <c r="H46" s="20"/>
      <c r="I46" s="20"/>
      <c r="J46" s="20"/>
      <c r="K46" s="20"/>
      <c r="L46" s="20"/>
      <c r="M46" s="20"/>
      <c r="N46" s="20"/>
      <c r="O46" s="20"/>
      <c r="P46" s="20"/>
      <c r="Q46" s="20"/>
      <c r="R46" s="20"/>
      <c r="S46" s="20"/>
      <c r="T46" s="20"/>
      <c r="U46" s="20"/>
      <c r="V46" s="20"/>
      <c r="W46" s="20"/>
      <c r="X46" s="20"/>
      <c r="Y46" s="20"/>
      <c r="Z46" s="20"/>
    </row>
    <row r="47">
      <c r="A47" s="20" t="str">
        <f>IFERROR(__xludf.DUMMYFUNCTION("""COMPUTED_VALUE"""),"Licking")</f>
        <v>Licking</v>
      </c>
      <c r="B47" s="100">
        <f>IFERROR(__xludf.DUMMYFUNCTION("""COMPUTED_VALUE"""),0.0725)</f>
        <v>0.0725</v>
      </c>
      <c r="C47" s="20"/>
      <c r="D47" s="20"/>
      <c r="E47" s="20"/>
      <c r="F47" s="20"/>
      <c r="G47" s="20"/>
      <c r="H47" s="20"/>
      <c r="I47" s="20"/>
      <c r="J47" s="20"/>
      <c r="K47" s="20"/>
      <c r="L47" s="20"/>
      <c r="M47" s="20"/>
      <c r="N47" s="20"/>
      <c r="O47" s="20"/>
      <c r="P47" s="20"/>
      <c r="Q47" s="20"/>
      <c r="R47" s="20"/>
      <c r="S47" s="20"/>
      <c r="T47" s="20"/>
      <c r="U47" s="20"/>
      <c r="V47" s="20"/>
      <c r="W47" s="20"/>
      <c r="X47" s="20"/>
      <c r="Y47" s="20"/>
      <c r="Z47" s="20"/>
    </row>
    <row r="48">
      <c r="A48" s="20" t="str">
        <f>IFERROR(__xludf.DUMMYFUNCTION("""COMPUTED_VALUE"""),"Licking (COTA)")</f>
        <v>Licking (COTA)</v>
      </c>
      <c r="B48" s="100">
        <f>IFERROR(__xludf.DUMMYFUNCTION("""COMPUTED_VALUE"""),0.0775)</f>
        <v>0.0775</v>
      </c>
      <c r="C48" s="20"/>
      <c r="D48" s="20"/>
      <c r="E48" s="20"/>
      <c r="F48" s="20"/>
      <c r="G48" s="20"/>
      <c r="H48" s="20"/>
      <c r="I48" s="20"/>
      <c r="J48" s="20"/>
      <c r="K48" s="20"/>
      <c r="L48" s="20"/>
      <c r="M48" s="20"/>
      <c r="N48" s="20"/>
      <c r="O48" s="20"/>
      <c r="P48" s="20"/>
      <c r="Q48" s="20"/>
      <c r="R48" s="20"/>
      <c r="S48" s="20"/>
      <c r="T48" s="20"/>
      <c r="U48" s="20"/>
      <c r="V48" s="20"/>
      <c r="W48" s="20"/>
      <c r="X48" s="20"/>
      <c r="Y48" s="20"/>
      <c r="Z48" s="20"/>
    </row>
    <row r="49">
      <c r="A49" s="20" t="str">
        <f>IFERROR(__xludf.DUMMYFUNCTION("""COMPUTED_VALUE"""),"Logan")</f>
        <v>Logan</v>
      </c>
      <c r="B49" s="100">
        <f>IFERROR(__xludf.DUMMYFUNCTION("""COMPUTED_VALUE"""),0.0725)</f>
        <v>0.0725</v>
      </c>
      <c r="C49" s="20"/>
      <c r="D49" s="20"/>
      <c r="E49" s="20"/>
      <c r="F49" s="20"/>
      <c r="G49" s="20"/>
      <c r="H49" s="20"/>
      <c r="I49" s="20"/>
      <c r="J49" s="20"/>
      <c r="K49" s="20"/>
      <c r="L49" s="20"/>
      <c r="M49" s="20"/>
      <c r="N49" s="20"/>
      <c r="O49" s="20"/>
      <c r="P49" s="20"/>
      <c r="Q49" s="20"/>
      <c r="R49" s="20"/>
      <c r="S49" s="20"/>
      <c r="T49" s="20"/>
      <c r="U49" s="20"/>
      <c r="V49" s="20"/>
      <c r="W49" s="20"/>
      <c r="X49" s="20"/>
      <c r="Y49" s="20"/>
      <c r="Z49" s="20"/>
    </row>
    <row r="50">
      <c r="A50" s="20" t="str">
        <f>IFERROR(__xludf.DUMMYFUNCTION("""COMPUTED_VALUE"""),"Lorain")</f>
        <v>Lorain</v>
      </c>
      <c r="B50" s="100">
        <f>IFERROR(__xludf.DUMMYFUNCTION("""COMPUTED_VALUE"""),0.065)</f>
        <v>0.065</v>
      </c>
      <c r="C50" s="20"/>
      <c r="D50" s="20"/>
      <c r="E50" s="20"/>
      <c r="F50" s="20"/>
      <c r="G50" s="20"/>
      <c r="H50" s="20"/>
      <c r="I50" s="20"/>
      <c r="J50" s="20"/>
      <c r="K50" s="20"/>
      <c r="L50" s="20"/>
      <c r="M50" s="20"/>
      <c r="N50" s="20"/>
      <c r="O50" s="20"/>
      <c r="P50" s="20"/>
      <c r="Q50" s="20"/>
      <c r="R50" s="20"/>
      <c r="S50" s="20"/>
      <c r="T50" s="20"/>
      <c r="U50" s="20"/>
      <c r="V50" s="20"/>
      <c r="W50" s="20"/>
      <c r="X50" s="20"/>
      <c r="Y50" s="20"/>
      <c r="Z50" s="20"/>
    </row>
    <row r="51">
      <c r="A51" s="20" t="str">
        <f>IFERROR(__xludf.DUMMYFUNCTION("""COMPUTED_VALUE"""),"Lucas")</f>
        <v>Lucas</v>
      </c>
      <c r="B51" s="100">
        <f>IFERROR(__xludf.DUMMYFUNCTION("""COMPUTED_VALUE"""),0.0775)</f>
        <v>0.0775</v>
      </c>
      <c r="C51" s="20"/>
      <c r="D51" s="20"/>
      <c r="E51" s="20"/>
      <c r="F51" s="20"/>
      <c r="G51" s="20"/>
      <c r="H51" s="20"/>
      <c r="I51" s="20"/>
      <c r="J51" s="20"/>
      <c r="K51" s="20"/>
      <c r="L51" s="20"/>
      <c r="M51" s="20"/>
      <c r="N51" s="20"/>
      <c r="O51" s="20"/>
      <c r="P51" s="20"/>
      <c r="Q51" s="20"/>
      <c r="R51" s="20"/>
      <c r="S51" s="20"/>
      <c r="T51" s="20"/>
      <c r="U51" s="20"/>
      <c r="V51" s="20"/>
      <c r="W51" s="20"/>
      <c r="X51" s="20"/>
      <c r="Y51" s="20"/>
      <c r="Z51" s="20"/>
    </row>
    <row r="52">
      <c r="A52" s="20" t="str">
        <f>IFERROR(__xludf.DUMMYFUNCTION("""COMPUTED_VALUE"""),"Madison")</f>
        <v>Madison</v>
      </c>
      <c r="B52" s="100">
        <f>IFERROR(__xludf.DUMMYFUNCTION("""COMPUTED_VALUE"""),0.07)</f>
        <v>0.07</v>
      </c>
      <c r="C52" s="20"/>
      <c r="D52" s="20"/>
      <c r="E52" s="20"/>
      <c r="F52" s="20"/>
      <c r="G52" s="20"/>
      <c r="H52" s="20"/>
      <c r="I52" s="20"/>
      <c r="J52" s="20"/>
      <c r="K52" s="20"/>
      <c r="L52" s="20"/>
      <c r="M52" s="20"/>
      <c r="N52" s="20"/>
      <c r="O52" s="20"/>
      <c r="P52" s="20"/>
      <c r="Q52" s="20"/>
      <c r="R52" s="20"/>
      <c r="S52" s="20"/>
      <c r="T52" s="20"/>
      <c r="U52" s="20"/>
      <c r="V52" s="20"/>
      <c r="W52" s="20"/>
      <c r="X52" s="20"/>
      <c r="Y52" s="20"/>
      <c r="Z52" s="20"/>
    </row>
    <row r="53">
      <c r="A53" s="20" t="str">
        <f>IFERROR(__xludf.DUMMYFUNCTION("""COMPUTED_VALUE"""),"Mahoning")</f>
        <v>Mahoning</v>
      </c>
      <c r="B53" s="100">
        <f>IFERROR(__xludf.DUMMYFUNCTION("""COMPUTED_VALUE"""),0.075)</f>
        <v>0.075</v>
      </c>
      <c r="C53" s="20"/>
      <c r="D53" s="20"/>
      <c r="E53" s="20"/>
      <c r="F53" s="20"/>
      <c r="G53" s="20"/>
      <c r="H53" s="20"/>
      <c r="I53" s="20"/>
      <c r="J53" s="20"/>
      <c r="K53" s="20"/>
      <c r="L53" s="20"/>
      <c r="M53" s="20"/>
      <c r="N53" s="20"/>
      <c r="O53" s="20"/>
      <c r="P53" s="20"/>
      <c r="Q53" s="20"/>
      <c r="R53" s="20"/>
      <c r="S53" s="20"/>
      <c r="T53" s="20"/>
      <c r="U53" s="20"/>
      <c r="V53" s="20"/>
      <c r="W53" s="20"/>
      <c r="X53" s="20"/>
      <c r="Y53" s="20"/>
      <c r="Z53" s="20"/>
    </row>
    <row r="54">
      <c r="A54" s="20" t="str">
        <f>IFERROR(__xludf.DUMMYFUNCTION("""COMPUTED_VALUE"""),"Marion")</f>
        <v>Marion</v>
      </c>
      <c r="B54" s="100">
        <f>IFERROR(__xludf.DUMMYFUNCTION("""COMPUTED_VALUE"""),0.0725)</f>
        <v>0.0725</v>
      </c>
      <c r="C54" s="20"/>
      <c r="D54" s="20"/>
      <c r="E54" s="20"/>
      <c r="F54" s="20"/>
      <c r="G54" s="20"/>
      <c r="H54" s="20"/>
      <c r="I54" s="20"/>
      <c r="J54" s="20"/>
      <c r="K54" s="20"/>
      <c r="L54" s="20"/>
      <c r="M54" s="20"/>
      <c r="N54" s="20"/>
      <c r="O54" s="20"/>
      <c r="P54" s="20"/>
      <c r="Q54" s="20"/>
      <c r="R54" s="20"/>
      <c r="S54" s="20"/>
      <c r="T54" s="20"/>
      <c r="U54" s="20"/>
      <c r="V54" s="20"/>
      <c r="W54" s="20"/>
      <c r="X54" s="20"/>
      <c r="Y54" s="20"/>
      <c r="Z54" s="20"/>
    </row>
    <row r="55">
      <c r="A55" s="20" t="str">
        <f>IFERROR(__xludf.DUMMYFUNCTION("""COMPUTED_VALUE"""),"Medina")</f>
        <v>Medina</v>
      </c>
      <c r="B55" s="100">
        <f>IFERROR(__xludf.DUMMYFUNCTION("""COMPUTED_VALUE"""),0.0675)</f>
        <v>0.0675</v>
      </c>
      <c r="C55" s="20"/>
      <c r="D55" s="20"/>
      <c r="E55" s="20"/>
      <c r="F55" s="20"/>
      <c r="G55" s="20"/>
      <c r="H55" s="20"/>
      <c r="I55" s="20"/>
      <c r="J55" s="20"/>
      <c r="K55" s="20"/>
      <c r="L55" s="20"/>
      <c r="M55" s="20"/>
      <c r="N55" s="20"/>
      <c r="O55" s="20"/>
      <c r="P55" s="20"/>
      <c r="Q55" s="20"/>
      <c r="R55" s="20"/>
      <c r="S55" s="20"/>
      <c r="T55" s="20"/>
      <c r="U55" s="20"/>
      <c r="V55" s="20"/>
      <c r="W55" s="20"/>
      <c r="X55" s="20"/>
      <c r="Y55" s="20"/>
      <c r="Z55" s="20"/>
    </row>
    <row r="56">
      <c r="A56" s="20" t="str">
        <f>IFERROR(__xludf.DUMMYFUNCTION("""COMPUTED_VALUE"""),"Meigs")</f>
        <v>Meigs</v>
      </c>
      <c r="B56" s="100">
        <f>IFERROR(__xludf.DUMMYFUNCTION("""COMPUTED_VALUE"""),0.0725)</f>
        <v>0.0725</v>
      </c>
      <c r="C56" s="20"/>
      <c r="D56" s="20"/>
      <c r="E56" s="20"/>
      <c r="F56" s="20"/>
      <c r="G56" s="20"/>
      <c r="H56" s="20"/>
      <c r="I56" s="20"/>
      <c r="J56" s="20"/>
      <c r="K56" s="20"/>
      <c r="L56" s="20"/>
      <c r="M56" s="20"/>
      <c r="N56" s="20"/>
      <c r="O56" s="20"/>
      <c r="P56" s="20"/>
      <c r="Q56" s="20"/>
      <c r="R56" s="20"/>
      <c r="S56" s="20"/>
      <c r="T56" s="20"/>
      <c r="U56" s="20"/>
      <c r="V56" s="20"/>
      <c r="W56" s="20"/>
      <c r="X56" s="20"/>
      <c r="Y56" s="20"/>
      <c r="Z56" s="20"/>
    </row>
    <row r="57">
      <c r="A57" s="20" t="str">
        <f>IFERROR(__xludf.DUMMYFUNCTION("""COMPUTED_VALUE"""),"Mercer")</f>
        <v>Mercer</v>
      </c>
      <c r="B57" s="100">
        <f>IFERROR(__xludf.DUMMYFUNCTION("""COMPUTED_VALUE"""),0.0725)</f>
        <v>0.0725</v>
      </c>
      <c r="C57" s="20"/>
      <c r="D57" s="20"/>
      <c r="E57" s="20"/>
      <c r="F57" s="20"/>
      <c r="G57" s="20"/>
      <c r="H57" s="20"/>
      <c r="I57" s="20"/>
      <c r="J57" s="20"/>
      <c r="K57" s="20"/>
      <c r="L57" s="20"/>
      <c r="M57" s="20"/>
      <c r="N57" s="20"/>
      <c r="O57" s="20"/>
      <c r="P57" s="20"/>
      <c r="Q57" s="20"/>
      <c r="R57" s="20"/>
      <c r="S57" s="20"/>
      <c r="T57" s="20"/>
      <c r="U57" s="20"/>
      <c r="V57" s="20"/>
      <c r="W57" s="20"/>
      <c r="X57" s="20"/>
      <c r="Y57" s="20"/>
      <c r="Z57" s="20"/>
    </row>
    <row r="58">
      <c r="A58" s="20" t="str">
        <f>IFERROR(__xludf.DUMMYFUNCTION("""COMPUTED_VALUE"""),"Miami")</f>
        <v>Miami</v>
      </c>
      <c r="B58" s="100">
        <f>IFERROR(__xludf.DUMMYFUNCTION("""COMPUTED_VALUE"""),0.07)</f>
        <v>0.07</v>
      </c>
      <c r="C58" s="20"/>
      <c r="D58" s="20"/>
      <c r="E58" s="20"/>
      <c r="F58" s="20"/>
      <c r="G58" s="20"/>
      <c r="H58" s="20"/>
      <c r="I58" s="20"/>
      <c r="J58" s="20"/>
      <c r="K58" s="20"/>
      <c r="L58" s="20"/>
      <c r="M58" s="20"/>
      <c r="N58" s="20"/>
      <c r="O58" s="20"/>
      <c r="P58" s="20"/>
      <c r="Q58" s="20"/>
      <c r="R58" s="20"/>
      <c r="S58" s="20"/>
      <c r="T58" s="20"/>
      <c r="U58" s="20"/>
      <c r="V58" s="20"/>
      <c r="W58" s="20"/>
      <c r="X58" s="20"/>
      <c r="Y58" s="20"/>
      <c r="Z58" s="20"/>
    </row>
    <row r="59">
      <c r="A59" s="20" t="str">
        <f>IFERROR(__xludf.DUMMYFUNCTION("""COMPUTED_VALUE"""),"Monroe")</f>
        <v>Monroe</v>
      </c>
      <c r="B59" s="100">
        <f>IFERROR(__xludf.DUMMYFUNCTION("""COMPUTED_VALUE"""),0.0725)</f>
        <v>0.0725</v>
      </c>
      <c r="C59" s="20"/>
      <c r="D59" s="20"/>
      <c r="E59" s="20"/>
      <c r="F59" s="20"/>
      <c r="G59" s="20"/>
      <c r="H59" s="20"/>
      <c r="I59" s="20"/>
      <c r="J59" s="20"/>
      <c r="K59" s="20"/>
      <c r="L59" s="20"/>
      <c r="M59" s="20"/>
      <c r="N59" s="20"/>
      <c r="O59" s="20"/>
      <c r="P59" s="20"/>
      <c r="Q59" s="20"/>
      <c r="R59" s="20"/>
      <c r="S59" s="20"/>
      <c r="T59" s="20"/>
      <c r="U59" s="20"/>
      <c r="V59" s="20"/>
      <c r="W59" s="20"/>
      <c r="X59" s="20"/>
      <c r="Y59" s="20"/>
      <c r="Z59" s="20"/>
    </row>
    <row r="60">
      <c r="A60" s="20" t="str">
        <f>IFERROR(__xludf.DUMMYFUNCTION("""COMPUTED_VALUE"""),"Montgomery")</f>
        <v>Montgomery</v>
      </c>
      <c r="B60" s="100">
        <f>IFERROR(__xludf.DUMMYFUNCTION("""COMPUTED_VALUE"""),0.075)</f>
        <v>0.075</v>
      </c>
      <c r="C60" s="20"/>
      <c r="D60" s="20"/>
      <c r="E60" s="20"/>
      <c r="F60" s="20"/>
      <c r="G60" s="20"/>
      <c r="H60" s="20"/>
      <c r="I60" s="20"/>
      <c r="J60" s="20"/>
      <c r="K60" s="20"/>
      <c r="L60" s="20"/>
      <c r="M60" s="20"/>
      <c r="N60" s="20"/>
      <c r="O60" s="20"/>
      <c r="P60" s="20"/>
      <c r="Q60" s="20"/>
      <c r="R60" s="20"/>
      <c r="S60" s="20"/>
      <c r="T60" s="20"/>
      <c r="U60" s="20"/>
      <c r="V60" s="20"/>
      <c r="W60" s="20"/>
      <c r="X60" s="20"/>
      <c r="Y60" s="20"/>
      <c r="Z60" s="20"/>
    </row>
    <row r="61">
      <c r="A61" s="20" t="str">
        <f>IFERROR(__xludf.DUMMYFUNCTION("""COMPUTED_VALUE"""),"Morgan")</f>
        <v>Morgan</v>
      </c>
      <c r="B61" s="100">
        <f>IFERROR(__xludf.DUMMYFUNCTION("""COMPUTED_VALUE"""),0.0725)</f>
        <v>0.0725</v>
      </c>
      <c r="C61" s="20"/>
      <c r="D61" s="20"/>
      <c r="E61" s="20"/>
      <c r="F61" s="20"/>
      <c r="G61" s="20"/>
      <c r="H61" s="20"/>
      <c r="I61" s="20"/>
      <c r="J61" s="20"/>
      <c r="K61" s="20"/>
      <c r="L61" s="20"/>
      <c r="M61" s="20"/>
      <c r="N61" s="20"/>
      <c r="O61" s="20"/>
      <c r="P61" s="20"/>
      <c r="Q61" s="20"/>
      <c r="R61" s="20"/>
      <c r="S61" s="20"/>
      <c r="T61" s="20"/>
      <c r="U61" s="20"/>
      <c r="V61" s="20"/>
      <c r="W61" s="20"/>
      <c r="X61" s="20"/>
      <c r="Y61" s="20"/>
      <c r="Z61" s="20"/>
    </row>
    <row r="62">
      <c r="A62" s="20" t="str">
        <f>IFERROR(__xludf.DUMMYFUNCTION("""COMPUTED_VALUE"""),"Morrow")</f>
        <v>Morrow</v>
      </c>
      <c r="B62" s="100">
        <f>IFERROR(__xludf.DUMMYFUNCTION("""COMPUTED_VALUE"""),0.0725)</f>
        <v>0.0725</v>
      </c>
      <c r="C62" s="20"/>
      <c r="D62" s="20"/>
      <c r="E62" s="20"/>
      <c r="F62" s="20"/>
      <c r="G62" s="20"/>
      <c r="H62" s="20"/>
      <c r="I62" s="20"/>
      <c r="J62" s="20"/>
      <c r="K62" s="20"/>
      <c r="L62" s="20"/>
      <c r="M62" s="20"/>
      <c r="N62" s="20"/>
      <c r="O62" s="20"/>
      <c r="P62" s="20"/>
      <c r="Q62" s="20"/>
      <c r="R62" s="20"/>
      <c r="S62" s="20"/>
      <c r="T62" s="20"/>
      <c r="U62" s="20"/>
      <c r="V62" s="20"/>
      <c r="W62" s="20"/>
      <c r="X62" s="20"/>
      <c r="Y62" s="20"/>
      <c r="Z62" s="20"/>
    </row>
    <row r="63">
      <c r="A63" s="20" t="str">
        <f>IFERROR(__xludf.DUMMYFUNCTION("""COMPUTED_VALUE"""),"Muskingum")</f>
        <v>Muskingum</v>
      </c>
      <c r="B63" s="100">
        <f>IFERROR(__xludf.DUMMYFUNCTION("""COMPUTED_VALUE"""),0.0725)</f>
        <v>0.0725</v>
      </c>
      <c r="C63" s="20"/>
      <c r="D63" s="20"/>
      <c r="E63" s="20"/>
      <c r="F63" s="20"/>
      <c r="G63" s="20"/>
      <c r="H63" s="20"/>
      <c r="I63" s="20"/>
      <c r="J63" s="20"/>
      <c r="K63" s="20"/>
      <c r="L63" s="20"/>
      <c r="M63" s="20"/>
      <c r="N63" s="20"/>
      <c r="O63" s="20"/>
      <c r="P63" s="20"/>
      <c r="Q63" s="20"/>
      <c r="R63" s="20"/>
      <c r="S63" s="20"/>
      <c r="T63" s="20"/>
      <c r="U63" s="20"/>
      <c r="V63" s="20"/>
      <c r="W63" s="20"/>
      <c r="X63" s="20"/>
      <c r="Y63" s="20"/>
      <c r="Z63" s="20"/>
    </row>
    <row r="64">
      <c r="A64" s="20" t="str">
        <f>IFERROR(__xludf.DUMMYFUNCTION("""COMPUTED_VALUE"""),"Noble")</f>
        <v>Noble</v>
      </c>
      <c r="B64" s="100">
        <f>IFERROR(__xludf.DUMMYFUNCTION("""COMPUTED_VALUE"""),0.0725)</f>
        <v>0.0725</v>
      </c>
      <c r="C64" s="20"/>
      <c r="D64" s="20"/>
      <c r="E64" s="20"/>
      <c r="F64" s="20"/>
      <c r="G64" s="20"/>
      <c r="H64" s="20"/>
      <c r="I64" s="20"/>
      <c r="J64" s="20"/>
      <c r="K64" s="20"/>
      <c r="L64" s="20"/>
      <c r="M64" s="20"/>
      <c r="N64" s="20"/>
      <c r="O64" s="20"/>
      <c r="P64" s="20"/>
      <c r="Q64" s="20"/>
      <c r="R64" s="20"/>
      <c r="S64" s="20"/>
      <c r="T64" s="20"/>
      <c r="U64" s="20"/>
      <c r="V64" s="20"/>
      <c r="W64" s="20"/>
      <c r="X64" s="20"/>
      <c r="Y64" s="20"/>
      <c r="Z64" s="20"/>
    </row>
    <row r="65">
      <c r="A65" s="20" t="str">
        <f>IFERROR(__xludf.DUMMYFUNCTION("""COMPUTED_VALUE"""),"Ottawa")</f>
        <v>Ottawa</v>
      </c>
      <c r="B65" s="100">
        <f>IFERROR(__xludf.DUMMYFUNCTION("""COMPUTED_VALUE"""),0.07)</f>
        <v>0.07</v>
      </c>
      <c r="C65" s="20"/>
      <c r="D65" s="20"/>
      <c r="E65" s="20"/>
      <c r="F65" s="20"/>
      <c r="G65" s="20"/>
      <c r="H65" s="20"/>
      <c r="I65" s="20"/>
      <c r="J65" s="20"/>
      <c r="K65" s="20"/>
      <c r="L65" s="20"/>
      <c r="M65" s="20"/>
      <c r="N65" s="20"/>
      <c r="O65" s="20"/>
      <c r="P65" s="20"/>
      <c r="Q65" s="20"/>
      <c r="R65" s="20"/>
      <c r="S65" s="20"/>
      <c r="T65" s="20"/>
      <c r="U65" s="20"/>
      <c r="V65" s="20"/>
      <c r="W65" s="20"/>
      <c r="X65" s="20"/>
      <c r="Y65" s="20"/>
      <c r="Z65" s="20"/>
    </row>
    <row r="66">
      <c r="A66" s="20" t="str">
        <f>IFERROR(__xludf.DUMMYFUNCTION("""COMPUTED_VALUE"""),"Paulding")</f>
        <v>Paulding</v>
      </c>
      <c r="B66" s="100">
        <f>IFERROR(__xludf.DUMMYFUNCTION("""COMPUTED_VALUE"""),0.0725)</f>
        <v>0.0725</v>
      </c>
      <c r="C66" s="20"/>
      <c r="D66" s="20"/>
      <c r="E66" s="20"/>
      <c r="F66" s="20"/>
      <c r="G66" s="20"/>
      <c r="H66" s="20"/>
      <c r="I66" s="20"/>
      <c r="J66" s="20"/>
      <c r="K66" s="20"/>
      <c r="L66" s="20"/>
      <c r="M66" s="20"/>
      <c r="N66" s="20"/>
      <c r="O66" s="20"/>
      <c r="P66" s="20"/>
      <c r="Q66" s="20"/>
      <c r="R66" s="20"/>
      <c r="S66" s="20"/>
      <c r="T66" s="20"/>
      <c r="U66" s="20"/>
      <c r="V66" s="20"/>
      <c r="W66" s="20"/>
      <c r="X66" s="20"/>
      <c r="Y66" s="20"/>
      <c r="Z66" s="20"/>
    </row>
    <row r="67">
      <c r="A67" s="20" t="str">
        <f>IFERROR(__xludf.DUMMYFUNCTION("""COMPUTED_VALUE"""),"Perry")</f>
        <v>Perry</v>
      </c>
      <c r="B67" s="100">
        <f>IFERROR(__xludf.DUMMYFUNCTION("""COMPUTED_VALUE"""),0.0725)</f>
        <v>0.0725</v>
      </c>
      <c r="C67" s="20"/>
      <c r="D67" s="20"/>
      <c r="E67" s="20"/>
      <c r="F67" s="20"/>
      <c r="G67" s="20"/>
      <c r="H67" s="20"/>
      <c r="I67" s="20"/>
      <c r="J67" s="20"/>
      <c r="K67" s="20"/>
      <c r="L67" s="20"/>
      <c r="M67" s="20"/>
      <c r="N67" s="20"/>
      <c r="O67" s="20"/>
      <c r="P67" s="20"/>
      <c r="Q67" s="20"/>
      <c r="R67" s="20"/>
      <c r="S67" s="20"/>
      <c r="T67" s="20"/>
      <c r="U67" s="20"/>
      <c r="V67" s="20"/>
      <c r="W67" s="20"/>
      <c r="X67" s="20"/>
      <c r="Y67" s="20"/>
      <c r="Z67" s="20"/>
    </row>
    <row r="68">
      <c r="A68" s="20" t="str">
        <f>IFERROR(__xludf.DUMMYFUNCTION("""COMPUTED_VALUE"""),"Pickaway")</f>
        <v>Pickaway</v>
      </c>
      <c r="B68" s="100">
        <f>IFERROR(__xludf.DUMMYFUNCTION("""COMPUTED_VALUE"""),0.0725)</f>
        <v>0.0725</v>
      </c>
      <c r="C68" s="20"/>
      <c r="D68" s="20"/>
      <c r="E68" s="20"/>
      <c r="F68" s="20"/>
      <c r="G68" s="20"/>
      <c r="H68" s="20"/>
      <c r="I68" s="20"/>
      <c r="J68" s="20"/>
      <c r="K68" s="20"/>
      <c r="L68" s="20"/>
      <c r="M68" s="20"/>
      <c r="N68" s="20"/>
      <c r="O68" s="20"/>
      <c r="P68" s="20"/>
      <c r="Q68" s="20"/>
      <c r="R68" s="20"/>
      <c r="S68" s="20"/>
      <c r="T68" s="20"/>
      <c r="U68" s="20"/>
      <c r="V68" s="20"/>
      <c r="W68" s="20"/>
      <c r="X68" s="20"/>
      <c r="Y68" s="20"/>
      <c r="Z68" s="20"/>
    </row>
    <row r="69">
      <c r="A69" s="20" t="str">
        <f>IFERROR(__xludf.DUMMYFUNCTION("""COMPUTED_VALUE"""),"Pike")</f>
        <v>Pike</v>
      </c>
      <c r="B69" s="100">
        <f>IFERROR(__xludf.DUMMYFUNCTION("""COMPUTED_VALUE"""),0.0725)</f>
        <v>0.0725</v>
      </c>
      <c r="C69" s="20"/>
      <c r="D69" s="20"/>
      <c r="E69" s="20"/>
      <c r="F69" s="20"/>
      <c r="G69" s="20"/>
      <c r="H69" s="20"/>
      <c r="I69" s="20"/>
      <c r="J69" s="20"/>
      <c r="K69" s="20"/>
      <c r="L69" s="20"/>
      <c r="M69" s="20"/>
      <c r="N69" s="20"/>
      <c r="O69" s="20"/>
      <c r="P69" s="20"/>
      <c r="Q69" s="20"/>
      <c r="R69" s="20"/>
      <c r="S69" s="20"/>
      <c r="T69" s="20"/>
      <c r="U69" s="20"/>
      <c r="V69" s="20"/>
      <c r="W69" s="20"/>
      <c r="X69" s="20"/>
      <c r="Y69" s="20"/>
      <c r="Z69" s="20"/>
    </row>
    <row r="70">
      <c r="A70" s="20" t="str">
        <f>IFERROR(__xludf.DUMMYFUNCTION("""COMPUTED_VALUE"""),"Portage")</f>
        <v>Portage</v>
      </c>
      <c r="B70" s="100">
        <f>IFERROR(__xludf.DUMMYFUNCTION("""COMPUTED_VALUE"""),0.07)</f>
        <v>0.07</v>
      </c>
      <c r="C70" s="20"/>
      <c r="D70" s="20"/>
      <c r="E70" s="20"/>
      <c r="F70" s="20"/>
      <c r="G70" s="20"/>
      <c r="H70" s="20"/>
      <c r="I70" s="20"/>
      <c r="J70" s="20"/>
      <c r="K70" s="20"/>
      <c r="L70" s="20"/>
      <c r="M70" s="20"/>
      <c r="N70" s="20"/>
      <c r="O70" s="20"/>
      <c r="P70" s="20"/>
      <c r="Q70" s="20"/>
      <c r="R70" s="20"/>
      <c r="S70" s="20"/>
      <c r="T70" s="20"/>
      <c r="U70" s="20"/>
      <c r="V70" s="20"/>
      <c r="W70" s="20"/>
      <c r="X70" s="20"/>
      <c r="Y70" s="20"/>
      <c r="Z70" s="20"/>
    </row>
    <row r="71">
      <c r="A71" s="20" t="str">
        <f>IFERROR(__xludf.DUMMYFUNCTION("""COMPUTED_VALUE"""),"Preble")</f>
        <v>Preble</v>
      </c>
      <c r="B71" s="100">
        <f>IFERROR(__xludf.DUMMYFUNCTION("""COMPUTED_VALUE"""),0.0725)</f>
        <v>0.0725</v>
      </c>
      <c r="C71" s="20"/>
      <c r="D71" s="20"/>
      <c r="E71" s="20"/>
      <c r="F71" s="20"/>
      <c r="G71" s="20"/>
      <c r="H71" s="20"/>
      <c r="I71" s="20"/>
      <c r="J71" s="20"/>
      <c r="K71" s="20"/>
      <c r="L71" s="20"/>
      <c r="M71" s="20"/>
      <c r="N71" s="20"/>
      <c r="O71" s="20"/>
      <c r="P71" s="20"/>
      <c r="Q71" s="20"/>
      <c r="R71" s="20"/>
      <c r="S71" s="20"/>
      <c r="T71" s="20"/>
      <c r="U71" s="20"/>
      <c r="V71" s="20"/>
      <c r="W71" s="20"/>
      <c r="X71" s="20"/>
      <c r="Y71" s="20"/>
      <c r="Z71" s="20"/>
    </row>
    <row r="72">
      <c r="A72" s="20" t="str">
        <f>IFERROR(__xludf.DUMMYFUNCTION("""COMPUTED_VALUE"""),"Putnam")</f>
        <v>Putnam</v>
      </c>
      <c r="B72" s="100">
        <f>IFERROR(__xludf.DUMMYFUNCTION("""COMPUTED_VALUE"""),0.07)</f>
        <v>0.07</v>
      </c>
      <c r="C72" s="20"/>
      <c r="D72" s="20"/>
      <c r="E72" s="20"/>
      <c r="F72" s="20"/>
      <c r="G72" s="20"/>
      <c r="H72" s="20"/>
      <c r="I72" s="20"/>
      <c r="J72" s="20"/>
      <c r="K72" s="20"/>
      <c r="L72" s="20"/>
      <c r="M72" s="20"/>
      <c r="N72" s="20"/>
      <c r="O72" s="20"/>
      <c r="P72" s="20"/>
      <c r="Q72" s="20"/>
      <c r="R72" s="20"/>
      <c r="S72" s="20"/>
      <c r="T72" s="20"/>
      <c r="U72" s="20"/>
      <c r="V72" s="20"/>
      <c r="W72" s="20"/>
      <c r="X72" s="20"/>
      <c r="Y72" s="20"/>
      <c r="Z72" s="20"/>
    </row>
    <row r="73">
      <c r="A73" s="20" t="str">
        <f>IFERROR(__xludf.DUMMYFUNCTION("""COMPUTED_VALUE"""),"Richland")</f>
        <v>Richland</v>
      </c>
      <c r="B73" s="100">
        <f>IFERROR(__xludf.DUMMYFUNCTION("""COMPUTED_VALUE"""),0.07)</f>
        <v>0.07</v>
      </c>
      <c r="C73" s="20"/>
      <c r="D73" s="20"/>
      <c r="E73" s="20"/>
      <c r="F73" s="20"/>
      <c r="G73" s="20"/>
      <c r="H73" s="20"/>
      <c r="I73" s="20"/>
      <c r="J73" s="20"/>
      <c r="K73" s="20"/>
      <c r="L73" s="20"/>
      <c r="M73" s="20"/>
      <c r="N73" s="20"/>
      <c r="O73" s="20"/>
      <c r="P73" s="20"/>
      <c r="Q73" s="20"/>
      <c r="R73" s="20"/>
      <c r="S73" s="20"/>
      <c r="T73" s="20"/>
      <c r="U73" s="20"/>
      <c r="V73" s="20"/>
      <c r="W73" s="20"/>
      <c r="X73" s="20"/>
      <c r="Y73" s="20"/>
      <c r="Z73" s="20"/>
    </row>
    <row r="74">
      <c r="A74" s="20" t="str">
        <f>IFERROR(__xludf.DUMMYFUNCTION("""COMPUTED_VALUE"""),"Ross")</f>
        <v>Ross</v>
      </c>
      <c r="B74" s="100">
        <f>IFERROR(__xludf.DUMMYFUNCTION("""COMPUTED_VALUE"""),0.0725)</f>
        <v>0.0725</v>
      </c>
      <c r="C74" s="20"/>
      <c r="D74" s="20"/>
      <c r="E74" s="20"/>
      <c r="F74" s="20"/>
      <c r="G74" s="20"/>
      <c r="H74" s="20"/>
      <c r="I74" s="20"/>
      <c r="J74" s="20"/>
      <c r="K74" s="20"/>
      <c r="L74" s="20"/>
      <c r="M74" s="20"/>
      <c r="N74" s="20"/>
      <c r="O74" s="20"/>
      <c r="P74" s="20"/>
      <c r="Q74" s="20"/>
      <c r="R74" s="20"/>
      <c r="S74" s="20"/>
      <c r="T74" s="20"/>
      <c r="U74" s="20"/>
      <c r="V74" s="20"/>
      <c r="W74" s="20"/>
      <c r="X74" s="20"/>
      <c r="Y74" s="20"/>
      <c r="Z74" s="20"/>
    </row>
    <row r="75">
      <c r="A75" s="20" t="str">
        <f>IFERROR(__xludf.DUMMYFUNCTION("""COMPUTED_VALUE"""),"Sandusky")</f>
        <v>Sandusky</v>
      </c>
      <c r="B75" s="100">
        <f>IFERROR(__xludf.DUMMYFUNCTION("""COMPUTED_VALUE"""),0.0725)</f>
        <v>0.0725</v>
      </c>
      <c r="C75" s="20"/>
      <c r="D75" s="20"/>
      <c r="E75" s="20"/>
      <c r="F75" s="20"/>
      <c r="G75" s="20"/>
      <c r="H75" s="20"/>
      <c r="I75" s="20"/>
      <c r="J75" s="20"/>
      <c r="K75" s="20"/>
      <c r="L75" s="20"/>
      <c r="M75" s="20"/>
      <c r="N75" s="20"/>
      <c r="O75" s="20"/>
      <c r="P75" s="20"/>
      <c r="Q75" s="20"/>
      <c r="R75" s="20"/>
      <c r="S75" s="20"/>
      <c r="T75" s="20"/>
      <c r="U75" s="20"/>
      <c r="V75" s="20"/>
      <c r="W75" s="20"/>
      <c r="X75" s="20"/>
      <c r="Y75" s="20"/>
      <c r="Z75" s="20"/>
    </row>
    <row r="76">
      <c r="A76" s="20" t="str">
        <f>IFERROR(__xludf.DUMMYFUNCTION("""COMPUTED_VALUE"""),"Scioto")</f>
        <v>Scioto</v>
      </c>
      <c r="B76" s="100">
        <f>IFERROR(__xludf.DUMMYFUNCTION("""COMPUTED_VALUE"""),0.0725)</f>
        <v>0.0725</v>
      </c>
      <c r="C76" s="20"/>
      <c r="D76" s="20"/>
      <c r="E76" s="20"/>
      <c r="F76" s="20"/>
      <c r="G76" s="20"/>
      <c r="H76" s="20"/>
      <c r="I76" s="20"/>
      <c r="J76" s="20"/>
      <c r="K76" s="20"/>
      <c r="L76" s="20"/>
      <c r="M76" s="20"/>
      <c r="N76" s="20"/>
      <c r="O76" s="20"/>
      <c r="P76" s="20"/>
      <c r="Q76" s="20"/>
      <c r="R76" s="20"/>
      <c r="S76" s="20"/>
      <c r="T76" s="20"/>
      <c r="U76" s="20"/>
      <c r="V76" s="20"/>
      <c r="W76" s="20"/>
      <c r="X76" s="20"/>
      <c r="Y76" s="20"/>
      <c r="Z76" s="20"/>
    </row>
    <row r="77">
      <c r="A77" s="20" t="str">
        <f>IFERROR(__xludf.DUMMYFUNCTION("""COMPUTED_VALUE"""),"Seneca")</f>
        <v>Seneca</v>
      </c>
      <c r="B77" s="100">
        <f>IFERROR(__xludf.DUMMYFUNCTION("""COMPUTED_VALUE"""),0.0725)</f>
        <v>0.0725</v>
      </c>
      <c r="C77" s="20"/>
      <c r="D77" s="20"/>
      <c r="E77" s="20"/>
      <c r="F77" s="20"/>
      <c r="G77" s="20"/>
      <c r="H77" s="20"/>
      <c r="I77" s="20"/>
      <c r="J77" s="20"/>
      <c r="K77" s="20"/>
      <c r="L77" s="20"/>
      <c r="M77" s="20"/>
      <c r="N77" s="20"/>
      <c r="O77" s="20"/>
      <c r="P77" s="20"/>
      <c r="Q77" s="20"/>
      <c r="R77" s="20"/>
      <c r="S77" s="20"/>
      <c r="T77" s="20"/>
      <c r="U77" s="20"/>
      <c r="V77" s="20"/>
      <c r="W77" s="20"/>
      <c r="X77" s="20"/>
      <c r="Y77" s="20"/>
      <c r="Z77" s="20"/>
    </row>
    <row r="78">
      <c r="A78" s="20" t="str">
        <f>IFERROR(__xludf.DUMMYFUNCTION("""COMPUTED_VALUE"""),"Shelby")</f>
        <v>Shelby</v>
      </c>
      <c r="B78" s="100">
        <f>IFERROR(__xludf.DUMMYFUNCTION("""COMPUTED_VALUE"""),0.0725)</f>
        <v>0.0725</v>
      </c>
      <c r="C78" s="20"/>
      <c r="D78" s="20"/>
      <c r="E78" s="20"/>
      <c r="F78" s="20"/>
      <c r="G78" s="20"/>
      <c r="H78" s="20"/>
      <c r="I78" s="20"/>
      <c r="J78" s="20"/>
      <c r="K78" s="20"/>
      <c r="L78" s="20"/>
      <c r="M78" s="20"/>
      <c r="N78" s="20"/>
      <c r="O78" s="20"/>
      <c r="P78" s="20"/>
      <c r="Q78" s="20"/>
      <c r="R78" s="20"/>
      <c r="S78" s="20"/>
      <c r="T78" s="20"/>
      <c r="U78" s="20"/>
      <c r="V78" s="20"/>
      <c r="W78" s="20"/>
      <c r="X78" s="20"/>
      <c r="Y78" s="20"/>
      <c r="Z78" s="20"/>
    </row>
    <row r="79">
      <c r="A79" s="20" t="str">
        <f>IFERROR(__xludf.DUMMYFUNCTION("""COMPUTED_VALUE"""),"Stark")</f>
        <v>Stark</v>
      </c>
      <c r="B79" s="100">
        <f>IFERROR(__xludf.DUMMYFUNCTION("""COMPUTED_VALUE"""),0.065)</f>
        <v>0.065</v>
      </c>
      <c r="C79" s="20"/>
      <c r="D79" s="20"/>
      <c r="E79" s="20"/>
      <c r="F79" s="20"/>
      <c r="G79" s="20"/>
      <c r="H79" s="20"/>
      <c r="I79" s="20"/>
      <c r="J79" s="20"/>
      <c r="K79" s="20"/>
      <c r="L79" s="20"/>
      <c r="M79" s="20"/>
      <c r="N79" s="20"/>
      <c r="O79" s="20"/>
      <c r="P79" s="20"/>
      <c r="Q79" s="20"/>
      <c r="R79" s="20"/>
      <c r="S79" s="20"/>
      <c r="T79" s="20"/>
      <c r="U79" s="20"/>
      <c r="V79" s="20"/>
      <c r="W79" s="20"/>
      <c r="X79" s="20"/>
      <c r="Y79" s="20"/>
      <c r="Z79" s="20"/>
    </row>
    <row r="80">
      <c r="A80" s="20" t="str">
        <f>IFERROR(__xludf.DUMMYFUNCTION("""COMPUTED_VALUE"""),"State Rate")</f>
        <v>State Rate</v>
      </c>
      <c r="B80" s="100">
        <f>IFERROR(__xludf.DUMMYFUNCTION("""COMPUTED_VALUE"""),0.0575)</f>
        <v>0.0575</v>
      </c>
      <c r="C80" s="20"/>
      <c r="D80" s="20"/>
      <c r="E80" s="20"/>
      <c r="F80" s="20"/>
      <c r="G80" s="20"/>
      <c r="H80" s="20"/>
      <c r="I80" s="20"/>
      <c r="J80" s="20"/>
      <c r="K80" s="20"/>
      <c r="L80" s="20"/>
      <c r="M80" s="20"/>
      <c r="N80" s="20"/>
      <c r="O80" s="20"/>
      <c r="P80" s="20"/>
      <c r="Q80" s="20"/>
      <c r="R80" s="20"/>
      <c r="S80" s="20"/>
      <c r="T80" s="20"/>
      <c r="U80" s="20"/>
      <c r="V80" s="20"/>
      <c r="W80" s="20"/>
      <c r="X80" s="20"/>
      <c r="Y80" s="20"/>
      <c r="Z80" s="20"/>
    </row>
    <row r="81">
      <c r="A81" s="20" t="str">
        <f>IFERROR(__xludf.DUMMYFUNCTION("""COMPUTED_VALUE"""),"Summit")</f>
        <v>Summit</v>
      </c>
      <c r="B81" s="100">
        <f>IFERROR(__xludf.DUMMYFUNCTION("""COMPUTED_VALUE"""),0.0675)</f>
        <v>0.0675</v>
      </c>
      <c r="C81" s="20"/>
      <c r="D81" s="20"/>
      <c r="E81" s="20"/>
      <c r="F81" s="20"/>
      <c r="G81" s="20"/>
      <c r="H81" s="20"/>
      <c r="I81" s="20"/>
      <c r="J81" s="20"/>
      <c r="K81" s="20"/>
      <c r="L81" s="20"/>
      <c r="M81" s="20"/>
      <c r="N81" s="20"/>
      <c r="O81" s="20"/>
      <c r="P81" s="20"/>
      <c r="Q81" s="20"/>
      <c r="R81" s="20"/>
      <c r="S81" s="20"/>
      <c r="T81" s="20"/>
      <c r="U81" s="20"/>
      <c r="V81" s="20"/>
      <c r="W81" s="20"/>
      <c r="X81" s="20"/>
      <c r="Y81" s="20"/>
      <c r="Z81" s="20"/>
    </row>
    <row r="82">
      <c r="A82" s="20" t="str">
        <f>IFERROR(__xludf.DUMMYFUNCTION("""COMPUTED_VALUE"""),"Trumbull")</f>
        <v>Trumbull</v>
      </c>
      <c r="B82" s="100">
        <f>IFERROR(__xludf.DUMMYFUNCTION("""COMPUTED_VALUE"""),0.0675)</f>
        <v>0.0675</v>
      </c>
      <c r="C82" s="20"/>
      <c r="D82" s="20"/>
      <c r="E82" s="20"/>
      <c r="F82" s="20"/>
      <c r="G82" s="20"/>
      <c r="H82" s="20"/>
      <c r="I82" s="20"/>
      <c r="J82" s="20"/>
      <c r="K82" s="20"/>
      <c r="L82" s="20"/>
      <c r="M82" s="20"/>
      <c r="N82" s="20"/>
      <c r="O82" s="20"/>
      <c r="P82" s="20"/>
      <c r="Q82" s="20"/>
      <c r="R82" s="20"/>
      <c r="S82" s="20"/>
      <c r="T82" s="20"/>
      <c r="U82" s="20"/>
      <c r="V82" s="20"/>
      <c r="W82" s="20"/>
      <c r="X82" s="20"/>
      <c r="Y82" s="20"/>
      <c r="Z82" s="20"/>
    </row>
    <row r="83">
      <c r="A83" s="20" t="str">
        <f>IFERROR(__xludf.DUMMYFUNCTION("""COMPUTED_VALUE"""),"Tuscarawas")</f>
        <v>Tuscarawas</v>
      </c>
      <c r="B83" s="100">
        <f>IFERROR(__xludf.DUMMYFUNCTION("""COMPUTED_VALUE"""),0.0675)</f>
        <v>0.0675</v>
      </c>
      <c r="C83" s="20"/>
      <c r="D83" s="20"/>
      <c r="E83" s="20"/>
      <c r="F83" s="20"/>
      <c r="G83" s="20"/>
      <c r="H83" s="20"/>
      <c r="I83" s="20"/>
      <c r="J83" s="20"/>
      <c r="K83" s="20"/>
      <c r="L83" s="20"/>
      <c r="M83" s="20"/>
      <c r="N83" s="20"/>
      <c r="O83" s="20"/>
      <c r="P83" s="20"/>
      <c r="Q83" s="20"/>
      <c r="R83" s="20"/>
      <c r="S83" s="20"/>
      <c r="T83" s="20"/>
      <c r="U83" s="20"/>
      <c r="V83" s="20"/>
      <c r="W83" s="20"/>
      <c r="X83" s="20"/>
      <c r="Y83" s="20"/>
      <c r="Z83" s="20"/>
    </row>
    <row r="84">
      <c r="A84" s="20" t="str">
        <f>IFERROR(__xludf.DUMMYFUNCTION("""COMPUTED_VALUE"""),"Union")</f>
        <v>Union</v>
      </c>
      <c r="B84" s="100">
        <f>IFERROR(__xludf.DUMMYFUNCTION("""COMPUTED_VALUE"""),0.07)</f>
        <v>0.07</v>
      </c>
      <c r="C84" s="20"/>
      <c r="D84" s="20"/>
      <c r="E84" s="20"/>
      <c r="F84" s="20"/>
      <c r="G84" s="20"/>
      <c r="H84" s="20"/>
      <c r="I84" s="20"/>
      <c r="J84" s="20"/>
      <c r="K84" s="20"/>
      <c r="L84" s="20"/>
      <c r="M84" s="20"/>
      <c r="N84" s="20"/>
      <c r="O84" s="20"/>
      <c r="P84" s="20"/>
      <c r="Q84" s="20"/>
      <c r="R84" s="20"/>
      <c r="S84" s="20"/>
      <c r="T84" s="20"/>
      <c r="U84" s="20"/>
      <c r="V84" s="20"/>
      <c r="W84" s="20"/>
      <c r="X84" s="20"/>
      <c r="Y84" s="20"/>
      <c r="Z84" s="20"/>
    </row>
    <row r="85">
      <c r="A85" s="20" t="str">
        <f>IFERROR(__xludf.DUMMYFUNCTION("""COMPUTED_VALUE"""),"Union (COTA)")</f>
        <v>Union (COTA)</v>
      </c>
      <c r="B85" s="100">
        <f>IFERROR(__xludf.DUMMYFUNCTION("""COMPUTED_VALUE"""),0.075)</f>
        <v>0.075</v>
      </c>
      <c r="C85" s="20"/>
      <c r="D85" s="20"/>
      <c r="E85" s="20"/>
      <c r="F85" s="20"/>
      <c r="G85" s="20"/>
      <c r="H85" s="20"/>
      <c r="I85" s="20"/>
      <c r="J85" s="20"/>
      <c r="K85" s="20"/>
      <c r="L85" s="20"/>
      <c r="M85" s="20"/>
      <c r="N85" s="20"/>
      <c r="O85" s="20"/>
      <c r="P85" s="20"/>
      <c r="Q85" s="20"/>
      <c r="R85" s="20"/>
      <c r="S85" s="20"/>
      <c r="T85" s="20"/>
      <c r="U85" s="20"/>
      <c r="V85" s="20"/>
      <c r="W85" s="20"/>
      <c r="X85" s="20"/>
      <c r="Y85" s="20"/>
      <c r="Z85" s="20"/>
    </row>
    <row r="86">
      <c r="A86" s="20" t="str">
        <f>IFERROR(__xludf.DUMMYFUNCTION("""COMPUTED_VALUE"""),"Van Wert")</f>
        <v>Van Wert</v>
      </c>
      <c r="B86" s="100">
        <f>IFERROR(__xludf.DUMMYFUNCTION("""COMPUTED_VALUE"""),0.0725)</f>
        <v>0.0725</v>
      </c>
      <c r="C86" s="20"/>
      <c r="D86" s="20"/>
      <c r="E86" s="20"/>
      <c r="F86" s="20"/>
      <c r="G86" s="20"/>
      <c r="H86" s="20"/>
      <c r="I86" s="20"/>
      <c r="J86" s="20"/>
      <c r="K86" s="20"/>
      <c r="L86" s="20"/>
      <c r="M86" s="20"/>
      <c r="N86" s="20"/>
      <c r="O86" s="20"/>
      <c r="P86" s="20"/>
      <c r="Q86" s="20"/>
      <c r="R86" s="20"/>
      <c r="S86" s="20"/>
      <c r="T86" s="20"/>
      <c r="U86" s="20"/>
      <c r="V86" s="20"/>
      <c r="W86" s="20"/>
      <c r="X86" s="20"/>
      <c r="Y86" s="20"/>
      <c r="Z86" s="20"/>
    </row>
    <row r="87">
      <c r="A87" s="20" t="str">
        <f>IFERROR(__xludf.DUMMYFUNCTION("""COMPUTED_VALUE"""),"Vinton")</f>
        <v>Vinton</v>
      </c>
      <c r="B87" s="100">
        <f>IFERROR(__xludf.DUMMYFUNCTION("""COMPUTED_VALUE"""),0.0725)</f>
        <v>0.0725</v>
      </c>
      <c r="C87" s="20"/>
      <c r="D87" s="20"/>
      <c r="E87" s="20"/>
      <c r="F87" s="20"/>
      <c r="G87" s="20"/>
      <c r="H87" s="20"/>
      <c r="I87" s="20"/>
      <c r="J87" s="20"/>
      <c r="K87" s="20"/>
      <c r="L87" s="20"/>
      <c r="M87" s="20"/>
      <c r="N87" s="20"/>
      <c r="O87" s="20"/>
      <c r="P87" s="20"/>
      <c r="Q87" s="20"/>
      <c r="R87" s="20"/>
      <c r="S87" s="20"/>
      <c r="T87" s="20"/>
      <c r="U87" s="20"/>
      <c r="V87" s="20"/>
      <c r="W87" s="20"/>
      <c r="X87" s="20"/>
      <c r="Y87" s="20"/>
      <c r="Z87" s="20"/>
    </row>
    <row r="88">
      <c r="A88" s="20" t="str">
        <f>IFERROR(__xludf.DUMMYFUNCTION("""COMPUTED_VALUE"""),"Warren")</f>
        <v>Warren</v>
      </c>
      <c r="B88" s="100">
        <f>IFERROR(__xludf.DUMMYFUNCTION("""COMPUTED_VALUE"""),0.0675)</f>
        <v>0.0675</v>
      </c>
      <c r="C88" s="20"/>
      <c r="D88" s="20"/>
      <c r="E88" s="20"/>
      <c r="F88" s="20"/>
      <c r="G88" s="20"/>
      <c r="H88" s="20"/>
      <c r="I88" s="20"/>
      <c r="J88" s="20"/>
      <c r="K88" s="20"/>
      <c r="L88" s="20"/>
      <c r="M88" s="20"/>
      <c r="N88" s="20"/>
      <c r="O88" s="20"/>
      <c r="P88" s="20"/>
      <c r="Q88" s="20"/>
      <c r="R88" s="20"/>
      <c r="S88" s="20"/>
      <c r="T88" s="20"/>
      <c r="U88" s="20"/>
      <c r="V88" s="20"/>
      <c r="W88" s="20"/>
      <c r="X88" s="20"/>
      <c r="Y88" s="20"/>
      <c r="Z88" s="20"/>
    </row>
    <row r="89">
      <c r="A89" s="20" t="str">
        <f>IFERROR(__xludf.DUMMYFUNCTION("""COMPUTED_VALUE"""),"Washington")</f>
        <v>Washington</v>
      </c>
      <c r="B89" s="100">
        <f>IFERROR(__xludf.DUMMYFUNCTION("""COMPUTED_VALUE"""),0.0725)</f>
        <v>0.0725</v>
      </c>
      <c r="C89" s="20"/>
      <c r="D89" s="20"/>
      <c r="E89" s="20"/>
      <c r="F89" s="20"/>
      <c r="G89" s="20"/>
      <c r="H89" s="20"/>
      <c r="I89" s="20"/>
      <c r="J89" s="20"/>
      <c r="K89" s="20"/>
      <c r="L89" s="20"/>
      <c r="M89" s="20"/>
      <c r="N89" s="20"/>
      <c r="O89" s="20"/>
      <c r="P89" s="20"/>
      <c r="Q89" s="20"/>
      <c r="R89" s="20"/>
      <c r="S89" s="20"/>
      <c r="T89" s="20"/>
      <c r="U89" s="20"/>
      <c r="V89" s="20"/>
      <c r="W89" s="20"/>
      <c r="X89" s="20"/>
      <c r="Y89" s="20"/>
      <c r="Z89" s="20"/>
    </row>
    <row r="90">
      <c r="A90" s="20" t="str">
        <f>IFERROR(__xludf.DUMMYFUNCTION("""COMPUTED_VALUE"""),"Wayne")</f>
        <v>Wayne</v>
      </c>
      <c r="B90" s="100">
        <f>IFERROR(__xludf.DUMMYFUNCTION("""COMPUTED_VALUE"""),0.065)</f>
        <v>0.065</v>
      </c>
      <c r="C90" s="20"/>
      <c r="D90" s="20"/>
      <c r="E90" s="20"/>
      <c r="F90" s="20"/>
      <c r="G90" s="20"/>
      <c r="H90" s="20"/>
      <c r="I90" s="20"/>
      <c r="J90" s="20"/>
      <c r="K90" s="20"/>
      <c r="L90" s="20"/>
      <c r="M90" s="20"/>
      <c r="N90" s="20"/>
      <c r="O90" s="20"/>
      <c r="P90" s="20"/>
      <c r="Q90" s="20"/>
      <c r="R90" s="20"/>
      <c r="S90" s="20"/>
      <c r="T90" s="20"/>
      <c r="U90" s="20"/>
      <c r="V90" s="20"/>
      <c r="W90" s="20"/>
      <c r="X90" s="20"/>
      <c r="Y90" s="20"/>
      <c r="Z90" s="20"/>
    </row>
    <row r="91">
      <c r="A91" s="20" t="str">
        <f>IFERROR(__xludf.DUMMYFUNCTION("""COMPUTED_VALUE"""),"Williams")</f>
        <v>Williams</v>
      </c>
      <c r="B91" s="100">
        <f>IFERROR(__xludf.DUMMYFUNCTION("""COMPUTED_VALUE"""),0.0725)</f>
        <v>0.0725</v>
      </c>
      <c r="C91" s="20"/>
      <c r="D91" s="20"/>
      <c r="E91" s="20"/>
      <c r="F91" s="20"/>
      <c r="G91" s="20"/>
      <c r="H91" s="20"/>
      <c r="I91" s="20"/>
      <c r="J91" s="20"/>
      <c r="K91" s="20"/>
      <c r="L91" s="20"/>
      <c r="M91" s="20"/>
      <c r="N91" s="20"/>
      <c r="O91" s="20"/>
      <c r="P91" s="20"/>
      <c r="Q91" s="20"/>
      <c r="R91" s="20"/>
      <c r="S91" s="20"/>
      <c r="T91" s="20"/>
      <c r="U91" s="20"/>
      <c r="V91" s="20"/>
      <c r="W91" s="20"/>
      <c r="X91" s="20"/>
      <c r="Y91" s="20"/>
      <c r="Z91" s="20"/>
    </row>
    <row r="92">
      <c r="A92" s="20" t="str">
        <f>IFERROR(__xludf.DUMMYFUNCTION("""COMPUTED_VALUE"""),"Wood")</f>
        <v>Wood</v>
      </c>
      <c r="B92" s="100">
        <f>IFERROR(__xludf.DUMMYFUNCTION("""COMPUTED_VALUE"""),0.0675)</f>
        <v>0.0675</v>
      </c>
      <c r="C92" s="20"/>
      <c r="D92" s="20"/>
      <c r="E92" s="20"/>
      <c r="F92" s="20"/>
      <c r="G92" s="20"/>
      <c r="H92" s="20"/>
      <c r="I92" s="20"/>
      <c r="J92" s="20"/>
      <c r="K92" s="20"/>
      <c r="L92" s="20"/>
      <c r="M92" s="20"/>
      <c r="N92" s="20"/>
      <c r="O92" s="20"/>
      <c r="P92" s="20"/>
      <c r="Q92" s="20"/>
      <c r="R92" s="20"/>
      <c r="S92" s="20"/>
      <c r="T92" s="20"/>
      <c r="U92" s="20"/>
      <c r="V92" s="20"/>
      <c r="W92" s="20"/>
      <c r="X92" s="20"/>
      <c r="Y92" s="20"/>
      <c r="Z92" s="20"/>
    </row>
    <row r="93">
      <c r="A93" s="20" t="str">
        <f>IFERROR(__xludf.DUMMYFUNCTION("""COMPUTED_VALUE"""),"Wyandot")</f>
        <v>Wyandot</v>
      </c>
      <c r="B93" s="100">
        <f>IFERROR(__xludf.DUMMYFUNCTION("""COMPUTED_VALUE"""),0.0725)</f>
        <v>0.0725</v>
      </c>
      <c r="C93" s="20"/>
      <c r="D93" s="20"/>
      <c r="E93" s="20"/>
      <c r="F93" s="20"/>
      <c r="G93" s="20"/>
      <c r="H93" s="20"/>
      <c r="I93" s="20"/>
      <c r="J93" s="20"/>
      <c r="K93" s="20"/>
      <c r="L93" s="20"/>
      <c r="M93" s="20"/>
      <c r="N93" s="20"/>
      <c r="O93" s="20"/>
      <c r="P93" s="20"/>
      <c r="Q93" s="20"/>
      <c r="R93" s="20"/>
      <c r="S93" s="20"/>
      <c r="T93" s="20"/>
      <c r="U93" s="20"/>
      <c r="V93" s="20"/>
      <c r="W93" s="20"/>
      <c r="X93" s="20"/>
      <c r="Y93" s="20"/>
      <c r="Z93" s="20"/>
    </row>
    <row r="94">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row r="201">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row>
    <row r="202">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row>
    <row r="203">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row>
    <row r="204">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row>
    <row r="205">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row>
    <row r="206">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row>
    <row r="207">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row>
    <row r="208">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row>
    <row r="209">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row>
    <row r="210">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row>
    <row r="211">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row>
    <row r="212">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row>
    <row r="213">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row>
    <row r="214">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row>
    <row r="215">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row>
    <row r="216">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row>
    <row r="217">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row>
    <row r="218">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row>
    <row r="219">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row>
    <row r="220">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row>
    <row r="221">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row>
    <row r="222">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row>
    <row r="223">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row>
    <row r="224">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row>
    <row r="225">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row>
    <row r="226">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row>
    <row r="227">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row>
    <row r="228">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row>
    <row r="229">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row>
    <row r="230">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row>
    <row r="231">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row>
    <row r="232">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row>
    <row r="233">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row>
    <row r="234">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row>
    <row r="235">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row>
    <row r="236">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row>
    <row r="237">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row>
    <row r="238">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row>
    <row r="239">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row>
    <row r="240">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row>
    <row r="241">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row>
    <row r="242">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row>
    <row r="243">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row>
    <row r="244">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row>
    <row r="245">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row>
    <row r="246">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row>
    <row r="247">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row>
    <row r="248">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row>
    <row r="249">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row>
    <row r="250">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row>
    <row r="251">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row>
    <row r="252">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row>
    <row r="253">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row>
    <row r="254">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row>
    <row r="255">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row>
    <row r="256">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row>
    <row r="257">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row>
    <row r="258">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row>
    <row r="259">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row>
    <row r="260">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row>
    <row r="261">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row>
    <row r="262">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row>
    <row r="263">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row>
    <row r="264">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row>
    <row r="265">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row>
    <row r="266">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row>
    <row r="267">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row>
    <row r="268">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row>
    <row r="269">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row>
    <row r="270">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row>
    <row r="271">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row>
    <row r="272">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row>
    <row r="273">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row>
    <row r="274">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row>
    <row r="275">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row>
    <row r="276">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row>
    <row r="277">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row>
    <row r="278">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row>
    <row r="279">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row>
    <row r="280">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row>
    <row r="281">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row>
    <row r="282">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row>
    <row r="283">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row>
    <row r="284">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row>
    <row r="285">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row>
    <row r="286">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row>
    <row r="287">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row>
    <row r="288">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row>
    <row r="289">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row>
    <row r="290">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row>
    <row r="291">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row>
    <row r="292">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row>
    <row r="293">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row>
    <row r="294">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row>
    <row r="295">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row>
    <row r="296">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row>
    <row r="297">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row>
    <row r="298">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row>
    <row r="299">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row>
    <row r="300">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row>
    <row r="301">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row>
    <row r="302">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row>
    <row r="303">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row>
    <row r="304">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row>
    <row r="305">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row>
    <row r="306">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row>
    <row r="307">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row>
    <row r="308">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row>
    <row r="309">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row>
    <row r="310">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row>
    <row r="311">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row>
    <row r="312">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row>
    <row r="313">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row>
    <row r="314">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row>
    <row r="315">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row>
    <row r="316">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row>
    <row r="317">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row>
    <row r="318">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row>
    <row r="319">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row>
    <row r="320">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row>
    <row r="321">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row>
    <row r="322">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row>
    <row r="323">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row>
    <row r="324">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row>
    <row r="325">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row>
    <row r="326">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row>
    <row r="327">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row>
    <row r="328">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row>
    <row r="329">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row>
    <row r="330">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row>
    <row r="331">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row>
    <row r="332">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row>
    <row r="333">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row>
    <row r="334">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row>
    <row r="335">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row>
    <row r="336">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row>
    <row r="337">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row>
    <row r="338">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row>
    <row r="339">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row>
    <row r="340">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row>
    <row r="341">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row>
    <row r="342">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row>
    <row r="343">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row>
    <row r="344">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row>
    <row r="345">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row>
    <row r="346">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row>
    <row r="347">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row>
    <row r="348">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row>
    <row r="349">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row>
    <row r="350">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row>
    <row r="351">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row>
    <row r="352">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row>
    <row r="353">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row>
    <row r="354">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row>
    <row r="355">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row>
    <row r="356">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row>
    <row r="357">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row>
    <row r="358">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row>
    <row r="359">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row>
    <row r="360">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row>
    <row r="361">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row>
    <row r="362">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row>
    <row r="363">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row>
    <row r="364">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row>
    <row r="365">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row>
    <row r="366">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row>
    <row r="367">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row>
    <row r="368">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row>
    <row r="369">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row>
    <row r="370">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row>
    <row r="371">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row>
    <row r="372">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row>
    <row r="373">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row>
    <row r="374">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row>
    <row r="375">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row>
    <row r="376">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row>
    <row r="377">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row>
    <row r="378">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row>
    <row r="379">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row>
    <row r="380">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row>
    <row r="381">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row>
    <row r="382">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row>
    <row r="383">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row>
    <row r="384">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row>
    <row r="385">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row>
    <row r="386">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row>
    <row r="387">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row>
    <row r="388">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row>
    <row r="389">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row>
    <row r="390">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row>
    <row r="391">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row>
    <row r="392">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row>
    <row r="393">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row>
    <row r="394">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row>
    <row r="395">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row>
    <row r="396">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row>
    <row r="397">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row>
    <row r="398">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row>
    <row r="399">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row>
    <row r="400">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row>
    <row r="401">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row>
    <row r="402">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row>
    <row r="403">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row>
    <row r="404">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row>
    <row r="405">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row>
    <row r="406">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row>
    <row r="407">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row>
    <row r="408">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row>
    <row r="409">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row>
    <row r="410">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row>
    <row r="411">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row>
    <row r="412">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row>
    <row r="413">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row>
    <row r="414">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row>
    <row r="415">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row>
    <row r="416">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row>
    <row r="417">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row>
    <row r="418">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row>
    <row r="419">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row>
    <row r="420">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row>
    <row r="421">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row>
    <row r="422">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row>
    <row r="423">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row>
    <row r="424">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row>
    <row r="425">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row>
    <row r="426">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row>
    <row r="427">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row>
    <row r="428">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row>
    <row r="429">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row>
    <row r="430">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row>
    <row r="431">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row>
    <row r="432">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row>
    <row r="433">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row>
    <row r="434">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row>
    <row r="435">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row>
    <row r="436">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row>
    <row r="437">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row>
    <row r="438">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row>
    <row r="439">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row>
    <row r="440">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row>
    <row r="441">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row>
    <row r="442">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row>
    <row r="443">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row>
    <row r="444">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row>
    <row r="445">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row>
    <row r="446">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row>
    <row r="447">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row>
    <row r="448">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row>
    <row r="449">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row>
    <row r="450">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row>
    <row r="451">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row>
    <row r="452">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row>
    <row r="453">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row>
    <row r="454">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row>
    <row r="455">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row>
    <row r="456">
      <c r="A456" s="20"/>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row>
    <row r="457">
      <c r="A457" s="20"/>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row>
    <row r="458">
      <c r="A458" s="20"/>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row>
    <row r="459">
      <c r="A459" s="20"/>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row>
    <row r="460">
      <c r="A460" s="20"/>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row>
    <row r="461">
      <c r="A461" s="20"/>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row>
    <row r="462">
      <c r="A462" s="20"/>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row>
    <row r="463">
      <c r="A463" s="20"/>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row>
    <row r="464">
      <c r="A464" s="20"/>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row>
    <row r="465">
      <c r="A465" s="20"/>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row>
    <row r="466">
      <c r="A466" s="20"/>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row>
    <row r="467">
      <c r="A467" s="20"/>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row>
    <row r="468">
      <c r="A468" s="20"/>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row>
    <row r="469">
      <c r="A469" s="20"/>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row>
    <row r="470">
      <c r="A470" s="20"/>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row>
    <row r="471">
      <c r="A471" s="20"/>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row>
    <row r="472">
      <c r="A472" s="20"/>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row>
    <row r="473">
      <c r="A473" s="20"/>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row>
    <row r="474">
      <c r="A474" s="20"/>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row>
    <row r="475">
      <c r="A475" s="20"/>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row>
    <row r="476">
      <c r="A476" s="20"/>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row>
    <row r="477">
      <c r="A477" s="20"/>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row>
    <row r="478">
      <c r="A478" s="20"/>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row>
    <row r="479">
      <c r="A479" s="20"/>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row>
    <row r="480">
      <c r="A480" s="20"/>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row>
    <row r="481">
      <c r="A481" s="20"/>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row>
    <row r="482">
      <c r="A482" s="20"/>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row>
    <row r="483">
      <c r="A483" s="20"/>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row>
    <row r="484">
      <c r="A484" s="20"/>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row>
    <row r="485">
      <c r="A485" s="20"/>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row>
    <row r="486">
      <c r="A486" s="20"/>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row>
    <row r="487">
      <c r="A487" s="20"/>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row>
    <row r="488">
      <c r="A488" s="20"/>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row>
    <row r="489">
      <c r="A489" s="20"/>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row>
    <row r="490">
      <c r="A490" s="20"/>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row>
    <row r="491">
      <c r="A491" s="20"/>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row>
    <row r="492">
      <c r="A492" s="20"/>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row>
    <row r="493">
      <c r="A493" s="20"/>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row>
    <row r="494">
      <c r="A494" s="20"/>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row>
    <row r="495">
      <c r="A495" s="20"/>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row>
    <row r="496">
      <c r="A496" s="20"/>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row>
    <row r="497">
      <c r="A497" s="20"/>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row>
    <row r="498">
      <c r="A498" s="20"/>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row>
    <row r="499">
      <c r="A499" s="20"/>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row>
    <row r="500">
      <c r="A500" s="20"/>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row>
    <row r="501">
      <c r="A501" s="20"/>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row>
    <row r="502">
      <c r="A502" s="20"/>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row>
    <row r="503">
      <c r="A503" s="20"/>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row>
    <row r="504">
      <c r="A504" s="20"/>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row>
    <row r="505">
      <c r="A505" s="20"/>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row>
    <row r="506">
      <c r="A506" s="20"/>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row>
    <row r="507">
      <c r="A507" s="20"/>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row>
    <row r="508">
      <c r="A508" s="20"/>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row>
    <row r="509">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row>
    <row r="510">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row>
    <row r="511">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row>
    <row r="512">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row>
    <row r="513">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row>
    <row r="514">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row>
    <row r="515">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row>
    <row r="516">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row>
    <row r="517">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row>
    <row r="518">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row>
    <row r="519">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row>
    <row r="520">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row>
    <row r="521">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row>
    <row r="522">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row>
    <row r="523">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row>
    <row r="524">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row>
    <row r="525">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row>
    <row r="526">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row>
    <row r="527">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row>
    <row r="528">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row>
    <row r="529">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row>
    <row r="530">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row>
    <row r="531">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row>
    <row r="532">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row>
    <row r="533">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row>
    <row r="534">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row>
    <row r="535">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row>
    <row r="536">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row>
    <row r="537">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row>
    <row r="538">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row>
    <row r="539">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row>
    <row r="540">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row>
    <row r="541">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row>
    <row r="542">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row>
    <row r="543">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row>
    <row r="544">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row>
    <row r="545">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row>
    <row r="546">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row>
    <row r="547">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row>
    <row r="548">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row>
    <row r="549">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row>
    <row r="550">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row>
    <row r="551">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row>
    <row r="552">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row>
    <row r="553">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row>
    <row r="554">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row>
    <row r="555">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row>
    <row r="556">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row>
    <row r="557">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row>
    <row r="558">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row>
    <row r="559">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row>
    <row r="560">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row>
    <row r="561">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row>
    <row r="562">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row>
    <row r="563">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row>
    <row r="564">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row>
    <row r="565">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row>
    <row r="566">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row>
    <row r="567">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row>
    <row r="568">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row>
    <row r="569">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row>
    <row r="570">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row>
    <row r="571">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row>
    <row r="572">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row>
    <row r="573">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row>
    <row r="574">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row>
    <row r="575">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row>
    <row r="576">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row>
    <row r="577">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row>
    <row r="578">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row>
    <row r="579">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row>
    <row r="580">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row>
    <row r="581">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row>
    <row r="582">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row>
    <row r="583">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row>
    <row r="584">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row>
    <row r="585">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row>
    <row r="586">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row>
    <row r="587">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row>
    <row r="588">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row>
    <row r="589">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row>
    <row r="590">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row>
    <row r="591">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row>
    <row r="592">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row>
    <row r="593">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row>
    <row r="594">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row>
    <row r="595">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row>
    <row r="596">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row>
    <row r="597">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row>
    <row r="598">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row>
    <row r="599">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row>
    <row r="600">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row>
    <row r="601">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row>
    <row r="602">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row>
    <row r="603">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row>
    <row r="604">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row>
    <row r="605">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row>
    <row r="606">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row>
    <row r="607">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row>
    <row r="608">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row>
    <row r="609">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row>
    <row r="610">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row>
    <row r="611">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row>
    <row r="612">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row>
    <row r="613">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row>
    <row r="614">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row>
    <row r="615">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row>
    <row r="616">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row>
    <row r="617">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row>
    <row r="618">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row>
    <row r="619">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row>
    <row r="620">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row>
    <row r="621">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row>
    <row r="622">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row>
    <row r="623">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row>
    <row r="624">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row>
    <row r="625">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row>
    <row r="626">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row>
    <row r="627">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row>
    <row r="628">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row>
    <row r="629">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row>
    <row r="630">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row>
    <row r="631">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row>
    <row r="632">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row>
    <row r="633">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row>
    <row r="634">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row>
    <row r="635">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row>
    <row r="636">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row>
    <row r="637">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row>
    <row r="638">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row>
    <row r="639">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row>
    <row r="640">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row>
    <row r="641">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row>
    <row r="642">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row>
    <row r="643">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row>
    <row r="644">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row>
    <row r="645">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row>
    <row r="646">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row>
    <row r="647">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row>
    <row r="648">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row>
    <row r="649">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row>
    <row r="650">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row>
    <row r="651">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row>
    <row r="652">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row>
    <row r="653">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row>
    <row r="654">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row>
    <row r="655">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row>
    <row r="656">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row>
    <row r="657">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row>
    <row r="658">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row>
    <row r="659">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row>
    <row r="660">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row>
    <row r="661">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row>
    <row r="662">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row>
    <row r="663">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row>
    <row r="664">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row>
    <row r="665">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row>
    <row r="666">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row>
    <row r="667">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row>
    <row r="668">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row>
    <row r="669">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row>
    <row r="670">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row>
    <row r="671">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row>
    <row r="672">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row>
    <row r="673">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row>
    <row r="674">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row>
    <row r="675">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row>
    <row r="676">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row>
    <row r="677">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row>
    <row r="678">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row>
    <row r="679">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row>
    <row r="680">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row>
    <row r="681">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row>
    <row r="682">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row>
    <row r="683">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row>
    <row r="684">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row>
    <row r="685">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row>
    <row r="686">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row>
    <row r="687">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row>
    <row r="688">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row>
    <row r="689">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row>
    <row r="690">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row>
    <row r="691">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row>
    <row r="692">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row>
    <row r="693">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row>
    <row r="694">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row>
    <row r="695">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row>
    <row r="696">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row>
    <row r="697">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row>
    <row r="698">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row>
    <row r="699">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row>
    <row r="700">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row>
    <row r="701">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row>
    <row r="702">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row>
    <row r="703">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row>
    <row r="704">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row>
    <row r="705">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row>
    <row r="706">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row>
    <row r="707">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row>
    <row r="708">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row>
    <row r="709">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row>
    <row r="710">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row>
    <row r="711">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row>
    <row r="712">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row>
    <row r="713">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row>
    <row r="714">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row>
    <row r="715">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row>
    <row r="716">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row>
    <row r="717">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row>
    <row r="718">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row>
    <row r="719">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row>
    <row r="720">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row>
    <row r="721">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row>
    <row r="722">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row>
    <row r="723">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row>
    <row r="724">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row>
    <row r="725">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row>
    <row r="726">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row>
    <row r="727">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row>
    <row r="728">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row>
    <row r="729">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row>
    <row r="730">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row>
    <row r="731">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row>
    <row r="732">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row>
    <row r="733">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row>
    <row r="734">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row>
    <row r="735">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row>
    <row r="736">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row>
    <row r="737">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row>
    <row r="738">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row>
    <row r="739">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row>
    <row r="740">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row>
    <row r="741">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row>
    <row r="742">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row>
    <row r="743">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row>
    <row r="744">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row>
    <row r="745">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row>
    <row r="746">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row>
    <row r="747">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row>
    <row r="748">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row>
    <row r="749">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row>
    <row r="750">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row>
    <row r="751">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row>
    <row r="752">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row>
    <row r="753">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row>
    <row r="754">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row>
    <row r="755">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row>
    <row r="756">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row>
    <row r="757">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row>
    <row r="758">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row>
    <row r="759">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row>
    <row r="760">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row>
    <row r="761">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row>
    <row r="762">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row>
    <row r="763">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row>
    <row r="764">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row>
    <row r="765">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row>
    <row r="766">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row>
    <row r="767">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row>
    <row r="768">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row>
    <row r="769">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row>
    <row r="770">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row>
    <row r="771">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row>
    <row r="772">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row>
    <row r="773">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row>
    <row r="774">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row>
    <row r="775">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row>
    <row r="776">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row>
    <row r="777">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row>
    <row r="778">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row>
    <row r="779">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row>
    <row r="780">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row>
    <row r="781">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row>
    <row r="782">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row>
    <row r="783">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row>
    <row r="784">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row>
    <row r="785">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row>
    <row r="786">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row>
    <row r="787">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row>
    <row r="788">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row>
    <row r="789">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row>
    <row r="790">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row>
    <row r="791">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row>
    <row r="792">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row>
    <row r="793">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row>
    <row r="794">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row>
    <row r="795">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row>
    <row r="796">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row>
    <row r="797">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row>
    <row r="798">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row>
    <row r="799">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row>
    <row r="800">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row>
    <row r="801">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row>
    <row r="802">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row>
    <row r="803">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row>
    <row r="804">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row>
    <row r="805">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row>
    <row r="806">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row>
    <row r="807">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row>
    <row r="808">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row>
    <row r="809">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row>
    <row r="810">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row>
    <row r="811">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row>
    <row r="812">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row>
    <row r="813">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row>
    <row r="814">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row>
    <row r="815">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row>
    <row r="816">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row>
    <row r="817">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row>
    <row r="818">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row>
    <row r="819">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row>
    <row r="820">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row>
    <row r="821">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row>
    <row r="822">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row>
    <row r="823">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row>
    <row r="824">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row>
    <row r="825">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row>
    <row r="826">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row>
    <row r="827">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row>
    <row r="828">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row>
    <row r="829">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row>
    <row r="830">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row>
    <row r="831">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row>
    <row r="832">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row>
    <row r="833">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row>
    <row r="834">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row>
    <row r="835">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row>
    <row r="836">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row>
    <row r="837">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row>
    <row r="838">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row>
    <row r="839">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row>
    <row r="840">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row>
    <row r="841">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row>
    <row r="842">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row>
    <row r="843">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row>
    <row r="844">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row>
    <row r="845">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row>
    <row r="846">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row>
    <row r="847">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row>
    <row r="848">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row>
    <row r="849">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row>
    <row r="850">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row>
    <row r="851">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row>
    <row r="852">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row>
    <row r="853">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row>
    <row r="854">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row>
    <row r="855">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row>
    <row r="856">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row>
    <row r="857">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row>
    <row r="858">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row>
    <row r="859">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row>
    <row r="860">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row>
    <row r="861">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row>
    <row r="862">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row>
    <row r="863">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row>
    <row r="864">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row>
    <row r="865">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row>
    <row r="866">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row>
    <row r="867">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row>
    <row r="868">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row>
    <row r="869">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row>
    <row r="870">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row>
    <row r="871">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row>
    <row r="872">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row>
    <row r="873">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row>
    <row r="874">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row>
    <row r="875">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row>
    <row r="876">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row>
    <row r="877">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row>
    <row r="878">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row>
    <row r="879">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row>
    <row r="880">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row>
    <row r="881">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row>
    <row r="882">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row>
    <row r="883">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row>
    <row r="884">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row>
    <row r="885">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row>
    <row r="886">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row>
    <row r="887">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row>
    <row r="888">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row>
    <row r="889">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row>
    <row r="890">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row>
    <row r="891">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row>
    <row r="892">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row>
    <row r="893">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row>
    <row r="894">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row>
    <row r="895">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row>
    <row r="896">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row>
    <row r="897">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row>
    <row r="898">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row>
    <row r="899">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row>
    <row r="900">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row>
    <row r="901">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row>
    <row r="902">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row>
    <row r="903">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row>
    <row r="904">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row>
    <row r="905">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row>
    <row r="906">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row>
    <row r="907">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row>
    <row r="908">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row>
    <row r="909">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row>
    <row r="910">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row>
    <row r="911">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row>
    <row r="912">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row>
    <row r="913">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row>
    <row r="914">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row>
    <row r="915">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row>
    <row r="916">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row>
    <row r="917">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row>
    <row r="918">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row>
    <row r="919">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row>
    <row r="920">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row>
    <row r="921">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row>
    <row r="922">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row>
    <row r="923">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row>
    <row r="924">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row>
    <row r="925">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row>
    <row r="926">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row>
    <row r="927">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row>
    <row r="928">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row>
    <row r="929">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row>
    <row r="930">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row>
    <row r="931">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row>
    <row r="932">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row>
    <row r="933">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row>
    <row r="934">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row>
    <row r="935">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row>
    <row r="936">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row>
    <row r="937">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row>
    <row r="938">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row>
    <row r="939">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row>
    <row r="940">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row>
    <row r="941">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row>
    <row r="942">
      <c r="A942" s="20"/>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row>
    <row r="943">
      <c r="A943" s="20"/>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row>
    <row r="944">
      <c r="A944" s="20"/>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row>
    <row r="945">
      <c r="A945" s="20"/>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row>
    <row r="946">
      <c r="A946" s="20"/>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row>
    <row r="947">
      <c r="A947" s="20"/>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row>
    <row r="948">
      <c r="A948" s="20"/>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row>
    <row r="949">
      <c r="A949" s="20"/>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row>
    <row r="950">
      <c r="A950" s="20"/>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row>
    <row r="951">
      <c r="A951" s="20"/>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row>
    <row r="952">
      <c r="A952" s="20"/>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row>
    <row r="953">
      <c r="A953" s="20"/>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row>
    <row r="954">
      <c r="A954" s="20"/>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row>
    <row r="955">
      <c r="A955" s="20"/>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row>
    <row r="956">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row>
    <row r="957">
      <c r="A957" s="20"/>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row>
    <row r="958">
      <c r="A958" s="20"/>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row>
    <row r="959">
      <c r="A959" s="20"/>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row>
    <row r="960">
      <c r="A960" s="20"/>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row>
    <row r="961">
      <c r="A961" s="20"/>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row>
    <row r="962">
      <c r="A962" s="20"/>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row>
    <row r="963">
      <c r="A963" s="20"/>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row>
    <row r="964">
      <c r="A964" s="20"/>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row>
    <row r="965">
      <c r="A965" s="20"/>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row>
    <row r="966">
      <c r="A966" s="20"/>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row>
    <row r="967">
      <c r="A967" s="20"/>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row>
    <row r="968">
      <c r="A968" s="20"/>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row>
    <row r="969">
      <c r="A969" s="20"/>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row>
    <row r="970">
      <c r="A970" s="20"/>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row>
    <row r="971">
      <c r="A971" s="20"/>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row>
    <row r="972">
      <c r="A972" s="20"/>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row>
    <row r="973">
      <c r="A973" s="20"/>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row>
    <row r="974">
      <c r="A974" s="20"/>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row>
    <row r="975">
      <c r="A975" s="20"/>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row>
    <row r="976">
      <c r="A976" s="20"/>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row>
    <row r="977">
      <c r="A977" s="20"/>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row>
    <row r="978">
      <c r="A978" s="20"/>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row>
    <row r="979">
      <c r="A979" s="20"/>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row>
    <row r="980">
      <c r="A980" s="20"/>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row>
    <row r="981">
      <c r="A981" s="20"/>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row>
    <row r="982">
      <c r="A982" s="20"/>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row>
    <row r="983">
      <c r="A983" s="20"/>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row>
    <row r="984">
      <c r="A984" s="20"/>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row>
    <row r="985">
      <c r="A985" s="20"/>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row>
    <row r="986">
      <c r="A986" s="20"/>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row>
    <row r="987">
      <c r="A987" s="20"/>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row>
    <row r="988">
      <c r="A988" s="20"/>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row>
    <row r="989">
      <c r="A989" s="20"/>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row>
    <row r="990">
      <c r="A990" s="20"/>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row>
    <row r="991">
      <c r="A991" s="20"/>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row>
    <row r="992">
      <c r="A992" s="20"/>
      <c r="B992" s="20"/>
      <c r="C992" s="20"/>
      <c r="D992" s="20"/>
      <c r="E992" s="20"/>
      <c r="F992" s="20"/>
      <c r="G992" s="20"/>
      <c r="H992" s="20"/>
      <c r="I992" s="20"/>
      <c r="J992" s="20"/>
      <c r="K992" s="20"/>
      <c r="L992" s="20"/>
      <c r="M992" s="20"/>
      <c r="N992" s="20"/>
      <c r="O992" s="20"/>
      <c r="P992" s="20"/>
      <c r="Q992" s="20"/>
      <c r="R992" s="20"/>
      <c r="S992" s="20"/>
      <c r="T992" s="20"/>
      <c r="U992" s="20"/>
      <c r="V992" s="20"/>
      <c r="W992" s="20"/>
      <c r="X992" s="20"/>
      <c r="Y992" s="20"/>
      <c r="Z992" s="20"/>
    </row>
    <row r="993">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row>
    <row r="994">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row>
    <row r="995">
      <c r="A995" s="20"/>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row>
    <row r="996">
      <c r="A996" s="20"/>
      <c r="B996" s="20"/>
      <c r="C996" s="20"/>
      <c r="D996" s="20"/>
      <c r="E996" s="20"/>
      <c r="F996" s="20"/>
      <c r="G996" s="20"/>
      <c r="H996" s="20"/>
      <c r="I996" s="20"/>
      <c r="J996" s="20"/>
      <c r="K996" s="20"/>
      <c r="L996" s="20"/>
      <c r="M996" s="20"/>
      <c r="N996" s="20"/>
      <c r="O996" s="20"/>
      <c r="P996" s="20"/>
      <c r="Q996" s="20"/>
      <c r="R996" s="20"/>
      <c r="S996" s="20"/>
      <c r="T996" s="20"/>
      <c r="U996" s="20"/>
      <c r="V996" s="20"/>
      <c r="W996" s="20"/>
      <c r="X996" s="20"/>
      <c r="Y996" s="20"/>
      <c r="Z996" s="20"/>
    </row>
    <row r="997">
      <c r="A997" s="20"/>
      <c r="B997" s="20"/>
      <c r="C997" s="20"/>
      <c r="D997" s="20"/>
      <c r="E997" s="20"/>
      <c r="F997" s="20"/>
      <c r="G997" s="20"/>
      <c r="H997" s="20"/>
      <c r="I997" s="20"/>
      <c r="J997" s="20"/>
      <c r="K997" s="20"/>
      <c r="L997" s="20"/>
      <c r="M997" s="20"/>
      <c r="N997" s="20"/>
      <c r="O997" s="20"/>
      <c r="P997" s="20"/>
      <c r="Q997" s="20"/>
      <c r="R997" s="20"/>
      <c r="S997" s="20"/>
      <c r="T997" s="20"/>
      <c r="U997" s="20"/>
      <c r="V997" s="20"/>
      <c r="W997" s="20"/>
      <c r="X997" s="20"/>
      <c r="Y997" s="20"/>
      <c r="Z997" s="20"/>
    </row>
    <row r="998">
      <c r="A998" s="20"/>
      <c r="B998" s="20"/>
      <c r="C998" s="20"/>
      <c r="D998" s="20"/>
      <c r="E998" s="20"/>
      <c r="F998" s="20"/>
      <c r="G998" s="20"/>
      <c r="H998" s="20"/>
      <c r="I998" s="20"/>
      <c r="J998" s="20"/>
      <c r="K998" s="20"/>
      <c r="L998" s="20"/>
      <c r="M998" s="20"/>
      <c r="N998" s="20"/>
      <c r="O998" s="20"/>
      <c r="P998" s="20"/>
      <c r="Q998" s="20"/>
      <c r="R998" s="20"/>
      <c r="S998" s="20"/>
      <c r="T998" s="20"/>
      <c r="U998" s="20"/>
      <c r="V998" s="20"/>
      <c r="W998" s="20"/>
      <c r="X998" s="20"/>
      <c r="Y998" s="20"/>
      <c r="Z998" s="20"/>
    </row>
    <row r="999">
      <c r="A999" s="20"/>
      <c r="B999" s="20"/>
      <c r="C999" s="20"/>
      <c r="D999" s="20"/>
      <c r="E999" s="20"/>
      <c r="F999" s="20"/>
      <c r="G999" s="20"/>
      <c r="H999" s="20"/>
      <c r="I999" s="20"/>
      <c r="J999" s="20"/>
      <c r="K999" s="20"/>
      <c r="L999" s="20"/>
      <c r="M999" s="20"/>
      <c r="N999" s="20"/>
      <c r="O999" s="20"/>
      <c r="P999" s="20"/>
      <c r="Q999" s="20"/>
      <c r="R999" s="20"/>
      <c r="S999" s="20"/>
      <c r="T999" s="20"/>
      <c r="U999" s="20"/>
      <c r="V999" s="20"/>
      <c r="W999" s="20"/>
      <c r="X999" s="20"/>
      <c r="Y999" s="20"/>
      <c r="Z999" s="20"/>
    </row>
    <row r="1000">
      <c r="A1000" s="20"/>
      <c r="B1000" s="20"/>
      <c r="C1000" s="20"/>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88"/>
    <col customWidth="1" min="2" max="2" width="65.0"/>
    <col customWidth="1" min="3" max="3" width="59.5"/>
    <col customWidth="1" min="4" max="4" width="24.5"/>
    <col customWidth="1" min="5" max="5" width="21.88"/>
    <col customWidth="1" min="6" max="6" width="12.25"/>
  </cols>
  <sheetData>
    <row r="1">
      <c r="A1" s="101" t="s">
        <v>7695</v>
      </c>
      <c r="B1" s="102" t="s">
        <v>7696</v>
      </c>
      <c r="C1" s="103" t="str">
        <f> "Last Column " &amp; Checks!$D$10</f>
        <v>Last Column C</v>
      </c>
      <c r="D1" s="104" t="s">
        <v>7697</v>
      </c>
      <c r="E1" s="105" t="s">
        <v>7698</v>
      </c>
      <c r="F1" s="106" t="s">
        <v>7699</v>
      </c>
    </row>
    <row r="2" ht="167.25" customHeight="1">
      <c r="A2" s="107" t="s">
        <v>7700</v>
      </c>
      <c r="B2" s="108" t="s">
        <v>7701</v>
      </c>
      <c r="C2" s="109"/>
      <c r="D2" s="109" t="str">
        <f>IFERROR(__xludf.DUMMYFUNCTION("REGEXEXTRACT($A2,""([^/]+)/$"")"),"beavercreek")</f>
        <v>beavercreek</v>
      </c>
      <c r="E2" s="110" t="s">
        <v>7702</v>
      </c>
      <c r="F2" s="111">
        <v>48.0</v>
      </c>
      <c r="G2" s="112" t="s">
        <v>7703</v>
      </c>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113"/>
      <c r="BN2" s="113"/>
      <c r="BO2" s="113"/>
      <c r="BP2" s="113"/>
      <c r="BQ2" s="113"/>
      <c r="BR2" s="113"/>
      <c r="BS2" s="113"/>
      <c r="BT2" s="113"/>
      <c r="BU2" s="113"/>
      <c r="BV2" s="113"/>
      <c r="BW2" s="113"/>
      <c r="BX2" s="113"/>
      <c r="BY2" s="113"/>
      <c r="BZ2" s="113"/>
      <c r="CA2" s="113"/>
      <c r="CB2" s="113"/>
      <c r="CC2" s="113"/>
      <c r="CD2" s="113"/>
      <c r="CE2" s="113"/>
      <c r="CF2" s="113"/>
      <c r="CG2" s="113"/>
      <c r="CH2" s="113"/>
      <c r="CI2" s="113"/>
      <c r="CJ2" s="113"/>
      <c r="CK2" s="113"/>
      <c r="CL2" s="113"/>
      <c r="CM2" s="113"/>
      <c r="CN2" s="113"/>
      <c r="CO2" s="113"/>
      <c r="CP2" s="113"/>
      <c r="CQ2" s="113"/>
      <c r="CR2" s="113"/>
      <c r="CS2" s="113"/>
      <c r="CT2" s="113"/>
      <c r="CU2" s="113"/>
      <c r="CV2" s="113"/>
      <c r="CW2" s="113"/>
      <c r="CX2" s="113"/>
      <c r="CY2" s="113"/>
      <c r="CZ2" s="113"/>
      <c r="DA2" s="113"/>
      <c r="DB2" s="113"/>
      <c r="DC2" s="113"/>
      <c r="DD2" s="113"/>
      <c r="DE2" s="113"/>
      <c r="DF2" s="113"/>
      <c r="DG2" s="113"/>
      <c r="DH2" s="113"/>
      <c r="DI2" s="113"/>
      <c r="DJ2" s="113"/>
      <c r="DK2" s="113"/>
      <c r="DL2" s="113"/>
      <c r="DM2" s="113"/>
      <c r="DN2" s="113"/>
      <c r="DO2" s="113"/>
      <c r="DP2" s="113"/>
      <c r="DQ2" s="113"/>
      <c r="DR2" s="113"/>
      <c r="DS2" s="113"/>
      <c r="DT2" s="113"/>
      <c r="DU2" s="113"/>
      <c r="DV2" s="113"/>
      <c r="DW2" s="113"/>
      <c r="DX2" s="113"/>
      <c r="DY2" s="113"/>
      <c r="DZ2" s="113"/>
      <c r="EA2" s="113"/>
      <c r="EB2" s="113"/>
      <c r="EC2" s="113"/>
      <c r="ED2" s="113"/>
      <c r="EE2" s="113"/>
      <c r="EF2" s="113"/>
      <c r="EG2" s="113"/>
      <c r="EH2" s="113"/>
      <c r="EI2" s="113"/>
      <c r="EJ2" s="113"/>
      <c r="EK2" s="113"/>
      <c r="EL2" s="113"/>
      <c r="EM2" s="113"/>
      <c r="EN2" s="113"/>
      <c r="EO2" s="113"/>
      <c r="EP2" s="113"/>
      <c r="EQ2" s="113"/>
      <c r="ER2" s="113"/>
      <c r="ES2" s="113"/>
      <c r="ET2" s="113"/>
      <c r="EU2" s="113"/>
      <c r="EV2" s="113"/>
      <c r="EW2" s="113"/>
      <c r="EX2" s="113"/>
      <c r="EY2" s="113"/>
      <c r="EZ2" s="113"/>
      <c r="FA2" s="113"/>
      <c r="FB2" s="113"/>
      <c r="FC2" s="113"/>
      <c r="FD2" s="113"/>
      <c r="FE2" s="113"/>
      <c r="FF2" s="113"/>
      <c r="FG2" s="113"/>
      <c r="FH2" s="113"/>
      <c r="FI2" s="113"/>
      <c r="FJ2" s="113"/>
      <c r="FK2" s="113"/>
      <c r="FL2" s="113"/>
      <c r="FM2" s="113"/>
      <c r="FN2" s="113"/>
      <c r="FO2" s="113"/>
      <c r="FP2" s="113"/>
      <c r="FQ2" s="113"/>
      <c r="FR2" s="113"/>
      <c r="FS2" s="113"/>
      <c r="FT2" s="113"/>
      <c r="FU2" s="113"/>
      <c r="FV2" s="113"/>
      <c r="FW2" s="113"/>
      <c r="FX2" s="113"/>
      <c r="FY2" s="113"/>
      <c r="FZ2" s="113"/>
      <c r="GA2" s="113"/>
      <c r="GB2" s="113"/>
      <c r="GC2" s="113"/>
      <c r="GD2" s="113"/>
      <c r="GE2" s="113"/>
      <c r="GF2" s="113"/>
      <c r="GG2" s="113"/>
      <c r="GH2" s="113"/>
      <c r="GI2" s="113"/>
      <c r="GJ2" s="113"/>
      <c r="GK2" s="113"/>
      <c r="GL2" s="113"/>
      <c r="GM2" s="113"/>
      <c r="GN2" s="113"/>
      <c r="GO2" s="113"/>
      <c r="GP2" s="113"/>
      <c r="GQ2" s="113"/>
      <c r="GR2" s="113"/>
      <c r="GS2" s="113"/>
      <c r="GT2" s="113"/>
      <c r="GU2" s="113"/>
      <c r="GV2" s="113"/>
      <c r="GW2" s="113"/>
      <c r="GX2" s="113"/>
      <c r="GY2" s="113"/>
      <c r="GZ2" s="113"/>
      <c r="HA2" s="113"/>
      <c r="HB2" s="113"/>
      <c r="HC2" s="113"/>
      <c r="HD2" s="113"/>
      <c r="HE2" s="113"/>
      <c r="HF2" s="113"/>
      <c r="HG2" s="113"/>
      <c r="HH2" s="113"/>
      <c r="HI2" s="113"/>
      <c r="HJ2" s="113"/>
      <c r="HK2" s="113"/>
      <c r="HL2" s="113"/>
      <c r="HM2" s="113"/>
      <c r="HN2" s="113"/>
      <c r="HO2" s="113"/>
      <c r="HP2" s="113"/>
      <c r="HQ2" s="113"/>
      <c r="HR2" s="113"/>
      <c r="HS2" s="113"/>
      <c r="HT2" s="113"/>
      <c r="HU2" s="113"/>
      <c r="HV2" s="113"/>
      <c r="HW2" s="113"/>
      <c r="HX2" s="113"/>
      <c r="HY2" s="113"/>
      <c r="HZ2" s="113"/>
      <c r="IA2" s="113"/>
      <c r="IB2" s="113"/>
      <c r="IC2" s="113"/>
      <c r="ID2" s="113"/>
      <c r="IE2" s="113"/>
      <c r="IF2" s="113"/>
      <c r="IG2" s="113"/>
      <c r="IH2" s="113"/>
      <c r="II2" s="113"/>
      <c r="IJ2" s="113"/>
      <c r="IK2" s="113"/>
      <c r="IL2" s="113"/>
      <c r="IM2" s="113"/>
      <c r="IN2" s="113"/>
      <c r="IO2" s="113"/>
      <c r="IP2" s="113"/>
      <c r="IQ2" s="113"/>
      <c r="IR2" s="113"/>
      <c r="IS2" s="113"/>
      <c r="IT2" s="113"/>
      <c r="IU2" s="113"/>
      <c r="IV2" s="113"/>
      <c r="IW2" s="113"/>
      <c r="IX2" s="113"/>
      <c r="IY2" s="113"/>
      <c r="IZ2" s="113"/>
      <c r="JA2" s="113"/>
      <c r="JB2" s="113"/>
      <c r="JC2" s="113"/>
      <c r="JD2" s="113"/>
      <c r="JE2" s="113"/>
      <c r="JF2" s="113"/>
      <c r="JG2" s="113"/>
      <c r="JH2" s="113"/>
      <c r="JI2" s="113"/>
      <c r="JJ2" s="113"/>
      <c r="JK2" s="113"/>
      <c r="JL2" s="113"/>
      <c r="JM2" s="113"/>
      <c r="JN2" s="113"/>
      <c r="JO2" s="113"/>
      <c r="JP2" s="113"/>
      <c r="JQ2" s="113"/>
      <c r="JR2" s="113"/>
      <c r="JS2" s="113"/>
      <c r="JT2" s="113"/>
      <c r="JU2" s="113"/>
      <c r="JV2" s="113"/>
      <c r="JW2" s="113"/>
      <c r="JX2" s="113"/>
      <c r="JY2" s="113"/>
      <c r="JZ2" s="113"/>
      <c r="KA2" s="113"/>
      <c r="KB2" s="113"/>
      <c r="KC2" s="113"/>
      <c r="KD2" s="113"/>
      <c r="KE2" s="113"/>
      <c r="KF2" s="113"/>
      <c r="KG2" s="113"/>
      <c r="KH2" s="113"/>
      <c r="KI2" s="113"/>
      <c r="KJ2" s="113"/>
      <c r="KK2" s="113"/>
      <c r="KL2" s="113"/>
      <c r="KM2" s="113"/>
    </row>
    <row r="3" ht="167.25" customHeight="1">
      <c r="A3" s="107" t="s">
        <v>7704</v>
      </c>
      <c r="B3" s="108" t="s">
        <v>7705</v>
      </c>
      <c r="C3" s="109"/>
      <c r="D3" s="109" t="str">
        <f>IFERROR(__xludf.DUMMYFUNCTION("REGEXEXTRACT($A3,""([^/]+)/$"")"),"bellefontaine")</f>
        <v>bellefontaine</v>
      </c>
      <c r="E3" s="110" t="s">
        <v>7706</v>
      </c>
      <c r="F3" s="111">
        <v>68.0</v>
      </c>
    </row>
    <row r="4" ht="167.25" customHeight="1">
      <c r="A4" s="107" t="s">
        <v>7707</v>
      </c>
      <c r="B4" s="108" t="s">
        <v>7708</v>
      </c>
      <c r="C4" s="113"/>
      <c r="D4" s="109" t="str">
        <f>IFERROR(__xludf.DUMMYFUNCTION("REGEXEXTRACT($A4,""([^/]+)/$"")"),"centerville")</f>
        <v>centerville</v>
      </c>
      <c r="E4" s="110" t="s">
        <v>7709</v>
      </c>
      <c r="F4" s="111">
        <v>60.0</v>
      </c>
    </row>
    <row r="5" ht="167.25" customHeight="1">
      <c r="A5" s="107" t="s">
        <v>7710</v>
      </c>
      <c r="B5" s="108" t="s">
        <v>7711</v>
      </c>
      <c r="C5" s="113"/>
      <c r="D5" s="109" t="str">
        <f>IFERROR(__xludf.DUMMYFUNCTION("REGEXEXTRACT($A5,""([^/]+)/$"")"),"clearcreek")</f>
        <v>clearcreek</v>
      </c>
      <c r="E5" s="110" t="s">
        <v>7712</v>
      </c>
      <c r="F5" s="111">
        <v>50.0</v>
      </c>
    </row>
    <row r="6" ht="167.25" customHeight="1">
      <c r="A6" s="107" t="s">
        <v>7713</v>
      </c>
      <c r="B6" s="114" t="s">
        <v>7714</v>
      </c>
      <c r="C6" s="113"/>
      <c r="D6" s="109" t="str">
        <f>IFERROR(__xludf.DUMMYFUNCTION("REGEXEXTRACT($A6,""([^/]+)/$"")"),"columbus")</f>
        <v>columbus</v>
      </c>
      <c r="E6" s="110" t="s">
        <v>7715</v>
      </c>
      <c r="F6" s="111">
        <v>49.0</v>
      </c>
    </row>
    <row r="7" ht="167.25" customHeight="1">
      <c r="A7" s="107" t="s">
        <v>7716</v>
      </c>
      <c r="B7" s="108" t="s">
        <v>7717</v>
      </c>
      <c r="C7" s="113"/>
      <c r="D7" s="109" t="str">
        <f>IFERROR(__xludf.DUMMYFUNCTION("REGEXEXTRACT($A7,""([^/]+)/$"")"),"dayton")</f>
        <v>dayton</v>
      </c>
      <c r="E7" s="110" t="s">
        <v>7718</v>
      </c>
      <c r="F7" s="111">
        <v>50.0</v>
      </c>
    </row>
    <row r="8" ht="167.25" customHeight="1">
      <c r="A8" s="107" t="s">
        <v>7719</v>
      </c>
      <c r="B8" s="108" t="s">
        <v>7720</v>
      </c>
      <c r="C8" s="113"/>
      <c r="D8" s="109" t="str">
        <f>IFERROR(__xludf.DUMMYFUNCTION("REGEXEXTRACT($A8,""([^/]+)/$"")"),"delaware")</f>
        <v>delaware</v>
      </c>
      <c r="E8" s="110" t="s">
        <v>7721</v>
      </c>
      <c r="F8" s="111">
        <v>40.0</v>
      </c>
    </row>
    <row r="9" ht="167.25" customHeight="1">
      <c r="A9" s="107" t="s">
        <v>7722</v>
      </c>
      <c r="B9" s="108" t="s">
        <v>7723</v>
      </c>
      <c r="C9" s="113"/>
      <c r="D9" s="109" t="str">
        <f>IFERROR(__xludf.DUMMYFUNCTION("REGEXEXTRACT($A9,""([^/]+)/$"")"),"dublin")</f>
        <v>dublin</v>
      </c>
      <c r="E9" s="110" t="s">
        <v>7724</v>
      </c>
      <c r="F9" s="111">
        <v>42.0</v>
      </c>
    </row>
    <row r="10" ht="167.25" customHeight="1">
      <c r="A10" s="107" t="s">
        <v>7725</v>
      </c>
      <c r="B10" s="108" t="s">
        <v>7726</v>
      </c>
      <c r="C10" s="113"/>
      <c r="D10" s="109" t="str">
        <f>IFERROR(__xludf.DUMMYFUNCTION("REGEXEXTRACT($A10,""([^/]+)/$"")"),"fairborn")</f>
        <v>fairborn</v>
      </c>
      <c r="E10" s="110" t="s">
        <v>7727</v>
      </c>
      <c r="F10" s="111">
        <v>44.0</v>
      </c>
    </row>
    <row r="11" ht="167.25" customHeight="1">
      <c r="A11" s="107" t="s">
        <v>7728</v>
      </c>
      <c r="B11" s="108" t="s">
        <v>7729</v>
      </c>
      <c r="C11" s="113"/>
      <c r="D11" s="109" t="str">
        <f>IFERROR(__xludf.DUMMYFUNCTION("REGEXEXTRACT($A11,""([^/]+)/$"")"),"findlay")</f>
        <v>findlay</v>
      </c>
      <c r="E11" s="110" t="s">
        <v>7706</v>
      </c>
      <c r="F11" s="111">
        <v>68.0</v>
      </c>
    </row>
    <row r="12" ht="167.25" customHeight="1">
      <c r="A12" s="107" t="s">
        <v>7730</v>
      </c>
      <c r="B12" s="108" t="s">
        <v>7731</v>
      </c>
      <c r="C12" s="113"/>
      <c r="D12" s="109" t="str">
        <f>IFERROR(__xludf.DUMMYFUNCTION("REGEXEXTRACT($A12,""([^/]+)/$"")"),"fairfield")</f>
        <v>fairfield</v>
      </c>
      <c r="E12" s="110" t="s">
        <v>7732</v>
      </c>
      <c r="F12" s="111">
        <v>58.0</v>
      </c>
    </row>
    <row r="13" ht="167.25" customHeight="1">
      <c r="A13" s="107" t="s">
        <v>7733</v>
      </c>
      <c r="B13" s="108" t="s">
        <v>7734</v>
      </c>
      <c r="C13" s="113"/>
      <c r="D13" s="109" t="str">
        <f>IFERROR(__xludf.DUMMYFUNCTION("REGEXEXTRACT($A13,""([^/]+)/$"")"),"galloway")</f>
        <v>galloway</v>
      </c>
      <c r="E13" s="110" t="s">
        <v>7735</v>
      </c>
      <c r="F13" s="111">
        <v>36.0</v>
      </c>
    </row>
    <row r="14" ht="167.25" customHeight="1">
      <c r="A14" s="107" t="s">
        <v>7736</v>
      </c>
      <c r="B14" s="108" t="s">
        <v>7737</v>
      </c>
      <c r="C14" s="113"/>
      <c r="D14" s="109" t="str">
        <f>IFERROR(__xludf.DUMMYFUNCTION("REGEXEXTRACT($A14,""([^/]+)/$"")"),"grove-city")</f>
        <v>grove-city</v>
      </c>
      <c r="E14" s="110" t="s">
        <v>7738</v>
      </c>
      <c r="F14" s="111">
        <v>46.0</v>
      </c>
    </row>
    <row r="15" ht="167.25" customHeight="1">
      <c r="A15" s="107" t="s">
        <v>7739</v>
      </c>
      <c r="B15" s="108" t="s">
        <v>7740</v>
      </c>
      <c r="C15" s="113"/>
      <c r="D15" s="109" t="str">
        <f>IFERROR(__xludf.DUMMYFUNCTION("REGEXEXTRACT($A15,""([^/]+)/$"")"),"hamilton")</f>
        <v>hamilton</v>
      </c>
      <c r="E15" s="110" t="s">
        <v>7741</v>
      </c>
      <c r="F15" s="111">
        <v>76.0</v>
      </c>
    </row>
    <row r="16" ht="167.25" customHeight="1">
      <c r="A16" s="107" t="s">
        <v>7742</v>
      </c>
      <c r="B16" s="108" t="s">
        <v>7743</v>
      </c>
      <c r="C16" s="113"/>
      <c r="D16" s="109" t="str">
        <f>IFERROR(__xludf.DUMMYFUNCTION("REGEXEXTRACT($A16,""([^/]+)/$"")"),"hilliard")</f>
        <v>hilliard</v>
      </c>
      <c r="E16" s="110" t="s">
        <v>7721</v>
      </c>
      <c r="F16" s="111">
        <v>40.0</v>
      </c>
    </row>
    <row r="17" ht="167.25" customHeight="1">
      <c r="A17" s="107" t="s">
        <v>7744</v>
      </c>
      <c r="B17" s="108" t="s">
        <v>7745</v>
      </c>
      <c r="C17" s="113"/>
      <c r="D17" s="109" t="str">
        <f>IFERROR(__xludf.DUMMYFUNCTION("REGEXEXTRACT($A17,""([^/]+)/$"")"),"huber-heights")</f>
        <v>huber-heights</v>
      </c>
      <c r="E17" s="110" t="s">
        <v>7746</v>
      </c>
      <c r="F17" s="111">
        <v>46.0</v>
      </c>
    </row>
    <row r="18" ht="167.25" customHeight="1">
      <c r="A18" s="107" t="s">
        <v>7747</v>
      </c>
      <c r="B18" s="108" t="s">
        <v>7748</v>
      </c>
      <c r="C18" s="113"/>
      <c r="D18" s="109" t="str">
        <f>IFERROR(__xludf.DUMMYFUNCTION("REGEXEXTRACT($A18,""([^/]+)/$"")"),"kettering")</f>
        <v>kettering</v>
      </c>
      <c r="E18" s="110" t="s">
        <v>7749</v>
      </c>
      <c r="F18" s="111">
        <v>54.0</v>
      </c>
    </row>
    <row r="19" ht="167.25" customHeight="1">
      <c r="A19" s="107" t="s">
        <v>7750</v>
      </c>
      <c r="B19" s="108" t="s">
        <v>7751</v>
      </c>
      <c r="C19" s="113"/>
      <c r="D19" s="109" t="str">
        <f>IFERROR(__xludf.DUMMYFUNCTION("REGEXEXTRACT($A19,""([^/]+)/$"")"),"lima")</f>
        <v>lima</v>
      </c>
      <c r="E19" s="110" t="s">
        <v>7752</v>
      </c>
      <c r="F19" s="111">
        <v>58.0</v>
      </c>
    </row>
    <row r="20" ht="167.25" customHeight="1">
      <c r="A20" s="107" t="s">
        <v>7753</v>
      </c>
      <c r="B20" s="108" t="s">
        <v>7754</v>
      </c>
      <c r="C20" s="113"/>
      <c r="D20" s="109" t="str">
        <f>IFERROR(__xludf.DUMMYFUNCTION("REGEXEXTRACT($A20,""([^/]+)/$"")"),"london")</f>
        <v>london</v>
      </c>
      <c r="E20" s="110" t="s">
        <v>7755</v>
      </c>
      <c r="F20" s="111">
        <v>40.0</v>
      </c>
    </row>
    <row r="21" ht="167.25" customHeight="1">
      <c r="A21" s="107" t="s">
        <v>7756</v>
      </c>
      <c r="B21" s="108" t="s">
        <v>7757</v>
      </c>
      <c r="C21" s="113"/>
      <c r="D21" s="109" t="str">
        <f>IFERROR(__xludf.DUMMYFUNCTION("REGEXEXTRACT($A21,""([^/]+)/$"")"),"marion")</f>
        <v>marion</v>
      </c>
      <c r="E21" s="110" t="s">
        <v>7758</v>
      </c>
      <c r="F21" s="111">
        <v>48.0</v>
      </c>
    </row>
    <row r="22" ht="167.25" customHeight="1">
      <c r="A22" s="107" t="s">
        <v>7759</v>
      </c>
      <c r="B22" s="108" t="s">
        <v>7760</v>
      </c>
      <c r="C22" s="113"/>
      <c r="D22" s="109" t="str">
        <f>IFERROR(__xludf.DUMMYFUNCTION("REGEXEXTRACT($A22,""([^/]+)/$"")"),"marysville")</f>
        <v>marysville</v>
      </c>
      <c r="E22" s="110" t="s">
        <v>7761</v>
      </c>
      <c r="F22" s="111">
        <v>42.0</v>
      </c>
    </row>
    <row r="23" ht="167.25" customHeight="1">
      <c r="A23" s="107" t="s">
        <v>7762</v>
      </c>
      <c r="B23" s="108" t="s">
        <v>7763</v>
      </c>
      <c r="C23" s="113"/>
      <c r="D23" s="109" t="str">
        <f>IFERROR(__xludf.DUMMYFUNCTION("REGEXEXTRACT($A23,""([^/]+)/$"")"),"mason")</f>
        <v>mason</v>
      </c>
      <c r="E23" s="110" t="s">
        <v>7764</v>
      </c>
      <c r="F23" s="111">
        <v>62.0</v>
      </c>
    </row>
    <row r="24" ht="167.25" customHeight="1">
      <c r="A24" s="107" t="s">
        <v>7765</v>
      </c>
      <c r="B24" s="108" t="s">
        <v>7766</v>
      </c>
      <c r="C24" s="113"/>
      <c r="D24" s="109" t="str">
        <f>IFERROR(__xludf.DUMMYFUNCTION("REGEXEXTRACT($A24,""([^/]+)/$"")"),"miamisburg")</f>
        <v>miamisburg</v>
      </c>
      <c r="E24" s="110" t="s">
        <v>7702</v>
      </c>
      <c r="F24" s="111">
        <v>48.0</v>
      </c>
    </row>
    <row r="25" ht="167.25" customHeight="1">
      <c r="A25" s="107" t="s">
        <v>7767</v>
      </c>
      <c r="B25" s="115" t="s">
        <v>7768</v>
      </c>
      <c r="C25" s="113"/>
      <c r="D25" s="109" t="str">
        <f>IFERROR(__xludf.DUMMYFUNCTION("REGEXEXTRACT($A25,""([^/]+)/$"")"),"middletown")</f>
        <v>middletown</v>
      </c>
      <c r="E25" s="110" t="s">
        <v>7702</v>
      </c>
      <c r="F25" s="111">
        <v>48.0</v>
      </c>
    </row>
    <row r="26" ht="167.25" customHeight="1">
      <c r="A26" s="107" t="s">
        <v>7769</v>
      </c>
      <c r="B26" s="108" t="s">
        <v>7770</v>
      </c>
      <c r="C26" s="113"/>
      <c r="D26" s="109" t="str">
        <f>IFERROR(__xludf.DUMMYFUNCTION("REGEXEXTRACT($A26,""([^/]+)/$"")"),"perrysburg")</f>
        <v>perrysburg</v>
      </c>
      <c r="E26" s="110" t="s">
        <v>7758</v>
      </c>
      <c r="F26" s="111">
        <v>48.0</v>
      </c>
    </row>
    <row r="27" ht="167.25" customHeight="1">
      <c r="A27" s="107" t="s">
        <v>7771</v>
      </c>
      <c r="B27" s="108" t="s">
        <v>7772</v>
      </c>
      <c r="C27" s="113"/>
      <c r="D27" s="109" t="str">
        <f>IFERROR(__xludf.DUMMYFUNCTION("REGEXEXTRACT($A27,""([^/]+)/$"")"),"piqua")</f>
        <v>piqua</v>
      </c>
      <c r="E27" s="110" t="s">
        <v>7712</v>
      </c>
      <c r="F27" s="111">
        <v>50.0</v>
      </c>
    </row>
    <row r="28" ht="167.25" customHeight="1">
      <c r="A28" s="107" t="s">
        <v>7773</v>
      </c>
      <c r="B28" s="108" t="s">
        <v>7774</v>
      </c>
      <c r="C28" s="113"/>
      <c r="D28" s="109" t="str">
        <f>IFERROR(__xludf.DUMMYFUNCTION("REGEXEXTRACT($A28,""([^/]+)/$"")"),"plain-city")</f>
        <v>plain-city</v>
      </c>
      <c r="E28" s="110" t="s">
        <v>7775</v>
      </c>
      <c r="F28" s="111">
        <v>50.0</v>
      </c>
    </row>
    <row r="29" ht="167.25" customHeight="1">
      <c r="A29" s="107" t="s">
        <v>7776</v>
      </c>
      <c r="B29" s="108" t="s">
        <v>7777</v>
      </c>
      <c r="C29" s="113"/>
      <c r="D29" s="109" t="str">
        <f>IFERROR(__xludf.DUMMYFUNCTION("REGEXEXTRACT($A29,""([^/]+)/$"")"),"powell")</f>
        <v>powell</v>
      </c>
      <c r="E29" s="110" t="s">
        <v>7778</v>
      </c>
      <c r="F29" s="111">
        <v>38.0</v>
      </c>
    </row>
    <row r="30" ht="167.25" customHeight="1">
      <c r="A30" s="107" t="s">
        <v>7779</v>
      </c>
      <c r="B30" s="108" t="s">
        <v>7780</v>
      </c>
      <c r="C30" s="113"/>
      <c r="D30" s="109" t="str">
        <f>IFERROR(__xludf.DUMMYFUNCTION("REGEXEXTRACT($A30,""([^/]+)/$"")"),"sandusky")</f>
        <v>sandusky</v>
      </c>
      <c r="E30" s="110" t="s">
        <v>7781</v>
      </c>
      <c r="F30" s="111">
        <v>56.0</v>
      </c>
    </row>
    <row r="31" ht="167.25" customHeight="1">
      <c r="A31" s="107" t="s">
        <v>7782</v>
      </c>
      <c r="B31" s="115" t="s">
        <v>7783</v>
      </c>
      <c r="C31" s="113"/>
      <c r="D31" s="109" t="str">
        <f>IFERROR(__xludf.DUMMYFUNCTION("REGEXEXTRACT($A31,""([^/]+)/$"")"),"sidney")</f>
        <v>sidney</v>
      </c>
      <c r="E31" s="110" t="s">
        <v>7784</v>
      </c>
      <c r="F31" s="111">
        <v>40.0</v>
      </c>
    </row>
    <row r="32" ht="167.25" customHeight="1">
      <c r="A32" s="107" t="s">
        <v>7785</v>
      </c>
      <c r="B32" s="108" t="s">
        <v>7786</v>
      </c>
      <c r="C32" s="113"/>
      <c r="D32" s="109" t="str">
        <f>IFERROR(__xludf.DUMMYFUNCTION("REGEXEXTRACT($A32,""([^/]+)/$"")"),"springfield")</f>
        <v>springfield</v>
      </c>
      <c r="E32" s="110" t="s">
        <v>7787</v>
      </c>
      <c r="F32" s="111">
        <v>56.0</v>
      </c>
    </row>
    <row r="33" ht="167.25" customHeight="1">
      <c r="A33" s="107" t="s">
        <v>7788</v>
      </c>
      <c r="B33" s="108" t="s">
        <v>7789</v>
      </c>
      <c r="C33" s="113"/>
      <c r="D33" s="109" t="str">
        <f>IFERROR(__xludf.DUMMYFUNCTION("REGEXEXTRACT($A33,""([^/]+)/$"")"),"tipp-city")</f>
        <v>tipp-city</v>
      </c>
      <c r="E33" s="110" t="s">
        <v>7718</v>
      </c>
      <c r="F33" s="111">
        <v>50.0</v>
      </c>
    </row>
    <row r="34" ht="167.25" customHeight="1">
      <c r="A34" s="107" t="s">
        <v>7790</v>
      </c>
      <c r="B34" s="108" t="s">
        <v>7791</v>
      </c>
      <c r="C34" s="113"/>
      <c r="D34" s="109" t="str">
        <f>IFERROR(__xludf.DUMMYFUNCTION("REGEXEXTRACT($A34,""([^/]+)/$"")"),"sylvania")</f>
        <v>sylvania</v>
      </c>
      <c r="E34" s="110" t="s">
        <v>7738</v>
      </c>
      <c r="F34" s="111">
        <v>46.0</v>
      </c>
    </row>
    <row r="35" ht="167.25" customHeight="1">
      <c r="A35" s="107" t="s">
        <v>7792</v>
      </c>
      <c r="B35" s="108" t="s">
        <v>7793</v>
      </c>
      <c r="C35" s="113"/>
      <c r="D35" s="109" t="str">
        <f>IFERROR(__xludf.DUMMYFUNCTION("REGEXEXTRACT($A35,""([^/]+)/$"")"),"trotwood")</f>
        <v>trotwood</v>
      </c>
      <c r="E35" s="110" t="s">
        <v>7794</v>
      </c>
      <c r="F35" s="111">
        <v>46.0</v>
      </c>
    </row>
    <row r="36" ht="167.25" customHeight="1">
      <c r="A36" s="107" t="s">
        <v>7795</v>
      </c>
      <c r="B36" s="108" t="s">
        <v>7796</v>
      </c>
      <c r="C36" s="113"/>
      <c r="D36" s="109" t="str">
        <f>IFERROR(__xludf.DUMMYFUNCTION("REGEXEXTRACT($A36,""([^/]+)/$"")"),"troy")</f>
        <v>troy</v>
      </c>
      <c r="E36" s="110" t="s">
        <v>7712</v>
      </c>
      <c r="F36" s="111">
        <v>50.0</v>
      </c>
    </row>
    <row r="37" ht="167.25" customHeight="1">
      <c r="A37" s="107" t="s">
        <v>7797</v>
      </c>
      <c r="B37" s="108" t="s">
        <v>7798</v>
      </c>
      <c r="C37" s="113"/>
      <c r="D37" s="109" t="str">
        <f>IFERROR(__xludf.DUMMYFUNCTION("REGEXEXTRACT($A37,""([^/]+)/$"")"),"upper-arlington")</f>
        <v>upper-arlington</v>
      </c>
      <c r="E37" s="110" t="s">
        <v>7794</v>
      </c>
      <c r="F37" s="111">
        <v>46.0</v>
      </c>
    </row>
    <row r="38" ht="167.25" customHeight="1">
      <c r="A38" s="107" t="s">
        <v>7799</v>
      </c>
      <c r="B38" s="108" t="s">
        <v>7800</v>
      </c>
      <c r="C38" s="113"/>
      <c r="D38" s="109" t="str">
        <f>IFERROR(__xludf.DUMMYFUNCTION("REGEXEXTRACT($A38,""([^/]+)/$"")"),"urbana")</f>
        <v>urbana</v>
      </c>
      <c r="E38" s="110" t="s">
        <v>7718</v>
      </c>
      <c r="F38" s="111">
        <v>50.0</v>
      </c>
    </row>
    <row r="39" ht="167.25" customHeight="1">
      <c r="A39" s="107" t="s">
        <v>7801</v>
      </c>
      <c r="B39" s="108" t="s">
        <v>7802</v>
      </c>
      <c r="C39" s="113"/>
      <c r="D39" s="109" t="str">
        <f>IFERROR(__xludf.DUMMYFUNCTION("REGEXEXTRACT($A39,""([^/]+)/$"")"),"washington-court-house")</f>
        <v>washington-court-house</v>
      </c>
      <c r="E39" s="110" t="s">
        <v>7803</v>
      </c>
      <c r="F39" s="111">
        <v>60.0</v>
      </c>
    </row>
    <row r="40" ht="167.25" customHeight="1">
      <c r="A40" s="107" t="s">
        <v>7804</v>
      </c>
      <c r="B40" s="108" t="s">
        <v>7805</v>
      </c>
      <c r="C40" s="113"/>
      <c r="D40" s="109" t="str">
        <f>IFERROR(__xludf.DUMMYFUNCTION("REGEXEXTRACT($A40,""([^/]+)/$"")"),"westerville")</f>
        <v>westerville</v>
      </c>
      <c r="E40" s="110" t="s">
        <v>7702</v>
      </c>
      <c r="F40" s="111">
        <v>48.0</v>
      </c>
    </row>
    <row r="41" ht="167.25" customHeight="1">
      <c r="A41" s="107" t="s">
        <v>7806</v>
      </c>
      <c r="B41" s="108" t="s">
        <v>7807</v>
      </c>
      <c r="C41" s="113"/>
      <c r="D41" s="109" t="str">
        <f>IFERROR(__xludf.DUMMYFUNCTION("REGEXEXTRACT($A41,""([^/]+)/$"")"),"west-carrollton")</f>
        <v>west-carrollton</v>
      </c>
      <c r="E41" s="110" t="s">
        <v>7764</v>
      </c>
      <c r="F41" s="111">
        <v>62.0</v>
      </c>
    </row>
    <row r="42" ht="167.25" customHeight="1">
      <c r="A42" s="107" t="s">
        <v>7808</v>
      </c>
      <c r="B42" s="115" t="s">
        <v>7809</v>
      </c>
      <c r="C42" s="113"/>
      <c r="D42" s="109" t="str">
        <f>IFERROR(__xludf.DUMMYFUNCTION("REGEXEXTRACT($A42,""([^/]+)/$"")"),"west-jefferson")</f>
        <v>west-jefferson</v>
      </c>
      <c r="E42" s="110" t="s">
        <v>7778</v>
      </c>
      <c r="F42" s="111">
        <v>38.0</v>
      </c>
    </row>
    <row r="43" ht="167.25" customHeight="1">
      <c r="A43" s="107" t="s">
        <v>7810</v>
      </c>
      <c r="B43" s="108" t="s">
        <v>7811</v>
      </c>
      <c r="C43" s="113"/>
      <c r="D43" s="109" t="str">
        <f>IFERROR(__xludf.DUMMYFUNCTION("REGEXEXTRACT($A43,""([^/]+)/$"")"),"worthington")</f>
        <v>worthington</v>
      </c>
      <c r="E43" s="110" t="s">
        <v>7812</v>
      </c>
      <c r="F43" s="111">
        <v>52.0</v>
      </c>
    </row>
    <row r="44" ht="167.25" customHeight="1">
      <c r="A44" s="107" t="s">
        <v>7813</v>
      </c>
      <c r="B44" s="116" t="s">
        <v>7814</v>
      </c>
      <c r="C44" s="113"/>
      <c r="D44" s="117" t="str">
        <f>IFERROR(__xludf.DUMMYFUNCTION("REGEXEXTRACT($A44,""([^/]+)/$"")"),"millwest.com")</f>
        <v>millwest.com</v>
      </c>
      <c r="E44" s="110" t="s">
        <v>7815</v>
      </c>
      <c r="F44" s="111">
        <v>11.0</v>
      </c>
    </row>
    <row r="45" ht="167.25" customHeight="1">
      <c r="A45" s="107" t="s">
        <v>7816</v>
      </c>
      <c r="B45" s="108" t="s">
        <v>7817</v>
      </c>
      <c r="C45" s="113"/>
      <c r="D45" s="109" t="str">
        <f>IFERROR(__xludf.DUMMYFUNCTION("REGEXEXTRACT($A45,""([^/]+)/$"")"),"bowling-green")</f>
        <v>bowling-green</v>
      </c>
      <c r="E45" s="110" t="s">
        <v>7818</v>
      </c>
      <c r="F45" s="111">
        <v>58.0</v>
      </c>
    </row>
    <row r="46" ht="167.25" customHeight="1">
      <c r="A46" s="107" t="s">
        <v>7819</v>
      </c>
      <c r="B46" s="108" t="s">
        <v>7820</v>
      </c>
      <c r="C46" s="113"/>
      <c r="D46" s="109" t="str">
        <f>IFERROR(__xludf.DUMMYFUNCTION("REGEXEXTRACT($A46,""([^/]+)/$"")"),"cincinnati")</f>
        <v>cincinnati</v>
      </c>
      <c r="E46" s="110" t="s">
        <v>7706</v>
      </c>
      <c r="F46" s="111">
        <v>68.0</v>
      </c>
    </row>
    <row r="47" ht="798.75" customHeight="1">
      <c r="A47" s="107" t="s">
        <v>7821</v>
      </c>
      <c r="B47" s="71" t="s">
        <v>7822</v>
      </c>
      <c r="C47" s="113"/>
      <c r="D47" s="109" t="str">
        <f>IFERROR(__xludf.DUMMYFUNCTION("REGEXEXTRACT($A47,""([^/]+)/$"")"),"#N/A")</f>
        <v>#N/A</v>
      </c>
      <c r="E47" s="110"/>
      <c r="F47" s="111">
        <v>0.0</v>
      </c>
    </row>
    <row r="48" ht="798.75" customHeight="1">
      <c r="A48" s="107" t="s">
        <v>7823</v>
      </c>
      <c r="B48" s="71" t="s">
        <v>7824</v>
      </c>
      <c r="C48" s="113"/>
      <c r="D48" s="109" t="str">
        <f>IFERROR(__xludf.DUMMYFUNCTION("REGEXEXTRACT($A48,""([^/]+)/$"")"),"outdoor-furniture")</f>
        <v>outdoor-furniture</v>
      </c>
      <c r="E48" s="110" t="s">
        <v>7825</v>
      </c>
      <c r="F48" s="111">
        <v>52.0</v>
      </c>
    </row>
    <row r="49" ht="798.75" customHeight="1">
      <c r="A49" s="107" t="s">
        <v>7826</v>
      </c>
      <c r="B49" s="71" t="s">
        <v>7827</v>
      </c>
      <c r="C49" s="113"/>
      <c r="D49" s="109"/>
      <c r="E49" s="110" t="s">
        <v>7825</v>
      </c>
      <c r="F49" s="111">
        <v>52.0</v>
      </c>
    </row>
    <row r="50" ht="798.75" customHeight="1">
      <c r="A50" s="107" t="s">
        <v>7828</v>
      </c>
      <c r="B50" s="71" t="s">
        <v>7829</v>
      </c>
      <c r="C50" s="113"/>
      <c r="D50" s="109" t="str">
        <f>IFERROR(__xludf.DUMMYFUNCTION("REGEXEXTRACT($A50,""([^/]+)/$"")"),"outdoor-furniture")</f>
        <v>outdoor-furniture</v>
      </c>
      <c r="E50" s="110" t="s">
        <v>7830</v>
      </c>
      <c r="F50" s="111">
        <v>60.0</v>
      </c>
    </row>
    <row r="51" ht="798.75" customHeight="1">
      <c r="A51" s="107" t="s">
        <v>7831</v>
      </c>
      <c r="B51" s="108" t="s">
        <v>7832</v>
      </c>
      <c r="C51" s="113"/>
      <c r="D51" s="109" t="str">
        <f>IFERROR(__xludf.DUMMYFUNCTION("REGEXEXTRACT($A51,""([^/]+)/$"")"),"toledo")</f>
        <v>toledo</v>
      </c>
      <c r="E51" s="110" t="s">
        <v>7758</v>
      </c>
      <c r="F51" s="111">
        <v>48.0</v>
      </c>
    </row>
    <row r="52" ht="798.75" customHeight="1">
      <c r="A52" s="107" t="s">
        <v>7833</v>
      </c>
      <c r="B52" s="71" t="s">
        <v>7834</v>
      </c>
      <c r="C52" s="113"/>
      <c r="D52" s="109" t="str">
        <f>IFERROR(__xludf.DUMMYFUNCTION("REGEXEXTRACT($A52,""([^/]+)/$"")"),"outdoor-furniture")</f>
        <v>outdoor-furniture</v>
      </c>
      <c r="E52" s="110" t="s">
        <v>7835</v>
      </c>
      <c r="F52" s="111">
        <v>44.0</v>
      </c>
    </row>
    <row r="53" ht="798.75" customHeight="1">
      <c r="A53" s="107" t="s">
        <v>7836</v>
      </c>
      <c r="B53" s="71" t="s">
        <v>7837</v>
      </c>
      <c r="C53" s="113"/>
      <c r="D53" s="109"/>
      <c r="E53" s="110" t="s">
        <v>7838</v>
      </c>
      <c r="F53" s="111">
        <v>56.0</v>
      </c>
    </row>
    <row r="54" ht="798.75" customHeight="1">
      <c r="A54" s="118" t="s">
        <v>7839</v>
      </c>
      <c r="B54" s="71" t="s">
        <v>7840</v>
      </c>
      <c r="C54" s="113"/>
      <c r="D54" s="109"/>
      <c r="E54" s="110" t="s">
        <v>7841</v>
      </c>
      <c r="F54" s="111">
        <v>46.0</v>
      </c>
    </row>
    <row r="55" ht="798.75" customHeight="1">
      <c r="A55" s="118" t="s">
        <v>7842</v>
      </c>
      <c r="B55" s="71" t="s">
        <v>7843</v>
      </c>
      <c r="C55" s="113"/>
      <c r="D55" s="109"/>
      <c r="E55" s="110" t="s">
        <v>7844</v>
      </c>
      <c r="F55" s="111">
        <v>48.0</v>
      </c>
    </row>
    <row r="56" ht="798.75" customHeight="1">
      <c r="A56" s="118" t="s">
        <v>7845</v>
      </c>
      <c r="B56" s="71" t="s">
        <v>7846</v>
      </c>
      <c r="C56" s="113"/>
      <c r="D56" s="109"/>
      <c r="E56" s="110" t="s">
        <v>7825</v>
      </c>
      <c r="F56" s="111">
        <v>52.0</v>
      </c>
    </row>
    <row r="57" ht="798.75" customHeight="1">
      <c r="A57" s="118" t="s">
        <v>7847</v>
      </c>
      <c r="B57" s="71" t="s">
        <v>7848</v>
      </c>
      <c r="C57" s="113"/>
      <c r="D57" s="109"/>
      <c r="E57" s="110" t="s">
        <v>7849</v>
      </c>
      <c r="F57" s="111">
        <v>63.0</v>
      </c>
    </row>
    <row r="58" ht="798.75" customHeight="1">
      <c r="A58" s="118" t="s">
        <v>7850</v>
      </c>
      <c r="B58" s="71" t="s">
        <v>7851</v>
      </c>
      <c r="C58" s="113"/>
      <c r="D58" s="109"/>
      <c r="E58" s="110" t="s">
        <v>7852</v>
      </c>
      <c r="F58" s="111">
        <v>73.0</v>
      </c>
    </row>
    <row r="59" ht="798.75" customHeight="1">
      <c r="A59" s="118" t="s">
        <v>7853</v>
      </c>
      <c r="B59" s="71" t="s">
        <v>7854</v>
      </c>
      <c r="C59" s="113"/>
      <c r="D59" s="109"/>
      <c r="E59" s="110" t="s">
        <v>7855</v>
      </c>
      <c r="F59" s="111">
        <v>55.0</v>
      </c>
    </row>
    <row r="60" ht="798.75" customHeight="1">
      <c r="A60" s="118" t="s">
        <v>7856</v>
      </c>
      <c r="B60" s="71" t="s">
        <v>7857</v>
      </c>
      <c r="C60" s="113"/>
      <c r="D60" s="109"/>
      <c r="E60" s="110" t="s">
        <v>7858</v>
      </c>
      <c r="F60" s="111">
        <v>44.0</v>
      </c>
    </row>
    <row r="61" ht="798.75" customHeight="1">
      <c r="A61" s="118" t="s">
        <v>7859</v>
      </c>
      <c r="B61" s="71" t="s">
        <v>7860</v>
      </c>
      <c r="C61" s="113"/>
      <c r="D61" s="109"/>
      <c r="E61" s="110" t="s">
        <v>7861</v>
      </c>
      <c r="F61" s="111">
        <v>64.0</v>
      </c>
    </row>
    <row r="62" ht="798.75" customHeight="1">
      <c r="A62" s="118" t="s">
        <v>7862</v>
      </c>
      <c r="B62" s="71" t="s">
        <v>7863</v>
      </c>
      <c r="C62" s="113"/>
      <c r="D62" s="109"/>
      <c r="E62" s="110" t="s">
        <v>7864</v>
      </c>
      <c r="F62" s="111">
        <v>50.0</v>
      </c>
    </row>
    <row r="63" ht="798.75" customHeight="1">
      <c r="A63" s="118" t="s">
        <v>7865</v>
      </c>
      <c r="B63" s="71" t="s">
        <v>7866</v>
      </c>
      <c r="C63" s="113"/>
      <c r="D63" s="109"/>
      <c r="E63" s="110" t="s">
        <v>7867</v>
      </c>
      <c r="F63" s="111">
        <v>48.0</v>
      </c>
    </row>
    <row r="64" ht="798.75" customHeight="1">
      <c r="A64" s="118" t="s">
        <v>7868</v>
      </c>
      <c r="B64" s="71" t="s">
        <v>7869</v>
      </c>
      <c r="C64" s="113"/>
      <c r="D64" s="109"/>
      <c r="E64" s="110" t="s">
        <v>7870</v>
      </c>
      <c r="F64" s="111">
        <v>50.0</v>
      </c>
    </row>
    <row r="65" ht="798.75" customHeight="1">
      <c r="A65" s="118" t="s">
        <v>7871</v>
      </c>
      <c r="B65" s="71" t="s">
        <v>7872</v>
      </c>
      <c r="C65" s="113"/>
      <c r="D65" s="109"/>
      <c r="E65" s="110" t="s">
        <v>7873</v>
      </c>
      <c r="F65" s="111">
        <v>64.0</v>
      </c>
    </row>
    <row r="66" ht="798.75" customHeight="1">
      <c r="A66" s="118" t="s">
        <v>7874</v>
      </c>
      <c r="B66" s="71" t="s">
        <v>7875</v>
      </c>
      <c r="C66" s="113"/>
      <c r="D66" s="109"/>
      <c r="E66" s="110" t="s">
        <v>7876</v>
      </c>
      <c r="F66" s="111">
        <v>42.0</v>
      </c>
    </row>
    <row r="67" ht="798.75" customHeight="1">
      <c r="A67" s="118" t="s">
        <v>7877</v>
      </c>
      <c r="B67" s="71" t="s">
        <v>7878</v>
      </c>
      <c r="C67" s="113"/>
      <c r="D67" s="109"/>
      <c r="E67" s="110" t="s">
        <v>7844</v>
      </c>
      <c r="F67" s="111">
        <v>48.0</v>
      </c>
    </row>
    <row r="68" ht="798.75" customHeight="1">
      <c r="A68" s="118" t="s">
        <v>7879</v>
      </c>
      <c r="B68" s="71" t="s">
        <v>7880</v>
      </c>
      <c r="C68" s="113"/>
      <c r="D68" s="109"/>
      <c r="E68" s="110" t="s">
        <v>7881</v>
      </c>
      <c r="F68" s="111">
        <v>56.0</v>
      </c>
    </row>
    <row r="69" ht="798.75" customHeight="1">
      <c r="A69" s="118" t="s">
        <v>7882</v>
      </c>
      <c r="B69" s="71" t="s">
        <v>7883</v>
      </c>
      <c r="C69" s="113"/>
      <c r="D69" s="109"/>
      <c r="E69" s="110" t="s">
        <v>7884</v>
      </c>
      <c r="F69" s="111">
        <v>52.0</v>
      </c>
    </row>
    <row r="70" ht="798.75" customHeight="1">
      <c r="A70" s="118" t="s">
        <v>7885</v>
      </c>
      <c r="B70" s="71" t="s">
        <v>7886</v>
      </c>
      <c r="C70" s="113"/>
      <c r="D70" s="109"/>
      <c r="E70" s="110" t="s">
        <v>7867</v>
      </c>
      <c r="F70" s="111">
        <v>48.0</v>
      </c>
    </row>
    <row r="71" ht="798.75" customHeight="1">
      <c r="A71" s="118" t="s">
        <v>7887</v>
      </c>
      <c r="B71" s="71" t="s">
        <v>7888</v>
      </c>
      <c r="C71" s="113"/>
      <c r="D71" s="109"/>
      <c r="E71" s="110" t="s">
        <v>7889</v>
      </c>
      <c r="F71" s="111">
        <v>50.0</v>
      </c>
    </row>
    <row r="72" ht="798.75" customHeight="1">
      <c r="A72" s="118" t="s">
        <v>7890</v>
      </c>
      <c r="B72" s="71" t="s">
        <v>7891</v>
      </c>
      <c r="C72" s="113"/>
      <c r="D72" s="109"/>
      <c r="E72" s="110" t="s">
        <v>7867</v>
      </c>
      <c r="F72" s="111">
        <v>48.0</v>
      </c>
    </row>
    <row r="73" ht="798.75" customHeight="1">
      <c r="A73" s="118" t="s">
        <v>7892</v>
      </c>
      <c r="B73" s="71" t="s">
        <v>7893</v>
      </c>
      <c r="C73" s="113"/>
      <c r="D73" s="109"/>
      <c r="E73" s="110" t="s">
        <v>7884</v>
      </c>
      <c r="F73" s="111">
        <v>52.0</v>
      </c>
    </row>
    <row r="74" ht="798.75" customHeight="1">
      <c r="A74" s="118" t="s">
        <v>7894</v>
      </c>
      <c r="B74" s="22" t="s">
        <v>7895</v>
      </c>
      <c r="C74" s="113"/>
      <c r="D74" s="109"/>
      <c r="E74" s="110" t="s">
        <v>7838</v>
      </c>
      <c r="F74" s="111">
        <v>56.0</v>
      </c>
    </row>
    <row r="75" ht="798.75" customHeight="1">
      <c r="A75" s="118" t="s">
        <v>7896</v>
      </c>
      <c r="B75" s="71" t="s">
        <v>7897</v>
      </c>
      <c r="C75" s="113"/>
      <c r="D75" s="109"/>
      <c r="E75" s="110" t="s">
        <v>7867</v>
      </c>
      <c r="F75" s="111">
        <v>48.0</v>
      </c>
    </row>
    <row r="76" ht="798.75" customHeight="1">
      <c r="A76" s="118" t="s">
        <v>7898</v>
      </c>
      <c r="B76" s="22" t="s">
        <v>7899</v>
      </c>
      <c r="C76" s="113"/>
      <c r="D76" s="109"/>
      <c r="E76" s="110" t="s">
        <v>7825</v>
      </c>
      <c r="F76" s="111">
        <v>52.0</v>
      </c>
    </row>
    <row r="77" ht="798.75" customHeight="1">
      <c r="A77" s="118" t="s">
        <v>7900</v>
      </c>
      <c r="B77" s="71" t="s">
        <v>7901</v>
      </c>
      <c r="C77" s="113"/>
      <c r="D77" s="109"/>
      <c r="E77" s="110" t="s">
        <v>7902</v>
      </c>
      <c r="F77" s="111">
        <v>54.0</v>
      </c>
    </row>
    <row r="78" ht="798.75" customHeight="1">
      <c r="A78" s="118" t="s">
        <v>7903</v>
      </c>
      <c r="B78" s="71" t="s">
        <v>7904</v>
      </c>
      <c r="C78" s="113"/>
      <c r="D78" s="109"/>
      <c r="E78" s="110" t="s">
        <v>7905</v>
      </c>
      <c r="F78" s="111">
        <v>52.0</v>
      </c>
    </row>
    <row r="79" ht="798.75" customHeight="1">
      <c r="A79" s="118" t="s">
        <v>7906</v>
      </c>
      <c r="B79" s="71" t="s">
        <v>7907</v>
      </c>
      <c r="C79" s="113"/>
      <c r="D79" s="109"/>
      <c r="E79" s="110" t="s">
        <v>7908</v>
      </c>
      <c r="F79" s="111">
        <v>62.0</v>
      </c>
    </row>
    <row r="80" ht="798.75" customHeight="1">
      <c r="A80" s="118" t="s">
        <v>7909</v>
      </c>
      <c r="B80" s="71" t="s">
        <v>7910</v>
      </c>
      <c r="C80" s="113"/>
      <c r="D80" s="109"/>
      <c r="E80" s="110" t="s">
        <v>7841</v>
      </c>
      <c r="F80" s="111">
        <v>46.0</v>
      </c>
    </row>
    <row r="81" ht="798.75" customHeight="1">
      <c r="A81" s="118" t="s">
        <v>7911</v>
      </c>
      <c r="B81" s="71" t="s">
        <v>7912</v>
      </c>
      <c r="C81" s="113"/>
      <c r="D81" s="109"/>
      <c r="E81" s="110" t="s">
        <v>7867</v>
      </c>
      <c r="F81" s="111">
        <v>48.0</v>
      </c>
    </row>
    <row r="82" ht="798.75" customHeight="1">
      <c r="A82" s="118" t="s">
        <v>7913</v>
      </c>
      <c r="B82" s="71" t="s">
        <v>7914</v>
      </c>
      <c r="C82" s="113"/>
      <c r="D82" s="109"/>
      <c r="E82" s="110" t="s">
        <v>7915</v>
      </c>
      <c r="F82" s="111">
        <v>70.0</v>
      </c>
    </row>
    <row r="83" ht="798.75" customHeight="1">
      <c r="A83" s="118" t="s">
        <v>7916</v>
      </c>
      <c r="B83" s="71" t="s">
        <v>7917</v>
      </c>
      <c r="C83" s="113"/>
      <c r="D83" s="109"/>
      <c r="E83" s="110" t="s">
        <v>7884</v>
      </c>
      <c r="F83" s="111">
        <v>52.0</v>
      </c>
    </row>
    <row r="84" ht="798.75" customHeight="1">
      <c r="A84" s="118" t="s">
        <v>7918</v>
      </c>
      <c r="B84" s="71" t="s">
        <v>7919</v>
      </c>
      <c r="C84" s="113"/>
      <c r="D84" s="109"/>
      <c r="E84" s="110" t="s">
        <v>7864</v>
      </c>
      <c r="F84" s="111">
        <v>50.0</v>
      </c>
    </row>
    <row r="85" ht="798.75" customHeight="1">
      <c r="A85" s="118" t="s">
        <v>7920</v>
      </c>
      <c r="B85" s="71" t="s">
        <v>7921</v>
      </c>
      <c r="C85" s="113"/>
      <c r="D85" s="109"/>
      <c r="E85" s="110" t="s">
        <v>7922</v>
      </c>
      <c r="F85" s="111">
        <v>51.0</v>
      </c>
    </row>
    <row r="86" ht="798.75" customHeight="1">
      <c r="A86" s="118" t="s">
        <v>7923</v>
      </c>
      <c r="B86" s="71" t="s">
        <v>7924</v>
      </c>
      <c r="C86" s="113"/>
      <c r="D86" s="109"/>
      <c r="E86" s="110" t="s">
        <v>7925</v>
      </c>
      <c r="F86" s="111">
        <v>46.0</v>
      </c>
    </row>
    <row r="87" ht="798.75" customHeight="1">
      <c r="A87" s="118" t="s">
        <v>7926</v>
      </c>
      <c r="B87" s="71" t="s">
        <v>7927</v>
      </c>
      <c r="C87" s="113"/>
      <c r="D87" s="109"/>
      <c r="E87" s="110" t="s">
        <v>7858</v>
      </c>
      <c r="F87" s="111">
        <v>44.0</v>
      </c>
    </row>
    <row r="88" ht="798.75" customHeight="1">
      <c r="A88" s="118" t="s">
        <v>7928</v>
      </c>
      <c r="B88" s="71" t="s">
        <v>7929</v>
      </c>
      <c r="C88" s="113"/>
      <c r="D88" s="109"/>
      <c r="E88" s="110" t="s">
        <v>7930</v>
      </c>
      <c r="F88" s="111">
        <v>48.0</v>
      </c>
    </row>
    <row r="89" ht="798.75" customHeight="1">
      <c r="A89" s="118" t="s">
        <v>7931</v>
      </c>
      <c r="B89" s="71" t="s">
        <v>7932</v>
      </c>
      <c r="C89" s="113"/>
      <c r="D89" s="109"/>
      <c r="E89" s="110" t="s">
        <v>7933</v>
      </c>
      <c r="F89" s="111">
        <v>49.0</v>
      </c>
    </row>
    <row r="90" ht="798.75" customHeight="1">
      <c r="A90" s="118" t="s">
        <v>7934</v>
      </c>
      <c r="B90" s="71" t="s">
        <v>7935</v>
      </c>
      <c r="C90" s="113"/>
      <c r="D90" s="109"/>
      <c r="E90" s="110" t="s">
        <v>7881</v>
      </c>
      <c r="F90" s="111">
        <v>56.0</v>
      </c>
    </row>
    <row r="91" ht="798.75" customHeight="1">
      <c r="A91" s="118" t="s">
        <v>7936</v>
      </c>
      <c r="B91" s="71" t="s">
        <v>7937</v>
      </c>
      <c r="C91" s="113"/>
      <c r="D91" s="109"/>
      <c r="E91" s="110" t="s">
        <v>7938</v>
      </c>
      <c r="F91" s="111">
        <v>46.0</v>
      </c>
    </row>
    <row r="92" ht="798.75" customHeight="1">
      <c r="A92" s="118" t="s">
        <v>7939</v>
      </c>
      <c r="B92" s="71" t="s">
        <v>7940</v>
      </c>
      <c r="C92" s="113"/>
      <c r="D92" s="109"/>
      <c r="E92" s="110" t="s">
        <v>7844</v>
      </c>
      <c r="F92" s="111">
        <v>48.0</v>
      </c>
    </row>
    <row r="93" ht="798.75" customHeight="1">
      <c r="A93" s="119" t="s">
        <v>7941</v>
      </c>
      <c r="B93" s="74" t="s">
        <v>7942</v>
      </c>
      <c r="C93" s="113"/>
      <c r="D93" s="109" t="str">
        <f>IFERROR(__xludf.DUMMYFUNCTION("REGEXEXTRACT($A93,""([^/]+)/$"")"),"indiana")</f>
        <v>indiana</v>
      </c>
      <c r="E93" s="110" t="s">
        <v>7943</v>
      </c>
      <c r="F93" s="111">
        <v>52.0</v>
      </c>
    </row>
    <row r="94" ht="798.75" customHeight="1">
      <c r="A94" s="119" t="s">
        <v>7944</v>
      </c>
      <c r="B94" s="74" t="s">
        <v>7945</v>
      </c>
      <c r="C94" s="113"/>
      <c r="D94" s="109" t="str">
        <f>IFERROR(__xludf.DUMMYFUNCTION("REGEXEXTRACT($A94,""([^/]+)/$"")"),"new-jersey")</f>
        <v>new-jersey</v>
      </c>
      <c r="E94" s="110" t="s">
        <v>7946</v>
      </c>
      <c r="F94" s="111">
        <v>49.0</v>
      </c>
    </row>
    <row r="95" ht="798.75" customHeight="1">
      <c r="A95" s="119" t="s">
        <v>7947</v>
      </c>
      <c r="B95" s="74" t="s">
        <v>7948</v>
      </c>
      <c r="C95" s="113"/>
      <c r="D95" s="109" t="str">
        <f>IFERROR(__xludf.DUMMYFUNCTION("REGEXEXTRACT($A95,""([^/]+)/$"")"),"pennsylvania")</f>
        <v>pennsylvania</v>
      </c>
      <c r="E95" s="110" t="s">
        <v>7949</v>
      </c>
      <c r="F95" s="111">
        <v>39.0</v>
      </c>
    </row>
    <row r="96" ht="798.75" customHeight="1">
      <c r="A96" s="119" t="s">
        <v>7950</v>
      </c>
      <c r="B96" s="74" t="s">
        <v>7951</v>
      </c>
      <c r="C96" s="113"/>
      <c r="D96" s="109" t="str">
        <f>IFERROR(__xludf.DUMMYFUNCTION("REGEXEXTRACT($A96,""([^/]+)/$"")"),"kentucky")</f>
        <v>kentucky</v>
      </c>
      <c r="E96" s="110" t="s">
        <v>7946</v>
      </c>
      <c r="F96" s="111">
        <v>49.0</v>
      </c>
    </row>
    <row r="97" ht="798.75" customHeight="1">
      <c r="A97" s="119" t="s">
        <v>7952</v>
      </c>
      <c r="B97" s="74" t="s">
        <v>7953</v>
      </c>
      <c r="C97" s="113"/>
      <c r="D97" s="109" t="str">
        <f>IFERROR(__xludf.DUMMYFUNCTION("REGEXEXTRACT($A97,""([^/]+)/$"")"),"west-virginia")</f>
        <v>west-virginia</v>
      </c>
      <c r="E97" s="110" t="s">
        <v>7954</v>
      </c>
      <c r="F97" s="111">
        <v>55.0</v>
      </c>
    </row>
    <row r="98" ht="798.75" customHeight="1">
      <c r="A98" s="119" t="s">
        <v>7955</v>
      </c>
      <c r="B98" s="74" t="s">
        <v>7956</v>
      </c>
      <c r="C98" s="113"/>
      <c r="D98" s="109" t="str">
        <f>IFERROR(__xludf.DUMMYFUNCTION("REGEXEXTRACT($A98,""([^/]+)/$"")"),"new-york")</f>
        <v>new-york</v>
      </c>
      <c r="E98" s="110" t="s">
        <v>7957</v>
      </c>
      <c r="F98" s="111">
        <v>43.0</v>
      </c>
    </row>
    <row r="99" ht="798.75" customHeight="1">
      <c r="A99" s="119" t="s">
        <v>7958</v>
      </c>
      <c r="B99" s="74" t="s">
        <v>7959</v>
      </c>
      <c r="C99" s="113"/>
      <c r="D99" s="109" t="str">
        <f>IFERROR(__xludf.DUMMYFUNCTION("REGEXEXTRACT($A99,""([^/]+)/$"")"),"maryland")</f>
        <v>maryland</v>
      </c>
      <c r="E99" s="110" t="s">
        <v>7960</v>
      </c>
      <c r="F99" s="111">
        <v>83.0</v>
      </c>
    </row>
    <row r="100" ht="798.75" customHeight="1">
      <c r="A100" s="119" t="s">
        <v>7961</v>
      </c>
      <c r="B100" s="74" t="s">
        <v>7962</v>
      </c>
      <c r="C100" s="113"/>
      <c r="D100" s="109" t="str">
        <f>IFERROR(__xludf.DUMMYFUNCTION("REGEXEXTRACT($A100,""([^/]+)/$"")"),"virginia")</f>
        <v>virginia</v>
      </c>
      <c r="E100" s="110" t="s">
        <v>7963</v>
      </c>
      <c r="F100" s="111">
        <v>81.0</v>
      </c>
    </row>
    <row r="101" ht="798.75" customHeight="1">
      <c r="A101" s="119" t="s">
        <v>7964</v>
      </c>
      <c r="B101" s="74" t="s">
        <v>7965</v>
      </c>
      <c r="C101" s="113"/>
      <c r="D101" s="109" t="str">
        <f>IFERROR(__xludf.DUMMYFUNCTION("REGEXEXTRACT($A101,""([^/]+)/$"")"),"missouri")</f>
        <v>missouri</v>
      </c>
      <c r="E101" s="110" t="s">
        <v>7966</v>
      </c>
      <c r="F101" s="111">
        <v>46.0</v>
      </c>
    </row>
    <row r="102" ht="798.75" customHeight="1">
      <c r="A102" s="119" t="s">
        <v>7967</v>
      </c>
      <c r="B102" s="120" t="s">
        <v>7968</v>
      </c>
      <c r="C102" s="113"/>
      <c r="D102" s="109" t="str">
        <f>IFERROR(__xludf.DUMMYFUNCTION("REGEXEXTRACT($A102,""([^/]+)/$"")"),"kansas")</f>
        <v>kansas</v>
      </c>
      <c r="E102" s="110" t="s">
        <v>7946</v>
      </c>
      <c r="F102" s="111">
        <v>49.0</v>
      </c>
    </row>
    <row r="103" ht="798.75" customHeight="1">
      <c r="A103" s="119" t="s">
        <v>7969</v>
      </c>
      <c r="B103" s="74" t="s">
        <v>7970</v>
      </c>
      <c r="C103" s="113"/>
      <c r="D103" s="109" t="str">
        <f>IFERROR(__xludf.DUMMYFUNCTION("REGEXEXTRACT($A103,""([^/]+)/$"")"),"illinois")</f>
        <v>illinois</v>
      </c>
      <c r="E103" s="110" t="s">
        <v>7971</v>
      </c>
      <c r="F103" s="111">
        <v>55.0</v>
      </c>
    </row>
    <row r="104" ht="798.75" customHeight="1">
      <c r="A104" s="119" t="s">
        <v>7972</v>
      </c>
      <c r="B104" s="74" t="s">
        <v>7973</v>
      </c>
      <c r="C104" s="113"/>
      <c r="D104" s="109" t="str">
        <f>IFERROR(__xludf.DUMMYFUNCTION("REGEXEXTRACT($A104,""([^/]+)/$"")"),"iowa")</f>
        <v>iowa</v>
      </c>
      <c r="E104" s="110" t="s">
        <v>7974</v>
      </c>
      <c r="F104" s="111">
        <v>82.0</v>
      </c>
    </row>
    <row r="105" ht="798.75" customHeight="1">
      <c r="A105" s="119" t="s">
        <v>7975</v>
      </c>
      <c r="B105" s="74" t="s">
        <v>7976</v>
      </c>
      <c r="C105" s="113"/>
      <c r="D105" s="109" t="str">
        <f>IFERROR(__xludf.DUMMYFUNCTION("REGEXEXTRACT($A105,""([^/]+)/$"")"),"delaware")</f>
        <v>delaware</v>
      </c>
      <c r="E105" s="110" t="s">
        <v>7977</v>
      </c>
      <c r="F105" s="111">
        <v>69.0</v>
      </c>
    </row>
    <row r="106" ht="798.75" customHeight="1">
      <c r="A106" s="119" t="s">
        <v>7978</v>
      </c>
      <c r="B106" s="74" t="s">
        <v>7979</v>
      </c>
      <c r="C106" s="113"/>
      <c r="D106" s="109" t="str">
        <f>IFERROR(__xludf.DUMMYFUNCTION("REGEXEXTRACT($A106,""([^/]+)/$"")"),"nebraska")</f>
        <v>nebraska</v>
      </c>
      <c r="E106" s="110" t="s">
        <v>7980</v>
      </c>
      <c r="F106" s="111">
        <v>74.0</v>
      </c>
    </row>
    <row r="107" ht="798.75" customHeight="1">
      <c r="A107" s="119" t="s">
        <v>7981</v>
      </c>
      <c r="B107" s="120" t="s">
        <v>7982</v>
      </c>
      <c r="C107" s="113"/>
      <c r="D107" s="109" t="str">
        <f>IFERROR(__xludf.DUMMYFUNCTION("REGEXEXTRACT($A107,""([^/]+)/$"")"),"minnesota")</f>
        <v>minnesota</v>
      </c>
      <c r="E107" s="110" t="s">
        <v>7983</v>
      </c>
      <c r="F107" s="111">
        <v>104.0</v>
      </c>
    </row>
    <row r="108" ht="798.75" customHeight="1">
      <c r="A108" s="121" t="s">
        <v>7984</v>
      </c>
      <c r="B108" s="120" t="s">
        <v>7985</v>
      </c>
      <c r="C108" s="113"/>
      <c r="D108" s="109" t="str">
        <f>IFERROR(__xludf.DUMMYFUNCTION("REGEXEXTRACT($A108,""([^/]+)/$"")"),"north-carolina")</f>
        <v>north-carolina</v>
      </c>
      <c r="E108" s="110" t="s">
        <v>7986</v>
      </c>
      <c r="F108" s="111">
        <v>95.0</v>
      </c>
    </row>
    <row r="109" ht="798.75" customHeight="1">
      <c r="A109" s="119" t="s">
        <v>7987</v>
      </c>
      <c r="B109" s="74" t="s">
        <v>7988</v>
      </c>
      <c r="C109" s="113"/>
      <c r="D109" s="109" t="str">
        <f>IFERROR(__xludf.DUMMYFUNCTION("REGEXEXTRACT($A109,""([^/]+)/$"")"),"maine")</f>
        <v>maine</v>
      </c>
      <c r="E109" s="110" t="s">
        <v>7989</v>
      </c>
      <c r="F109" s="111">
        <v>114.0</v>
      </c>
    </row>
    <row r="110" ht="798.75" customHeight="1">
      <c r="A110" s="119" t="s">
        <v>7990</v>
      </c>
      <c r="B110" s="74" t="s">
        <v>7991</v>
      </c>
      <c r="C110" s="113"/>
      <c r="D110" s="109" t="str">
        <f>IFERROR(__xludf.DUMMYFUNCTION("REGEXEXTRACT($A110,""([^/]+)/$"")"),"wisconsin")</f>
        <v>wisconsin</v>
      </c>
      <c r="E110" s="110" t="s">
        <v>7992</v>
      </c>
      <c r="F110" s="111">
        <v>94.0</v>
      </c>
    </row>
    <row r="111" ht="798.75" customHeight="1">
      <c r="A111" s="119" t="s">
        <v>7993</v>
      </c>
      <c r="B111" s="74" t="s">
        <v>7994</v>
      </c>
      <c r="C111" s="113"/>
      <c r="D111" s="109" t="str">
        <f>IFERROR(__xludf.DUMMYFUNCTION("REGEXEXTRACT($A111,""([^/]+)/$"")"),"massachusetts")</f>
        <v>massachusetts</v>
      </c>
      <c r="E111" s="110" t="s">
        <v>7995</v>
      </c>
      <c r="F111" s="111">
        <v>88.0</v>
      </c>
    </row>
    <row r="112" ht="798.75" customHeight="1">
      <c r="A112" s="119" t="s">
        <v>7996</v>
      </c>
      <c r="B112" s="74" t="s">
        <v>7997</v>
      </c>
      <c r="C112" s="113"/>
      <c r="D112" s="109" t="str">
        <f>IFERROR(__xludf.DUMMYFUNCTION("REGEXEXTRACT($A112,""([^/]+)/$"")"),"rhode-island")</f>
        <v>rhode-island</v>
      </c>
      <c r="E112" s="110" t="s">
        <v>7980</v>
      </c>
      <c r="F112" s="111">
        <v>74.0</v>
      </c>
    </row>
    <row r="113" ht="798.75" customHeight="1">
      <c r="A113" s="119" t="s">
        <v>7998</v>
      </c>
      <c r="B113" s="74" t="s">
        <v>7999</v>
      </c>
      <c r="C113" s="113"/>
      <c r="D113" s="109" t="str">
        <f>IFERROR(__xludf.DUMMYFUNCTION("REGEXEXTRACT($A113,""([^/]+)/$"")"),"vermont")</f>
        <v>vermont</v>
      </c>
      <c r="E113" s="110" t="s">
        <v>8000</v>
      </c>
      <c r="F113" s="111">
        <v>101.0</v>
      </c>
    </row>
    <row r="114" ht="798.75" customHeight="1">
      <c r="A114" s="119" t="s">
        <v>8001</v>
      </c>
      <c r="B114" s="74" t="s">
        <v>8002</v>
      </c>
      <c r="C114" s="113"/>
      <c r="D114" s="109" t="str">
        <f>IFERROR(__xludf.DUMMYFUNCTION("REGEXEXTRACT($A114,""([^/]+)/$"")"),"new-hampshire")</f>
        <v>new-hampshire</v>
      </c>
      <c r="E114" s="110" t="s">
        <v>8003</v>
      </c>
      <c r="F114" s="111">
        <v>60.0</v>
      </c>
    </row>
    <row r="115" ht="798.75" customHeight="1">
      <c r="A115" s="119" t="s">
        <v>8004</v>
      </c>
      <c r="B115" s="74" t="s">
        <v>8005</v>
      </c>
      <c r="C115" s="113"/>
      <c r="D115" s="109" t="str">
        <f>IFERROR(__xludf.DUMMYFUNCTION("REGEXEXTRACT($A115,""([^/]+)/$"")"),"connecticut")</f>
        <v>connecticut</v>
      </c>
      <c r="E115" s="110" t="s">
        <v>8006</v>
      </c>
      <c r="F115" s="111">
        <v>63.0</v>
      </c>
    </row>
    <row r="116" ht="798.75" customHeight="1">
      <c r="A116" s="119" t="s">
        <v>8007</v>
      </c>
      <c r="B116" s="74" t="s">
        <v>8008</v>
      </c>
      <c r="C116" s="113"/>
      <c r="D116" s="109" t="str">
        <f>IFERROR(__xludf.DUMMYFUNCTION("REGEXEXTRACT($A116,""([^/]+)/$"")"),"tennessee")</f>
        <v>tennessee</v>
      </c>
      <c r="E116" s="110" t="s">
        <v>8009</v>
      </c>
      <c r="F116" s="111">
        <v>54.0</v>
      </c>
    </row>
    <row r="117" ht="798.75" customHeight="1">
      <c r="A117" s="119" t="s">
        <v>8010</v>
      </c>
      <c r="B117" s="74" t="s">
        <v>8011</v>
      </c>
      <c r="C117" s="113"/>
      <c r="D117" s="109" t="str">
        <f>IFERROR(__xludf.DUMMYFUNCTION("REGEXEXTRACT($A117,""([^/]+)/$"")"),"north-dakota")</f>
        <v>north-dakota</v>
      </c>
      <c r="E117" s="110" t="s">
        <v>8012</v>
      </c>
      <c r="F117" s="111">
        <v>43.0</v>
      </c>
    </row>
    <row r="118" ht="798.75" customHeight="1">
      <c r="A118" s="119" t="s">
        <v>8013</v>
      </c>
      <c r="B118" s="74" t="s">
        <v>8014</v>
      </c>
      <c r="C118" s="113"/>
      <c r="D118" s="109" t="str">
        <f>IFERROR(__xludf.DUMMYFUNCTION("REGEXEXTRACT($A118,""([^/]+)/$"")"),"south-dakota")</f>
        <v>south-dakota</v>
      </c>
      <c r="E118" s="110" t="s">
        <v>8015</v>
      </c>
      <c r="F118" s="111">
        <v>53.0</v>
      </c>
    </row>
    <row r="119" ht="798.75" customHeight="1">
      <c r="A119" s="119" t="s">
        <v>8016</v>
      </c>
      <c r="B119" s="74" t="s">
        <v>8017</v>
      </c>
      <c r="C119" s="113"/>
      <c r="D119" s="109" t="str">
        <f>IFERROR(__xludf.DUMMYFUNCTION("REGEXEXTRACT($A119,""([^/]+)/$"")"),"south-carolina")</f>
        <v>south-carolina</v>
      </c>
      <c r="E119" s="110" t="s">
        <v>8018</v>
      </c>
      <c r="F119" s="111">
        <v>49.0</v>
      </c>
    </row>
    <row r="120" ht="798.75" customHeight="1">
      <c r="A120" s="119" t="s">
        <v>8019</v>
      </c>
      <c r="B120" s="74" t="s">
        <v>8020</v>
      </c>
      <c r="C120" s="113"/>
      <c r="D120" s="109" t="str">
        <f>IFERROR(__xludf.DUMMYFUNCTION("REGEXEXTRACT($A120,""([^/]+)/$"")"),"georgia")</f>
        <v>georgia</v>
      </c>
      <c r="E120" s="110" t="s">
        <v>7971</v>
      </c>
      <c r="F120" s="111">
        <v>55.0</v>
      </c>
    </row>
    <row r="121" ht="798.75" customHeight="1">
      <c r="A121" s="119" t="s">
        <v>8021</v>
      </c>
      <c r="B121" s="74" t="s">
        <v>8022</v>
      </c>
      <c r="C121" s="113"/>
      <c r="D121" s="109" t="str">
        <f>IFERROR(__xludf.DUMMYFUNCTION("REGEXEXTRACT($A121,""([^/]+)/$"")"),"florida")</f>
        <v>florida</v>
      </c>
      <c r="E121" s="110" t="s">
        <v>8023</v>
      </c>
      <c r="F121" s="111">
        <v>56.0</v>
      </c>
    </row>
    <row r="122" ht="798.75" customHeight="1">
      <c r="A122" s="119" t="s">
        <v>8024</v>
      </c>
      <c r="B122" s="74" t="s">
        <v>8025</v>
      </c>
      <c r="C122" s="113"/>
      <c r="D122" s="109" t="str">
        <f>IFERROR(__xludf.DUMMYFUNCTION("REGEXEXTRACT($A122,""([^/]+)/$"")"),"alabama")</f>
        <v>alabama</v>
      </c>
      <c r="E122" s="110" t="s">
        <v>8026</v>
      </c>
      <c r="F122" s="111">
        <v>92.0</v>
      </c>
    </row>
    <row r="123" ht="798.75" customHeight="1">
      <c r="A123" s="119" t="s">
        <v>8027</v>
      </c>
      <c r="B123" s="74" t="s">
        <v>8028</v>
      </c>
      <c r="C123" s="113"/>
      <c r="D123" s="109" t="str">
        <f>IFERROR(__xludf.DUMMYFUNCTION("REGEXEXTRACT($A123,""([^/]+)/$"")"),"mississippi")</f>
        <v>mississippi</v>
      </c>
      <c r="E123" s="110" t="s">
        <v>8029</v>
      </c>
      <c r="F123" s="111">
        <v>91.0</v>
      </c>
    </row>
    <row r="124" ht="798.75" customHeight="1">
      <c r="A124" s="119" t="s">
        <v>8030</v>
      </c>
      <c r="B124" s="74" t="s">
        <v>8031</v>
      </c>
      <c r="C124" s="113"/>
      <c r="D124" s="109" t="str">
        <f>IFERROR(__xludf.DUMMYFUNCTION("REGEXEXTRACT($A124,""([^/]+)/$"")"),"arkansas")</f>
        <v>arkansas</v>
      </c>
      <c r="E124" s="110" t="s">
        <v>8032</v>
      </c>
      <c r="F124" s="111">
        <v>102.0</v>
      </c>
    </row>
    <row r="125" ht="798.75" customHeight="1">
      <c r="A125" s="119" t="s">
        <v>8033</v>
      </c>
      <c r="B125" s="74" t="s">
        <v>8034</v>
      </c>
      <c r="C125" s="113"/>
      <c r="D125" s="109" t="str">
        <f>IFERROR(__xludf.DUMMYFUNCTION("REGEXEXTRACT($A125,""([^/]+)/$"")"),"louisiana")</f>
        <v>louisiana</v>
      </c>
      <c r="E125" s="110" t="s">
        <v>7992</v>
      </c>
      <c r="F125" s="111">
        <v>94.0</v>
      </c>
    </row>
    <row r="126" ht="798.75" customHeight="1">
      <c r="A126" s="119" t="s">
        <v>8035</v>
      </c>
      <c r="B126" s="74" t="s">
        <v>8036</v>
      </c>
      <c r="C126" s="113"/>
      <c r="D126" s="109" t="str">
        <f>IFERROR(__xludf.DUMMYFUNCTION("REGEXEXTRACT($A126,""([^/]+)/$"")"),"oklahoma")</f>
        <v>oklahoma</v>
      </c>
      <c r="E126" s="110" t="s">
        <v>8037</v>
      </c>
      <c r="F126" s="111">
        <v>66.0</v>
      </c>
    </row>
    <row r="127" ht="798.75" customHeight="1">
      <c r="A127" s="119" t="s">
        <v>8038</v>
      </c>
      <c r="B127" s="74" t="s">
        <v>8039</v>
      </c>
      <c r="C127" s="113"/>
      <c r="D127" s="109" t="str">
        <f>IFERROR(__xludf.DUMMYFUNCTION("REGEXEXTRACT($A127,""([^/]+)/$"")"),"colorado")</f>
        <v>colorado</v>
      </c>
      <c r="E127" s="110" t="s">
        <v>8023</v>
      </c>
      <c r="F127" s="111">
        <v>56.0</v>
      </c>
    </row>
    <row r="128" ht="798.75" customHeight="1">
      <c r="A128" s="119" t="s">
        <v>8040</v>
      </c>
      <c r="B128" s="74" t="s">
        <v>8041</v>
      </c>
      <c r="C128" s="113"/>
      <c r="D128" s="109" t="str">
        <f>IFERROR(__xludf.DUMMYFUNCTION("REGEXEXTRACT($A128,""([^/]+)/$"")"),"montana")</f>
        <v>montana</v>
      </c>
      <c r="E128" s="110" t="s">
        <v>8015</v>
      </c>
      <c r="F128" s="111">
        <v>53.0</v>
      </c>
    </row>
    <row r="129" ht="798.75" customHeight="1">
      <c r="A129" s="119" t="s">
        <v>8042</v>
      </c>
      <c r="B129" s="74" t="s">
        <v>8043</v>
      </c>
      <c r="C129" s="113"/>
      <c r="D129" s="109" t="str">
        <f>IFERROR(__xludf.DUMMYFUNCTION("REGEXEXTRACT($A129,""([^/]+)/$"")"),"wyoming")</f>
        <v>wyoming</v>
      </c>
      <c r="E129" s="110" t="s">
        <v>8044</v>
      </c>
      <c r="F129" s="111">
        <v>93.0</v>
      </c>
    </row>
    <row r="130" ht="798.75" customHeight="1">
      <c r="A130" s="119" t="s">
        <v>8045</v>
      </c>
      <c r="B130" s="74" t="s">
        <v>8046</v>
      </c>
      <c r="C130" s="113"/>
      <c r="D130" s="109" t="str">
        <f>IFERROR(__xludf.DUMMYFUNCTION("REGEXEXTRACT($A130,""([^/]+)/$"")"),"new-mexico")</f>
        <v>new-mexico</v>
      </c>
      <c r="E130" s="110" t="s">
        <v>8047</v>
      </c>
      <c r="F130" s="111">
        <v>95.0</v>
      </c>
    </row>
    <row r="131" ht="798.75" customHeight="1">
      <c r="A131" s="119" t="s">
        <v>8048</v>
      </c>
      <c r="B131" s="74" t="s">
        <v>8049</v>
      </c>
      <c r="C131" s="113"/>
      <c r="D131" s="109" t="str">
        <f>IFERROR(__xludf.DUMMYFUNCTION("REGEXEXTRACT($A131,""([^/]+)/$"")"),"texas")</f>
        <v>texas</v>
      </c>
      <c r="E131" s="110" t="s">
        <v>8032</v>
      </c>
      <c r="F131" s="111">
        <v>102.0</v>
      </c>
    </row>
    <row r="132" ht="798.75" customHeight="1">
      <c r="A132" s="119" t="s">
        <v>8050</v>
      </c>
      <c r="B132" s="74" t="s">
        <v>8051</v>
      </c>
      <c r="C132" s="113"/>
      <c r="D132" s="109" t="str">
        <f>IFERROR(__xludf.DUMMYFUNCTION("REGEXEXTRACT($A132,""([^/]+)/$"")"),"idaho")</f>
        <v>idaho</v>
      </c>
      <c r="E132" s="110" t="s">
        <v>8052</v>
      </c>
      <c r="F132" s="111">
        <v>84.0</v>
      </c>
    </row>
    <row r="133" ht="798.75" customHeight="1">
      <c r="A133" s="119" t="s">
        <v>8053</v>
      </c>
      <c r="B133" s="74" t="s">
        <v>8054</v>
      </c>
      <c r="C133" s="113"/>
      <c r="D133" s="109" t="str">
        <f>IFERROR(__xludf.DUMMYFUNCTION("REGEXEXTRACT($A133,""([^/]+)/$"")"),"utah")</f>
        <v>utah</v>
      </c>
      <c r="E133" s="110" t="s">
        <v>8055</v>
      </c>
      <c r="F133" s="111">
        <v>96.0</v>
      </c>
    </row>
    <row r="134" ht="798.75" customHeight="1">
      <c r="A134" s="119" t="s">
        <v>8056</v>
      </c>
      <c r="B134" s="74" t="s">
        <v>8057</v>
      </c>
      <c r="C134" s="113"/>
      <c r="D134" s="109" t="str">
        <f>IFERROR(__xludf.DUMMYFUNCTION("REGEXEXTRACT($A134,""([^/]+)/$"")"),"arizona")</f>
        <v>arizona</v>
      </c>
      <c r="E134" s="110" t="s">
        <v>8058</v>
      </c>
      <c r="F134" s="111">
        <v>108.0</v>
      </c>
    </row>
    <row r="135" ht="798.75" customHeight="1">
      <c r="A135" s="119" t="s">
        <v>8059</v>
      </c>
      <c r="B135" s="74" t="s">
        <v>8060</v>
      </c>
      <c r="C135" s="113"/>
      <c r="D135" s="109" t="str">
        <f>IFERROR(__xludf.DUMMYFUNCTION("REGEXEXTRACT($A135,""([^/]+)/$"")"),"washington")</f>
        <v>washington</v>
      </c>
      <c r="E135" s="110" t="s">
        <v>8061</v>
      </c>
      <c r="F135" s="111">
        <v>67.0</v>
      </c>
    </row>
    <row r="136" ht="798.75" customHeight="1">
      <c r="A136" s="119" t="s">
        <v>8062</v>
      </c>
      <c r="B136" s="74" t="s">
        <v>8063</v>
      </c>
      <c r="C136" s="113"/>
      <c r="D136" s="109" t="str">
        <f>IFERROR(__xludf.DUMMYFUNCTION("REGEXEXTRACT($A136,""([^/]+)/$"")"),"oregon")</f>
        <v>oregon</v>
      </c>
      <c r="E136" s="110" t="s">
        <v>8064</v>
      </c>
      <c r="F136" s="111">
        <v>73.0</v>
      </c>
    </row>
    <row r="137" ht="798.75" customHeight="1">
      <c r="A137" s="119" t="s">
        <v>8065</v>
      </c>
      <c r="B137" s="74" t="s">
        <v>8066</v>
      </c>
      <c r="C137" s="113"/>
      <c r="D137" s="109" t="str">
        <f>IFERROR(__xludf.DUMMYFUNCTION("REGEXEXTRACT($A137,""([^/]+)/$"")"),"nevada")</f>
        <v>nevada</v>
      </c>
      <c r="E137" s="110" t="s">
        <v>8067</v>
      </c>
      <c r="F137" s="111">
        <v>59.0</v>
      </c>
    </row>
    <row r="138" ht="798.75" customHeight="1">
      <c r="A138" s="119" t="s">
        <v>8068</v>
      </c>
      <c r="B138" s="74" t="s">
        <v>8069</v>
      </c>
      <c r="C138" s="113"/>
      <c r="D138" s="109" t="str">
        <f>IFERROR(__xludf.DUMMYFUNCTION("REGEXEXTRACT($A138,""([^/]+)/$"")"),"california")</f>
        <v>california</v>
      </c>
      <c r="E138" s="110" t="s">
        <v>8070</v>
      </c>
      <c r="F138" s="111">
        <v>73.0</v>
      </c>
    </row>
    <row r="139" ht="798.75" customHeight="1">
      <c r="A139" s="119" t="s">
        <v>8071</v>
      </c>
      <c r="B139" s="74" t="s">
        <v>8072</v>
      </c>
      <c r="C139" s="113"/>
      <c r="D139" s="109" t="str">
        <f>IFERROR(__xludf.DUMMYFUNCTION("REGEXEXTRACT($A139,""([^/]+)/$"")"),"ohio")</f>
        <v>ohio</v>
      </c>
      <c r="E139" s="110" t="s">
        <v>8073</v>
      </c>
      <c r="F139" s="111">
        <v>61.0</v>
      </c>
    </row>
    <row r="140" ht="798.75" customHeight="1">
      <c r="A140" s="119" t="s">
        <v>8074</v>
      </c>
      <c r="B140" s="74" t="s">
        <v>8075</v>
      </c>
      <c r="C140" s="113"/>
      <c r="D140" s="109" t="str">
        <f>IFERROR(__xludf.DUMMYFUNCTION("REGEXEXTRACT($A140,""([^/]+)/$"")"),"michigan")</f>
        <v>michigan</v>
      </c>
      <c r="E140" s="110" t="s">
        <v>8076</v>
      </c>
      <c r="F140" s="111">
        <v>68.0</v>
      </c>
    </row>
    <row r="141" ht="798.75" customHeight="1">
      <c r="A141" s="119" t="s">
        <v>8077</v>
      </c>
      <c r="B141" s="74" t="s">
        <v>8078</v>
      </c>
      <c r="C141" s="113"/>
      <c r="D141" s="109" t="str">
        <f>IFERROR(__xludf.DUMMYFUNCTION("REGEXEXTRACT($A141,""([^/]+)/$"")"),"washington-dc")</f>
        <v>washington-dc</v>
      </c>
      <c r="E141" s="110" t="s">
        <v>8079</v>
      </c>
      <c r="F141" s="111">
        <v>110.0</v>
      </c>
    </row>
    <row r="142" ht="798.75" customHeight="1">
      <c r="A142" s="122" t="s">
        <v>8080</v>
      </c>
      <c r="B142" s="71" t="s">
        <v>8081</v>
      </c>
      <c r="C142" s="113"/>
      <c r="D142" s="109" t="str">
        <f>IFERROR(__xludf.DUMMYFUNCTION("REGEXEXTRACT($A142,""([^/]+)/$"")"),"outdoor-furniture")</f>
        <v>outdoor-furniture</v>
      </c>
      <c r="E142" s="110" t="s">
        <v>8082</v>
      </c>
      <c r="F142" s="111">
        <v>73.0</v>
      </c>
    </row>
    <row r="143" ht="798.75" customHeight="1">
      <c r="A143" s="122" t="s">
        <v>8083</v>
      </c>
      <c r="B143" s="71" t="s">
        <v>8084</v>
      </c>
      <c r="C143" s="113"/>
      <c r="D143" s="109" t="str">
        <f>IFERROR(__xludf.DUMMYFUNCTION("REGEXEXTRACT($A143,""([^/]+)/$"")"),"outdoor-furniture")</f>
        <v>outdoor-furniture</v>
      </c>
      <c r="E143" s="110" t="s">
        <v>8085</v>
      </c>
      <c r="F143" s="111">
        <v>75.0</v>
      </c>
    </row>
    <row r="144" ht="798.75" customHeight="1">
      <c r="A144" s="123" t="s">
        <v>8086</v>
      </c>
      <c r="B144" s="71" t="s">
        <v>8087</v>
      </c>
      <c r="C144" s="113"/>
      <c r="D144" s="109" t="str">
        <f>IFERROR(__xludf.DUMMYFUNCTION("REGEXEXTRACT($A144,""([^/]+)/$"")"),"outdoor-furniture")</f>
        <v>outdoor-furniture</v>
      </c>
      <c r="E144" s="110" t="s">
        <v>8088</v>
      </c>
      <c r="F144" s="111">
        <v>62.0</v>
      </c>
    </row>
    <row r="145" ht="798.75" customHeight="1">
      <c r="A145" s="123" t="s">
        <v>8089</v>
      </c>
      <c r="B145" s="71" t="s">
        <v>8090</v>
      </c>
      <c r="C145" s="113"/>
      <c r="D145" s="109" t="str">
        <f>IFERROR(__xludf.DUMMYFUNCTION("REGEXEXTRACT($A145,""([^/]+)/$"")"),"outdoor-furniture")</f>
        <v>outdoor-furniture</v>
      </c>
      <c r="E145" s="110" t="s">
        <v>8091</v>
      </c>
      <c r="F145" s="111">
        <v>65.0</v>
      </c>
    </row>
    <row r="146" ht="798.75" customHeight="1">
      <c r="A146" s="123" t="s">
        <v>8092</v>
      </c>
      <c r="B146" s="71" t="s">
        <v>8093</v>
      </c>
      <c r="C146" s="113"/>
      <c r="D146" s="109" t="str">
        <f>IFERROR(__xludf.DUMMYFUNCTION("REGEXEXTRACT($A146,""([^/]+)/$"")"),"outdoor-furniture")</f>
        <v>outdoor-furniture</v>
      </c>
      <c r="E146" s="110" t="s">
        <v>8094</v>
      </c>
      <c r="F146" s="111">
        <v>68.0</v>
      </c>
    </row>
    <row r="147" ht="798.75" customHeight="1">
      <c r="A147" s="123" t="s">
        <v>8095</v>
      </c>
      <c r="B147" s="22" t="s">
        <v>8096</v>
      </c>
      <c r="C147" s="113"/>
      <c r="D147" s="109" t="str">
        <f>IFERROR(__xludf.DUMMYFUNCTION("REGEXEXTRACT($A147,""([^/]+)/$"")"),"outdoor-furniture")</f>
        <v>outdoor-furniture</v>
      </c>
      <c r="E147" s="110" t="s">
        <v>8097</v>
      </c>
      <c r="F147" s="111">
        <v>53.0</v>
      </c>
    </row>
    <row r="148" ht="798.75" customHeight="1">
      <c r="A148" s="123" t="s">
        <v>8098</v>
      </c>
      <c r="B148" s="22" t="s">
        <v>8099</v>
      </c>
      <c r="C148" s="113"/>
      <c r="D148" s="109" t="str">
        <f>IFERROR(__xludf.DUMMYFUNCTION("REGEXEXTRACT($A148,""([^/]+)/$"")"),"outdoor-furniture")</f>
        <v>outdoor-furniture</v>
      </c>
      <c r="E148" s="110" t="s">
        <v>8100</v>
      </c>
      <c r="F148" s="111">
        <v>55.0</v>
      </c>
    </row>
    <row r="149" ht="798.75" customHeight="1">
      <c r="A149" s="123" t="s">
        <v>8101</v>
      </c>
      <c r="B149" s="71" t="s">
        <v>8102</v>
      </c>
      <c r="C149" s="113"/>
      <c r="D149" s="109" t="str">
        <f>IFERROR(__xludf.DUMMYFUNCTION("REGEXEXTRACT($A149,""([^/]+)/$"")"),"outdoor-furniture")</f>
        <v>outdoor-furniture</v>
      </c>
      <c r="E149" s="110" t="s">
        <v>8103</v>
      </c>
      <c r="F149" s="111">
        <v>58.0</v>
      </c>
    </row>
    <row r="150" ht="798.75" customHeight="1">
      <c r="A150" s="123" t="s">
        <v>8104</v>
      </c>
      <c r="B150" s="71" t="s">
        <v>8105</v>
      </c>
      <c r="C150" s="113"/>
      <c r="D150" s="109" t="str">
        <f>IFERROR(__xludf.DUMMYFUNCTION("REGEXEXTRACT($A150,""([^/]+)/$"")"),"outdoor-furniture")</f>
        <v>outdoor-furniture</v>
      </c>
      <c r="E150" s="110" t="s">
        <v>8097</v>
      </c>
      <c r="F150" s="111">
        <v>53.0</v>
      </c>
    </row>
    <row r="151" ht="798.75" customHeight="1">
      <c r="A151" s="123" t="s">
        <v>8106</v>
      </c>
      <c r="B151" s="71" t="s">
        <v>8107</v>
      </c>
      <c r="C151" s="113"/>
      <c r="D151" s="109" t="str">
        <f>IFERROR(__xludf.DUMMYFUNCTION("REGEXEXTRACT($A151,""([^/]+)/$"")"),"outdoor-furniture")</f>
        <v>outdoor-furniture</v>
      </c>
      <c r="E151" s="110" t="s">
        <v>8091</v>
      </c>
      <c r="F151" s="111">
        <v>65.0</v>
      </c>
    </row>
    <row r="152" ht="798.75" customHeight="1">
      <c r="A152" s="123" t="s">
        <v>8108</v>
      </c>
      <c r="B152" s="71" t="s">
        <v>8109</v>
      </c>
      <c r="C152" s="113"/>
      <c r="D152" s="109" t="str">
        <f>IFERROR(__xludf.DUMMYFUNCTION("REGEXEXTRACT($A152,""([^/]+)/$"")"),"outdoor-furniture")</f>
        <v>outdoor-furniture</v>
      </c>
      <c r="E152" s="110" t="s">
        <v>8110</v>
      </c>
      <c r="F152" s="111">
        <v>79.0</v>
      </c>
    </row>
    <row r="153" ht="798.75" customHeight="1">
      <c r="A153" s="123" t="s">
        <v>8111</v>
      </c>
      <c r="B153" s="71" t="s">
        <v>8112</v>
      </c>
      <c r="C153" s="113"/>
      <c r="D153" s="109" t="str">
        <f>IFERROR(__xludf.DUMMYFUNCTION("REGEXEXTRACT($A153,""([^/]+)/$"")"),"outdoor-furniture")</f>
        <v>outdoor-furniture</v>
      </c>
      <c r="E153" s="110" t="s">
        <v>8113</v>
      </c>
      <c r="F153" s="111">
        <v>67.0</v>
      </c>
    </row>
    <row r="154" ht="798.75" customHeight="1">
      <c r="A154" s="123" t="s">
        <v>8114</v>
      </c>
      <c r="B154" s="71" t="s">
        <v>8115</v>
      </c>
      <c r="C154" s="113"/>
      <c r="D154" s="109" t="str">
        <f>IFERROR(__xludf.DUMMYFUNCTION("REGEXEXTRACT($A154,""([^/]+)/$"")"),"outdoor-furniture")</f>
        <v>outdoor-furniture</v>
      </c>
      <c r="E154" s="110" t="s">
        <v>8116</v>
      </c>
      <c r="F154" s="111">
        <v>60.0</v>
      </c>
    </row>
    <row r="155" ht="798.75" customHeight="1">
      <c r="A155" s="123" t="s">
        <v>8117</v>
      </c>
      <c r="B155" s="71" t="s">
        <v>8118</v>
      </c>
      <c r="C155" s="113"/>
      <c r="D155" s="109" t="str">
        <f>IFERROR(__xludf.DUMMYFUNCTION("REGEXEXTRACT($A155,""([^/]+)/$"")"),"outdoor-furniture")</f>
        <v>outdoor-furniture</v>
      </c>
      <c r="E155" s="110" t="s">
        <v>8119</v>
      </c>
      <c r="F155" s="111">
        <v>61.0</v>
      </c>
    </row>
    <row r="156" ht="798.75" customHeight="1">
      <c r="A156" s="123" t="s">
        <v>8120</v>
      </c>
      <c r="B156" s="71" t="s">
        <v>8121</v>
      </c>
      <c r="C156" s="113"/>
      <c r="D156" s="109" t="str">
        <f>IFERROR(__xludf.DUMMYFUNCTION("REGEXEXTRACT($A156,""([^/]+)/$"")"),"outdoor-furniture")</f>
        <v>outdoor-furniture</v>
      </c>
      <c r="E156" s="110" t="s">
        <v>8122</v>
      </c>
      <c r="F156" s="111">
        <v>65.0</v>
      </c>
    </row>
    <row r="157" ht="798.75" customHeight="1">
      <c r="A157" s="123" t="s">
        <v>8123</v>
      </c>
      <c r="B157" s="71" t="s">
        <v>8124</v>
      </c>
      <c r="C157" s="113"/>
      <c r="D157" s="109" t="str">
        <f>IFERROR(__xludf.DUMMYFUNCTION("REGEXEXTRACT($A157,""([^/]+)/$"")"),"outdoor-furniture")</f>
        <v>outdoor-furniture</v>
      </c>
      <c r="E157" s="110" t="s">
        <v>8125</v>
      </c>
      <c r="F157" s="111">
        <v>89.0</v>
      </c>
    </row>
    <row r="158" ht="798.75" customHeight="1">
      <c r="A158" s="123" t="s">
        <v>8126</v>
      </c>
      <c r="B158" s="71" t="s">
        <v>8127</v>
      </c>
      <c r="C158" s="113"/>
      <c r="D158" s="109" t="str">
        <f>IFERROR(__xludf.DUMMYFUNCTION("REGEXEXTRACT($A158,""([^/]+)/$"")"),"outdoor-furniture")</f>
        <v>outdoor-furniture</v>
      </c>
      <c r="E158" s="110" t="s">
        <v>8128</v>
      </c>
      <c r="F158" s="111">
        <v>101.0</v>
      </c>
    </row>
    <row r="159" ht="798.75" customHeight="1">
      <c r="A159" s="123" t="s">
        <v>8129</v>
      </c>
      <c r="B159" s="71" t="s">
        <v>8130</v>
      </c>
      <c r="C159" s="113"/>
      <c r="D159" s="109" t="str">
        <f>IFERROR(__xludf.DUMMYFUNCTION("REGEXEXTRACT($A159,""([^/]+)/$"")"),"outdoor-furniture")</f>
        <v>outdoor-furniture</v>
      </c>
      <c r="E159" s="110" t="s">
        <v>8125</v>
      </c>
      <c r="F159" s="111">
        <v>89.0</v>
      </c>
    </row>
    <row r="160" ht="798.75" customHeight="1">
      <c r="A160" s="123" t="s">
        <v>8131</v>
      </c>
      <c r="B160" s="71" t="s">
        <v>8132</v>
      </c>
      <c r="C160" s="113"/>
      <c r="D160" s="109" t="str">
        <f>IFERROR(__xludf.DUMMYFUNCTION("REGEXEXTRACT($A160,""([^/]+)/$"")"),"outdoor-furniture")</f>
        <v>outdoor-furniture</v>
      </c>
      <c r="E160" s="110" t="s">
        <v>8133</v>
      </c>
      <c r="F160" s="111">
        <v>103.0</v>
      </c>
    </row>
    <row r="161" ht="798.75" customHeight="1">
      <c r="A161" s="123" t="s">
        <v>8134</v>
      </c>
      <c r="B161" s="71" t="s">
        <v>8135</v>
      </c>
      <c r="C161" s="113"/>
      <c r="D161" s="109" t="str">
        <f>IFERROR(__xludf.DUMMYFUNCTION("REGEXEXTRACT($A161,""([^/]+)/$"")"),"outdoor-furniture")</f>
        <v>outdoor-furniture</v>
      </c>
      <c r="E161" s="110" t="s">
        <v>8136</v>
      </c>
      <c r="F161" s="111">
        <v>59.0</v>
      </c>
    </row>
    <row r="162" ht="798.75" customHeight="1">
      <c r="A162" s="123" t="s">
        <v>8137</v>
      </c>
      <c r="B162" s="71" t="s">
        <v>8138</v>
      </c>
      <c r="C162" s="113"/>
      <c r="D162" s="109" t="str">
        <f>IFERROR(__xludf.DUMMYFUNCTION("REGEXEXTRACT($A162,""([^/]+)/$"")"),"outdoor-furniture")</f>
        <v>outdoor-furniture</v>
      </c>
      <c r="E162" s="110" t="s">
        <v>8139</v>
      </c>
      <c r="F162" s="111">
        <v>65.0</v>
      </c>
    </row>
    <row r="163" ht="798.75" customHeight="1">
      <c r="A163" s="123" t="s">
        <v>8140</v>
      </c>
      <c r="B163" s="71" t="s">
        <v>8141</v>
      </c>
      <c r="C163" s="113"/>
      <c r="D163" s="109" t="str">
        <f>IFERROR(__xludf.DUMMYFUNCTION("REGEXEXTRACT($A163,""([^/]+)/$"")"),"outdoor-furniture")</f>
        <v>outdoor-furniture</v>
      </c>
      <c r="E163" s="110" t="s">
        <v>8142</v>
      </c>
      <c r="F163" s="111">
        <v>93.0</v>
      </c>
    </row>
    <row r="164" ht="798.75" customHeight="1">
      <c r="A164" s="123" t="s">
        <v>8143</v>
      </c>
      <c r="B164" s="71" t="s">
        <v>8144</v>
      </c>
      <c r="C164" s="113"/>
      <c r="D164" s="109" t="str">
        <f>IFERROR(__xludf.DUMMYFUNCTION("REGEXEXTRACT($A164,""([^/]+)/$"")"),"outdoor-furniture")</f>
        <v>outdoor-furniture</v>
      </c>
      <c r="E164" s="110" t="s">
        <v>8133</v>
      </c>
      <c r="F164" s="111">
        <v>103.0</v>
      </c>
    </row>
    <row r="165" ht="798.75" customHeight="1">
      <c r="A165" s="123" t="s">
        <v>8145</v>
      </c>
      <c r="B165" s="71" t="s">
        <v>8146</v>
      </c>
      <c r="C165" s="113"/>
      <c r="D165" s="109" t="str">
        <f>IFERROR(__xludf.DUMMYFUNCTION("REGEXEXTRACT($A165,""([^/]+)/$"")"),"outdoor-furniture")</f>
        <v>outdoor-furniture</v>
      </c>
      <c r="E165" s="110" t="s">
        <v>8147</v>
      </c>
      <c r="F165" s="111">
        <v>92.0</v>
      </c>
    </row>
    <row r="166" ht="798.75" customHeight="1">
      <c r="A166" s="123" t="s">
        <v>8148</v>
      </c>
      <c r="B166" s="71" t="s">
        <v>8149</v>
      </c>
      <c r="C166" s="113"/>
      <c r="D166" s="109" t="str">
        <f>IFERROR(__xludf.DUMMYFUNCTION("REGEXEXTRACT($A166,""([^/]+)/$"")"),"outdoor-furniture")</f>
        <v>outdoor-furniture</v>
      </c>
      <c r="E166" s="110" t="s">
        <v>8147</v>
      </c>
      <c r="F166" s="111">
        <v>92.0</v>
      </c>
    </row>
    <row r="167" ht="798.75" customHeight="1">
      <c r="A167" s="123" t="s">
        <v>8150</v>
      </c>
      <c r="B167" s="71" t="s">
        <v>8151</v>
      </c>
      <c r="C167" s="113"/>
      <c r="D167" s="109" t="str">
        <f>IFERROR(__xludf.DUMMYFUNCTION("REGEXEXTRACT($A167,""([^/]+)/$"")"),"outdoor-furniture")</f>
        <v>outdoor-furniture</v>
      </c>
      <c r="E167" s="110" t="s">
        <v>8147</v>
      </c>
      <c r="F167" s="111">
        <v>92.0</v>
      </c>
    </row>
    <row r="168" ht="798.75" customHeight="1">
      <c r="A168" s="123" t="s">
        <v>8152</v>
      </c>
      <c r="B168" s="71" t="s">
        <v>8153</v>
      </c>
      <c r="C168" s="113"/>
      <c r="D168" s="109" t="str">
        <f>IFERROR(__xludf.DUMMYFUNCTION("REGEXEXTRACT($A168,""([^/]+)/$"")"),"outdoor-furniture")</f>
        <v>outdoor-furniture</v>
      </c>
      <c r="E168" s="110" t="s">
        <v>8154</v>
      </c>
      <c r="F168" s="111">
        <v>106.0</v>
      </c>
    </row>
    <row r="169" ht="798.75" customHeight="1">
      <c r="A169" s="123" t="s">
        <v>8155</v>
      </c>
      <c r="B169" s="71" t="s">
        <v>8156</v>
      </c>
      <c r="C169" s="113"/>
      <c r="D169" s="109" t="str">
        <f>IFERROR(__xludf.DUMMYFUNCTION("REGEXEXTRACT($A169,""([^/]+)/$"")"),"outdoor-furniture")</f>
        <v>outdoor-furniture</v>
      </c>
      <c r="E169" s="110" t="s">
        <v>8157</v>
      </c>
      <c r="F169" s="111">
        <v>96.0</v>
      </c>
    </row>
    <row r="170" ht="798.75" customHeight="1">
      <c r="A170" s="123" t="s">
        <v>8158</v>
      </c>
      <c r="B170" s="71" t="s">
        <v>8159</v>
      </c>
      <c r="C170" s="113"/>
      <c r="D170" s="109" t="str">
        <f>IFERROR(__xludf.DUMMYFUNCTION("REGEXEXTRACT($A170,""([^/]+)/$"")"),"outdoor-furniture")</f>
        <v>outdoor-furniture</v>
      </c>
      <c r="E170" s="110" t="s">
        <v>8157</v>
      </c>
      <c r="F170" s="111">
        <v>96.0</v>
      </c>
    </row>
    <row r="171" ht="798.75" customHeight="1">
      <c r="A171" s="123" t="s">
        <v>8160</v>
      </c>
      <c r="B171" s="71" t="s">
        <v>8161</v>
      </c>
      <c r="C171" s="113"/>
      <c r="D171" s="109" t="str">
        <f>IFERROR(__xludf.DUMMYFUNCTION("REGEXEXTRACT($A171,""([^/]+)/$"")"),"outdoor-furniture")</f>
        <v>outdoor-furniture</v>
      </c>
      <c r="E171" s="110" t="s">
        <v>8162</v>
      </c>
      <c r="F171" s="111">
        <v>100.0</v>
      </c>
    </row>
    <row r="172" ht="798.75" customHeight="1">
      <c r="A172" s="123" t="s">
        <v>8163</v>
      </c>
      <c r="B172" s="71" t="s">
        <v>8164</v>
      </c>
      <c r="C172" s="113"/>
      <c r="D172" s="109" t="str">
        <f>IFERROR(__xludf.DUMMYFUNCTION("REGEXEXTRACT($A172,""([^/]+)/$"")"),"outdoor-furniture")</f>
        <v>outdoor-furniture</v>
      </c>
      <c r="E172" s="110" t="s">
        <v>8147</v>
      </c>
      <c r="F172" s="111">
        <v>92.0</v>
      </c>
    </row>
    <row r="173" ht="798.75" customHeight="1">
      <c r="A173" s="123" t="s">
        <v>8165</v>
      </c>
      <c r="B173" s="71" t="s">
        <v>8166</v>
      </c>
      <c r="C173" s="113"/>
      <c r="D173" s="109" t="str">
        <f>IFERROR(__xludf.DUMMYFUNCTION("REGEXEXTRACT($A173,""([^/]+)/$"")"),"outdoor-furniture")</f>
        <v>outdoor-furniture</v>
      </c>
      <c r="E173" s="110" t="s">
        <v>8157</v>
      </c>
      <c r="F173" s="111">
        <v>96.0</v>
      </c>
    </row>
    <row r="174" ht="798.75" customHeight="1">
      <c r="A174" s="123" t="s">
        <v>8167</v>
      </c>
      <c r="B174" s="71" t="s">
        <v>8168</v>
      </c>
      <c r="C174" s="113"/>
      <c r="D174" s="109" t="str">
        <f>IFERROR(__xludf.DUMMYFUNCTION("REGEXEXTRACT($A174,""([^/]+)/$"")"),"outdoor-furniture")</f>
        <v>outdoor-furniture</v>
      </c>
      <c r="E174" s="110" t="s">
        <v>8169</v>
      </c>
      <c r="F174" s="111">
        <v>84.0</v>
      </c>
    </row>
    <row r="175" ht="798.75" customHeight="1">
      <c r="A175" s="123" t="s">
        <v>8170</v>
      </c>
      <c r="B175" s="71" t="s">
        <v>8171</v>
      </c>
      <c r="C175" s="113"/>
      <c r="D175" s="109" t="str">
        <f>IFERROR(__xludf.DUMMYFUNCTION("REGEXEXTRACT($A175,""([^/]+)/$"")"),"outdoor-furniture")</f>
        <v>outdoor-furniture</v>
      </c>
      <c r="E175" s="110" t="s">
        <v>8172</v>
      </c>
      <c r="F175" s="111">
        <v>82.0</v>
      </c>
    </row>
    <row r="176" ht="798.75" customHeight="1">
      <c r="A176" s="123" t="s">
        <v>8173</v>
      </c>
      <c r="B176" s="71" t="s">
        <v>8174</v>
      </c>
      <c r="C176" s="113"/>
      <c r="D176" s="109" t="str">
        <f>IFERROR(__xludf.DUMMYFUNCTION("REGEXEXTRACT($A176,""([^/]+)/$"")"),"outdoor-furniture")</f>
        <v>outdoor-furniture</v>
      </c>
      <c r="E176" s="110" t="s">
        <v>8175</v>
      </c>
      <c r="F176" s="111">
        <v>90.0</v>
      </c>
    </row>
    <row r="177" ht="798.75" customHeight="1">
      <c r="A177" s="123" t="s">
        <v>8176</v>
      </c>
      <c r="B177" s="71" t="s">
        <v>8177</v>
      </c>
      <c r="C177" s="113"/>
      <c r="D177" s="109" t="str">
        <f>IFERROR(__xludf.DUMMYFUNCTION("REGEXEXTRACT($A177,""([^/]+)/$"")"),"outdoor-furniture")</f>
        <v>outdoor-furniture</v>
      </c>
      <c r="E177" s="110" t="s">
        <v>8147</v>
      </c>
      <c r="F177" s="111">
        <v>92.0</v>
      </c>
    </row>
    <row r="178" ht="798.75" customHeight="1">
      <c r="A178" s="123" t="s">
        <v>8178</v>
      </c>
      <c r="B178" s="71" t="s">
        <v>8179</v>
      </c>
      <c r="C178" s="113"/>
      <c r="D178" s="109" t="str">
        <f>IFERROR(__xludf.DUMMYFUNCTION("REGEXEXTRACT($A178,""([^/]+)/$"")"),"outdoor-furniture")</f>
        <v>outdoor-furniture</v>
      </c>
      <c r="E178" s="110" t="s">
        <v>8180</v>
      </c>
      <c r="F178" s="111">
        <v>110.0</v>
      </c>
    </row>
    <row r="179" ht="798.75" customHeight="1">
      <c r="A179" s="123" t="s">
        <v>8181</v>
      </c>
      <c r="B179" s="71" t="s">
        <v>8182</v>
      </c>
      <c r="C179" s="113"/>
      <c r="D179" s="109" t="str">
        <f>IFERROR(__xludf.DUMMYFUNCTION("REGEXEXTRACT($A179,""([^/]+)/$"")"),"outdoor-furniture")</f>
        <v>outdoor-furniture</v>
      </c>
      <c r="E179" s="110" t="s">
        <v>8157</v>
      </c>
      <c r="F179" s="111">
        <v>96.0</v>
      </c>
    </row>
    <row r="180" ht="798.75" customHeight="1">
      <c r="A180" s="123" t="s">
        <v>8183</v>
      </c>
      <c r="B180" s="71" t="s">
        <v>8184</v>
      </c>
      <c r="C180" s="113"/>
      <c r="D180" s="109" t="str">
        <f>IFERROR(__xludf.DUMMYFUNCTION("REGEXEXTRACT($A180,""([^/]+)/$"")"),"outdoor-furniture")</f>
        <v>outdoor-furniture</v>
      </c>
      <c r="E180" s="110" t="s">
        <v>8172</v>
      </c>
      <c r="F180" s="111">
        <v>82.0</v>
      </c>
    </row>
    <row r="181" ht="798.75" customHeight="1">
      <c r="A181" s="123" t="s">
        <v>8185</v>
      </c>
      <c r="B181" s="71" t="s">
        <v>8186</v>
      </c>
      <c r="C181" s="113"/>
      <c r="D181" s="109" t="str">
        <f>IFERROR(__xludf.DUMMYFUNCTION("REGEXEXTRACT($A181,""([^/]+)/$"")"),"outdoor-furniture")</f>
        <v>outdoor-furniture</v>
      </c>
      <c r="E181" s="110" t="s">
        <v>8187</v>
      </c>
      <c r="F181" s="111">
        <v>94.0</v>
      </c>
    </row>
    <row r="182" ht="798.75" customHeight="1">
      <c r="A182" s="123" t="s">
        <v>8188</v>
      </c>
      <c r="B182" s="71" t="s">
        <v>8189</v>
      </c>
      <c r="C182" s="113"/>
      <c r="D182" s="109" t="str">
        <f>IFERROR(__xludf.DUMMYFUNCTION("REGEXEXTRACT($A182,""([^/]+)/$"")"),"outdoor-furniture")</f>
        <v>outdoor-furniture</v>
      </c>
      <c r="E182" s="110" t="s">
        <v>8190</v>
      </c>
      <c r="F182" s="111">
        <v>98.0</v>
      </c>
    </row>
    <row r="183" ht="798.75" customHeight="1">
      <c r="A183" s="123" t="s">
        <v>8191</v>
      </c>
      <c r="B183" s="71" t="s">
        <v>8192</v>
      </c>
      <c r="C183" s="113"/>
      <c r="D183" s="109" t="str">
        <f>IFERROR(__xludf.DUMMYFUNCTION("REGEXEXTRACT($A183,""([^/]+)/$"")"),"outdoor-furniture")</f>
        <v>outdoor-furniture</v>
      </c>
      <c r="E183" s="110" t="s">
        <v>8175</v>
      </c>
      <c r="F183" s="111">
        <v>90.0</v>
      </c>
    </row>
    <row r="184" ht="798.75" customHeight="1">
      <c r="A184" s="123" t="s">
        <v>8193</v>
      </c>
      <c r="B184" s="71" t="s">
        <v>8194</v>
      </c>
      <c r="C184" s="113"/>
      <c r="D184" s="109" t="str">
        <f>IFERROR(__xludf.DUMMYFUNCTION("REGEXEXTRACT($A184,""([^/]+)/$"")"),"outdoor-furniture")</f>
        <v>outdoor-furniture</v>
      </c>
      <c r="E184" s="110" t="s">
        <v>8147</v>
      </c>
      <c r="F184" s="111">
        <v>92.0</v>
      </c>
    </row>
    <row r="185" ht="798.75" customHeight="1">
      <c r="A185" s="123" t="s">
        <v>8195</v>
      </c>
      <c r="B185" s="71" t="s">
        <v>8196</v>
      </c>
      <c r="C185" s="113"/>
      <c r="D185" s="109" t="str">
        <f>IFERROR(__xludf.DUMMYFUNCTION("REGEXEXTRACT($A185,""([^/]+)/$"")"),"outdoor-furniture")</f>
        <v>outdoor-furniture</v>
      </c>
      <c r="E185" s="110" t="s">
        <v>8197</v>
      </c>
      <c r="F185" s="111">
        <v>98.0</v>
      </c>
    </row>
    <row r="186" ht="798.75" customHeight="1">
      <c r="A186" s="123" t="s">
        <v>8198</v>
      </c>
      <c r="B186" s="71" t="s">
        <v>8199</v>
      </c>
      <c r="C186" s="113"/>
      <c r="D186" s="109" t="str">
        <f>IFERROR(__xludf.DUMMYFUNCTION("REGEXEXTRACT($A186,""([^/]+)/$"")"),"outdoor-furniture")</f>
        <v>outdoor-furniture</v>
      </c>
      <c r="E186" s="110" t="s">
        <v>8200</v>
      </c>
      <c r="F186" s="111">
        <v>104.0</v>
      </c>
    </row>
    <row r="187" ht="798.75" customHeight="1">
      <c r="A187" s="123" t="s">
        <v>8201</v>
      </c>
      <c r="B187" s="71" t="s">
        <v>8202</v>
      </c>
      <c r="C187" s="113"/>
      <c r="D187" s="109" t="str">
        <f>IFERROR(__xludf.DUMMYFUNCTION("REGEXEXTRACT($A187,""([^/]+)/$"")"),"outdoor-furniture")</f>
        <v>outdoor-furniture</v>
      </c>
      <c r="E187" s="110" t="s">
        <v>8203</v>
      </c>
      <c r="F187" s="111">
        <v>94.0</v>
      </c>
    </row>
    <row r="188" ht="798.75" customHeight="1">
      <c r="A188" s="123" t="s">
        <v>8204</v>
      </c>
      <c r="B188" s="71" t="s">
        <v>8205</v>
      </c>
      <c r="C188" s="113"/>
      <c r="D188" s="109" t="str">
        <f>IFERROR(__xludf.DUMMYFUNCTION("REGEXEXTRACT($A188,""([^/]+)/$"")"),"outdoor-furniture")</f>
        <v>outdoor-furniture</v>
      </c>
      <c r="E188" s="110" t="s">
        <v>8147</v>
      </c>
      <c r="F188" s="111">
        <v>92.0</v>
      </c>
    </row>
    <row r="189" ht="798.75" customHeight="1">
      <c r="A189" s="123" t="s">
        <v>8206</v>
      </c>
      <c r="B189" s="71" t="s">
        <v>8207</v>
      </c>
      <c r="C189" s="113"/>
      <c r="D189" s="109" t="str">
        <f>IFERROR(__xludf.DUMMYFUNCTION("REGEXEXTRACT($A189,""([^/]+)/$"")"),"outdoor-furniture")</f>
        <v>outdoor-furniture</v>
      </c>
      <c r="E189" s="110" t="s">
        <v>8208</v>
      </c>
      <c r="F189" s="111">
        <v>86.0</v>
      </c>
    </row>
    <row r="190" ht="798.75" customHeight="1">
      <c r="A190" s="123" t="s">
        <v>8209</v>
      </c>
      <c r="B190" s="71" t="s">
        <v>8210</v>
      </c>
      <c r="C190" s="113"/>
      <c r="D190" s="109" t="str">
        <f>IFERROR(__xludf.DUMMYFUNCTION("REGEXEXTRACT($A190,""([^/]+)/$"")"),"outdoor-furniture")</f>
        <v>outdoor-furniture</v>
      </c>
      <c r="E190" s="110" t="s">
        <v>8154</v>
      </c>
      <c r="F190" s="111">
        <v>106.0</v>
      </c>
    </row>
    <row r="191" ht="798.75" customHeight="1">
      <c r="A191" s="124"/>
      <c r="B191" s="116"/>
      <c r="C191" s="113"/>
      <c r="D191" s="113"/>
      <c r="E191" s="110"/>
      <c r="F191" s="111">
        <v>0.0</v>
      </c>
    </row>
    <row r="192" ht="798.75" customHeight="1">
      <c r="A192" s="124"/>
      <c r="B192" s="116"/>
      <c r="C192" s="113"/>
      <c r="D192" s="113"/>
      <c r="E192" s="110"/>
      <c r="F192" s="111">
        <v>0.0</v>
      </c>
    </row>
    <row r="193" ht="798.75" customHeight="1">
      <c r="A193" s="124"/>
      <c r="B193" s="116"/>
      <c r="C193" s="113"/>
      <c r="D193" s="113"/>
      <c r="E193" s="110"/>
      <c r="F193" s="111">
        <v>0.0</v>
      </c>
    </row>
    <row r="194" ht="798.75" customHeight="1">
      <c r="A194" s="124"/>
      <c r="B194" s="116"/>
      <c r="C194" s="113"/>
      <c r="D194" s="113"/>
      <c r="E194" s="110"/>
      <c r="F194" s="111">
        <v>0.0</v>
      </c>
    </row>
    <row r="195" ht="798.75" customHeight="1">
      <c r="A195" s="124"/>
      <c r="B195" s="116"/>
      <c r="C195" s="113"/>
      <c r="D195" s="113"/>
      <c r="E195" s="110"/>
      <c r="F195" s="111">
        <v>0.0</v>
      </c>
    </row>
    <row r="196" ht="798.75" customHeight="1">
      <c r="A196" s="124"/>
      <c r="B196" s="116"/>
      <c r="C196" s="113"/>
      <c r="D196" s="113"/>
      <c r="E196" s="110"/>
      <c r="F196" s="111">
        <v>0.0</v>
      </c>
    </row>
    <row r="197" ht="798.75" customHeight="1">
      <c r="A197" s="124"/>
      <c r="B197" s="116"/>
      <c r="C197" s="113"/>
      <c r="D197" s="113"/>
      <c r="E197" s="110"/>
      <c r="F197" s="111">
        <v>0.0</v>
      </c>
    </row>
    <row r="198" ht="798.75" customHeight="1">
      <c r="A198" s="124"/>
      <c r="B198" s="116"/>
      <c r="C198" s="113"/>
      <c r="D198" s="113"/>
      <c r="E198" s="110"/>
      <c r="F198" s="111">
        <v>0.0</v>
      </c>
    </row>
    <row r="199" ht="798.75" customHeight="1">
      <c r="A199" s="124"/>
      <c r="B199" s="116"/>
      <c r="C199" s="113"/>
      <c r="D199" s="113"/>
      <c r="E199" s="110"/>
      <c r="F199" s="111">
        <v>0.0</v>
      </c>
    </row>
    <row r="200" ht="798.75" customHeight="1">
      <c r="A200" s="124"/>
      <c r="B200" s="116"/>
      <c r="C200" s="113"/>
      <c r="D200" s="113"/>
      <c r="E200" s="110"/>
      <c r="F200" s="111">
        <v>0.0</v>
      </c>
    </row>
    <row r="201" ht="798.75" customHeight="1">
      <c r="A201" s="124"/>
      <c r="B201" s="116"/>
      <c r="C201" s="113"/>
      <c r="D201" s="113"/>
      <c r="E201" s="110"/>
      <c r="F201" s="111">
        <v>0.0</v>
      </c>
    </row>
    <row r="202" ht="798.75" customHeight="1">
      <c r="A202" s="124"/>
      <c r="B202" s="116"/>
      <c r="C202" s="113"/>
      <c r="D202" s="113"/>
      <c r="E202" s="110"/>
      <c r="F202" s="111">
        <v>0.0</v>
      </c>
    </row>
    <row r="203" ht="798.75" customHeight="1">
      <c r="A203" s="124"/>
      <c r="B203" s="116"/>
      <c r="C203" s="113"/>
      <c r="D203" s="113"/>
      <c r="E203" s="110"/>
      <c r="F203" s="111">
        <v>0.0</v>
      </c>
    </row>
    <row r="204" ht="798.75" customHeight="1">
      <c r="A204" s="124"/>
      <c r="B204" s="116"/>
      <c r="C204" s="113"/>
      <c r="D204" s="113"/>
      <c r="E204" s="110"/>
      <c r="F204" s="111">
        <v>0.0</v>
      </c>
    </row>
    <row r="205" ht="798.75" customHeight="1">
      <c r="A205" s="124"/>
      <c r="B205" s="116"/>
      <c r="C205" s="113"/>
      <c r="D205" s="113"/>
      <c r="E205" s="110"/>
      <c r="F205" s="111">
        <v>0.0</v>
      </c>
    </row>
    <row r="206" ht="798.75" customHeight="1">
      <c r="A206" s="124"/>
      <c r="B206" s="116"/>
      <c r="C206" s="113"/>
      <c r="D206" s="113"/>
      <c r="E206" s="110"/>
      <c r="F206" s="111">
        <v>0.0</v>
      </c>
    </row>
    <row r="207" ht="798.75" customHeight="1">
      <c r="A207" s="124"/>
      <c r="B207" s="116"/>
      <c r="C207" s="113"/>
      <c r="D207" s="113"/>
      <c r="E207" s="110"/>
      <c r="F207" s="111">
        <v>0.0</v>
      </c>
    </row>
    <row r="208" ht="798.75" customHeight="1">
      <c r="A208" s="124"/>
      <c r="B208" s="116"/>
      <c r="C208" s="113"/>
      <c r="D208" s="113"/>
      <c r="E208" s="110"/>
      <c r="F208" s="111">
        <v>0.0</v>
      </c>
    </row>
    <row r="209" ht="798.75" customHeight="1">
      <c r="A209" s="124"/>
      <c r="B209" s="116"/>
      <c r="C209" s="113"/>
      <c r="D209" s="113"/>
      <c r="E209" s="110"/>
      <c r="F209" s="111">
        <v>0.0</v>
      </c>
    </row>
    <row r="210" ht="798.75" customHeight="1">
      <c r="A210" s="124"/>
      <c r="B210" s="116"/>
      <c r="C210" s="113"/>
      <c r="D210" s="113"/>
      <c r="E210" s="110"/>
      <c r="F210" s="111">
        <v>0.0</v>
      </c>
    </row>
    <row r="211" ht="798.75" customHeight="1">
      <c r="A211" s="124"/>
      <c r="B211" s="116"/>
      <c r="C211" s="113"/>
      <c r="D211" s="113"/>
      <c r="E211" s="110"/>
      <c r="F211" s="111">
        <v>0.0</v>
      </c>
    </row>
    <row r="212" ht="798.75" customHeight="1">
      <c r="A212" s="124"/>
      <c r="B212" s="116"/>
      <c r="C212" s="113"/>
      <c r="D212" s="113"/>
      <c r="E212" s="110"/>
      <c r="F212" s="111">
        <v>0.0</v>
      </c>
    </row>
    <row r="213" ht="798.75" customHeight="1">
      <c r="A213" s="124"/>
      <c r="B213" s="116"/>
      <c r="C213" s="113"/>
      <c r="D213" s="113"/>
      <c r="E213" s="110"/>
      <c r="F213" s="111">
        <v>0.0</v>
      </c>
    </row>
    <row r="214" ht="798.75" customHeight="1">
      <c r="A214" s="124"/>
      <c r="B214" s="116"/>
      <c r="C214" s="113"/>
      <c r="D214" s="113"/>
      <c r="E214" s="110"/>
      <c r="F214" s="111">
        <v>0.0</v>
      </c>
    </row>
    <row r="215" ht="798.75" customHeight="1">
      <c r="A215" s="124"/>
      <c r="B215" s="116"/>
      <c r="C215" s="113"/>
      <c r="D215" s="113"/>
      <c r="E215" s="110"/>
      <c r="F215" s="111">
        <v>0.0</v>
      </c>
    </row>
    <row r="216" ht="798.75" customHeight="1">
      <c r="A216" s="124"/>
      <c r="B216" s="116"/>
      <c r="C216" s="113"/>
      <c r="D216" s="113"/>
      <c r="E216" s="110"/>
      <c r="F216" s="111">
        <v>0.0</v>
      </c>
    </row>
    <row r="217" ht="798.75" customHeight="1">
      <c r="A217" s="124"/>
      <c r="B217" s="116"/>
      <c r="C217" s="113"/>
      <c r="D217" s="113"/>
      <c r="E217" s="110"/>
      <c r="F217" s="111">
        <v>0.0</v>
      </c>
    </row>
    <row r="218" ht="798.75" customHeight="1">
      <c r="A218" s="124"/>
      <c r="B218" s="116"/>
      <c r="C218" s="113"/>
      <c r="D218" s="113"/>
      <c r="E218" s="110"/>
      <c r="F218" s="111">
        <v>0.0</v>
      </c>
    </row>
    <row r="219" ht="798.75" customHeight="1">
      <c r="A219" s="124"/>
      <c r="B219" s="116"/>
      <c r="C219" s="113"/>
      <c r="D219" s="113"/>
      <c r="E219" s="110"/>
      <c r="F219" s="111">
        <v>0.0</v>
      </c>
    </row>
    <row r="220" ht="798.75" customHeight="1">
      <c r="A220" s="124"/>
      <c r="B220" s="116"/>
      <c r="C220" s="113"/>
      <c r="D220" s="113"/>
      <c r="E220" s="110"/>
      <c r="F220" s="111">
        <v>0.0</v>
      </c>
    </row>
    <row r="221" ht="798.75" customHeight="1">
      <c r="A221" s="124"/>
      <c r="B221" s="116"/>
      <c r="C221" s="113"/>
      <c r="D221" s="113"/>
      <c r="E221" s="110"/>
      <c r="F221" s="111">
        <v>0.0</v>
      </c>
    </row>
    <row r="222" ht="798.75" customHeight="1">
      <c r="A222" s="124"/>
      <c r="B222" s="116"/>
      <c r="C222" s="113"/>
      <c r="D222" s="113"/>
      <c r="E222" s="110"/>
      <c r="F222" s="111">
        <v>0.0</v>
      </c>
    </row>
    <row r="223" ht="798.75" customHeight="1">
      <c r="A223" s="124"/>
      <c r="B223" s="116"/>
      <c r="C223" s="113"/>
      <c r="D223" s="113"/>
      <c r="E223" s="110"/>
      <c r="F223" s="111">
        <v>0.0</v>
      </c>
    </row>
    <row r="224" ht="798.75" customHeight="1">
      <c r="A224" s="124"/>
      <c r="B224" s="116"/>
      <c r="C224" s="113"/>
      <c r="D224" s="113"/>
      <c r="E224" s="110"/>
      <c r="F224" s="111">
        <v>0.0</v>
      </c>
    </row>
    <row r="225" ht="798.75" customHeight="1">
      <c r="A225" s="124"/>
      <c r="B225" s="116"/>
      <c r="C225" s="113"/>
      <c r="D225" s="113"/>
      <c r="E225" s="110"/>
      <c r="F225" s="111">
        <v>0.0</v>
      </c>
    </row>
    <row r="226" ht="798.75" customHeight="1">
      <c r="A226" s="124"/>
      <c r="B226" s="116"/>
      <c r="C226" s="113"/>
      <c r="D226" s="113"/>
      <c r="E226" s="110"/>
      <c r="F226" s="111">
        <v>0.0</v>
      </c>
    </row>
    <row r="227" ht="798.75" customHeight="1">
      <c r="A227" s="124"/>
      <c r="B227" s="116"/>
      <c r="C227" s="113"/>
      <c r="D227" s="113"/>
      <c r="E227" s="110"/>
      <c r="F227" s="111">
        <v>0.0</v>
      </c>
    </row>
    <row r="228" ht="798.75" customHeight="1">
      <c r="A228" s="124"/>
      <c r="B228" s="116"/>
      <c r="C228" s="113"/>
      <c r="D228" s="113"/>
      <c r="E228" s="110"/>
      <c r="F228" s="111">
        <v>0.0</v>
      </c>
    </row>
    <row r="229" ht="798.75" customHeight="1">
      <c r="A229" s="124"/>
      <c r="B229" s="116"/>
      <c r="C229" s="113"/>
      <c r="D229" s="113"/>
      <c r="E229" s="110"/>
      <c r="F229" s="111">
        <v>0.0</v>
      </c>
    </row>
    <row r="230" ht="798.75" customHeight="1">
      <c r="A230" s="124"/>
      <c r="B230" s="116"/>
      <c r="C230" s="113"/>
      <c r="D230" s="113"/>
      <c r="E230" s="110"/>
      <c r="F230" s="111">
        <v>0.0</v>
      </c>
    </row>
    <row r="231" ht="798.75" customHeight="1">
      <c r="A231" s="124"/>
      <c r="B231" s="116"/>
      <c r="C231" s="113"/>
      <c r="D231" s="113"/>
      <c r="E231" s="110"/>
      <c r="F231" s="111">
        <v>0.0</v>
      </c>
    </row>
    <row r="232" ht="798.75" customHeight="1">
      <c r="A232" s="124"/>
      <c r="B232" s="116"/>
      <c r="C232" s="113"/>
      <c r="D232" s="113"/>
      <c r="E232" s="110"/>
      <c r="F232" s="111">
        <v>0.0</v>
      </c>
    </row>
    <row r="233" ht="798.75" customHeight="1">
      <c r="A233" s="124"/>
      <c r="B233" s="116"/>
      <c r="C233" s="113"/>
      <c r="D233" s="113"/>
      <c r="E233" s="110"/>
      <c r="F233" s="111">
        <v>0.0</v>
      </c>
    </row>
    <row r="234" ht="798.75" customHeight="1">
      <c r="A234" s="124"/>
      <c r="B234" s="116"/>
      <c r="C234" s="113"/>
      <c r="D234" s="113"/>
      <c r="E234" s="110"/>
      <c r="F234" s="111">
        <v>0.0</v>
      </c>
    </row>
    <row r="235" ht="798.75" customHeight="1">
      <c r="A235" s="124"/>
      <c r="B235" s="116"/>
      <c r="C235" s="113"/>
      <c r="D235" s="113"/>
      <c r="E235" s="110"/>
      <c r="F235" s="111">
        <v>0.0</v>
      </c>
    </row>
    <row r="236" ht="798.75" customHeight="1">
      <c r="A236" s="124"/>
      <c r="B236" s="116"/>
      <c r="C236" s="113"/>
      <c r="D236" s="113"/>
      <c r="E236" s="110"/>
      <c r="F236" s="111">
        <v>0.0</v>
      </c>
    </row>
    <row r="237" ht="798.75" customHeight="1">
      <c r="A237" s="124"/>
      <c r="B237" s="116"/>
      <c r="C237" s="113"/>
      <c r="D237" s="113"/>
      <c r="E237" s="110"/>
      <c r="F237" s="111">
        <v>0.0</v>
      </c>
    </row>
    <row r="238" ht="798.75" customHeight="1">
      <c r="A238" s="124"/>
      <c r="B238" s="116"/>
      <c r="C238" s="113"/>
      <c r="D238" s="113"/>
      <c r="E238" s="110"/>
      <c r="F238" s="111">
        <v>0.0</v>
      </c>
    </row>
    <row r="239" ht="798.75" customHeight="1">
      <c r="A239" s="124"/>
      <c r="B239" s="116"/>
      <c r="C239" s="113"/>
      <c r="D239" s="113"/>
      <c r="E239" s="110"/>
      <c r="F239" s="111">
        <v>0.0</v>
      </c>
    </row>
    <row r="240" ht="798.75" customHeight="1">
      <c r="A240" s="124"/>
      <c r="B240" s="116"/>
      <c r="C240" s="113"/>
      <c r="D240" s="113"/>
      <c r="E240" s="110"/>
      <c r="F240" s="111">
        <v>0.0</v>
      </c>
    </row>
    <row r="241" ht="798.75" customHeight="1">
      <c r="A241" s="124"/>
      <c r="B241" s="116"/>
      <c r="C241" s="113"/>
      <c r="D241" s="113"/>
      <c r="E241" s="110"/>
      <c r="F241" s="111">
        <v>0.0</v>
      </c>
    </row>
    <row r="242" ht="798.75" customHeight="1">
      <c r="A242" s="124"/>
      <c r="B242" s="116"/>
      <c r="C242" s="113"/>
      <c r="D242" s="113"/>
      <c r="E242" s="110"/>
      <c r="F242" s="111">
        <v>0.0</v>
      </c>
    </row>
    <row r="243" ht="798.75" customHeight="1">
      <c r="A243" s="124"/>
      <c r="B243" s="116"/>
      <c r="C243" s="113"/>
      <c r="D243" s="113"/>
      <c r="E243" s="110"/>
      <c r="F243" s="111">
        <v>0.0</v>
      </c>
    </row>
    <row r="244" ht="798.75" customHeight="1">
      <c r="A244" s="124"/>
      <c r="B244" s="116"/>
      <c r="C244" s="113"/>
      <c r="D244" s="113"/>
      <c r="E244" s="110"/>
      <c r="F244" s="111">
        <v>0.0</v>
      </c>
    </row>
    <row r="245" ht="798.75" customHeight="1">
      <c r="A245" s="124"/>
      <c r="B245" s="116"/>
      <c r="C245" s="113"/>
      <c r="D245" s="113"/>
      <c r="E245" s="110"/>
      <c r="F245" s="111">
        <v>0.0</v>
      </c>
    </row>
    <row r="246" ht="798.75" customHeight="1">
      <c r="A246" s="124"/>
      <c r="B246" s="116"/>
      <c r="C246" s="113"/>
      <c r="D246" s="113"/>
      <c r="E246" s="110"/>
      <c r="F246" s="111">
        <v>0.0</v>
      </c>
    </row>
    <row r="247" ht="798.75" customHeight="1">
      <c r="A247" s="124"/>
      <c r="B247" s="116"/>
      <c r="C247" s="113"/>
      <c r="D247" s="113"/>
      <c r="E247" s="110"/>
      <c r="F247" s="111">
        <v>0.0</v>
      </c>
    </row>
    <row r="248" ht="798.75" customHeight="1">
      <c r="A248" s="124"/>
      <c r="B248" s="116"/>
      <c r="C248" s="113"/>
      <c r="D248" s="113"/>
      <c r="E248" s="110"/>
      <c r="F248" s="111">
        <v>0.0</v>
      </c>
    </row>
    <row r="249" ht="798.75" customHeight="1">
      <c r="A249" s="124"/>
      <c r="B249" s="116"/>
      <c r="C249" s="113"/>
      <c r="D249" s="113"/>
      <c r="E249" s="110"/>
      <c r="F249" s="111">
        <v>0.0</v>
      </c>
    </row>
    <row r="250" ht="798.75" customHeight="1">
      <c r="A250" s="124"/>
      <c r="B250" s="116"/>
      <c r="C250" s="113"/>
      <c r="D250" s="113"/>
      <c r="E250" s="110"/>
      <c r="F250" s="111">
        <v>0.0</v>
      </c>
    </row>
    <row r="251" ht="798.75" customHeight="1">
      <c r="A251" s="124"/>
      <c r="B251" s="116"/>
      <c r="C251" s="113"/>
      <c r="D251" s="113"/>
      <c r="E251" s="110"/>
      <c r="F251" s="111">
        <v>0.0</v>
      </c>
    </row>
    <row r="252" ht="798.75" customHeight="1">
      <c r="A252" s="124"/>
      <c r="B252" s="116"/>
      <c r="C252" s="113"/>
      <c r="D252" s="113"/>
      <c r="E252" s="110"/>
      <c r="F252" s="111">
        <v>0.0</v>
      </c>
    </row>
    <row r="253" ht="798.75" customHeight="1">
      <c r="A253" s="124"/>
      <c r="B253" s="116"/>
      <c r="C253" s="113"/>
      <c r="D253" s="113"/>
      <c r="E253" s="110"/>
      <c r="F253" s="111">
        <v>0.0</v>
      </c>
    </row>
    <row r="254" ht="798.75" customHeight="1">
      <c r="A254" s="124"/>
      <c r="B254" s="116"/>
      <c r="C254" s="113"/>
      <c r="D254" s="113"/>
      <c r="E254" s="110"/>
      <c r="F254" s="111">
        <v>0.0</v>
      </c>
    </row>
    <row r="255" ht="798.75" customHeight="1">
      <c r="A255" s="124"/>
      <c r="B255" s="116"/>
      <c r="C255" s="113"/>
      <c r="D255" s="113"/>
      <c r="E255" s="110"/>
      <c r="F255" s="111">
        <v>0.0</v>
      </c>
    </row>
    <row r="256" ht="798.75" customHeight="1">
      <c r="A256" s="124"/>
      <c r="B256" s="116"/>
      <c r="C256" s="113"/>
      <c r="D256" s="113"/>
      <c r="E256" s="110"/>
      <c r="F256" s="111">
        <v>0.0</v>
      </c>
    </row>
    <row r="257" ht="798.75" customHeight="1">
      <c r="A257" s="124"/>
      <c r="B257" s="116"/>
      <c r="C257" s="113"/>
      <c r="D257" s="113"/>
      <c r="E257" s="110"/>
      <c r="F257" s="111">
        <v>0.0</v>
      </c>
    </row>
    <row r="258" ht="798.75" customHeight="1">
      <c r="A258" s="124"/>
      <c r="B258" s="116"/>
      <c r="C258" s="113"/>
      <c r="D258" s="113"/>
      <c r="E258" s="110"/>
      <c r="F258" s="111">
        <v>0.0</v>
      </c>
    </row>
    <row r="259" ht="798.75" customHeight="1">
      <c r="A259" s="124"/>
      <c r="B259" s="116"/>
      <c r="C259" s="113"/>
      <c r="D259" s="113"/>
      <c r="E259" s="110"/>
      <c r="F259" s="111">
        <v>0.0</v>
      </c>
    </row>
    <row r="260" ht="798.75" customHeight="1">
      <c r="A260" s="124"/>
      <c r="B260" s="116"/>
      <c r="C260" s="113"/>
      <c r="D260" s="113"/>
      <c r="E260" s="110"/>
      <c r="F260" s="111">
        <v>0.0</v>
      </c>
    </row>
    <row r="261" ht="798.75" customHeight="1">
      <c r="A261" s="124"/>
      <c r="B261" s="116"/>
      <c r="C261" s="113"/>
      <c r="D261" s="113"/>
      <c r="E261" s="110"/>
      <c r="F261" s="111">
        <v>0.0</v>
      </c>
    </row>
    <row r="262" ht="798.75" customHeight="1">
      <c r="A262" s="124"/>
      <c r="B262" s="116"/>
      <c r="C262" s="113"/>
      <c r="D262" s="113"/>
      <c r="E262" s="110"/>
      <c r="F262" s="111">
        <v>0.0</v>
      </c>
    </row>
    <row r="263" ht="798.75" customHeight="1">
      <c r="A263" s="124"/>
      <c r="B263" s="116"/>
      <c r="C263" s="113"/>
      <c r="D263" s="113"/>
      <c r="E263" s="110"/>
      <c r="F263" s="111">
        <v>0.0</v>
      </c>
    </row>
    <row r="264" ht="798.75" customHeight="1">
      <c r="A264" s="124"/>
      <c r="B264" s="116"/>
      <c r="C264" s="113"/>
      <c r="D264" s="113"/>
      <c r="E264" s="110"/>
      <c r="F264" s="111">
        <v>0.0</v>
      </c>
    </row>
    <row r="265" ht="798.75" customHeight="1">
      <c r="A265" s="124"/>
      <c r="B265" s="116"/>
      <c r="C265" s="113"/>
      <c r="D265" s="113"/>
      <c r="E265" s="110"/>
      <c r="F265" s="111">
        <v>0.0</v>
      </c>
    </row>
    <row r="266" ht="798.75" customHeight="1">
      <c r="A266" s="124"/>
      <c r="B266" s="116"/>
      <c r="C266" s="113"/>
      <c r="D266" s="113"/>
      <c r="E266" s="110"/>
      <c r="F266" s="111">
        <v>0.0</v>
      </c>
    </row>
    <row r="267" ht="798.75" customHeight="1">
      <c r="A267" s="124"/>
      <c r="B267" s="116"/>
      <c r="C267" s="113"/>
      <c r="D267" s="113"/>
      <c r="E267" s="110"/>
      <c r="F267" s="111">
        <v>0.0</v>
      </c>
    </row>
    <row r="268" ht="798.75" customHeight="1">
      <c r="A268" s="124"/>
      <c r="B268" s="116"/>
      <c r="C268" s="113"/>
      <c r="D268" s="113"/>
      <c r="E268" s="110"/>
      <c r="F268" s="111">
        <v>0.0</v>
      </c>
    </row>
    <row r="269" ht="798.75" customHeight="1">
      <c r="A269" s="124"/>
      <c r="B269" s="116"/>
      <c r="C269" s="113"/>
      <c r="D269" s="113"/>
      <c r="E269" s="110"/>
      <c r="F269" s="111">
        <v>0.0</v>
      </c>
    </row>
    <row r="270" ht="798.75" customHeight="1">
      <c r="A270" s="124"/>
      <c r="B270" s="116"/>
      <c r="C270" s="113"/>
      <c r="D270" s="113"/>
      <c r="E270" s="110"/>
      <c r="F270" s="111">
        <v>0.0</v>
      </c>
    </row>
    <row r="271" ht="798.75" customHeight="1">
      <c r="A271" s="124"/>
      <c r="B271" s="116"/>
      <c r="C271" s="113"/>
      <c r="D271" s="113"/>
      <c r="E271" s="110"/>
      <c r="F271" s="111">
        <v>0.0</v>
      </c>
    </row>
    <row r="272" ht="798.75" customHeight="1">
      <c r="A272" s="124"/>
      <c r="B272" s="116"/>
      <c r="C272" s="113"/>
      <c r="D272" s="113"/>
      <c r="E272" s="110"/>
      <c r="F272" s="111">
        <v>0.0</v>
      </c>
    </row>
    <row r="273" ht="798.75" customHeight="1">
      <c r="A273" s="124"/>
      <c r="B273" s="116"/>
      <c r="C273" s="113"/>
      <c r="D273" s="113"/>
      <c r="E273" s="110"/>
      <c r="F273" s="111">
        <v>0.0</v>
      </c>
    </row>
    <row r="274" ht="798.75" customHeight="1">
      <c r="A274" s="124"/>
      <c r="B274" s="116"/>
      <c r="C274" s="113"/>
      <c r="D274" s="113"/>
      <c r="E274" s="110"/>
      <c r="F274" s="111">
        <v>0.0</v>
      </c>
    </row>
    <row r="275" ht="798.75" customHeight="1">
      <c r="A275" s="124"/>
      <c r="B275" s="116"/>
      <c r="C275" s="113"/>
      <c r="D275" s="113"/>
      <c r="E275" s="110"/>
      <c r="F275" s="111">
        <v>0.0</v>
      </c>
    </row>
    <row r="276" ht="798.75" customHeight="1">
      <c r="A276" s="124"/>
      <c r="B276" s="116"/>
      <c r="C276" s="113"/>
      <c r="D276" s="113"/>
      <c r="E276" s="110"/>
      <c r="F276" s="111">
        <v>0.0</v>
      </c>
    </row>
    <row r="277" ht="798.75" customHeight="1">
      <c r="A277" s="124"/>
      <c r="B277" s="116"/>
      <c r="C277" s="113"/>
      <c r="D277" s="113"/>
      <c r="E277" s="110"/>
      <c r="F277" s="111">
        <v>0.0</v>
      </c>
    </row>
    <row r="278" ht="798.75" customHeight="1">
      <c r="A278" s="124"/>
      <c r="B278" s="116"/>
      <c r="C278" s="113"/>
      <c r="D278" s="113"/>
      <c r="E278" s="110"/>
      <c r="F278" s="111">
        <v>0.0</v>
      </c>
    </row>
    <row r="279" ht="798.75" customHeight="1">
      <c r="A279" s="124"/>
      <c r="B279" s="116"/>
      <c r="C279" s="113"/>
      <c r="D279" s="113"/>
      <c r="E279" s="110"/>
      <c r="F279" s="111">
        <v>0.0</v>
      </c>
    </row>
    <row r="280" ht="798.75" customHeight="1">
      <c r="A280" s="124"/>
      <c r="B280" s="116"/>
      <c r="C280" s="113"/>
      <c r="D280" s="113"/>
      <c r="E280" s="110"/>
      <c r="F280" s="111">
        <v>0.0</v>
      </c>
    </row>
    <row r="281" ht="798.75" customHeight="1">
      <c r="A281" s="124"/>
      <c r="B281" s="116"/>
      <c r="C281" s="113"/>
      <c r="D281" s="113"/>
      <c r="E281" s="110"/>
      <c r="F281" s="111">
        <v>0.0</v>
      </c>
    </row>
    <row r="282" ht="798.75" customHeight="1">
      <c r="A282" s="124"/>
      <c r="B282" s="116"/>
      <c r="C282" s="113"/>
      <c r="D282" s="113"/>
      <c r="E282" s="110"/>
      <c r="F282" s="111">
        <v>0.0</v>
      </c>
    </row>
    <row r="283" ht="798.75" customHeight="1">
      <c r="A283" s="124"/>
      <c r="B283" s="116"/>
      <c r="C283" s="113"/>
      <c r="D283" s="113"/>
      <c r="E283" s="110"/>
      <c r="F283" s="111">
        <v>0.0</v>
      </c>
    </row>
    <row r="284" ht="798.75" customHeight="1">
      <c r="A284" s="124"/>
      <c r="B284" s="116"/>
      <c r="C284" s="113"/>
      <c r="D284" s="113"/>
      <c r="E284" s="110"/>
      <c r="F284" s="111">
        <v>0.0</v>
      </c>
    </row>
    <row r="285" ht="798.75" customHeight="1">
      <c r="A285" s="124"/>
      <c r="B285" s="116"/>
      <c r="C285" s="113"/>
      <c r="D285" s="113"/>
      <c r="E285" s="110"/>
      <c r="F285" s="111">
        <v>0.0</v>
      </c>
    </row>
    <row r="286" ht="798.75" customHeight="1">
      <c r="A286" s="124"/>
      <c r="B286" s="116"/>
      <c r="C286" s="113"/>
      <c r="D286" s="113"/>
      <c r="E286" s="110"/>
      <c r="F286" s="111">
        <v>0.0</v>
      </c>
    </row>
    <row r="287" ht="798.75" customHeight="1">
      <c r="A287" s="124"/>
      <c r="B287" s="116"/>
      <c r="C287" s="113"/>
      <c r="D287" s="113"/>
      <c r="E287" s="110"/>
      <c r="F287" s="111">
        <v>0.0</v>
      </c>
    </row>
    <row r="288" ht="798.75" customHeight="1">
      <c r="A288" s="124"/>
      <c r="B288" s="116"/>
      <c r="C288" s="113"/>
      <c r="D288" s="113"/>
      <c r="E288" s="110"/>
      <c r="F288" s="111">
        <v>0.0</v>
      </c>
    </row>
    <row r="289" ht="798.75" customHeight="1">
      <c r="A289" s="124"/>
      <c r="B289" s="116"/>
      <c r="C289" s="113"/>
      <c r="D289" s="113"/>
      <c r="E289" s="110"/>
      <c r="F289" s="111">
        <v>0.0</v>
      </c>
    </row>
    <row r="290" ht="798.75" customHeight="1">
      <c r="A290" s="124"/>
      <c r="B290" s="116"/>
      <c r="C290" s="113"/>
      <c r="D290" s="113"/>
      <c r="E290" s="110"/>
      <c r="F290" s="111">
        <v>0.0</v>
      </c>
    </row>
    <row r="291" ht="798.75" customHeight="1">
      <c r="A291" s="124"/>
      <c r="B291" s="116"/>
      <c r="C291" s="113"/>
      <c r="D291" s="113"/>
      <c r="E291" s="110"/>
      <c r="F291" s="111">
        <v>0.0</v>
      </c>
    </row>
    <row r="292" ht="798.75" customHeight="1">
      <c r="A292" s="124"/>
      <c r="B292" s="116"/>
      <c r="C292" s="113"/>
      <c r="D292" s="113"/>
      <c r="E292" s="110"/>
      <c r="F292" s="111">
        <v>0.0</v>
      </c>
    </row>
    <row r="293" ht="798.75" customHeight="1">
      <c r="A293" s="124"/>
      <c r="B293" s="116"/>
      <c r="C293" s="113"/>
      <c r="D293" s="113"/>
      <c r="E293" s="110"/>
      <c r="F293" s="111">
        <v>0.0</v>
      </c>
    </row>
    <row r="294" ht="798.75" customHeight="1">
      <c r="A294" s="124"/>
      <c r="B294" s="116"/>
      <c r="C294" s="113"/>
      <c r="D294" s="113"/>
      <c r="E294" s="110"/>
      <c r="F294" s="111">
        <v>0.0</v>
      </c>
    </row>
    <row r="295" ht="798.75" customHeight="1">
      <c r="A295" s="124"/>
      <c r="B295" s="116"/>
      <c r="C295" s="113"/>
      <c r="D295" s="113"/>
      <c r="E295" s="110"/>
      <c r="F295" s="111">
        <v>0.0</v>
      </c>
    </row>
    <row r="296" ht="798.75" customHeight="1">
      <c r="A296" s="124"/>
      <c r="B296" s="116"/>
      <c r="C296" s="113"/>
      <c r="D296" s="113"/>
      <c r="E296" s="110"/>
      <c r="F296" s="111">
        <v>0.0</v>
      </c>
    </row>
    <row r="297" ht="798.75" customHeight="1">
      <c r="A297" s="124"/>
      <c r="B297" s="116"/>
      <c r="C297" s="113"/>
      <c r="D297" s="113"/>
      <c r="E297" s="110"/>
      <c r="F297" s="111">
        <v>0.0</v>
      </c>
    </row>
    <row r="298" ht="798.75" customHeight="1">
      <c r="A298" s="124"/>
      <c r="B298" s="116"/>
      <c r="C298" s="113"/>
      <c r="D298" s="113"/>
      <c r="E298" s="110"/>
      <c r="F298" s="111">
        <v>0.0</v>
      </c>
    </row>
    <row r="299" ht="798.75" customHeight="1">
      <c r="A299" s="124"/>
      <c r="B299" s="116"/>
      <c r="C299" s="113"/>
      <c r="D299" s="113"/>
      <c r="E299" s="110"/>
      <c r="F299" s="111">
        <v>0.0</v>
      </c>
    </row>
    <row r="300" ht="798.75" customHeight="1">
      <c r="A300" s="124"/>
      <c r="B300" s="116"/>
      <c r="C300" s="113"/>
      <c r="D300" s="113"/>
      <c r="E300" s="110"/>
      <c r="F300" s="111">
        <v>0.0</v>
      </c>
    </row>
    <row r="301" ht="798.75" customHeight="1">
      <c r="A301" s="124"/>
      <c r="B301" s="116"/>
      <c r="C301" s="113"/>
      <c r="D301" s="113"/>
      <c r="E301" s="110"/>
      <c r="F301" s="111">
        <v>0.0</v>
      </c>
    </row>
    <row r="302" ht="798.75" customHeight="1">
      <c r="A302" s="124"/>
      <c r="B302" s="116"/>
      <c r="C302" s="113"/>
      <c r="D302" s="113"/>
      <c r="E302" s="110"/>
      <c r="F302" s="111">
        <v>0.0</v>
      </c>
    </row>
    <row r="303" ht="798.75" customHeight="1">
      <c r="A303" s="124"/>
      <c r="B303" s="116"/>
      <c r="C303" s="113"/>
      <c r="D303" s="113"/>
      <c r="E303" s="110"/>
      <c r="F303" s="111">
        <v>0.0</v>
      </c>
    </row>
    <row r="304" ht="798.75" customHeight="1">
      <c r="A304" s="124"/>
      <c r="B304" s="116"/>
      <c r="C304" s="113"/>
      <c r="D304" s="113"/>
      <c r="E304" s="110"/>
      <c r="F304" s="111">
        <v>0.0</v>
      </c>
    </row>
    <row r="305" ht="798.75" customHeight="1">
      <c r="A305" s="124"/>
      <c r="B305" s="116"/>
      <c r="C305" s="113"/>
      <c r="D305" s="113"/>
      <c r="E305" s="110"/>
      <c r="F305" s="111">
        <v>0.0</v>
      </c>
    </row>
    <row r="306" ht="798.75" customHeight="1">
      <c r="A306" s="124"/>
      <c r="B306" s="116"/>
      <c r="C306" s="113"/>
      <c r="D306" s="113"/>
      <c r="E306" s="110"/>
      <c r="F306" s="111">
        <v>0.0</v>
      </c>
    </row>
    <row r="307" ht="798.75" customHeight="1">
      <c r="A307" s="124"/>
      <c r="B307" s="116"/>
      <c r="C307" s="113"/>
      <c r="D307" s="113"/>
      <c r="E307" s="110"/>
      <c r="F307" s="111">
        <v>0.0</v>
      </c>
    </row>
    <row r="308" ht="798.75" customHeight="1">
      <c r="A308" s="124"/>
      <c r="B308" s="116"/>
      <c r="C308" s="113"/>
      <c r="D308" s="113"/>
      <c r="E308" s="110"/>
      <c r="F308" s="111">
        <v>0.0</v>
      </c>
    </row>
    <row r="309" ht="798.75" customHeight="1">
      <c r="A309" s="124"/>
      <c r="B309" s="116"/>
      <c r="C309" s="113"/>
      <c r="D309" s="113"/>
      <c r="E309" s="110"/>
      <c r="F309" s="111">
        <v>0.0</v>
      </c>
    </row>
    <row r="310" ht="798.75" customHeight="1">
      <c r="A310" s="124"/>
      <c r="B310" s="116"/>
      <c r="C310" s="113"/>
      <c r="D310" s="113"/>
      <c r="E310" s="110"/>
      <c r="F310" s="111">
        <v>0.0</v>
      </c>
    </row>
    <row r="311" ht="798.75" customHeight="1">
      <c r="A311" s="124"/>
      <c r="B311" s="116"/>
      <c r="C311" s="113"/>
      <c r="D311" s="113"/>
      <c r="E311" s="110"/>
      <c r="F311" s="111">
        <v>0.0</v>
      </c>
    </row>
    <row r="312" ht="798.75" customHeight="1">
      <c r="A312" s="124"/>
      <c r="B312" s="116"/>
      <c r="C312" s="113"/>
      <c r="D312" s="113"/>
      <c r="E312" s="110"/>
      <c r="F312" s="111">
        <v>0.0</v>
      </c>
    </row>
    <row r="313" ht="798.75" customHeight="1">
      <c r="A313" s="124"/>
      <c r="B313" s="116"/>
      <c r="C313" s="113"/>
      <c r="D313" s="113"/>
      <c r="E313" s="110"/>
      <c r="F313" s="111">
        <v>0.0</v>
      </c>
    </row>
    <row r="314" ht="798.75" customHeight="1">
      <c r="A314" s="124"/>
      <c r="B314" s="116"/>
      <c r="C314" s="113"/>
      <c r="D314" s="113"/>
      <c r="E314" s="110"/>
      <c r="F314" s="111">
        <v>0.0</v>
      </c>
    </row>
    <row r="315" ht="798.75" customHeight="1">
      <c r="A315" s="124"/>
      <c r="B315" s="116"/>
      <c r="C315" s="113"/>
      <c r="D315" s="113"/>
      <c r="E315" s="110"/>
      <c r="F315" s="111">
        <v>0.0</v>
      </c>
    </row>
    <row r="316" ht="798.75" customHeight="1">
      <c r="A316" s="124"/>
      <c r="B316" s="116"/>
      <c r="C316" s="113"/>
      <c r="D316" s="113"/>
      <c r="E316" s="110"/>
      <c r="F316" s="111">
        <v>0.0</v>
      </c>
    </row>
    <row r="317" ht="798.75" customHeight="1">
      <c r="A317" s="124"/>
      <c r="B317" s="116"/>
      <c r="C317" s="113"/>
      <c r="D317" s="113"/>
      <c r="E317" s="110"/>
      <c r="F317" s="111">
        <v>0.0</v>
      </c>
    </row>
    <row r="318" ht="798.75" customHeight="1">
      <c r="A318" s="124"/>
      <c r="B318" s="116"/>
      <c r="C318" s="113"/>
      <c r="D318" s="113"/>
      <c r="E318" s="110"/>
      <c r="F318" s="111">
        <v>0.0</v>
      </c>
    </row>
    <row r="319" ht="798.75" customHeight="1">
      <c r="A319" s="124"/>
      <c r="B319" s="116"/>
      <c r="C319" s="113"/>
      <c r="D319" s="113"/>
      <c r="E319" s="110"/>
      <c r="F319" s="111">
        <v>0.0</v>
      </c>
    </row>
    <row r="320" ht="798.75" customHeight="1">
      <c r="A320" s="124"/>
      <c r="B320" s="116"/>
      <c r="C320" s="113"/>
      <c r="D320" s="113"/>
      <c r="E320" s="110"/>
      <c r="F320" s="111">
        <v>0.0</v>
      </c>
    </row>
    <row r="321" ht="798.75" customHeight="1">
      <c r="A321" s="124"/>
      <c r="B321" s="116"/>
      <c r="C321" s="113"/>
      <c r="D321" s="113"/>
      <c r="E321" s="110"/>
      <c r="F321" s="111">
        <v>0.0</v>
      </c>
    </row>
    <row r="322" ht="798.75" customHeight="1">
      <c r="A322" s="124"/>
      <c r="B322" s="116"/>
      <c r="C322" s="113"/>
      <c r="D322" s="113"/>
      <c r="E322" s="110"/>
      <c r="F322" s="111">
        <v>0.0</v>
      </c>
    </row>
    <row r="323" ht="798.75" customHeight="1">
      <c r="A323" s="124"/>
      <c r="B323" s="116"/>
      <c r="C323" s="113"/>
      <c r="D323" s="113"/>
      <c r="E323" s="110"/>
      <c r="F323" s="111">
        <v>0.0</v>
      </c>
    </row>
    <row r="324" ht="798.75" customHeight="1">
      <c r="A324" s="124"/>
      <c r="B324" s="116"/>
      <c r="C324" s="113"/>
      <c r="D324" s="113"/>
      <c r="E324" s="110"/>
      <c r="F324" s="111">
        <v>0.0</v>
      </c>
    </row>
    <row r="325" ht="798.75" customHeight="1">
      <c r="A325" s="124"/>
      <c r="B325" s="116"/>
      <c r="C325" s="113"/>
      <c r="D325" s="113"/>
      <c r="E325" s="110"/>
      <c r="F325" s="111">
        <v>0.0</v>
      </c>
    </row>
    <row r="326" ht="798.75" customHeight="1">
      <c r="A326" s="124"/>
      <c r="B326" s="116"/>
      <c r="C326" s="113"/>
      <c r="D326" s="113"/>
      <c r="E326" s="110"/>
      <c r="F326" s="111">
        <v>0.0</v>
      </c>
    </row>
    <row r="327" ht="798.75" customHeight="1">
      <c r="A327" s="124"/>
      <c r="B327" s="116"/>
      <c r="C327" s="113"/>
      <c r="D327" s="113"/>
      <c r="E327" s="110"/>
      <c r="F327" s="111">
        <v>0.0</v>
      </c>
    </row>
    <row r="328" ht="798.75" customHeight="1">
      <c r="A328" s="124"/>
      <c r="B328" s="116"/>
      <c r="C328" s="113"/>
      <c r="D328" s="113"/>
      <c r="E328" s="110"/>
      <c r="F328" s="111">
        <v>0.0</v>
      </c>
    </row>
    <row r="329" ht="798.75" customHeight="1">
      <c r="A329" s="124"/>
      <c r="B329" s="116"/>
      <c r="C329" s="113"/>
      <c r="D329" s="113"/>
      <c r="E329" s="110"/>
      <c r="F329" s="111">
        <v>0.0</v>
      </c>
    </row>
    <row r="330" ht="798.75" customHeight="1">
      <c r="A330" s="124"/>
      <c r="B330" s="116"/>
      <c r="C330" s="113"/>
      <c r="D330" s="113"/>
      <c r="E330" s="110"/>
      <c r="F330" s="111">
        <v>0.0</v>
      </c>
    </row>
    <row r="331" ht="798.75" customHeight="1">
      <c r="A331" s="124"/>
      <c r="B331" s="116"/>
      <c r="C331" s="113"/>
      <c r="D331" s="113"/>
      <c r="E331" s="110"/>
      <c r="F331" s="111">
        <v>0.0</v>
      </c>
    </row>
    <row r="332" ht="798.75" customHeight="1">
      <c r="A332" s="124"/>
      <c r="B332" s="116"/>
      <c r="C332" s="113"/>
      <c r="D332" s="113"/>
      <c r="E332" s="110"/>
      <c r="F332" s="111">
        <v>0.0</v>
      </c>
    </row>
    <row r="333" ht="798.75" customHeight="1">
      <c r="A333" s="124"/>
      <c r="B333" s="116"/>
      <c r="C333" s="113"/>
      <c r="D333" s="113"/>
      <c r="E333" s="110"/>
      <c r="F333" s="111">
        <v>0.0</v>
      </c>
    </row>
    <row r="334" ht="798.75" customHeight="1">
      <c r="A334" s="124"/>
      <c r="B334" s="116"/>
      <c r="C334" s="113"/>
      <c r="D334" s="113"/>
      <c r="E334" s="110"/>
      <c r="F334" s="111">
        <v>0.0</v>
      </c>
    </row>
    <row r="335" ht="798.75" customHeight="1">
      <c r="A335" s="124"/>
      <c r="B335" s="116"/>
      <c r="C335" s="113"/>
      <c r="D335" s="113"/>
      <c r="E335" s="110"/>
      <c r="F335" s="111">
        <v>0.0</v>
      </c>
    </row>
    <row r="336" ht="798.75" customHeight="1">
      <c r="A336" s="124"/>
      <c r="B336" s="116"/>
      <c r="C336" s="113"/>
      <c r="D336" s="113"/>
      <c r="E336" s="110"/>
      <c r="F336" s="111">
        <v>0.0</v>
      </c>
    </row>
    <row r="337" ht="798.75" customHeight="1">
      <c r="A337" s="124"/>
      <c r="B337" s="116"/>
      <c r="C337" s="113"/>
      <c r="D337" s="113"/>
      <c r="E337" s="110"/>
      <c r="F337" s="111">
        <v>0.0</v>
      </c>
    </row>
    <row r="338" ht="798.75" customHeight="1">
      <c r="A338" s="124"/>
      <c r="B338" s="116"/>
      <c r="C338" s="113"/>
      <c r="D338" s="113"/>
      <c r="E338" s="110"/>
      <c r="F338" s="111">
        <v>0.0</v>
      </c>
    </row>
    <row r="339" ht="798.75" customHeight="1">
      <c r="A339" s="124"/>
      <c r="B339" s="116"/>
      <c r="C339" s="113"/>
      <c r="D339" s="113"/>
      <c r="E339" s="110"/>
      <c r="F339" s="111">
        <v>0.0</v>
      </c>
    </row>
    <row r="340" ht="798.75" customHeight="1">
      <c r="A340" s="124"/>
      <c r="B340" s="116"/>
      <c r="C340" s="113"/>
      <c r="D340" s="113"/>
      <c r="E340" s="110"/>
      <c r="F340" s="111">
        <v>0.0</v>
      </c>
    </row>
    <row r="341" ht="798.75" customHeight="1">
      <c r="A341" s="124"/>
      <c r="B341" s="116"/>
      <c r="C341" s="113"/>
      <c r="D341" s="113"/>
      <c r="E341" s="110"/>
      <c r="F341" s="111">
        <v>0.0</v>
      </c>
    </row>
    <row r="342" ht="798.75" customHeight="1">
      <c r="A342" s="124"/>
      <c r="B342" s="116"/>
      <c r="C342" s="113"/>
      <c r="D342" s="113"/>
      <c r="E342" s="110"/>
      <c r="F342" s="111">
        <v>0.0</v>
      </c>
    </row>
    <row r="343" ht="798.75" customHeight="1">
      <c r="A343" s="124"/>
      <c r="B343" s="116"/>
      <c r="C343" s="113"/>
      <c r="D343" s="113"/>
      <c r="E343" s="110"/>
      <c r="F343" s="111">
        <v>0.0</v>
      </c>
    </row>
    <row r="344" ht="798.75" customHeight="1">
      <c r="A344" s="124"/>
      <c r="B344" s="116"/>
      <c r="C344" s="113"/>
      <c r="D344" s="113"/>
      <c r="E344" s="110"/>
      <c r="F344" s="111">
        <v>0.0</v>
      </c>
    </row>
    <row r="345" ht="798.75" customHeight="1">
      <c r="A345" s="124"/>
      <c r="B345" s="116"/>
      <c r="C345" s="113"/>
      <c r="D345" s="113"/>
      <c r="E345" s="110"/>
      <c r="F345" s="111">
        <v>0.0</v>
      </c>
    </row>
    <row r="346" ht="798.75" customHeight="1">
      <c r="A346" s="124"/>
      <c r="B346" s="116"/>
      <c r="C346" s="113"/>
      <c r="D346" s="113"/>
      <c r="E346" s="110"/>
      <c r="F346" s="111">
        <v>0.0</v>
      </c>
    </row>
    <row r="347" ht="798.75" customHeight="1">
      <c r="A347" s="124"/>
      <c r="B347" s="116"/>
      <c r="C347" s="113"/>
      <c r="D347" s="113"/>
      <c r="E347" s="110"/>
      <c r="F347" s="111">
        <v>0.0</v>
      </c>
    </row>
    <row r="348" ht="798.75" customHeight="1">
      <c r="A348" s="124"/>
      <c r="B348" s="116"/>
      <c r="C348" s="113"/>
      <c r="D348" s="113"/>
      <c r="E348" s="110"/>
      <c r="F348" s="111">
        <v>0.0</v>
      </c>
    </row>
    <row r="349" ht="798.75" customHeight="1">
      <c r="A349" s="124"/>
      <c r="B349" s="116"/>
      <c r="C349" s="113"/>
      <c r="D349" s="113"/>
      <c r="E349" s="110"/>
      <c r="F349" s="111">
        <v>0.0</v>
      </c>
    </row>
    <row r="350" ht="798.75" customHeight="1">
      <c r="A350" s="124"/>
      <c r="B350" s="116"/>
      <c r="C350" s="113"/>
      <c r="D350" s="113"/>
      <c r="E350" s="110"/>
      <c r="F350" s="111">
        <v>0.0</v>
      </c>
    </row>
    <row r="351" ht="798.75" customHeight="1">
      <c r="A351" s="124"/>
      <c r="B351" s="116"/>
      <c r="C351" s="113"/>
      <c r="D351" s="113"/>
      <c r="E351" s="110"/>
      <c r="F351" s="111">
        <v>0.0</v>
      </c>
    </row>
    <row r="352" ht="798.75" customHeight="1">
      <c r="A352" s="124"/>
      <c r="B352" s="116"/>
      <c r="C352" s="113"/>
      <c r="D352" s="113"/>
      <c r="E352" s="110"/>
      <c r="F352" s="111">
        <v>0.0</v>
      </c>
    </row>
    <row r="353" ht="798.75" customHeight="1">
      <c r="A353" s="124"/>
      <c r="B353" s="116"/>
      <c r="C353" s="113"/>
      <c r="D353" s="113"/>
      <c r="E353" s="110"/>
      <c r="F353" s="111">
        <v>0.0</v>
      </c>
    </row>
    <row r="354" ht="798.75" customHeight="1">
      <c r="A354" s="124"/>
      <c r="B354" s="116"/>
      <c r="C354" s="113"/>
      <c r="D354" s="113"/>
      <c r="E354" s="110"/>
      <c r="F354" s="111">
        <v>0.0</v>
      </c>
    </row>
    <row r="355" ht="798.75" customHeight="1">
      <c r="A355" s="124"/>
      <c r="B355" s="116"/>
      <c r="C355" s="113"/>
      <c r="D355" s="113"/>
      <c r="E355" s="110"/>
      <c r="F355" s="111">
        <v>0.0</v>
      </c>
    </row>
    <row r="356" ht="798.75" customHeight="1">
      <c r="A356" s="124"/>
      <c r="B356" s="116"/>
      <c r="C356" s="113"/>
      <c r="D356" s="113"/>
      <c r="E356" s="110"/>
      <c r="F356" s="111">
        <v>0.0</v>
      </c>
    </row>
    <row r="357" ht="798.75" customHeight="1">
      <c r="A357" s="124"/>
      <c r="B357" s="116"/>
      <c r="C357" s="113"/>
      <c r="D357" s="113"/>
      <c r="E357" s="110"/>
      <c r="F357" s="111">
        <v>0.0</v>
      </c>
    </row>
    <row r="358" ht="798.75" customHeight="1">
      <c r="A358" s="124"/>
      <c r="B358" s="116"/>
      <c r="C358" s="113"/>
      <c r="D358" s="113"/>
      <c r="E358" s="110"/>
      <c r="F358" s="111">
        <v>0.0</v>
      </c>
    </row>
    <row r="359" ht="798.75" customHeight="1">
      <c r="A359" s="124"/>
      <c r="B359" s="116"/>
      <c r="C359" s="113"/>
      <c r="D359" s="113"/>
      <c r="E359" s="110"/>
      <c r="F359" s="111">
        <v>0.0</v>
      </c>
    </row>
    <row r="360" ht="798.75" customHeight="1">
      <c r="A360" s="124"/>
      <c r="B360" s="116"/>
      <c r="C360" s="113"/>
      <c r="D360" s="113"/>
      <c r="E360" s="110"/>
      <c r="F360" s="111">
        <v>0.0</v>
      </c>
    </row>
    <row r="361" ht="798.75" customHeight="1">
      <c r="A361" s="124"/>
      <c r="B361" s="116"/>
      <c r="C361" s="113"/>
      <c r="D361" s="113"/>
      <c r="E361" s="110"/>
      <c r="F361" s="111">
        <v>0.0</v>
      </c>
    </row>
    <row r="362" ht="798.75" customHeight="1">
      <c r="A362" s="124"/>
      <c r="B362" s="116"/>
      <c r="C362" s="113"/>
      <c r="D362" s="113"/>
      <c r="E362" s="110"/>
      <c r="F362" s="111">
        <v>0.0</v>
      </c>
    </row>
    <row r="363" ht="798.75" customHeight="1">
      <c r="A363" s="124"/>
      <c r="B363" s="116"/>
      <c r="C363" s="113"/>
      <c r="D363" s="113"/>
      <c r="E363" s="110"/>
      <c r="F363" s="111">
        <v>0.0</v>
      </c>
    </row>
    <row r="364" ht="798.75" customHeight="1">
      <c r="A364" s="124"/>
      <c r="B364" s="116"/>
      <c r="C364" s="113"/>
      <c r="D364" s="113"/>
      <c r="E364" s="110"/>
      <c r="F364" s="111">
        <v>0.0</v>
      </c>
    </row>
    <row r="365" ht="798.75" customHeight="1">
      <c r="A365" s="124"/>
      <c r="B365" s="116"/>
      <c r="C365" s="113"/>
      <c r="D365" s="113"/>
      <c r="E365" s="110"/>
      <c r="F365" s="111">
        <v>0.0</v>
      </c>
    </row>
    <row r="366" ht="798.75" customHeight="1">
      <c r="A366" s="124"/>
      <c r="B366" s="116"/>
      <c r="C366" s="113"/>
      <c r="D366" s="113"/>
      <c r="E366" s="110"/>
      <c r="F366" s="111">
        <v>0.0</v>
      </c>
    </row>
    <row r="367" ht="798.75" customHeight="1">
      <c r="A367" s="124"/>
      <c r="B367" s="116"/>
      <c r="C367" s="113"/>
      <c r="D367" s="113"/>
      <c r="E367" s="110"/>
      <c r="F367" s="111">
        <v>0.0</v>
      </c>
    </row>
    <row r="368" ht="798.75" customHeight="1">
      <c r="A368" s="124"/>
      <c r="B368" s="116"/>
      <c r="C368" s="113"/>
      <c r="D368" s="113"/>
      <c r="E368" s="110"/>
      <c r="F368" s="111">
        <v>0.0</v>
      </c>
    </row>
    <row r="369" ht="798.75" customHeight="1">
      <c r="A369" s="124"/>
      <c r="B369" s="116"/>
      <c r="C369" s="113"/>
      <c r="D369" s="113"/>
      <c r="E369" s="110"/>
      <c r="F369" s="111">
        <v>0.0</v>
      </c>
    </row>
    <row r="370" ht="798.75" customHeight="1">
      <c r="A370" s="124"/>
      <c r="B370" s="116"/>
      <c r="C370" s="113"/>
      <c r="D370" s="113"/>
      <c r="E370" s="110"/>
      <c r="F370" s="111">
        <v>0.0</v>
      </c>
    </row>
    <row r="371" ht="798.75" customHeight="1">
      <c r="A371" s="124"/>
      <c r="B371" s="116"/>
      <c r="C371" s="113"/>
      <c r="D371" s="113"/>
      <c r="E371" s="110"/>
      <c r="F371" s="111">
        <v>0.0</v>
      </c>
    </row>
    <row r="372" ht="798.75" customHeight="1">
      <c r="A372" s="124"/>
      <c r="B372" s="116"/>
      <c r="C372" s="113"/>
      <c r="D372" s="113"/>
      <c r="E372" s="110"/>
      <c r="F372" s="111">
        <v>0.0</v>
      </c>
    </row>
    <row r="373" ht="798.75" customHeight="1">
      <c r="A373" s="124"/>
      <c r="B373" s="116"/>
      <c r="C373" s="113"/>
      <c r="D373" s="113"/>
      <c r="E373" s="110"/>
      <c r="F373" s="111">
        <v>0.0</v>
      </c>
    </row>
    <row r="374" ht="798.75" customHeight="1">
      <c r="A374" s="124"/>
      <c r="B374" s="116"/>
      <c r="C374" s="113"/>
      <c r="D374" s="113"/>
      <c r="E374" s="110"/>
      <c r="F374" s="111">
        <v>0.0</v>
      </c>
    </row>
    <row r="375" ht="798.75" customHeight="1">
      <c r="A375" s="124"/>
      <c r="B375" s="116"/>
      <c r="C375" s="113"/>
      <c r="D375" s="113"/>
      <c r="E375" s="110"/>
      <c r="F375" s="111">
        <v>0.0</v>
      </c>
    </row>
    <row r="376" ht="798.75" customHeight="1">
      <c r="A376" s="124"/>
      <c r="B376" s="116"/>
      <c r="C376" s="113"/>
      <c r="D376" s="113"/>
      <c r="E376" s="110"/>
      <c r="F376" s="111">
        <v>0.0</v>
      </c>
    </row>
    <row r="377" ht="798.75" customHeight="1">
      <c r="A377" s="124"/>
      <c r="B377" s="116"/>
      <c r="C377" s="113"/>
      <c r="D377" s="113"/>
      <c r="E377" s="110"/>
      <c r="F377" s="111">
        <v>0.0</v>
      </c>
    </row>
    <row r="378" ht="798.75" customHeight="1">
      <c r="A378" s="124"/>
      <c r="B378" s="116"/>
      <c r="C378" s="113"/>
      <c r="D378" s="113"/>
      <c r="E378" s="110"/>
      <c r="F378" s="111">
        <v>0.0</v>
      </c>
    </row>
    <row r="379" ht="798.75" customHeight="1">
      <c r="A379" s="124"/>
      <c r="B379" s="116"/>
      <c r="C379" s="113"/>
      <c r="D379" s="113"/>
      <c r="E379" s="110"/>
      <c r="F379" s="111">
        <v>0.0</v>
      </c>
    </row>
    <row r="380" ht="798.75" customHeight="1">
      <c r="A380" s="124"/>
      <c r="B380" s="116"/>
      <c r="C380" s="113"/>
      <c r="D380" s="113"/>
      <c r="E380" s="110"/>
      <c r="F380" s="111">
        <v>0.0</v>
      </c>
    </row>
    <row r="381" ht="798.75" customHeight="1">
      <c r="A381" s="124"/>
      <c r="B381" s="116"/>
      <c r="C381" s="113"/>
      <c r="D381" s="113"/>
      <c r="E381" s="110"/>
      <c r="F381" s="111">
        <v>0.0</v>
      </c>
    </row>
    <row r="382" ht="798.75" customHeight="1">
      <c r="A382" s="124"/>
      <c r="B382" s="116"/>
      <c r="C382" s="113"/>
      <c r="D382" s="113"/>
      <c r="E382" s="110"/>
      <c r="F382" s="111">
        <v>0.0</v>
      </c>
    </row>
    <row r="383" ht="798.75" customHeight="1">
      <c r="A383" s="124"/>
      <c r="B383" s="116"/>
      <c r="C383" s="113"/>
      <c r="D383" s="113"/>
      <c r="E383" s="110"/>
      <c r="F383" s="111">
        <v>0.0</v>
      </c>
    </row>
    <row r="384" ht="798.75" customHeight="1">
      <c r="A384" s="124"/>
      <c r="B384" s="116"/>
      <c r="C384" s="113"/>
      <c r="D384" s="113"/>
      <c r="E384" s="110"/>
      <c r="F384" s="111">
        <v>0.0</v>
      </c>
    </row>
    <row r="385" ht="798.75" customHeight="1">
      <c r="A385" s="124"/>
      <c r="B385" s="116"/>
      <c r="C385" s="113"/>
      <c r="D385" s="113"/>
      <c r="E385" s="110"/>
      <c r="F385" s="111">
        <v>0.0</v>
      </c>
    </row>
    <row r="386" ht="798.75" customHeight="1">
      <c r="A386" s="124"/>
      <c r="B386" s="116"/>
      <c r="C386" s="113"/>
      <c r="D386" s="113"/>
      <c r="E386" s="110"/>
      <c r="F386" s="111">
        <v>0.0</v>
      </c>
    </row>
    <row r="387" ht="798.75" customHeight="1">
      <c r="A387" s="124"/>
      <c r="B387" s="116"/>
      <c r="C387" s="113"/>
      <c r="D387" s="113"/>
      <c r="E387" s="110"/>
      <c r="F387" s="111">
        <v>0.0</v>
      </c>
    </row>
    <row r="388" ht="798.75" customHeight="1">
      <c r="A388" s="124"/>
      <c r="B388" s="116"/>
      <c r="C388" s="113"/>
      <c r="D388" s="113"/>
      <c r="E388" s="110"/>
      <c r="F388" s="111">
        <v>0.0</v>
      </c>
    </row>
    <row r="389" ht="798.75" customHeight="1">
      <c r="A389" s="124"/>
      <c r="B389" s="116"/>
      <c r="C389" s="113"/>
      <c r="D389" s="113"/>
      <c r="E389" s="110"/>
      <c r="F389" s="111">
        <v>0.0</v>
      </c>
    </row>
    <row r="390" ht="798.75" customHeight="1">
      <c r="A390" s="124"/>
      <c r="B390" s="116"/>
      <c r="C390" s="113"/>
      <c r="D390" s="113"/>
      <c r="E390" s="110"/>
      <c r="F390" s="111">
        <v>0.0</v>
      </c>
    </row>
    <row r="391" ht="798.75" customHeight="1">
      <c r="A391" s="124"/>
      <c r="B391" s="116"/>
      <c r="C391" s="113"/>
      <c r="D391" s="113"/>
      <c r="E391" s="110"/>
      <c r="F391" s="111">
        <v>0.0</v>
      </c>
    </row>
    <row r="392" ht="798.75" customHeight="1">
      <c r="A392" s="124"/>
      <c r="B392" s="116"/>
      <c r="C392" s="113"/>
      <c r="D392" s="113"/>
      <c r="E392" s="110"/>
      <c r="F392" s="111">
        <v>0.0</v>
      </c>
    </row>
    <row r="393" ht="798.75" customHeight="1">
      <c r="A393" s="124"/>
      <c r="B393" s="116"/>
      <c r="C393" s="113"/>
      <c r="D393" s="113"/>
      <c r="E393" s="110"/>
      <c r="F393" s="111">
        <v>0.0</v>
      </c>
    </row>
    <row r="394" ht="798.75" customHeight="1">
      <c r="A394" s="124"/>
      <c r="B394" s="116"/>
      <c r="C394" s="113"/>
      <c r="D394" s="113"/>
      <c r="E394" s="110"/>
      <c r="F394" s="111">
        <v>0.0</v>
      </c>
    </row>
    <row r="395" ht="798.75" customHeight="1">
      <c r="A395" s="124"/>
      <c r="B395" s="116"/>
      <c r="C395" s="113"/>
      <c r="D395" s="113"/>
      <c r="E395" s="110"/>
      <c r="F395" s="111">
        <v>0.0</v>
      </c>
    </row>
    <row r="396" ht="798.75" customHeight="1">
      <c r="A396" s="124"/>
      <c r="B396" s="116"/>
      <c r="C396" s="113"/>
      <c r="D396" s="113"/>
      <c r="E396" s="110"/>
      <c r="F396" s="111">
        <v>0.0</v>
      </c>
    </row>
    <row r="397" ht="798.75" customHeight="1">
      <c r="A397" s="124"/>
      <c r="B397" s="116"/>
      <c r="C397" s="113"/>
      <c r="D397" s="113"/>
      <c r="E397" s="110"/>
      <c r="F397" s="111">
        <v>0.0</v>
      </c>
    </row>
    <row r="398" ht="798.75" customHeight="1">
      <c r="A398" s="124"/>
      <c r="B398" s="116"/>
      <c r="C398" s="113"/>
      <c r="D398" s="113"/>
      <c r="E398" s="110"/>
      <c r="F398" s="111">
        <v>0.0</v>
      </c>
    </row>
    <row r="399" ht="798.75" customHeight="1">
      <c r="A399" s="124"/>
      <c r="B399" s="116"/>
      <c r="C399" s="113"/>
      <c r="D399" s="113"/>
      <c r="E399" s="110"/>
      <c r="F399" s="111">
        <v>0.0</v>
      </c>
    </row>
    <row r="400" ht="798.75" customHeight="1">
      <c r="A400" s="124"/>
      <c r="B400" s="116"/>
      <c r="C400" s="113"/>
      <c r="D400" s="113"/>
      <c r="E400" s="110"/>
      <c r="F400" s="111">
        <v>0.0</v>
      </c>
    </row>
    <row r="401" ht="798.75" customHeight="1">
      <c r="A401" s="124"/>
      <c r="B401" s="116"/>
      <c r="C401" s="113"/>
      <c r="D401" s="113"/>
      <c r="E401" s="110"/>
      <c r="F401" s="111">
        <v>0.0</v>
      </c>
    </row>
    <row r="402" ht="798.75" customHeight="1">
      <c r="A402" s="124"/>
      <c r="B402" s="116"/>
      <c r="C402" s="113"/>
      <c r="D402" s="113"/>
      <c r="E402" s="110"/>
      <c r="F402" s="111">
        <v>0.0</v>
      </c>
    </row>
    <row r="403" ht="798.75" customHeight="1">
      <c r="A403" s="124"/>
      <c r="B403" s="116"/>
      <c r="C403" s="113"/>
      <c r="D403" s="113"/>
      <c r="E403" s="110"/>
      <c r="F403" s="111">
        <v>0.0</v>
      </c>
    </row>
    <row r="404" ht="798.75" customHeight="1">
      <c r="A404" s="124"/>
      <c r="B404" s="116"/>
      <c r="C404" s="113"/>
      <c r="D404" s="113"/>
      <c r="E404" s="110"/>
      <c r="F404" s="111">
        <v>0.0</v>
      </c>
    </row>
    <row r="405" ht="798.75" customHeight="1">
      <c r="A405" s="124"/>
      <c r="B405" s="116"/>
      <c r="C405" s="113"/>
      <c r="D405" s="113"/>
      <c r="E405" s="110"/>
      <c r="F405" s="111">
        <v>0.0</v>
      </c>
    </row>
    <row r="406" ht="798.75" customHeight="1">
      <c r="A406" s="124"/>
      <c r="B406" s="116"/>
      <c r="C406" s="113"/>
      <c r="D406" s="113"/>
      <c r="E406" s="110"/>
      <c r="F406" s="111">
        <v>0.0</v>
      </c>
    </row>
    <row r="407" ht="798.75" customHeight="1">
      <c r="A407" s="124"/>
      <c r="B407" s="116"/>
      <c r="C407" s="113"/>
      <c r="D407" s="113"/>
      <c r="E407" s="110"/>
      <c r="F407" s="111">
        <v>0.0</v>
      </c>
    </row>
    <row r="408" ht="798.75" customHeight="1">
      <c r="A408" s="124"/>
      <c r="B408" s="116"/>
      <c r="C408" s="113"/>
      <c r="D408" s="113"/>
      <c r="E408" s="110"/>
      <c r="F408" s="111">
        <v>0.0</v>
      </c>
    </row>
    <row r="409" ht="798.75" customHeight="1">
      <c r="A409" s="124"/>
      <c r="B409" s="116"/>
      <c r="C409" s="113"/>
      <c r="D409" s="113"/>
      <c r="E409" s="110"/>
      <c r="F409" s="111">
        <v>0.0</v>
      </c>
    </row>
    <row r="410" ht="798.75" customHeight="1">
      <c r="A410" s="124"/>
      <c r="B410" s="116"/>
      <c r="C410" s="113"/>
      <c r="D410" s="113"/>
      <c r="E410" s="110"/>
      <c r="F410" s="111">
        <v>0.0</v>
      </c>
    </row>
    <row r="411" ht="798.75" customHeight="1">
      <c r="A411" s="124"/>
      <c r="B411" s="116"/>
      <c r="C411" s="113"/>
      <c r="D411" s="113"/>
      <c r="E411" s="110"/>
      <c r="F411" s="111">
        <v>0.0</v>
      </c>
    </row>
    <row r="412" ht="798.75" customHeight="1">
      <c r="A412" s="124"/>
      <c r="B412" s="116"/>
      <c r="C412" s="113"/>
      <c r="D412" s="113"/>
      <c r="E412" s="110"/>
      <c r="F412" s="111">
        <v>0.0</v>
      </c>
    </row>
    <row r="413" ht="798.75" customHeight="1">
      <c r="A413" s="124"/>
      <c r="B413" s="116"/>
      <c r="C413" s="113"/>
      <c r="D413" s="113"/>
      <c r="E413" s="110"/>
      <c r="F413" s="111">
        <v>0.0</v>
      </c>
    </row>
    <row r="414" ht="798.75" customHeight="1">
      <c r="A414" s="124"/>
      <c r="B414" s="116"/>
      <c r="C414" s="113"/>
      <c r="D414" s="113"/>
      <c r="E414" s="110"/>
      <c r="F414" s="111">
        <v>0.0</v>
      </c>
    </row>
    <row r="415" ht="798.75" customHeight="1">
      <c r="A415" s="124"/>
      <c r="B415" s="116"/>
      <c r="C415" s="113"/>
      <c r="D415" s="113"/>
      <c r="E415" s="110"/>
      <c r="F415" s="111">
        <v>0.0</v>
      </c>
    </row>
    <row r="416" ht="798.75" customHeight="1">
      <c r="A416" s="124"/>
      <c r="B416" s="116"/>
      <c r="C416" s="113"/>
      <c r="D416" s="113"/>
      <c r="E416" s="110"/>
      <c r="F416" s="111">
        <v>0.0</v>
      </c>
    </row>
    <row r="417" ht="798.75" customHeight="1">
      <c r="A417" s="124"/>
      <c r="B417" s="116"/>
      <c r="C417" s="113"/>
      <c r="D417" s="113"/>
      <c r="E417" s="110"/>
      <c r="F417" s="111">
        <v>0.0</v>
      </c>
    </row>
    <row r="418" ht="798.75" customHeight="1">
      <c r="A418" s="124"/>
      <c r="B418" s="116"/>
      <c r="C418" s="113"/>
      <c r="D418" s="113"/>
      <c r="E418" s="110"/>
      <c r="F418" s="111">
        <v>0.0</v>
      </c>
    </row>
    <row r="419" ht="798.75" customHeight="1">
      <c r="A419" s="124"/>
      <c r="B419" s="116"/>
      <c r="C419" s="113"/>
      <c r="D419" s="113"/>
      <c r="E419" s="110"/>
      <c r="F419" s="111">
        <v>0.0</v>
      </c>
    </row>
    <row r="420" ht="798.75" customHeight="1">
      <c r="A420" s="124"/>
      <c r="B420" s="116"/>
      <c r="C420" s="113"/>
      <c r="D420" s="113"/>
      <c r="E420" s="110"/>
      <c r="F420" s="111">
        <v>0.0</v>
      </c>
    </row>
    <row r="421" ht="798.75" customHeight="1">
      <c r="A421" s="124"/>
      <c r="B421" s="116"/>
      <c r="C421" s="113"/>
      <c r="D421" s="113"/>
      <c r="E421" s="110"/>
      <c r="F421" s="111">
        <v>0.0</v>
      </c>
    </row>
    <row r="422" ht="798.75" customHeight="1">
      <c r="A422" s="124"/>
      <c r="B422" s="116"/>
      <c r="C422" s="113"/>
      <c r="D422" s="113"/>
      <c r="E422" s="110"/>
      <c r="F422" s="111">
        <v>0.0</v>
      </c>
    </row>
    <row r="423" ht="798.75" customHeight="1">
      <c r="A423" s="124"/>
      <c r="B423" s="116"/>
      <c r="C423" s="113"/>
      <c r="D423" s="113"/>
      <c r="E423" s="110"/>
      <c r="F423" s="111">
        <v>0.0</v>
      </c>
    </row>
    <row r="424" ht="798.75" customHeight="1">
      <c r="A424" s="124"/>
      <c r="B424" s="116"/>
      <c r="C424" s="113"/>
      <c r="D424" s="113"/>
      <c r="E424" s="110"/>
      <c r="F424" s="111">
        <v>0.0</v>
      </c>
    </row>
    <row r="425" ht="798.75" customHeight="1">
      <c r="A425" s="124"/>
      <c r="B425" s="116"/>
      <c r="C425" s="113"/>
      <c r="D425" s="113"/>
      <c r="E425" s="110"/>
      <c r="F425" s="111">
        <v>0.0</v>
      </c>
    </row>
    <row r="426" ht="798.75" customHeight="1">
      <c r="A426" s="124"/>
      <c r="B426" s="116"/>
      <c r="C426" s="113"/>
      <c r="D426" s="113"/>
      <c r="E426" s="110"/>
      <c r="F426" s="111">
        <v>0.0</v>
      </c>
    </row>
    <row r="427" ht="798.75" customHeight="1">
      <c r="A427" s="124"/>
      <c r="B427" s="116"/>
      <c r="C427" s="113"/>
      <c r="D427" s="113"/>
      <c r="E427" s="110"/>
      <c r="F427" s="111">
        <v>0.0</v>
      </c>
    </row>
    <row r="428" ht="798.75" customHeight="1">
      <c r="A428" s="124"/>
      <c r="B428" s="116"/>
      <c r="C428" s="113"/>
      <c r="D428" s="113"/>
      <c r="E428" s="110"/>
      <c r="F428" s="111">
        <v>0.0</v>
      </c>
    </row>
    <row r="429" ht="798.75" customHeight="1">
      <c r="A429" s="124"/>
      <c r="B429" s="116"/>
      <c r="C429" s="113"/>
      <c r="D429" s="113"/>
      <c r="E429" s="110"/>
      <c r="F429" s="111">
        <v>0.0</v>
      </c>
    </row>
    <row r="430" ht="798.75" customHeight="1">
      <c r="A430" s="124"/>
      <c r="B430" s="116"/>
      <c r="C430" s="113"/>
      <c r="D430" s="113"/>
      <c r="E430" s="110"/>
      <c r="F430" s="111">
        <v>0.0</v>
      </c>
    </row>
    <row r="431" ht="798.75" customHeight="1">
      <c r="A431" s="124"/>
      <c r="B431" s="116"/>
      <c r="C431" s="113"/>
      <c r="D431" s="113"/>
      <c r="E431" s="110"/>
      <c r="F431" s="111">
        <v>0.0</v>
      </c>
    </row>
    <row r="432" ht="798.75" customHeight="1">
      <c r="A432" s="124"/>
      <c r="B432" s="116"/>
      <c r="C432" s="113"/>
      <c r="D432" s="113"/>
      <c r="E432" s="110"/>
      <c r="F432" s="111">
        <v>0.0</v>
      </c>
    </row>
    <row r="433" ht="798.75" customHeight="1">
      <c r="A433" s="124"/>
      <c r="B433" s="116"/>
      <c r="C433" s="113"/>
      <c r="D433" s="113"/>
      <c r="E433" s="110"/>
      <c r="F433" s="111">
        <v>0.0</v>
      </c>
    </row>
    <row r="434" ht="798.75" customHeight="1">
      <c r="A434" s="124"/>
      <c r="B434" s="116"/>
      <c r="C434" s="113"/>
      <c r="D434" s="113"/>
      <c r="E434" s="110"/>
      <c r="F434" s="111">
        <v>0.0</v>
      </c>
    </row>
    <row r="435" ht="798.75" customHeight="1">
      <c r="A435" s="124"/>
      <c r="B435" s="116"/>
      <c r="C435" s="113"/>
      <c r="D435" s="113"/>
      <c r="E435" s="110"/>
      <c r="F435" s="111">
        <v>0.0</v>
      </c>
    </row>
    <row r="436" ht="798.75" customHeight="1">
      <c r="A436" s="124"/>
      <c r="B436" s="116"/>
      <c r="C436" s="113"/>
      <c r="D436" s="113"/>
      <c r="E436" s="110"/>
      <c r="F436" s="111">
        <v>0.0</v>
      </c>
    </row>
    <row r="437" ht="798.75" customHeight="1">
      <c r="A437" s="124"/>
      <c r="B437" s="116"/>
      <c r="C437" s="113"/>
      <c r="D437" s="113"/>
      <c r="E437" s="110"/>
      <c r="F437" s="111">
        <v>0.0</v>
      </c>
    </row>
    <row r="438" ht="798.75" customHeight="1">
      <c r="A438" s="124"/>
      <c r="B438" s="116"/>
      <c r="C438" s="113"/>
      <c r="D438" s="113"/>
      <c r="E438" s="110"/>
      <c r="F438" s="111">
        <v>0.0</v>
      </c>
    </row>
    <row r="439" ht="798.75" customHeight="1">
      <c r="A439" s="124"/>
      <c r="B439" s="116"/>
      <c r="C439" s="113"/>
      <c r="D439" s="113"/>
      <c r="E439" s="110"/>
      <c r="F439" s="111">
        <v>0.0</v>
      </c>
    </row>
    <row r="440" ht="798.75" customHeight="1">
      <c r="A440" s="124"/>
      <c r="B440" s="116"/>
      <c r="C440" s="113"/>
      <c r="D440" s="113"/>
      <c r="E440" s="110"/>
      <c r="F440" s="111">
        <v>0.0</v>
      </c>
    </row>
    <row r="441" ht="798.75" customHeight="1">
      <c r="A441" s="124"/>
      <c r="B441" s="116"/>
      <c r="C441" s="113"/>
      <c r="D441" s="113"/>
      <c r="E441" s="110"/>
      <c r="F441" s="111">
        <v>0.0</v>
      </c>
    </row>
    <row r="442" ht="798.75" customHeight="1">
      <c r="A442" s="124"/>
      <c r="B442" s="116"/>
      <c r="C442" s="113"/>
      <c r="D442" s="113"/>
      <c r="E442" s="110"/>
      <c r="F442" s="111">
        <v>0.0</v>
      </c>
    </row>
    <row r="443" ht="798.75" customHeight="1">
      <c r="A443" s="124"/>
      <c r="B443" s="116"/>
      <c r="C443" s="113"/>
      <c r="D443" s="113"/>
      <c r="E443" s="110"/>
      <c r="F443" s="111">
        <v>0.0</v>
      </c>
    </row>
    <row r="444" ht="798.75" customHeight="1">
      <c r="A444" s="124"/>
      <c r="B444" s="116"/>
      <c r="C444" s="113"/>
      <c r="D444" s="113"/>
      <c r="E444" s="110"/>
      <c r="F444" s="111">
        <v>0.0</v>
      </c>
    </row>
    <row r="445" ht="798.75" customHeight="1">
      <c r="A445" s="124"/>
      <c r="B445" s="116"/>
      <c r="C445" s="113"/>
      <c r="D445" s="113"/>
      <c r="E445" s="110"/>
      <c r="F445" s="111">
        <v>0.0</v>
      </c>
    </row>
    <row r="446" ht="798.75" customHeight="1">
      <c r="A446" s="124"/>
      <c r="B446" s="116"/>
      <c r="C446" s="113"/>
      <c r="D446" s="113"/>
      <c r="E446" s="110"/>
      <c r="F446" s="111">
        <v>0.0</v>
      </c>
    </row>
    <row r="447" ht="798.75" customHeight="1">
      <c r="A447" s="124"/>
      <c r="B447" s="116"/>
      <c r="C447" s="113"/>
      <c r="D447" s="113"/>
      <c r="E447" s="110"/>
      <c r="F447" s="111">
        <v>0.0</v>
      </c>
    </row>
    <row r="448" ht="798.75" customHeight="1">
      <c r="A448" s="124"/>
      <c r="B448" s="116"/>
      <c r="C448" s="113"/>
      <c r="D448" s="113"/>
      <c r="E448" s="110"/>
      <c r="F448" s="111">
        <v>0.0</v>
      </c>
    </row>
    <row r="449" ht="798.75" customHeight="1">
      <c r="A449" s="124"/>
      <c r="B449" s="116"/>
      <c r="C449" s="113"/>
      <c r="D449" s="113"/>
      <c r="E449" s="110"/>
      <c r="F449" s="111">
        <v>0.0</v>
      </c>
    </row>
    <row r="450" ht="798.75" customHeight="1">
      <c r="A450" s="124"/>
      <c r="B450" s="116"/>
      <c r="C450" s="113"/>
      <c r="D450" s="113"/>
      <c r="E450" s="110"/>
      <c r="F450" s="111">
        <v>0.0</v>
      </c>
    </row>
    <row r="451" ht="798.75" customHeight="1">
      <c r="A451" s="124"/>
      <c r="B451" s="116"/>
      <c r="C451" s="113"/>
      <c r="D451" s="113"/>
      <c r="E451" s="110"/>
      <c r="F451" s="111">
        <v>0.0</v>
      </c>
    </row>
    <row r="452" ht="798.75" customHeight="1">
      <c r="A452" s="124"/>
      <c r="B452" s="116"/>
      <c r="C452" s="113"/>
      <c r="D452" s="113"/>
      <c r="E452" s="110"/>
      <c r="F452" s="111">
        <v>0.0</v>
      </c>
    </row>
    <row r="453" ht="798.75" customHeight="1">
      <c r="A453" s="124"/>
      <c r="B453" s="116"/>
      <c r="C453" s="113"/>
      <c r="D453" s="113"/>
      <c r="E453" s="110"/>
      <c r="F453" s="111">
        <v>0.0</v>
      </c>
    </row>
    <row r="454" ht="798.75" customHeight="1">
      <c r="A454" s="124"/>
      <c r="B454" s="116"/>
      <c r="C454" s="113"/>
      <c r="D454" s="113"/>
      <c r="E454" s="110"/>
      <c r="F454" s="111">
        <v>0.0</v>
      </c>
    </row>
    <row r="455" ht="798.75" customHeight="1">
      <c r="A455" s="124"/>
      <c r="B455" s="116"/>
      <c r="C455" s="113"/>
      <c r="D455" s="113"/>
      <c r="E455" s="110"/>
      <c r="F455" s="111">
        <v>0.0</v>
      </c>
    </row>
    <row r="456" ht="798.75" customHeight="1">
      <c r="A456" s="124"/>
      <c r="B456" s="116"/>
      <c r="C456" s="113"/>
      <c r="D456" s="113"/>
      <c r="E456" s="110"/>
      <c r="F456" s="111">
        <v>0.0</v>
      </c>
    </row>
    <row r="457" ht="798.75" customHeight="1">
      <c r="A457" s="124"/>
      <c r="B457" s="116"/>
      <c r="C457" s="113"/>
      <c r="D457" s="113"/>
      <c r="E457" s="110"/>
      <c r="F457" s="111">
        <v>0.0</v>
      </c>
    </row>
    <row r="458" ht="798.75" customHeight="1">
      <c r="A458" s="124"/>
      <c r="B458" s="116"/>
      <c r="C458" s="113"/>
      <c r="D458" s="113"/>
      <c r="E458" s="110"/>
      <c r="F458" s="111">
        <v>0.0</v>
      </c>
    </row>
    <row r="459" ht="798.75" customHeight="1">
      <c r="A459" s="124"/>
      <c r="B459" s="116"/>
      <c r="C459" s="113"/>
      <c r="D459" s="113"/>
      <c r="E459" s="110"/>
      <c r="F459" s="111">
        <v>0.0</v>
      </c>
    </row>
    <row r="460" ht="798.75" customHeight="1">
      <c r="A460" s="124"/>
      <c r="B460" s="116"/>
      <c r="C460" s="113"/>
      <c r="D460" s="113"/>
      <c r="E460" s="110"/>
      <c r="F460" s="111">
        <v>0.0</v>
      </c>
    </row>
    <row r="461" ht="798.75" customHeight="1">
      <c r="A461" s="124"/>
      <c r="B461" s="116"/>
      <c r="C461" s="113"/>
      <c r="D461" s="113"/>
      <c r="E461" s="110"/>
      <c r="F461" s="111">
        <v>0.0</v>
      </c>
    </row>
    <row r="462" ht="798.75" customHeight="1">
      <c r="A462" s="124"/>
      <c r="B462" s="116"/>
      <c r="C462" s="113"/>
      <c r="D462" s="113"/>
      <c r="E462" s="110"/>
      <c r="F462" s="111">
        <v>0.0</v>
      </c>
    </row>
    <row r="463" ht="798.75" customHeight="1">
      <c r="A463" s="124"/>
      <c r="B463" s="116"/>
      <c r="C463" s="113"/>
      <c r="D463" s="113"/>
      <c r="E463" s="110"/>
      <c r="F463" s="111">
        <v>0.0</v>
      </c>
    </row>
    <row r="464" ht="798.75" customHeight="1">
      <c r="A464" s="124"/>
      <c r="B464" s="116"/>
      <c r="C464" s="113"/>
      <c r="D464" s="113"/>
      <c r="E464" s="110"/>
      <c r="F464" s="111">
        <v>0.0</v>
      </c>
    </row>
    <row r="465" ht="798.75" customHeight="1">
      <c r="A465" s="124"/>
      <c r="B465" s="116"/>
      <c r="C465" s="113"/>
      <c r="D465" s="113"/>
      <c r="E465" s="110"/>
      <c r="F465" s="111">
        <v>0.0</v>
      </c>
    </row>
    <row r="466" ht="798.75" customHeight="1">
      <c r="A466" s="124"/>
      <c r="B466" s="116"/>
      <c r="C466" s="113"/>
      <c r="D466" s="113"/>
      <c r="E466" s="110"/>
      <c r="F466" s="111">
        <v>0.0</v>
      </c>
    </row>
    <row r="467" ht="798.75" customHeight="1">
      <c r="A467" s="124"/>
      <c r="B467" s="116"/>
      <c r="C467" s="113"/>
      <c r="D467" s="113"/>
      <c r="E467" s="110"/>
      <c r="F467" s="111">
        <v>0.0</v>
      </c>
    </row>
    <row r="468" ht="798.75" customHeight="1">
      <c r="A468" s="124"/>
      <c r="B468" s="116"/>
      <c r="C468" s="113"/>
      <c r="D468" s="113"/>
      <c r="E468" s="110"/>
      <c r="F468" s="111">
        <v>0.0</v>
      </c>
    </row>
    <row r="469" ht="798.75" customHeight="1">
      <c r="A469" s="124"/>
      <c r="B469" s="116"/>
      <c r="C469" s="113"/>
      <c r="D469" s="113"/>
      <c r="E469" s="110"/>
      <c r="F469" s="111">
        <v>0.0</v>
      </c>
    </row>
    <row r="470" ht="798.75" customHeight="1">
      <c r="A470" s="124"/>
      <c r="B470" s="116"/>
      <c r="C470" s="113"/>
      <c r="D470" s="113"/>
      <c r="E470" s="110"/>
      <c r="F470" s="111">
        <v>0.0</v>
      </c>
    </row>
    <row r="471" ht="798.75" customHeight="1">
      <c r="A471" s="124"/>
      <c r="B471" s="116"/>
      <c r="C471" s="113"/>
      <c r="D471" s="113"/>
      <c r="E471" s="110"/>
      <c r="F471" s="111">
        <v>0.0</v>
      </c>
    </row>
    <row r="472" ht="798.75" customHeight="1">
      <c r="A472" s="124"/>
      <c r="B472" s="116"/>
      <c r="C472" s="113"/>
      <c r="D472" s="113"/>
      <c r="E472" s="110"/>
      <c r="F472" s="111">
        <v>0.0</v>
      </c>
    </row>
    <row r="473" ht="798.75" customHeight="1">
      <c r="A473" s="124"/>
      <c r="B473" s="116"/>
      <c r="C473" s="113"/>
      <c r="D473" s="113"/>
      <c r="E473" s="110"/>
      <c r="F473" s="111">
        <v>0.0</v>
      </c>
    </row>
    <row r="474" ht="798.75" customHeight="1">
      <c r="A474" s="124"/>
      <c r="B474" s="116"/>
      <c r="C474" s="113"/>
      <c r="D474" s="113"/>
      <c r="E474" s="110"/>
      <c r="F474" s="111">
        <v>0.0</v>
      </c>
    </row>
    <row r="475" ht="798.75" customHeight="1">
      <c r="A475" s="124"/>
      <c r="B475" s="116"/>
      <c r="C475" s="113"/>
      <c r="D475" s="113"/>
      <c r="E475" s="110"/>
      <c r="F475" s="111">
        <v>0.0</v>
      </c>
    </row>
    <row r="476" ht="798.75" customHeight="1">
      <c r="A476" s="124"/>
      <c r="B476" s="116"/>
      <c r="C476" s="113"/>
      <c r="D476" s="113"/>
      <c r="E476" s="110"/>
      <c r="F476" s="111">
        <v>0.0</v>
      </c>
    </row>
    <row r="477" ht="798.75" customHeight="1">
      <c r="A477" s="124"/>
      <c r="B477" s="116"/>
      <c r="C477" s="113"/>
      <c r="D477" s="113"/>
      <c r="E477" s="110"/>
      <c r="F477" s="111">
        <v>0.0</v>
      </c>
    </row>
    <row r="478" ht="798.75" customHeight="1">
      <c r="A478" s="124"/>
      <c r="B478" s="116"/>
      <c r="C478" s="113"/>
      <c r="D478" s="113"/>
      <c r="E478" s="110"/>
      <c r="F478" s="111">
        <v>0.0</v>
      </c>
    </row>
    <row r="479" ht="798.75" customHeight="1">
      <c r="A479" s="124"/>
      <c r="B479" s="116"/>
      <c r="C479" s="113"/>
      <c r="D479" s="113"/>
      <c r="E479" s="110"/>
      <c r="F479" s="111">
        <v>0.0</v>
      </c>
    </row>
    <row r="480" ht="798.75" customHeight="1">
      <c r="A480" s="124"/>
      <c r="B480" s="116"/>
      <c r="C480" s="113"/>
      <c r="D480" s="113"/>
      <c r="E480" s="110"/>
      <c r="F480" s="111">
        <v>0.0</v>
      </c>
    </row>
    <row r="481" ht="798.75" customHeight="1">
      <c r="A481" s="124"/>
      <c r="B481" s="116"/>
      <c r="C481" s="113"/>
      <c r="D481" s="113"/>
      <c r="E481" s="110"/>
      <c r="F481" s="111">
        <v>0.0</v>
      </c>
    </row>
    <row r="482" ht="798.75" customHeight="1">
      <c r="A482" s="124"/>
      <c r="B482" s="116"/>
      <c r="C482" s="113"/>
      <c r="D482" s="113"/>
      <c r="E482" s="110"/>
      <c r="F482" s="111">
        <v>0.0</v>
      </c>
    </row>
    <row r="483" ht="798.75" customHeight="1">
      <c r="A483" s="124"/>
      <c r="B483" s="116"/>
      <c r="C483" s="113"/>
      <c r="D483" s="113"/>
      <c r="E483" s="110"/>
      <c r="F483" s="111">
        <v>0.0</v>
      </c>
    </row>
    <row r="484" ht="798.75" customHeight="1">
      <c r="A484" s="124"/>
      <c r="B484" s="116"/>
      <c r="C484" s="113"/>
      <c r="D484" s="113"/>
      <c r="E484" s="110"/>
      <c r="F484" s="111">
        <v>0.0</v>
      </c>
    </row>
    <row r="485" ht="798.75" customHeight="1">
      <c r="A485" s="124"/>
      <c r="B485" s="116"/>
      <c r="C485" s="113"/>
      <c r="D485" s="113"/>
      <c r="E485" s="110"/>
      <c r="F485" s="111">
        <v>0.0</v>
      </c>
    </row>
    <row r="486" ht="798.75" customHeight="1">
      <c r="A486" s="124"/>
      <c r="B486" s="116"/>
      <c r="C486" s="113"/>
      <c r="D486" s="113"/>
      <c r="E486" s="110"/>
      <c r="F486" s="111">
        <v>0.0</v>
      </c>
    </row>
    <row r="487" ht="798.75" customHeight="1">
      <c r="A487" s="124"/>
      <c r="B487" s="116"/>
      <c r="C487" s="113"/>
      <c r="D487" s="113"/>
      <c r="E487" s="110"/>
      <c r="F487" s="111">
        <v>0.0</v>
      </c>
    </row>
    <row r="488" ht="798.75" customHeight="1">
      <c r="A488" s="124"/>
      <c r="B488" s="116"/>
      <c r="C488" s="113"/>
      <c r="D488" s="113"/>
      <c r="E488" s="110"/>
      <c r="F488" s="111">
        <v>0.0</v>
      </c>
    </row>
    <row r="489" ht="798.75" customHeight="1">
      <c r="A489" s="124"/>
      <c r="B489" s="116"/>
      <c r="C489" s="113"/>
      <c r="D489" s="113"/>
      <c r="E489" s="110"/>
      <c r="F489" s="111">
        <v>0.0</v>
      </c>
    </row>
    <row r="490" ht="798.75" customHeight="1">
      <c r="A490" s="124"/>
      <c r="B490" s="116"/>
      <c r="C490" s="113"/>
      <c r="D490" s="113"/>
      <c r="E490" s="110"/>
      <c r="F490" s="111">
        <v>0.0</v>
      </c>
    </row>
    <row r="491" ht="798.75" customHeight="1">
      <c r="A491" s="124"/>
      <c r="B491" s="116"/>
      <c r="C491" s="113"/>
      <c r="D491" s="113"/>
      <c r="E491" s="110"/>
      <c r="F491" s="111">
        <v>0.0</v>
      </c>
    </row>
    <row r="492" ht="798.75" customHeight="1">
      <c r="A492" s="124"/>
      <c r="B492" s="116"/>
      <c r="C492" s="113"/>
      <c r="D492" s="113"/>
      <c r="E492" s="110"/>
      <c r="F492" s="111">
        <v>0.0</v>
      </c>
    </row>
    <row r="493" ht="798.75" customHeight="1">
      <c r="A493" s="124"/>
      <c r="B493" s="116"/>
      <c r="C493" s="113"/>
      <c r="D493" s="113"/>
      <c r="E493" s="110"/>
      <c r="F493" s="111">
        <v>0.0</v>
      </c>
    </row>
    <row r="494" ht="798.75" customHeight="1">
      <c r="A494" s="124"/>
      <c r="B494" s="116"/>
      <c r="C494" s="113"/>
      <c r="D494" s="113"/>
      <c r="E494" s="110"/>
      <c r="F494" s="111">
        <v>0.0</v>
      </c>
    </row>
    <row r="495" ht="798.75" customHeight="1">
      <c r="A495" s="124"/>
      <c r="B495" s="116"/>
      <c r="C495" s="113"/>
      <c r="D495" s="113"/>
      <c r="E495" s="110"/>
      <c r="F495" s="111">
        <v>0.0</v>
      </c>
    </row>
    <row r="496" ht="798.75" customHeight="1">
      <c r="A496" s="124"/>
      <c r="B496" s="116"/>
      <c r="C496" s="113"/>
      <c r="D496" s="113"/>
      <c r="E496" s="110"/>
      <c r="F496" s="111">
        <v>0.0</v>
      </c>
    </row>
    <row r="497" ht="798.75" customHeight="1">
      <c r="A497" s="124"/>
      <c r="B497" s="116"/>
      <c r="C497" s="113"/>
      <c r="D497" s="113"/>
      <c r="E497" s="110"/>
      <c r="F497" s="111">
        <v>0.0</v>
      </c>
    </row>
    <row r="498" ht="798.75" customHeight="1">
      <c r="A498" s="124"/>
      <c r="B498" s="116"/>
      <c r="C498" s="113"/>
      <c r="D498" s="113"/>
      <c r="E498" s="110"/>
      <c r="F498" s="111">
        <v>0.0</v>
      </c>
    </row>
    <row r="499" ht="798.75" customHeight="1">
      <c r="A499" s="124"/>
      <c r="B499" s="116"/>
      <c r="C499" s="113"/>
      <c r="D499" s="113"/>
      <c r="E499" s="110"/>
      <c r="F499" s="111">
        <v>0.0</v>
      </c>
    </row>
    <row r="500" ht="798.75" customHeight="1">
      <c r="A500" s="124"/>
      <c r="B500" s="116"/>
      <c r="C500" s="113"/>
      <c r="D500" s="113"/>
      <c r="E500" s="110"/>
      <c r="F500" s="111">
        <v>0.0</v>
      </c>
    </row>
    <row r="501" ht="798.75" customHeight="1">
      <c r="A501" s="124"/>
      <c r="B501" s="116"/>
      <c r="C501" s="113"/>
      <c r="D501" s="113"/>
      <c r="E501" s="110"/>
      <c r="F501" s="111">
        <v>0.0</v>
      </c>
    </row>
    <row r="502" ht="798.75" customHeight="1">
      <c r="A502" s="124"/>
      <c r="B502" s="116"/>
      <c r="C502" s="113"/>
      <c r="D502" s="113"/>
      <c r="E502" s="110"/>
      <c r="F502" s="111">
        <v>0.0</v>
      </c>
    </row>
    <row r="503" ht="798.75" customHeight="1">
      <c r="A503" s="124"/>
      <c r="B503" s="116"/>
      <c r="C503" s="113"/>
      <c r="D503" s="113"/>
      <c r="E503" s="110"/>
      <c r="F503" s="111">
        <v>0.0</v>
      </c>
    </row>
    <row r="504" ht="798.75" customHeight="1">
      <c r="A504" s="124"/>
      <c r="B504" s="116"/>
      <c r="C504" s="113"/>
      <c r="D504" s="113"/>
      <c r="E504" s="110"/>
      <c r="F504" s="111">
        <v>0.0</v>
      </c>
    </row>
    <row r="505" ht="798.75" customHeight="1">
      <c r="A505" s="124"/>
      <c r="B505" s="116"/>
      <c r="C505" s="113"/>
      <c r="D505" s="113"/>
      <c r="E505" s="110"/>
      <c r="F505" s="111">
        <v>0.0</v>
      </c>
    </row>
    <row r="506" ht="798.75" customHeight="1">
      <c r="A506" s="124"/>
      <c r="B506" s="116"/>
      <c r="C506" s="113"/>
      <c r="D506" s="113"/>
      <c r="E506" s="110"/>
      <c r="F506" s="111">
        <v>0.0</v>
      </c>
    </row>
    <row r="507" ht="798.75" customHeight="1">
      <c r="A507" s="124"/>
      <c r="B507" s="116"/>
      <c r="C507" s="113"/>
      <c r="D507" s="113"/>
      <c r="E507" s="110"/>
      <c r="F507" s="111">
        <v>0.0</v>
      </c>
    </row>
    <row r="508" ht="798.75" customHeight="1">
      <c r="A508" s="124"/>
      <c r="B508" s="116"/>
      <c r="C508" s="113"/>
      <c r="D508" s="113"/>
      <c r="E508" s="110"/>
      <c r="F508" s="111">
        <v>0.0</v>
      </c>
    </row>
    <row r="509" ht="798.75" customHeight="1">
      <c r="A509" s="124"/>
      <c r="B509" s="116"/>
      <c r="C509" s="113"/>
      <c r="D509" s="113"/>
      <c r="E509" s="110"/>
      <c r="F509" s="111">
        <v>0.0</v>
      </c>
    </row>
    <row r="510" ht="798.75" customHeight="1">
      <c r="A510" s="124"/>
      <c r="B510" s="116"/>
      <c r="C510" s="113"/>
      <c r="D510" s="113"/>
      <c r="E510" s="110"/>
      <c r="F510" s="111">
        <v>0.0</v>
      </c>
    </row>
    <row r="511" ht="798.75" customHeight="1">
      <c r="A511" s="124"/>
      <c r="B511" s="116"/>
      <c r="C511" s="113"/>
      <c r="D511" s="113"/>
      <c r="E511" s="110"/>
      <c r="F511" s="111">
        <v>0.0</v>
      </c>
    </row>
    <row r="512" ht="798.75" customHeight="1">
      <c r="A512" s="124"/>
      <c r="B512" s="116"/>
      <c r="C512" s="113"/>
      <c r="D512" s="113"/>
      <c r="E512" s="110"/>
      <c r="F512" s="111">
        <v>0.0</v>
      </c>
    </row>
    <row r="513" ht="798.75" customHeight="1">
      <c r="A513" s="124"/>
      <c r="B513" s="116"/>
      <c r="C513" s="113"/>
      <c r="D513" s="113"/>
      <c r="E513" s="110"/>
      <c r="F513" s="111">
        <v>0.0</v>
      </c>
    </row>
    <row r="514" ht="798.75" customHeight="1">
      <c r="A514" s="124"/>
      <c r="B514" s="116"/>
      <c r="C514" s="113"/>
      <c r="D514" s="113"/>
      <c r="E514" s="110"/>
      <c r="F514" s="111">
        <v>0.0</v>
      </c>
    </row>
    <row r="515" ht="798.75" customHeight="1">
      <c r="A515" s="124"/>
      <c r="B515" s="116"/>
      <c r="C515" s="113"/>
      <c r="D515" s="113"/>
      <c r="E515" s="110"/>
      <c r="F515" s="111">
        <v>0.0</v>
      </c>
    </row>
    <row r="516" ht="798.75" customHeight="1">
      <c r="A516" s="124"/>
      <c r="B516" s="116"/>
      <c r="C516" s="113"/>
      <c r="D516" s="113"/>
      <c r="E516" s="110"/>
      <c r="F516" s="111">
        <v>0.0</v>
      </c>
    </row>
    <row r="517" ht="798.75" customHeight="1">
      <c r="A517" s="124"/>
      <c r="B517" s="116"/>
      <c r="C517" s="113"/>
      <c r="D517" s="113"/>
      <c r="E517" s="110"/>
      <c r="F517" s="111">
        <v>0.0</v>
      </c>
    </row>
    <row r="518" ht="798.75" customHeight="1">
      <c r="A518" s="124"/>
      <c r="B518" s="116"/>
      <c r="C518" s="113"/>
      <c r="D518" s="113"/>
      <c r="E518" s="110"/>
      <c r="F518" s="111">
        <v>0.0</v>
      </c>
    </row>
    <row r="519" ht="798.75" customHeight="1">
      <c r="A519" s="124"/>
      <c r="B519" s="116"/>
      <c r="C519" s="113"/>
      <c r="D519" s="113"/>
      <c r="E519" s="110"/>
      <c r="F519" s="111">
        <v>0.0</v>
      </c>
    </row>
    <row r="520" ht="798.75" customHeight="1">
      <c r="A520" s="124"/>
      <c r="B520" s="116"/>
      <c r="C520" s="113"/>
      <c r="D520" s="113"/>
      <c r="E520" s="110"/>
      <c r="F520" s="111">
        <v>0.0</v>
      </c>
    </row>
    <row r="521" ht="798.75" customHeight="1">
      <c r="A521" s="124"/>
      <c r="B521" s="116"/>
      <c r="C521" s="113"/>
      <c r="D521" s="113"/>
      <c r="E521" s="110"/>
      <c r="F521" s="111">
        <v>0.0</v>
      </c>
    </row>
    <row r="522" ht="798.75" customHeight="1">
      <c r="A522" s="124"/>
      <c r="B522" s="116"/>
      <c r="C522" s="113"/>
      <c r="D522" s="113"/>
      <c r="E522" s="110"/>
      <c r="F522" s="111">
        <v>0.0</v>
      </c>
    </row>
    <row r="523" ht="798.75" customHeight="1">
      <c r="A523" s="124"/>
      <c r="B523" s="116"/>
      <c r="C523" s="113"/>
      <c r="D523" s="113"/>
      <c r="E523" s="110"/>
      <c r="F523" s="111">
        <v>0.0</v>
      </c>
    </row>
    <row r="524" ht="798.75" customHeight="1">
      <c r="A524" s="124"/>
      <c r="B524" s="125"/>
      <c r="C524" s="113"/>
      <c r="D524" s="113"/>
      <c r="E524" s="126"/>
      <c r="F524" s="109"/>
    </row>
    <row r="525" ht="798.75" customHeight="1">
      <c r="A525" s="124"/>
      <c r="B525" s="125"/>
      <c r="C525" s="113"/>
      <c r="D525" s="113"/>
      <c r="E525" s="126"/>
      <c r="F525" s="109"/>
    </row>
    <row r="526" ht="798.75" customHeight="1">
      <c r="A526" s="124"/>
      <c r="B526" s="125"/>
      <c r="C526" s="113"/>
      <c r="D526" s="113"/>
      <c r="E526" s="126"/>
      <c r="F526" s="109"/>
    </row>
    <row r="527" ht="798.75" customHeight="1">
      <c r="A527" s="124"/>
      <c r="B527" s="125"/>
      <c r="C527" s="113"/>
      <c r="D527" s="113"/>
      <c r="E527" s="126"/>
      <c r="F527" s="109"/>
    </row>
    <row r="528" ht="798.75" customHeight="1">
      <c r="A528" s="124"/>
      <c r="B528" s="125"/>
      <c r="C528" s="113"/>
      <c r="D528" s="113"/>
      <c r="E528" s="126"/>
      <c r="F528" s="109"/>
    </row>
    <row r="529" ht="798.75" customHeight="1">
      <c r="A529" s="124"/>
      <c r="B529" s="125"/>
      <c r="C529" s="113"/>
      <c r="D529" s="113"/>
      <c r="E529" s="126"/>
      <c r="F529" s="109"/>
    </row>
    <row r="530" ht="798.75" customHeight="1">
      <c r="A530" s="124"/>
      <c r="B530" s="125"/>
      <c r="C530" s="113"/>
      <c r="D530" s="113"/>
      <c r="E530" s="126"/>
      <c r="F530" s="109"/>
    </row>
    <row r="531" ht="798.75" customHeight="1">
      <c r="A531" s="124"/>
      <c r="B531" s="125"/>
      <c r="C531" s="113"/>
      <c r="D531" s="113"/>
      <c r="E531" s="126"/>
      <c r="F531" s="109"/>
    </row>
    <row r="532" ht="798.75" customHeight="1">
      <c r="A532" s="124"/>
      <c r="B532" s="125"/>
      <c r="C532" s="113"/>
      <c r="D532" s="113"/>
      <c r="E532" s="126"/>
      <c r="F532" s="109"/>
    </row>
    <row r="533" ht="798.75" customHeight="1">
      <c r="A533" s="124"/>
      <c r="B533" s="125"/>
      <c r="C533" s="113"/>
      <c r="D533" s="113"/>
      <c r="E533" s="126"/>
      <c r="F533" s="109"/>
    </row>
    <row r="534" ht="798.75" customHeight="1">
      <c r="A534" s="124"/>
      <c r="B534" s="125"/>
      <c r="C534" s="113"/>
      <c r="D534" s="113"/>
      <c r="E534" s="126"/>
      <c r="F534" s="109"/>
    </row>
    <row r="535" ht="798.75" customHeight="1">
      <c r="A535" s="124"/>
      <c r="B535" s="125"/>
      <c r="C535" s="113"/>
      <c r="D535" s="113"/>
      <c r="E535" s="126"/>
      <c r="F535" s="109"/>
    </row>
    <row r="536" ht="798.75" customHeight="1">
      <c r="A536" s="124"/>
      <c r="B536" s="125"/>
      <c r="C536" s="113"/>
      <c r="D536" s="113"/>
      <c r="E536" s="126"/>
      <c r="F536" s="109"/>
    </row>
    <row r="537" ht="798.75" customHeight="1">
      <c r="A537" s="124"/>
      <c r="B537" s="125"/>
      <c r="C537" s="113"/>
      <c r="D537" s="113"/>
      <c r="E537" s="126"/>
      <c r="F537" s="109"/>
    </row>
    <row r="538" ht="798.75" customHeight="1">
      <c r="A538" s="124"/>
      <c r="B538" s="125"/>
      <c r="C538" s="113"/>
      <c r="D538" s="113"/>
      <c r="E538" s="126"/>
      <c r="F538" s="109"/>
    </row>
    <row r="539" ht="798.75" customHeight="1">
      <c r="A539" s="124"/>
      <c r="B539" s="125"/>
      <c r="C539" s="113"/>
      <c r="D539" s="113"/>
      <c r="E539" s="126"/>
      <c r="F539" s="109"/>
    </row>
    <row r="540" ht="798.75" customHeight="1">
      <c r="A540" s="124"/>
      <c r="B540" s="125"/>
      <c r="C540" s="113"/>
      <c r="D540" s="113"/>
      <c r="E540" s="126"/>
      <c r="F540" s="109"/>
    </row>
    <row r="541" ht="798.75" customHeight="1">
      <c r="A541" s="124"/>
      <c r="B541" s="125"/>
      <c r="C541" s="113"/>
      <c r="D541" s="113"/>
      <c r="E541" s="126"/>
      <c r="F541" s="109"/>
    </row>
    <row r="542" ht="798.75" customHeight="1">
      <c r="A542" s="124"/>
      <c r="B542" s="125"/>
      <c r="C542" s="113"/>
      <c r="D542" s="113"/>
      <c r="E542" s="126"/>
      <c r="F542" s="109"/>
    </row>
    <row r="543" ht="798.75" customHeight="1">
      <c r="A543" s="124"/>
      <c r="B543" s="125"/>
      <c r="C543" s="113"/>
      <c r="D543" s="113"/>
      <c r="E543" s="126"/>
      <c r="F543" s="109"/>
    </row>
    <row r="544" ht="798.75" customHeight="1">
      <c r="A544" s="124"/>
      <c r="B544" s="125"/>
      <c r="C544" s="113"/>
      <c r="D544" s="113"/>
      <c r="E544" s="126"/>
      <c r="F544" s="109"/>
    </row>
    <row r="545" ht="798.75" customHeight="1">
      <c r="A545" s="124"/>
      <c r="B545" s="125"/>
      <c r="C545" s="113"/>
      <c r="D545" s="113"/>
      <c r="E545" s="126"/>
      <c r="F545" s="109"/>
    </row>
    <row r="546" ht="798.75" customHeight="1">
      <c r="A546" s="124"/>
      <c r="B546" s="125"/>
      <c r="C546" s="113"/>
      <c r="D546" s="113"/>
      <c r="E546" s="126"/>
      <c r="F546" s="109"/>
    </row>
    <row r="547" ht="798.75" customHeight="1">
      <c r="A547" s="124"/>
      <c r="B547" s="125"/>
      <c r="C547" s="113"/>
      <c r="D547" s="113"/>
      <c r="E547" s="126"/>
      <c r="F547" s="109"/>
    </row>
    <row r="548" ht="798.75" customHeight="1">
      <c r="A548" s="124"/>
      <c r="B548" s="125"/>
      <c r="C548" s="113"/>
      <c r="D548" s="113"/>
      <c r="E548" s="126"/>
      <c r="F548" s="109"/>
    </row>
    <row r="549" ht="798.75" customHeight="1">
      <c r="A549" s="124"/>
      <c r="B549" s="125"/>
      <c r="C549" s="113"/>
      <c r="D549" s="113"/>
      <c r="E549" s="126"/>
      <c r="F549" s="109"/>
    </row>
    <row r="550" ht="798.75" customHeight="1">
      <c r="A550" s="124"/>
      <c r="B550" s="125"/>
      <c r="C550" s="113"/>
      <c r="D550" s="113"/>
      <c r="E550" s="126"/>
      <c r="F550" s="109"/>
    </row>
    <row r="551" ht="798.75" customHeight="1">
      <c r="A551" s="124"/>
      <c r="B551" s="125"/>
      <c r="C551" s="113"/>
      <c r="D551" s="113"/>
      <c r="E551" s="126"/>
      <c r="F551" s="109"/>
    </row>
    <row r="552" ht="798.75" customHeight="1">
      <c r="A552" s="124"/>
      <c r="B552" s="125"/>
      <c r="C552" s="113"/>
      <c r="D552" s="113"/>
      <c r="E552" s="126"/>
      <c r="F552" s="109"/>
    </row>
    <row r="553" ht="798.75" customHeight="1">
      <c r="A553" s="124"/>
      <c r="B553" s="125"/>
      <c r="C553" s="113"/>
      <c r="D553" s="113"/>
      <c r="E553" s="126"/>
      <c r="F553" s="109"/>
    </row>
    <row r="554" ht="798.75" customHeight="1">
      <c r="A554" s="124"/>
      <c r="B554" s="125"/>
      <c r="C554" s="113"/>
      <c r="D554" s="113"/>
      <c r="E554" s="126"/>
      <c r="F554" s="109"/>
    </row>
    <row r="555" ht="798.75" customHeight="1">
      <c r="A555" s="124"/>
      <c r="B555" s="125"/>
      <c r="C555" s="113"/>
      <c r="D555" s="113"/>
      <c r="E555" s="126"/>
      <c r="F555" s="109"/>
    </row>
    <row r="556" ht="798.75" customHeight="1">
      <c r="A556" s="124"/>
      <c r="B556" s="125"/>
      <c r="C556" s="113"/>
      <c r="D556" s="113"/>
      <c r="E556" s="126"/>
      <c r="F556" s="109"/>
    </row>
    <row r="557" ht="798.75" customHeight="1">
      <c r="A557" s="124"/>
      <c r="B557" s="125"/>
      <c r="C557" s="113"/>
      <c r="D557" s="113"/>
      <c r="E557" s="126"/>
      <c r="F557" s="109"/>
    </row>
    <row r="558" ht="798.75" customHeight="1">
      <c r="A558" s="124"/>
      <c r="B558" s="125"/>
      <c r="C558" s="113"/>
      <c r="D558" s="113"/>
      <c r="E558" s="126"/>
      <c r="F558" s="109"/>
    </row>
    <row r="559" ht="798.75" customHeight="1">
      <c r="A559" s="124"/>
      <c r="B559" s="125"/>
      <c r="C559" s="113"/>
      <c r="D559" s="113"/>
      <c r="E559" s="126"/>
      <c r="F559" s="109"/>
    </row>
    <row r="560" ht="798.75" customHeight="1">
      <c r="A560" s="124"/>
      <c r="B560" s="125"/>
      <c r="C560" s="113"/>
      <c r="D560" s="113"/>
      <c r="E560" s="126"/>
      <c r="F560" s="109"/>
    </row>
    <row r="561" ht="798.75" customHeight="1">
      <c r="A561" s="124"/>
      <c r="B561" s="125"/>
      <c r="C561" s="113"/>
      <c r="D561" s="113"/>
      <c r="E561" s="126"/>
      <c r="F561" s="109"/>
    </row>
    <row r="562" ht="798.75" customHeight="1">
      <c r="A562" s="124"/>
      <c r="B562" s="125"/>
      <c r="C562" s="113"/>
      <c r="D562" s="113"/>
      <c r="E562" s="126"/>
      <c r="F562" s="109"/>
    </row>
    <row r="563" ht="798.75" customHeight="1">
      <c r="A563" s="124"/>
      <c r="B563" s="125"/>
      <c r="C563" s="113"/>
      <c r="D563" s="113"/>
      <c r="E563" s="126"/>
      <c r="F563" s="109"/>
    </row>
    <row r="564" ht="798.75" customHeight="1">
      <c r="A564" s="124"/>
      <c r="B564" s="125"/>
      <c r="C564" s="113"/>
      <c r="D564" s="113"/>
      <c r="E564" s="126"/>
      <c r="F564" s="109"/>
    </row>
    <row r="565" ht="798.75" customHeight="1">
      <c r="A565" s="124"/>
      <c r="B565" s="125"/>
      <c r="C565" s="113"/>
      <c r="D565" s="113"/>
      <c r="E565" s="126"/>
      <c r="F565" s="109"/>
    </row>
    <row r="566" ht="798.75" customHeight="1">
      <c r="A566" s="124"/>
      <c r="B566" s="125"/>
      <c r="C566" s="113"/>
      <c r="D566" s="113"/>
      <c r="E566" s="126"/>
      <c r="F566" s="109"/>
    </row>
    <row r="567" ht="798.75" customHeight="1">
      <c r="A567" s="124"/>
      <c r="B567" s="125"/>
      <c r="C567" s="113"/>
      <c r="D567" s="113"/>
      <c r="E567" s="126"/>
      <c r="F567" s="109"/>
    </row>
    <row r="568" ht="798.75" customHeight="1">
      <c r="A568" s="124"/>
      <c r="B568" s="125"/>
      <c r="C568" s="113"/>
      <c r="D568" s="113"/>
      <c r="E568" s="126"/>
      <c r="F568" s="109"/>
    </row>
    <row r="569" ht="798.75" customHeight="1">
      <c r="A569" s="124"/>
      <c r="B569" s="125"/>
      <c r="C569" s="113"/>
      <c r="D569" s="113"/>
      <c r="E569" s="126"/>
      <c r="F569" s="109"/>
    </row>
    <row r="570" ht="798.75" customHeight="1">
      <c r="A570" s="124"/>
      <c r="B570" s="125"/>
      <c r="C570" s="113"/>
      <c r="D570" s="113"/>
      <c r="E570" s="126"/>
      <c r="F570" s="109"/>
    </row>
    <row r="571" ht="798.75" customHeight="1">
      <c r="A571" s="124"/>
      <c r="B571" s="125"/>
      <c r="C571" s="113"/>
      <c r="D571" s="113"/>
      <c r="E571" s="126"/>
      <c r="F571" s="109"/>
    </row>
    <row r="572" ht="798.75" customHeight="1">
      <c r="A572" s="124"/>
      <c r="B572" s="125"/>
      <c r="C572" s="113"/>
      <c r="D572" s="113"/>
      <c r="E572" s="126"/>
      <c r="F572" s="109"/>
    </row>
    <row r="573" ht="798.75" customHeight="1">
      <c r="A573" s="124"/>
      <c r="B573" s="125"/>
      <c r="C573" s="113"/>
      <c r="D573" s="113"/>
      <c r="E573" s="126"/>
      <c r="F573" s="109"/>
    </row>
    <row r="574" ht="798.75" customHeight="1">
      <c r="A574" s="124"/>
      <c r="B574" s="125"/>
      <c r="C574" s="113"/>
      <c r="D574" s="113"/>
      <c r="E574" s="126"/>
      <c r="F574" s="109"/>
    </row>
    <row r="575" ht="798.75" customHeight="1">
      <c r="A575" s="124"/>
      <c r="B575" s="125"/>
      <c r="C575" s="113"/>
      <c r="D575" s="113"/>
      <c r="E575" s="126"/>
      <c r="F575" s="109"/>
    </row>
    <row r="576" ht="798.75" customHeight="1">
      <c r="A576" s="124"/>
      <c r="B576" s="125"/>
      <c r="C576" s="113"/>
      <c r="D576" s="113"/>
      <c r="E576" s="126"/>
      <c r="F576" s="109"/>
    </row>
    <row r="577" ht="798.75" customHeight="1">
      <c r="A577" s="124"/>
      <c r="B577" s="125"/>
      <c r="C577" s="113"/>
      <c r="D577" s="113"/>
      <c r="E577" s="126"/>
      <c r="F577" s="109"/>
    </row>
    <row r="578" ht="798.75" customHeight="1">
      <c r="A578" s="124"/>
      <c r="B578" s="125"/>
      <c r="C578" s="113"/>
      <c r="D578" s="113"/>
      <c r="E578" s="126"/>
      <c r="F578" s="109"/>
    </row>
    <row r="579" ht="798.75" customHeight="1">
      <c r="A579" s="124"/>
      <c r="B579" s="125"/>
      <c r="C579" s="113"/>
      <c r="D579" s="113"/>
      <c r="E579" s="126"/>
      <c r="F579" s="109"/>
    </row>
    <row r="580" ht="798.75" customHeight="1">
      <c r="A580" s="124"/>
      <c r="B580" s="125"/>
      <c r="C580" s="113"/>
      <c r="D580" s="113"/>
      <c r="E580" s="126"/>
      <c r="F580" s="109"/>
    </row>
    <row r="581" ht="798.75" customHeight="1">
      <c r="A581" s="124"/>
      <c r="B581" s="125"/>
      <c r="C581" s="113"/>
      <c r="D581" s="113"/>
      <c r="E581" s="126"/>
      <c r="F581" s="109"/>
    </row>
    <row r="582" ht="798.75" customHeight="1">
      <c r="A582" s="124"/>
      <c r="B582" s="125"/>
      <c r="C582" s="113"/>
      <c r="D582" s="113"/>
      <c r="E582" s="126"/>
      <c r="F582" s="109"/>
    </row>
    <row r="583" ht="798.75" customHeight="1">
      <c r="A583" s="124"/>
      <c r="B583" s="125"/>
      <c r="C583" s="113"/>
      <c r="D583" s="113"/>
      <c r="E583" s="126"/>
      <c r="F583" s="109"/>
    </row>
    <row r="584" ht="798.75" customHeight="1">
      <c r="A584" s="124"/>
      <c r="B584" s="125"/>
      <c r="C584" s="113"/>
      <c r="D584" s="113"/>
      <c r="E584" s="126"/>
      <c r="F584" s="109"/>
    </row>
    <row r="585" ht="798.75" customHeight="1">
      <c r="A585" s="124"/>
      <c r="B585" s="125"/>
      <c r="C585" s="113"/>
      <c r="D585" s="113"/>
      <c r="E585" s="126"/>
      <c r="F585" s="109"/>
    </row>
    <row r="586" ht="798.75" customHeight="1">
      <c r="A586" s="124"/>
      <c r="B586" s="125"/>
      <c r="C586" s="113"/>
      <c r="D586" s="113"/>
      <c r="E586" s="126"/>
      <c r="F586" s="109"/>
    </row>
    <row r="587" ht="798.75" customHeight="1">
      <c r="A587" s="124"/>
      <c r="B587" s="125"/>
      <c r="C587" s="113"/>
      <c r="D587" s="113"/>
      <c r="E587" s="126"/>
      <c r="F587" s="109"/>
    </row>
    <row r="588" ht="798.75" customHeight="1">
      <c r="A588" s="124"/>
      <c r="B588" s="125"/>
      <c r="C588" s="113"/>
      <c r="D588" s="113"/>
      <c r="E588" s="126"/>
      <c r="F588" s="109"/>
    </row>
    <row r="589" ht="798.75" customHeight="1">
      <c r="A589" s="124"/>
      <c r="B589" s="125"/>
      <c r="C589" s="113"/>
      <c r="D589" s="113"/>
      <c r="E589" s="126"/>
      <c r="F589" s="109"/>
    </row>
    <row r="590" ht="798.75" customHeight="1">
      <c r="A590" s="124"/>
      <c r="B590" s="125"/>
      <c r="C590" s="113"/>
      <c r="D590" s="113"/>
      <c r="E590" s="126"/>
      <c r="F590" s="109"/>
    </row>
    <row r="591" ht="798.75" customHeight="1">
      <c r="A591" s="124"/>
      <c r="B591" s="125"/>
      <c r="C591" s="113"/>
      <c r="D591" s="113"/>
      <c r="E591" s="126"/>
      <c r="F591" s="109"/>
    </row>
    <row r="592" ht="798.75" customHeight="1">
      <c r="A592" s="124"/>
      <c r="B592" s="125"/>
      <c r="C592" s="113"/>
      <c r="D592" s="113"/>
      <c r="E592" s="126"/>
      <c r="F592" s="109"/>
    </row>
    <row r="593" ht="798.75" customHeight="1">
      <c r="A593" s="124"/>
      <c r="B593" s="125"/>
      <c r="C593" s="113"/>
      <c r="D593" s="113"/>
      <c r="E593" s="126"/>
      <c r="F593" s="109"/>
    </row>
    <row r="594" ht="798.75" customHeight="1">
      <c r="A594" s="124"/>
      <c r="B594" s="125"/>
      <c r="C594" s="113"/>
      <c r="D594" s="113"/>
      <c r="E594" s="126"/>
      <c r="F594" s="109"/>
    </row>
    <row r="595" ht="798.75" customHeight="1">
      <c r="A595" s="124"/>
      <c r="B595" s="125"/>
      <c r="C595" s="113"/>
      <c r="D595" s="113"/>
      <c r="E595" s="126"/>
      <c r="F595" s="109"/>
    </row>
    <row r="596" ht="798.75" customHeight="1">
      <c r="A596" s="124"/>
      <c r="B596" s="125"/>
      <c r="C596" s="113"/>
      <c r="D596" s="113"/>
      <c r="E596" s="126"/>
      <c r="F596" s="109"/>
    </row>
    <row r="597" ht="798.75" customHeight="1">
      <c r="A597" s="124"/>
      <c r="B597" s="125"/>
      <c r="C597" s="113"/>
      <c r="D597" s="113"/>
      <c r="E597" s="126"/>
      <c r="F597" s="109"/>
    </row>
    <row r="598" ht="798.75" customHeight="1">
      <c r="A598" s="124"/>
      <c r="B598" s="125"/>
      <c r="C598" s="113"/>
      <c r="D598" s="113"/>
      <c r="E598" s="126"/>
      <c r="F598" s="109"/>
    </row>
    <row r="599" ht="798.75" customHeight="1">
      <c r="A599" s="124"/>
      <c r="B599" s="125"/>
      <c r="C599" s="113"/>
      <c r="D599" s="113"/>
      <c r="E599" s="126"/>
      <c r="F599" s="109"/>
    </row>
    <row r="600" ht="798.75" customHeight="1">
      <c r="A600" s="124"/>
      <c r="B600" s="125"/>
      <c r="C600" s="113"/>
      <c r="D600" s="113"/>
      <c r="E600" s="126"/>
      <c r="F600" s="109"/>
    </row>
    <row r="601" ht="798.75" customHeight="1">
      <c r="A601" s="124"/>
      <c r="B601" s="125"/>
      <c r="C601" s="113"/>
      <c r="D601" s="113"/>
      <c r="E601" s="126"/>
      <c r="F601" s="109"/>
    </row>
    <row r="602" ht="798.75" customHeight="1">
      <c r="A602" s="124"/>
      <c r="B602" s="125"/>
      <c r="C602" s="113"/>
      <c r="D602" s="113"/>
      <c r="E602" s="126"/>
      <c r="F602" s="109"/>
    </row>
    <row r="603" ht="798.75" customHeight="1">
      <c r="A603" s="124"/>
      <c r="B603" s="125"/>
      <c r="C603" s="113"/>
      <c r="D603" s="113"/>
      <c r="E603" s="126"/>
      <c r="F603" s="109"/>
    </row>
    <row r="604" ht="798.75" customHeight="1">
      <c r="A604" s="124"/>
      <c r="B604" s="125"/>
      <c r="C604" s="113"/>
      <c r="D604" s="113"/>
      <c r="E604" s="126"/>
      <c r="F604" s="109"/>
    </row>
    <row r="605" ht="798.75" customHeight="1">
      <c r="A605" s="124"/>
      <c r="B605" s="125"/>
      <c r="C605" s="113"/>
      <c r="D605" s="113"/>
      <c r="E605" s="126"/>
      <c r="F605" s="109"/>
    </row>
    <row r="606" ht="798.75" customHeight="1">
      <c r="A606" s="124"/>
      <c r="B606" s="125"/>
      <c r="C606" s="113"/>
      <c r="D606" s="113"/>
      <c r="E606" s="126"/>
      <c r="F606" s="109"/>
    </row>
    <row r="607" ht="798.75" customHeight="1">
      <c r="A607" s="124"/>
      <c r="B607" s="125"/>
      <c r="C607" s="113"/>
      <c r="D607" s="113"/>
      <c r="E607" s="126"/>
      <c r="F607" s="109"/>
    </row>
    <row r="608" ht="798.75" customHeight="1">
      <c r="A608" s="124"/>
      <c r="B608" s="125"/>
      <c r="C608" s="113"/>
      <c r="D608" s="113"/>
      <c r="E608" s="126"/>
      <c r="F608" s="109"/>
    </row>
    <row r="609" ht="798.75" customHeight="1">
      <c r="A609" s="124"/>
      <c r="B609" s="125"/>
      <c r="C609" s="113"/>
      <c r="D609" s="113"/>
      <c r="E609" s="126"/>
      <c r="F609" s="109"/>
    </row>
    <row r="610" ht="798.75" customHeight="1">
      <c r="A610" s="124"/>
      <c r="B610" s="125"/>
      <c r="C610" s="113"/>
      <c r="D610" s="113"/>
      <c r="E610" s="126"/>
      <c r="F610" s="109"/>
    </row>
    <row r="611" ht="798.75" customHeight="1">
      <c r="A611" s="124"/>
      <c r="B611" s="125"/>
      <c r="C611" s="113"/>
      <c r="D611" s="113"/>
      <c r="E611" s="126"/>
      <c r="F611" s="109"/>
    </row>
    <row r="612" ht="798.75" customHeight="1">
      <c r="A612" s="124"/>
      <c r="B612" s="125"/>
      <c r="C612" s="113"/>
      <c r="D612" s="113"/>
      <c r="E612" s="126"/>
      <c r="F612" s="109"/>
    </row>
    <row r="613" ht="798.75" customHeight="1">
      <c r="A613" s="124"/>
      <c r="B613" s="125"/>
      <c r="C613" s="113"/>
      <c r="D613" s="113"/>
      <c r="E613" s="126"/>
      <c r="F613" s="109"/>
    </row>
    <row r="614" ht="798.75" customHeight="1">
      <c r="A614" s="124"/>
      <c r="B614" s="125"/>
      <c r="C614" s="113"/>
      <c r="D614" s="113"/>
      <c r="E614" s="126"/>
      <c r="F614" s="109"/>
    </row>
    <row r="615" ht="798.75" customHeight="1">
      <c r="A615" s="124"/>
      <c r="B615" s="125"/>
      <c r="C615" s="113"/>
      <c r="D615" s="113"/>
      <c r="E615" s="126"/>
      <c r="F615" s="109"/>
    </row>
    <row r="616" ht="798.75" customHeight="1">
      <c r="A616" s="124"/>
      <c r="B616" s="125"/>
      <c r="C616" s="113"/>
      <c r="D616" s="113"/>
      <c r="E616" s="126"/>
      <c r="F616" s="109"/>
    </row>
    <row r="617" ht="798.75" customHeight="1">
      <c r="A617" s="124"/>
      <c r="B617" s="125"/>
      <c r="C617" s="113"/>
      <c r="D617" s="113"/>
      <c r="E617" s="126"/>
      <c r="F617" s="109"/>
    </row>
    <row r="618" ht="798.75" customHeight="1">
      <c r="A618" s="124"/>
      <c r="B618" s="125"/>
      <c r="C618" s="113"/>
      <c r="D618" s="113"/>
      <c r="E618" s="126"/>
      <c r="F618" s="109"/>
    </row>
    <row r="619" ht="798.75" customHeight="1">
      <c r="A619" s="124"/>
      <c r="B619" s="125"/>
      <c r="C619" s="113"/>
      <c r="D619" s="113"/>
      <c r="E619" s="126"/>
      <c r="F619" s="109"/>
    </row>
    <row r="620" ht="798.75" customHeight="1">
      <c r="A620" s="124"/>
      <c r="B620" s="125"/>
      <c r="C620" s="113"/>
      <c r="D620" s="113"/>
      <c r="E620" s="126"/>
      <c r="F620" s="109"/>
    </row>
    <row r="621" ht="798.75" customHeight="1">
      <c r="A621" s="124"/>
      <c r="B621" s="125"/>
      <c r="C621" s="113"/>
      <c r="D621" s="113"/>
      <c r="E621" s="126"/>
      <c r="F621" s="109"/>
    </row>
    <row r="622" ht="798.75" customHeight="1">
      <c r="A622" s="124"/>
      <c r="B622" s="125"/>
      <c r="C622" s="113"/>
      <c r="D622" s="113"/>
      <c r="E622" s="126"/>
      <c r="F622" s="109"/>
    </row>
    <row r="623" ht="798.75" customHeight="1">
      <c r="A623" s="124"/>
      <c r="B623" s="125"/>
      <c r="C623" s="113"/>
      <c r="D623" s="113"/>
      <c r="E623" s="126"/>
      <c r="F623" s="109"/>
    </row>
    <row r="624" ht="798.75" customHeight="1">
      <c r="A624" s="124"/>
      <c r="B624" s="125"/>
      <c r="C624" s="113"/>
      <c r="D624" s="113"/>
      <c r="E624" s="126"/>
      <c r="F624" s="109"/>
    </row>
    <row r="625" ht="798.75" customHeight="1">
      <c r="A625" s="124"/>
      <c r="B625" s="125"/>
      <c r="C625" s="113"/>
      <c r="D625" s="113"/>
      <c r="E625" s="126"/>
      <c r="F625" s="109"/>
    </row>
    <row r="626" ht="798.75" customHeight="1">
      <c r="A626" s="124"/>
      <c r="B626" s="125"/>
      <c r="C626" s="113"/>
      <c r="D626" s="113"/>
      <c r="E626" s="126"/>
      <c r="F626" s="109"/>
    </row>
    <row r="627" ht="798.75" customHeight="1">
      <c r="A627" s="124"/>
      <c r="B627" s="125"/>
      <c r="C627" s="113"/>
      <c r="D627" s="113"/>
      <c r="E627" s="126"/>
      <c r="F627" s="109"/>
    </row>
    <row r="628" ht="798.75" customHeight="1">
      <c r="A628" s="124"/>
      <c r="B628" s="125"/>
      <c r="C628" s="113"/>
      <c r="D628" s="113"/>
      <c r="E628" s="126"/>
      <c r="F628" s="109"/>
    </row>
    <row r="629" ht="798.75" customHeight="1">
      <c r="A629" s="124"/>
      <c r="B629" s="125"/>
      <c r="C629" s="113"/>
      <c r="D629" s="113"/>
      <c r="E629" s="126"/>
      <c r="F629" s="109"/>
    </row>
    <row r="630" ht="798.75" customHeight="1">
      <c r="A630" s="124"/>
      <c r="B630" s="125"/>
      <c r="C630" s="113"/>
      <c r="D630" s="113"/>
      <c r="E630" s="126"/>
      <c r="F630" s="109"/>
    </row>
    <row r="631" ht="798.75" customHeight="1">
      <c r="A631" s="124"/>
      <c r="B631" s="125"/>
      <c r="C631" s="113"/>
      <c r="D631" s="113"/>
      <c r="E631" s="126"/>
      <c r="F631" s="109"/>
    </row>
    <row r="632" ht="798.75" customHeight="1">
      <c r="A632" s="124"/>
      <c r="B632" s="125"/>
      <c r="C632" s="113"/>
      <c r="D632" s="113"/>
      <c r="E632" s="126"/>
      <c r="F632" s="109"/>
    </row>
    <row r="633" ht="798.75" customHeight="1">
      <c r="A633" s="124"/>
      <c r="B633" s="125"/>
      <c r="C633" s="113"/>
      <c r="D633" s="113"/>
      <c r="E633" s="126"/>
      <c r="F633" s="109"/>
    </row>
    <row r="634" ht="798.75" customHeight="1">
      <c r="A634" s="124"/>
      <c r="B634" s="125"/>
      <c r="C634" s="113"/>
      <c r="D634" s="113"/>
      <c r="E634" s="126"/>
      <c r="F634" s="109"/>
    </row>
    <row r="635" ht="798.75" customHeight="1">
      <c r="A635" s="124"/>
      <c r="B635" s="125"/>
      <c r="C635" s="113"/>
      <c r="D635" s="113"/>
      <c r="E635" s="126"/>
      <c r="F635" s="109"/>
    </row>
    <row r="636" ht="798.75" customHeight="1">
      <c r="A636" s="124"/>
      <c r="B636" s="125"/>
      <c r="C636" s="113"/>
      <c r="D636" s="113"/>
      <c r="E636" s="126"/>
      <c r="F636" s="109"/>
    </row>
    <row r="637" ht="798.75" customHeight="1">
      <c r="A637" s="124"/>
      <c r="B637" s="125"/>
      <c r="C637" s="113"/>
      <c r="D637" s="113"/>
      <c r="E637" s="126"/>
      <c r="F637" s="109"/>
    </row>
    <row r="638" ht="798.75" customHeight="1">
      <c r="A638" s="124"/>
      <c r="B638" s="125"/>
      <c r="C638" s="113"/>
      <c r="D638" s="113"/>
      <c r="E638" s="126"/>
      <c r="F638" s="109"/>
    </row>
    <row r="639" ht="798.75" customHeight="1">
      <c r="A639" s="124"/>
      <c r="B639" s="125"/>
      <c r="C639" s="113"/>
      <c r="D639" s="113"/>
      <c r="E639" s="126"/>
      <c r="F639" s="109"/>
    </row>
    <row r="640" ht="798.75" customHeight="1">
      <c r="A640" s="124"/>
      <c r="B640" s="125"/>
      <c r="C640" s="113"/>
      <c r="D640" s="113"/>
      <c r="E640" s="126"/>
      <c r="F640" s="109"/>
    </row>
    <row r="641" ht="798.75" customHeight="1">
      <c r="A641" s="124"/>
      <c r="B641" s="125"/>
      <c r="C641" s="113"/>
      <c r="D641" s="113"/>
      <c r="E641" s="126"/>
      <c r="F641" s="109"/>
    </row>
    <row r="642" ht="798.75" customHeight="1">
      <c r="A642" s="124"/>
      <c r="B642" s="125"/>
      <c r="C642" s="113"/>
      <c r="D642" s="113"/>
      <c r="E642" s="126"/>
      <c r="F642" s="109"/>
    </row>
    <row r="643" ht="798.75" customHeight="1">
      <c r="A643" s="124"/>
      <c r="B643" s="125"/>
      <c r="C643" s="113"/>
      <c r="D643" s="113"/>
      <c r="E643" s="126"/>
      <c r="F643" s="109"/>
    </row>
    <row r="644" ht="798.75" customHeight="1">
      <c r="A644" s="124"/>
      <c r="B644" s="125"/>
      <c r="C644" s="113"/>
      <c r="D644" s="113"/>
      <c r="E644" s="126"/>
      <c r="F644" s="109"/>
    </row>
    <row r="645" ht="798.75" customHeight="1">
      <c r="A645" s="124"/>
      <c r="B645" s="125"/>
      <c r="C645" s="113"/>
      <c r="D645" s="113"/>
      <c r="E645" s="126"/>
      <c r="F645" s="109"/>
    </row>
    <row r="646" ht="798.75" customHeight="1">
      <c r="A646" s="124"/>
      <c r="B646" s="125"/>
      <c r="C646" s="113"/>
      <c r="D646" s="113"/>
      <c r="E646" s="126"/>
      <c r="F646" s="109"/>
    </row>
    <row r="647" ht="798.75" customHeight="1">
      <c r="A647" s="124"/>
      <c r="B647" s="125"/>
      <c r="C647" s="113"/>
      <c r="D647" s="113"/>
      <c r="E647" s="126"/>
      <c r="F647" s="109"/>
    </row>
    <row r="648" ht="798.75" customHeight="1">
      <c r="A648" s="124"/>
      <c r="B648" s="125"/>
      <c r="C648" s="113"/>
      <c r="D648" s="113"/>
      <c r="E648" s="126"/>
      <c r="F648" s="109"/>
    </row>
    <row r="649" ht="798.75" customHeight="1">
      <c r="A649" s="124"/>
      <c r="B649" s="125"/>
      <c r="C649" s="113"/>
      <c r="D649" s="113"/>
      <c r="E649" s="126"/>
      <c r="F649" s="109"/>
    </row>
    <row r="650" ht="798.75" customHeight="1">
      <c r="A650" s="124"/>
      <c r="B650" s="125"/>
      <c r="C650" s="113"/>
      <c r="D650" s="113"/>
      <c r="E650" s="126"/>
      <c r="F650" s="109"/>
    </row>
    <row r="651" ht="798.75" customHeight="1">
      <c r="A651" s="124"/>
      <c r="B651" s="125"/>
      <c r="C651" s="113"/>
      <c r="D651" s="113"/>
      <c r="E651" s="126"/>
      <c r="F651" s="109"/>
    </row>
    <row r="652" ht="798.75" customHeight="1">
      <c r="A652" s="124"/>
      <c r="B652" s="125"/>
      <c r="C652" s="113"/>
      <c r="D652" s="113"/>
      <c r="E652" s="126"/>
      <c r="F652" s="109"/>
    </row>
    <row r="653" ht="798.75" customHeight="1">
      <c r="A653" s="124"/>
      <c r="B653" s="125"/>
      <c r="C653" s="113"/>
      <c r="D653" s="113"/>
      <c r="E653" s="126"/>
      <c r="F653" s="109"/>
    </row>
    <row r="654" ht="798.75" customHeight="1">
      <c r="A654" s="124"/>
      <c r="B654" s="125"/>
      <c r="C654" s="113"/>
      <c r="D654" s="113"/>
      <c r="E654" s="126"/>
      <c r="F654" s="109"/>
    </row>
    <row r="655" ht="798.75" customHeight="1">
      <c r="A655" s="124"/>
      <c r="B655" s="125"/>
      <c r="C655" s="113"/>
      <c r="D655" s="113"/>
      <c r="E655" s="126"/>
      <c r="F655" s="109"/>
    </row>
    <row r="656" ht="798.75" customHeight="1">
      <c r="A656" s="124"/>
      <c r="B656" s="125"/>
      <c r="C656" s="113"/>
      <c r="D656" s="113"/>
      <c r="E656" s="126"/>
      <c r="F656" s="109"/>
    </row>
    <row r="657" ht="798.75" customHeight="1">
      <c r="A657" s="124"/>
      <c r="B657" s="125"/>
      <c r="C657" s="113"/>
      <c r="D657" s="113"/>
      <c r="E657" s="126"/>
      <c r="F657" s="109"/>
    </row>
    <row r="658" ht="798.75" customHeight="1">
      <c r="A658" s="124"/>
      <c r="B658" s="125"/>
      <c r="C658" s="113"/>
      <c r="D658" s="113"/>
      <c r="E658" s="126"/>
      <c r="F658" s="109"/>
    </row>
    <row r="659" ht="798.75" customHeight="1">
      <c r="A659" s="124"/>
      <c r="B659" s="125"/>
      <c r="C659" s="113"/>
      <c r="D659" s="113"/>
      <c r="E659" s="126"/>
      <c r="F659" s="109"/>
    </row>
    <row r="660" ht="798.75" customHeight="1">
      <c r="A660" s="124"/>
      <c r="B660" s="125"/>
      <c r="C660" s="113"/>
      <c r="D660" s="113"/>
      <c r="E660" s="126"/>
      <c r="F660" s="109"/>
    </row>
    <row r="661" ht="798.75" customHeight="1">
      <c r="A661" s="124"/>
      <c r="B661" s="125"/>
      <c r="C661" s="113"/>
      <c r="D661" s="113"/>
      <c r="E661" s="126"/>
      <c r="F661" s="109"/>
    </row>
    <row r="662" ht="798.75" customHeight="1">
      <c r="A662" s="124"/>
      <c r="B662" s="125"/>
      <c r="C662" s="113"/>
      <c r="D662" s="113"/>
      <c r="E662" s="126"/>
      <c r="F662" s="109"/>
    </row>
    <row r="663" ht="798.75" customHeight="1">
      <c r="A663" s="124"/>
      <c r="B663" s="125"/>
      <c r="C663" s="113"/>
      <c r="D663" s="113"/>
      <c r="E663" s="126"/>
      <c r="F663" s="109"/>
    </row>
    <row r="664" ht="798.75" customHeight="1">
      <c r="A664" s="124"/>
      <c r="B664" s="125"/>
      <c r="C664" s="113"/>
      <c r="D664" s="113"/>
      <c r="E664" s="126"/>
      <c r="F664" s="109"/>
    </row>
    <row r="665" ht="798.75" customHeight="1">
      <c r="A665" s="124"/>
      <c r="B665" s="125"/>
      <c r="C665" s="113"/>
      <c r="D665" s="113"/>
      <c r="E665" s="126"/>
      <c r="F665" s="109"/>
    </row>
    <row r="666" ht="798.75" customHeight="1">
      <c r="A666" s="124"/>
      <c r="B666" s="125"/>
      <c r="C666" s="113"/>
      <c r="D666" s="113"/>
      <c r="E666" s="126"/>
      <c r="F666" s="109"/>
    </row>
    <row r="667" ht="798.75" customHeight="1">
      <c r="A667" s="124"/>
      <c r="B667" s="125"/>
      <c r="C667" s="113"/>
      <c r="D667" s="113"/>
      <c r="E667" s="126"/>
      <c r="F667" s="109"/>
    </row>
    <row r="668" ht="798.75" customHeight="1">
      <c r="A668" s="124"/>
      <c r="B668" s="125"/>
      <c r="C668" s="113"/>
      <c r="D668" s="113"/>
      <c r="E668" s="126"/>
      <c r="F668" s="109"/>
    </row>
    <row r="669" ht="798.75" customHeight="1">
      <c r="A669" s="124"/>
      <c r="B669" s="125"/>
      <c r="C669" s="113"/>
      <c r="D669" s="113"/>
      <c r="E669" s="126"/>
      <c r="F669" s="109"/>
    </row>
    <row r="670" ht="798.75" customHeight="1">
      <c r="A670" s="124"/>
      <c r="B670" s="125"/>
      <c r="C670" s="113"/>
      <c r="D670" s="113"/>
      <c r="E670" s="126"/>
      <c r="F670" s="109"/>
    </row>
    <row r="671" ht="798.75" customHeight="1">
      <c r="A671" s="124"/>
      <c r="B671" s="125"/>
      <c r="C671" s="113"/>
      <c r="D671" s="113"/>
      <c r="E671" s="126"/>
      <c r="F671" s="109"/>
    </row>
    <row r="672" ht="798.75" customHeight="1">
      <c r="A672" s="124"/>
      <c r="B672" s="125"/>
      <c r="C672" s="113"/>
      <c r="D672" s="113"/>
      <c r="E672" s="126"/>
      <c r="F672" s="109"/>
    </row>
    <row r="673" ht="798.75" customHeight="1">
      <c r="A673" s="124"/>
      <c r="B673" s="125"/>
      <c r="C673" s="113"/>
      <c r="D673" s="113"/>
      <c r="E673" s="126"/>
      <c r="F673" s="109"/>
    </row>
    <row r="674" ht="798.75" customHeight="1">
      <c r="A674" s="124"/>
      <c r="B674" s="125"/>
      <c r="C674" s="113"/>
      <c r="D674" s="113"/>
      <c r="E674" s="126"/>
      <c r="F674" s="109"/>
    </row>
    <row r="675" ht="798.75" customHeight="1">
      <c r="A675" s="124"/>
      <c r="B675" s="125"/>
      <c r="C675" s="113"/>
      <c r="D675" s="113"/>
      <c r="E675" s="126"/>
      <c r="F675" s="109"/>
    </row>
    <row r="676" ht="798.75" customHeight="1">
      <c r="A676" s="124"/>
      <c r="B676" s="125"/>
      <c r="C676" s="113"/>
      <c r="D676" s="113"/>
      <c r="E676" s="126"/>
      <c r="F676" s="109"/>
    </row>
    <row r="677" ht="798.75" customHeight="1">
      <c r="A677" s="124"/>
      <c r="B677" s="125"/>
      <c r="C677" s="113"/>
      <c r="D677" s="113"/>
      <c r="E677" s="126"/>
      <c r="F677" s="109"/>
    </row>
    <row r="678" ht="798.75" customHeight="1">
      <c r="A678" s="124"/>
      <c r="B678" s="125"/>
      <c r="C678" s="113"/>
      <c r="D678" s="113"/>
      <c r="E678" s="126"/>
      <c r="F678" s="109"/>
    </row>
    <row r="679" ht="798.75" customHeight="1">
      <c r="A679" s="124"/>
      <c r="B679" s="125"/>
      <c r="C679" s="113"/>
      <c r="D679" s="113"/>
      <c r="E679" s="126"/>
      <c r="F679" s="109"/>
    </row>
    <row r="680" ht="798.75" customHeight="1">
      <c r="A680" s="124"/>
      <c r="B680" s="125"/>
      <c r="C680" s="113"/>
      <c r="D680" s="113"/>
      <c r="E680" s="126"/>
      <c r="F680" s="109"/>
    </row>
    <row r="681" ht="798.75" customHeight="1">
      <c r="A681" s="124"/>
      <c r="B681" s="125"/>
      <c r="C681" s="113"/>
      <c r="D681" s="113"/>
      <c r="E681" s="126"/>
      <c r="F681" s="109"/>
    </row>
    <row r="682" ht="798.75" customHeight="1">
      <c r="A682" s="124"/>
      <c r="B682" s="125"/>
      <c r="C682" s="113"/>
      <c r="D682" s="113"/>
      <c r="E682" s="126"/>
      <c r="F682" s="109"/>
    </row>
    <row r="683" ht="798.75" customHeight="1">
      <c r="A683" s="124"/>
      <c r="B683" s="125"/>
      <c r="C683" s="113"/>
      <c r="D683" s="113"/>
      <c r="E683" s="126"/>
      <c r="F683" s="109"/>
    </row>
    <row r="684" ht="798.75" customHeight="1">
      <c r="A684" s="124"/>
      <c r="B684" s="125"/>
      <c r="C684" s="113"/>
      <c r="D684" s="113"/>
      <c r="E684" s="126"/>
      <c r="F684" s="109"/>
    </row>
    <row r="685" ht="798.75" customHeight="1">
      <c r="A685" s="124"/>
      <c r="B685" s="125"/>
      <c r="C685" s="113"/>
      <c r="D685" s="113"/>
      <c r="E685" s="126"/>
      <c r="F685" s="109"/>
    </row>
    <row r="686" ht="798.75" customHeight="1">
      <c r="A686" s="124"/>
      <c r="B686" s="125"/>
      <c r="C686" s="113"/>
      <c r="D686" s="113"/>
      <c r="E686" s="126"/>
      <c r="F686" s="109"/>
    </row>
    <row r="687" ht="798.75" customHeight="1">
      <c r="A687" s="124"/>
      <c r="B687" s="125"/>
      <c r="C687" s="113"/>
      <c r="D687" s="113"/>
      <c r="E687" s="126"/>
      <c r="F687" s="109"/>
    </row>
    <row r="688" ht="798.75" customHeight="1">
      <c r="A688" s="124"/>
      <c r="B688" s="125"/>
      <c r="C688" s="113"/>
      <c r="D688" s="113"/>
      <c r="E688" s="126"/>
      <c r="F688" s="109"/>
    </row>
    <row r="689" ht="798.75" customHeight="1">
      <c r="A689" s="124"/>
      <c r="B689" s="125"/>
      <c r="C689" s="113"/>
      <c r="D689" s="113"/>
      <c r="E689" s="126"/>
      <c r="F689" s="109"/>
    </row>
    <row r="690" ht="798.75" customHeight="1">
      <c r="A690" s="124"/>
      <c r="B690" s="125"/>
      <c r="C690" s="113"/>
      <c r="D690" s="113"/>
      <c r="E690" s="126"/>
      <c r="F690" s="109"/>
    </row>
    <row r="691" ht="798.75" customHeight="1">
      <c r="A691" s="124"/>
      <c r="B691" s="125"/>
      <c r="C691" s="113"/>
      <c r="D691" s="113"/>
      <c r="E691" s="126"/>
      <c r="F691" s="109"/>
    </row>
    <row r="692" ht="798.75" customHeight="1">
      <c r="A692" s="124"/>
      <c r="B692" s="125"/>
      <c r="C692" s="113"/>
      <c r="D692" s="113"/>
      <c r="E692" s="126"/>
      <c r="F692" s="109"/>
    </row>
    <row r="693" ht="798.75" customHeight="1">
      <c r="A693" s="124"/>
      <c r="B693" s="125"/>
      <c r="C693" s="113"/>
      <c r="D693" s="113"/>
      <c r="E693" s="126"/>
      <c r="F693" s="109"/>
    </row>
    <row r="694" ht="798.75" customHeight="1">
      <c r="A694" s="124"/>
      <c r="B694" s="125"/>
      <c r="C694" s="113"/>
      <c r="D694" s="113"/>
      <c r="E694" s="126"/>
      <c r="F694" s="109"/>
    </row>
    <row r="695" ht="798.75" customHeight="1">
      <c r="A695" s="124"/>
      <c r="B695" s="125"/>
      <c r="C695" s="113"/>
      <c r="D695" s="113"/>
      <c r="E695" s="126"/>
      <c r="F695" s="109"/>
    </row>
    <row r="696" ht="798.75" customHeight="1">
      <c r="A696" s="124"/>
      <c r="B696" s="125"/>
      <c r="C696" s="113"/>
      <c r="D696" s="113"/>
      <c r="E696" s="126"/>
      <c r="F696" s="109"/>
    </row>
    <row r="697" ht="798.75" customHeight="1">
      <c r="A697" s="124"/>
      <c r="B697" s="125"/>
      <c r="C697" s="113"/>
      <c r="D697" s="113"/>
      <c r="E697" s="126"/>
      <c r="F697" s="109"/>
    </row>
    <row r="698" ht="798.75" customHeight="1">
      <c r="A698" s="124"/>
      <c r="B698" s="125"/>
      <c r="C698" s="113"/>
      <c r="D698" s="113"/>
      <c r="E698" s="126"/>
      <c r="F698" s="109"/>
    </row>
    <row r="699" ht="798.75" customHeight="1">
      <c r="A699" s="124"/>
      <c r="B699" s="125"/>
      <c r="C699" s="113"/>
      <c r="D699" s="113"/>
      <c r="E699" s="126"/>
      <c r="F699" s="109"/>
    </row>
    <row r="700" ht="798.75" customHeight="1">
      <c r="A700" s="124"/>
      <c r="B700" s="125"/>
      <c r="C700" s="113"/>
      <c r="D700" s="113"/>
      <c r="E700" s="126"/>
      <c r="F700" s="109"/>
    </row>
    <row r="701" ht="798.75" customHeight="1">
      <c r="A701" s="124"/>
      <c r="B701" s="125"/>
      <c r="C701" s="113"/>
      <c r="D701" s="113"/>
      <c r="E701" s="126"/>
      <c r="F701" s="109"/>
    </row>
    <row r="702" ht="798.75" customHeight="1">
      <c r="A702" s="124"/>
      <c r="B702" s="125"/>
      <c r="C702" s="113"/>
      <c r="D702" s="113"/>
      <c r="E702" s="126"/>
      <c r="F702" s="109"/>
    </row>
    <row r="703" ht="798.75" customHeight="1">
      <c r="A703" s="124"/>
      <c r="B703" s="125"/>
      <c r="C703" s="113"/>
      <c r="D703" s="113"/>
      <c r="E703" s="126"/>
      <c r="F703" s="109"/>
    </row>
    <row r="704" ht="798.75" customHeight="1">
      <c r="A704" s="124"/>
      <c r="B704" s="125"/>
      <c r="C704" s="113"/>
      <c r="D704" s="113"/>
      <c r="E704" s="126"/>
      <c r="F704" s="109"/>
    </row>
    <row r="705" ht="798.75" customHeight="1">
      <c r="A705" s="124"/>
      <c r="B705" s="125"/>
      <c r="C705" s="113"/>
      <c r="D705" s="113"/>
      <c r="E705" s="126"/>
      <c r="F705" s="109"/>
    </row>
    <row r="706" ht="798.75" customHeight="1">
      <c r="A706" s="124"/>
      <c r="B706" s="125"/>
      <c r="C706" s="113"/>
      <c r="D706" s="113"/>
      <c r="E706" s="126"/>
      <c r="F706" s="109"/>
    </row>
    <row r="707" ht="798.75" customHeight="1">
      <c r="A707" s="124"/>
      <c r="B707" s="125"/>
      <c r="C707" s="113"/>
      <c r="D707" s="113"/>
      <c r="E707" s="126"/>
      <c r="F707" s="109"/>
    </row>
    <row r="708" ht="798.75" customHeight="1">
      <c r="A708" s="124"/>
      <c r="B708" s="125"/>
      <c r="C708" s="113"/>
      <c r="D708" s="113"/>
      <c r="E708" s="126"/>
      <c r="F708" s="109"/>
    </row>
    <row r="709" ht="798.75" customHeight="1">
      <c r="A709" s="124"/>
      <c r="B709" s="125"/>
      <c r="C709" s="113"/>
      <c r="D709" s="113"/>
      <c r="E709" s="126"/>
      <c r="F709" s="109"/>
    </row>
    <row r="710" ht="798.75" customHeight="1">
      <c r="A710" s="124"/>
      <c r="B710" s="125"/>
      <c r="C710" s="113"/>
      <c r="D710" s="113"/>
      <c r="E710" s="126"/>
      <c r="F710" s="109"/>
    </row>
    <row r="711" ht="798.75" customHeight="1">
      <c r="A711" s="124"/>
      <c r="B711" s="125"/>
      <c r="C711" s="113"/>
      <c r="D711" s="113"/>
      <c r="E711" s="126"/>
      <c r="F711" s="109"/>
    </row>
    <row r="712" ht="798.75" customHeight="1">
      <c r="A712" s="124"/>
      <c r="B712" s="125"/>
      <c r="C712" s="113"/>
      <c r="D712" s="113"/>
      <c r="E712" s="126"/>
      <c r="F712" s="109"/>
    </row>
    <row r="713" ht="798.75" customHeight="1">
      <c r="A713" s="124"/>
      <c r="B713" s="125"/>
      <c r="C713" s="113"/>
      <c r="D713" s="113"/>
      <c r="E713" s="126"/>
      <c r="F713" s="109"/>
    </row>
    <row r="714" ht="798.75" customHeight="1">
      <c r="A714" s="124"/>
      <c r="B714" s="125"/>
      <c r="C714" s="113"/>
      <c r="D714" s="113"/>
      <c r="E714" s="126"/>
      <c r="F714" s="109"/>
    </row>
    <row r="715" ht="798.75" customHeight="1">
      <c r="A715" s="124"/>
      <c r="B715" s="125"/>
      <c r="C715" s="113"/>
      <c r="D715" s="113"/>
      <c r="E715" s="126"/>
      <c r="F715" s="109"/>
    </row>
    <row r="716" ht="798.75" customHeight="1">
      <c r="A716" s="124"/>
      <c r="B716" s="125"/>
      <c r="C716" s="113"/>
      <c r="D716" s="113"/>
      <c r="E716" s="126"/>
      <c r="F716" s="109"/>
    </row>
    <row r="717" ht="798.75" customHeight="1">
      <c r="A717" s="124"/>
      <c r="B717" s="125"/>
      <c r="C717" s="113"/>
      <c r="D717" s="113"/>
      <c r="E717" s="126"/>
      <c r="F717" s="109"/>
    </row>
    <row r="718" ht="798.75" customHeight="1">
      <c r="A718" s="124"/>
      <c r="B718" s="125"/>
      <c r="C718" s="113"/>
      <c r="D718" s="113"/>
      <c r="E718" s="126"/>
      <c r="F718" s="109"/>
    </row>
    <row r="719" ht="798.75" customHeight="1">
      <c r="A719" s="124"/>
      <c r="B719" s="125"/>
      <c r="C719" s="113"/>
      <c r="D719" s="113"/>
      <c r="E719" s="126"/>
      <c r="F719" s="109"/>
    </row>
    <row r="720" ht="798.75" customHeight="1">
      <c r="A720" s="124"/>
      <c r="B720" s="125"/>
      <c r="C720" s="113"/>
      <c r="D720" s="113"/>
      <c r="E720" s="126"/>
      <c r="F720" s="109"/>
    </row>
    <row r="721" ht="798.75" customHeight="1">
      <c r="A721" s="124"/>
      <c r="B721" s="125"/>
      <c r="C721" s="113"/>
      <c r="D721" s="113"/>
      <c r="E721" s="126"/>
      <c r="F721" s="109"/>
    </row>
    <row r="722" ht="798.75" customHeight="1">
      <c r="A722" s="124"/>
      <c r="B722" s="125"/>
      <c r="C722" s="113"/>
      <c r="D722" s="113"/>
      <c r="E722" s="126"/>
      <c r="F722" s="109"/>
    </row>
    <row r="723" ht="798.75" customHeight="1">
      <c r="A723" s="124"/>
      <c r="B723" s="125"/>
      <c r="C723" s="113"/>
      <c r="D723" s="113"/>
      <c r="E723" s="126"/>
      <c r="F723" s="109"/>
    </row>
    <row r="724" ht="798.75" customHeight="1">
      <c r="A724" s="124"/>
      <c r="B724" s="125"/>
      <c r="C724" s="113"/>
      <c r="D724" s="113"/>
      <c r="E724" s="126"/>
      <c r="F724" s="109"/>
    </row>
    <row r="725" ht="798.75" customHeight="1">
      <c r="A725" s="124"/>
      <c r="B725" s="125"/>
      <c r="C725" s="113"/>
      <c r="D725" s="113"/>
      <c r="E725" s="126"/>
      <c r="F725" s="109"/>
    </row>
    <row r="726" ht="798.75" customHeight="1">
      <c r="A726" s="124"/>
      <c r="B726" s="125"/>
      <c r="C726" s="113"/>
      <c r="D726" s="113"/>
      <c r="E726" s="126"/>
      <c r="F726" s="109"/>
    </row>
    <row r="727" ht="798.75" customHeight="1">
      <c r="A727" s="124"/>
      <c r="B727" s="125"/>
      <c r="C727" s="113"/>
      <c r="D727" s="113"/>
      <c r="E727" s="126"/>
      <c r="F727" s="109"/>
    </row>
    <row r="728" ht="798.75" customHeight="1">
      <c r="A728" s="124"/>
      <c r="B728" s="125"/>
      <c r="C728" s="113"/>
      <c r="D728" s="113"/>
      <c r="E728" s="126"/>
      <c r="F728" s="109"/>
    </row>
    <row r="729" ht="798.75" customHeight="1">
      <c r="A729" s="124"/>
      <c r="B729" s="125"/>
      <c r="C729" s="113"/>
      <c r="D729" s="113"/>
      <c r="E729" s="126"/>
      <c r="F729" s="109"/>
    </row>
    <row r="730" ht="798.75" customHeight="1">
      <c r="A730" s="124"/>
      <c r="B730" s="125"/>
      <c r="C730" s="113"/>
      <c r="D730" s="113"/>
      <c r="E730" s="126"/>
      <c r="F730" s="109"/>
    </row>
    <row r="731" ht="798.75" customHeight="1">
      <c r="A731" s="124"/>
      <c r="B731" s="125"/>
      <c r="C731" s="113"/>
      <c r="D731" s="113"/>
      <c r="E731" s="126"/>
      <c r="F731" s="109"/>
    </row>
    <row r="732" ht="798.75" customHeight="1">
      <c r="A732" s="124"/>
      <c r="B732" s="125"/>
      <c r="C732" s="113"/>
      <c r="D732" s="113"/>
      <c r="E732" s="126"/>
      <c r="F732" s="109"/>
    </row>
    <row r="733" ht="798.75" customHeight="1">
      <c r="A733" s="124"/>
      <c r="B733" s="125"/>
      <c r="C733" s="113"/>
      <c r="D733" s="113"/>
      <c r="E733" s="126"/>
      <c r="F733" s="109"/>
    </row>
    <row r="734" ht="798.75" customHeight="1">
      <c r="A734" s="124"/>
      <c r="B734" s="125"/>
      <c r="C734" s="113"/>
      <c r="D734" s="113"/>
      <c r="E734" s="126"/>
      <c r="F734" s="109"/>
    </row>
    <row r="735" ht="798.75" customHeight="1">
      <c r="A735" s="124"/>
      <c r="B735" s="125"/>
      <c r="C735" s="113"/>
      <c r="D735" s="113"/>
      <c r="E735" s="126"/>
      <c r="F735" s="109"/>
    </row>
    <row r="736" ht="798.75" customHeight="1">
      <c r="A736" s="124"/>
      <c r="B736" s="125"/>
      <c r="C736" s="113"/>
      <c r="D736" s="113"/>
      <c r="E736" s="126"/>
      <c r="F736" s="109"/>
    </row>
    <row r="737" ht="798.75" customHeight="1">
      <c r="A737" s="124"/>
      <c r="B737" s="125"/>
      <c r="C737" s="113"/>
      <c r="D737" s="113"/>
      <c r="E737" s="126"/>
      <c r="F737" s="109"/>
    </row>
    <row r="738" ht="798.75" customHeight="1">
      <c r="A738" s="124"/>
      <c r="B738" s="125"/>
      <c r="C738" s="113"/>
      <c r="D738" s="113"/>
      <c r="E738" s="126"/>
      <c r="F738" s="109"/>
    </row>
    <row r="739" ht="798.75" customHeight="1">
      <c r="A739" s="124"/>
      <c r="B739" s="125"/>
      <c r="C739" s="113"/>
      <c r="D739" s="113"/>
      <c r="E739" s="126"/>
      <c r="F739" s="109"/>
    </row>
    <row r="740" ht="798.75" customHeight="1">
      <c r="A740" s="124"/>
      <c r="B740" s="125"/>
      <c r="C740" s="113"/>
      <c r="D740" s="113"/>
      <c r="E740" s="126"/>
      <c r="F740" s="109"/>
    </row>
    <row r="741" ht="798.75" customHeight="1">
      <c r="A741" s="124"/>
      <c r="B741" s="125"/>
      <c r="C741" s="113"/>
      <c r="D741" s="113"/>
      <c r="E741" s="126"/>
      <c r="F741" s="109"/>
    </row>
    <row r="742" ht="798.75" customHeight="1">
      <c r="A742" s="124"/>
      <c r="B742" s="125"/>
      <c r="C742" s="113"/>
      <c r="D742" s="113"/>
      <c r="E742" s="126"/>
      <c r="F742" s="109"/>
    </row>
    <row r="743" ht="798.75" customHeight="1">
      <c r="A743" s="124"/>
      <c r="B743" s="125"/>
      <c r="C743" s="113"/>
      <c r="D743" s="113"/>
      <c r="E743" s="126"/>
      <c r="F743" s="109"/>
    </row>
    <row r="744" ht="798.75" customHeight="1">
      <c r="A744" s="124"/>
      <c r="B744" s="125"/>
      <c r="C744" s="113"/>
      <c r="D744" s="113"/>
      <c r="E744" s="126"/>
      <c r="F744" s="109"/>
    </row>
    <row r="745" ht="798.75" customHeight="1">
      <c r="A745" s="124"/>
      <c r="B745" s="125"/>
      <c r="C745" s="113"/>
      <c r="D745" s="113"/>
      <c r="E745" s="126"/>
      <c r="F745" s="109"/>
    </row>
    <row r="746" ht="798.75" customHeight="1">
      <c r="A746" s="124"/>
      <c r="B746" s="125"/>
      <c r="C746" s="113"/>
      <c r="D746" s="113"/>
      <c r="E746" s="126"/>
      <c r="F746" s="109"/>
    </row>
    <row r="747" ht="798.75" customHeight="1">
      <c r="A747" s="124"/>
      <c r="B747" s="125"/>
      <c r="C747" s="113"/>
      <c r="D747" s="113"/>
      <c r="E747" s="126"/>
      <c r="F747" s="109"/>
    </row>
    <row r="748" ht="798.75" customHeight="1">
      <c r="A748" s="124"/>
      <c r="B748" s="125"/>
      <c r="C748" s="113"/>
      <c r="D748" s="113"/>
      <c r="E748" s="126"/>
      <c r="F748" s="109"/>
    </row>
    <row r="749" ht="798.75" customHeight="1">
      <c r="A749" s="124"/>
      <c r="B749" s="125"/>
      <c r="C749" s="113"/>
      <c r="D749" s="113"/>
      <c r="E749" s="126"/>
      <c r="F749" s="109"/>
    </row>
    <row r="750" ht="798.75" customHeight="1">
      <c r="A750" s="124"/>
      <c r="B750" s="125"/>
      <c r="C750" s="113"/>
      <c r="D750" s="113"/>
      <c r="E750" s="126"/>
      <c r="F750" s="109"/>
    </row>
    <row r="751" ht="798.75" customHeight="1">
      <c r="A751" s="124"/>
      <c r="B751" s="125"/>
      <c r="C751" s="113"/>
      <c r="D751" s="113"/>
      <c r="E751" s="126"/>
      <c r="F751" s="109"/>
    </row>
    <row r="752" ht="798.75" customHeight="1">
      <c r="A752" s="124"/>
      <c r="B752" s="125"/>
      <c r="C752" s="113"/>
      <c r="D752" s="113"/>
      <c r="E752" s="126"/>
      <c r="F752" s="109"/>
    </row>
    <row r="753" ht="798.75" customHeight="1">
      <c r="A753" s="124"/>
      <c r="B753" s="125"/>
      <c r="C753" s="113"/>
      <c r="D753" s="113"/>
      <c r="E753" s="126"/>
      <c r="F753" s="109"/>
    </row>
    <row r="754" ht="798.75" customHeight="1">
      <c r="A754" s="124"/>
      <c r="B754" s="125"/>
      <c r="C754" s="113"/>
      <c r="D754" s="113"/>
      <c r="E754" s="126"/>
      <c r="F754" s="109"/>
    </row>
    <row r="755" ht="798.75" customHeight="1">
      <c r="A755" s="124"/>
      <c r="B755" s="125"/>
      <c r="C755" s="113"/>
      <c r="D755" s="113"/>
      <c r="E755" s="126"/>
      <c r="F755" s="109"/>
    </row>
    <row r="756" ht="798.75" customHeight="1">
      <c r="A756" s="124"/>
      <c r="B756" s="125"/>
      <c r="C756" s="113"/>
      <c r="D756" s="113"/>
      <c r="E756" s="126"/>
      <c r="F756" s="109"/>
    </row>
    <row r="757" ht="798.75" customHeight="1">
      <c r="A757" s="124"/>
      <c r="B757" s="125"/>
      <c r="C757" s="113"/>
      <c r="D757" s="113"/>
      <c r="E757" s="126"/>
      <c r="F757" s="109"/>
    </row>
    <row r="758" ht="798.75" customHeight="1">
      <c r="A758" s="124"/>
      <c r="B758" s="125"/>
      <c r="C758" s="113"/>
      <c r="D758" s="113"/>
      <c r="E758" s="126"/>
      <c r="F758" s="109"/>
    </row>
    <row r="759" ht="798.75" customHeight="1">
      <c r="A759" s="124"/>
      <c r="B759" s="125"/>
      <c r="C759" s="113"/>
      <c r="D759" s="113"/>
      <c r="E759" s="126"/>
      <c r="F759" s="109"/>
    </row>
    <row r="760" ht="798.75" customHeight="1">
      <c r="A760" s="124"/>
      <c r="B760" s="125"/>
      <c r="C760" s="113"/>
      <c r="D760" s="113"/>
      <c r="E760" s="126"/>
      <c r="F760" s="109"/>
    </row>
    <row r="761" ht="798.75" customHeight="1">
      <c r="A761" s="124"/>
      <c r="B761" s="125"/>
      <c r="C761" s="113"/>
      <c r="D761" s="113"/>
      <c r="E761" s="126"/>
      <c r="F761" s="109"/>
    </row>
    <row r="762" ht="798.75" customHeight="1">
      <c r="A762" s="124"/>
      <c r="B762" s="125"/>
      <c r="C762" s="113"/>
      <c r="D762" s="113"/>
      <c r="E762" s="126"/>
      <c r="F762" s="109"/>
    </row>
    <row r="763" ht="798.75" customHeight="1">
      <c r="A763" s="124"/>
      <c r="B763" s="125"/>
      <c r="C763" s="113"/>
      <c r="D763" s="113"/>
      <c r="E763" s="126"/>
      <c r="F763" s="109"/>
    </row>
    <row r="764" ht="798.75" customHeight="1">
      <c r="A764" s="124"/>
      <c r="B764" s="125"/>
      <c r="C764" s="113"/>
      <c r="D764" s="113"/>
      <c r="E764" s="126"/>
      <c r="F764" s="109"/>
    </row>
    <row r="765" ht="798.75" customHeight="1">
      <c r="A765" s="124"/>
      <c r="B765" s="125"/>
      <c r="C765" s="113"/>
      <c r="D765" s="113"/>
      <c r="E765" s="126"/>
      <c r="F765" s="109"/>
    </row>
    <row r="766" ht="798.75" customHeight="1">
      <c r="A766" s="124"/>
      <c r="B766" s="125"/>
      <c r="C766" s="113"/>
      <c r="D766" s="113"/>
      <c r="E766" s="126"/>
      <c r="F766" s="109"/>
    </row>
    <row r="767" ht="798.75" customHeight="1">
      <c r="A767" s="124"/>
      <c r="B767" s="125"/>
      <c r="C767" s="113"/>
      <c r="D767" s="113"/>
      <c r="E767" s="126"/>
      <c r="F767" s="109"/>
    </row>
    <row r="768" ht="798.75" customHeight="1">
      <c r="A768" s="124"/>
      <c r="B768" s="125"/>
      <c r="C768" s="113"/>
      <c r="D768" s="113"/>
      <c r="E768" s="126"/>
      <c r="F768" s="109"/>
    </row>
    <row r="769" ht="798.75" customHeight="1">
      <c r="A769" s="124"/>
      <c r="B769" s="125"/>
      <c r="C769" s="113"/>
      <c r="D769" s="113"/>
      <c r="E769" s="126"/>
      <c r="F769" s="109"/>
    </row>
    <row r="770" ht="798.75" customHeight="1">
      <c r="A770" s="124"/>
      <c r="B770" s="125"/>
      <c r="C770" s="113"/>
      <c r="D770" s="113"/>
      <c r="E770" s="126"/>
      <c r="F770" s="109"/>
    </row>
    <row r="771" ht="798.75" customHeight="1">
      <c r="A771" s="124"/>
      <c r="B771" s="125"/>
      <c r="C771" s="113"/>
      <c r="D771" s="113"/>
      <c r="E771" s="126"/>
      <c r="F771" s="109"/>
    </row>
    <row r="772" ht="798.75" customHeight="1">
      <c r="A772" s="124"/>
      <c r="B772" s="125"/>
      <c r="C772" s="113"/>
      <c r="D772" s="113"/>
      <c r="E772" s="126"/>
      <c r="F772" s="109"/>
    </row>
    <row r="773" ht="798.75" customHeight="1">
      <c r="A773" s="124"/>
      <c r="B773" s="125"/>
      <c r="C773" s="113"/>
      <c r="D773" s="113"/>
      <c r="E773" s="126"/>
      <c r="F773" s="109"/>
    </row>
    <row r="774" ht="798.75" customHeight="1">
      <c r="A774" s="124"/>
      <c r="B774" s="125"/>
      <c r="C774" s="113"/>
      <c r="D774" s="113"/>
      <c r="E774" s="126"/>
      <c r="F774" s="109"/>
    </row>
    <row r="775" ht="798.75" customHeight="1">
      <c r="A775" s="124"/>
      <c r="B775" s="125"/>
      <c r="C775" s="113"/>
      <c r="D775" s="113"/>
      <c r="E775" s="126"/>
      <c r="F775" s="109"/>
    </row>
    <row r="776" ht="798.75" customHeight="1">
      <c r="A776" s="124"/>
      <c r="B776" s="125"/>
      <c r="C776" s="113"/>
      <c r="D776" s="113"/>
      <c r="E776" s="126"/>
      <c r="F776" s="109"/>
    </row>
    <row r="777" ht="798.75" customHeight="1">
      <c r="A777" s="124"/>
      <c r="B777" s="125"/>
      <c r="C777" s="113"/>
      <c r="D777" s="113"/>
      <c r="E777" s="126"/>
      <c r="F777" s="109"/>
    </row>
    <row r="778" ht="798.75" customHeight="1">
      <c r="A778" s="124"/>
      <c r="B778" s="125"/>
      <c r="C778" s="113"/>
      <c r="D778" s="113"/>
      <c r="E778" s="126"/>
      <c r="F778" s="109"/>
    </row>
    <row r="779" ht="798.75" customHeight="1">
      <c r="A779" s="124"/>
      <c r="B779" s="125"/>
      <c r="C779" s="113"/>
      <c r="D779" s="113"/>
      <c r="E779" s="126"/>
      <c r="F779" s="109"/>
    </row>
    <row r="780" ht="798.75" customHeight="1">
      <c r="A780" s="124"/>
      <c r="B780" s="125"/>
      <c r="C780" s="113"/>
      <c r="D780" s="113"/>
      <c r="E780" s="126"/>
      <c r="F780" s="109"/>
    </row>
    <row r="781" ht="798.75" customHeight="1">
      <c r="A781" s="124"/>
      <c r="B781" s="125"/>
      <c r="C781" s="113"/>
      <c r="D781" s="113"/>
      <c r="E781" s="126"/>
      <c r="F781" s="109"/>
    </row>
    <row r="782" ht="798.75" customHeight="1">
      <c r="A782" s="124"/>
      <c r="B782" s="125"/>
      <c r="C782" s="113"/>
      <c r="D782" s="113"/>
      <c r="E782" s="126"/>
      <c r="F782" s="109"/>
    </row>
    <row r="783" ht="798.75" customHeight="1">
      <c r="A783" s="124"/>
      <c r="B783" s="125"/>
      <c r="C783" s="113"/>
      <c r="D783" s="113"/>
      <c r="E783" s="126"/>
      <c r="F783" s="109"/>
    </row>
    <row r="784" ht="798.75" customHeight="1">
      <c r="A784" s="124"/>
      <c r="B784" s="125"/>
      <c r="C784" s="113"/>
      <c r="D784" s="113"/>
      <c r="E784" s="126"/>
      <c r="F784" s="109"/>
    </row>
    <row r="785" ht="798.75" customHeight="1">
      <c r="A785" s="124"/>
      <c r="B785" s="125"/>
      <c r="C785" s="113"/>
      <c r="D785" s="113"/>
      <c r="E785" s="126"/>
      <c r="F785" s="109"/>
    </row>
    <row r="786" ht="798.75" customHeight="1">
      <c r="A786" s="124"/>
      <c r="B786" s="125"/>
      <c r="C786" s="113"/>
      <c r="D786" s="113"/>
      <c r="E786" s="126"/>
      <c r="F786" s="109"/>
    </row>
    <row r="787" ht="798.75" customHeight="1">
      <c r="A787" s="124"/>
      <c r="B787" s="125"/>
      <c r="C787" s="113"/>
      <c r="D787" s="113"/>
      <c r="E787" s="126"/>
      <c r="F787" s="109"/>
    </row>
    <row r="788" ht="798.75" customHeight="1">
      <c r="A788" s="124"/>
      <c r="B788" s="125"/>
      <c r="C788" s="113"/>
      <c r="D788" s="113"/>
      <c r="E788" s="126"/>
      <c r="F788" s="109"/>
    </row>
    <row r="789" ht="798.75" customHeight="1">
      <c r="A789" s="124"/>
      <c r="B789" s="125"/>
      <c r="C789" s="113"/>
      <c r="D789" s="113"/>
      <c r="E789" s="126"/>
      <c r="F789" s="109"/>
    </row>
    <row r="790" ht="798.75" customHeight="1">
      <c r="A790" s="124"/>
      <c r="B790" s="125"/>
      <c r="C790" s="113"/>
      <c r="D790" s="113"/>
      <c r="E790" s="126"/>
      <c r="F790" s="109"/>
    </row>
    <row r="791" ht="798.75" customHeight="1">
      <c r="A791" s="124"/>
      <c r="B791" s="125"/>
      <c r="C791" s="113"/>
      <c r="D791" s="113"/>
      <c r="E791" s="126"/>
      <c r="F791" s="109"/>
    </row>
    <row r="792" ht="798.75" customHeight="1">
      <c r="A792" s="124"/>
      <c r="B792" s="125"/>
      <c r="C792" s="113"/>
      <c r="D792" s="113"/>
      <c r="E792" s="126"/>
      <c r="F792" s="109"/>
    </row>
    <row r="793" ht="798.75" customHeight="1">
      <c r="A793" s="124"/>
      <c r="B793" s="125"/>
      <c r="C793" s="113"/>
      <c r="D793" s="113"/>
      <c r="E793" s="126"/>
      <c r="F793" s="109"/>
    </row>
    <row r="794" ht="798.75" customHeight="1">
      <c r="A794" s="124"/>
      <c r="B794" s="125"/>
      <c r="C794" s="113"/>
      <c r="D794" s="113"/>
      <c r="E794" s="126"/>
      <c r="F794" s="109"/>
    </row>
    <row r="795" ht="798.75" customHeight="1">
      <c r="A795" s="124"/>
      <c r="B795" s="125"/>
      <c r="C795" s="113"/>
      <c r="D795" s="113"/>
      <c r="E795" s="126"/>
      <c r="F795" s="109"/>
    </row>
    <row r="796" ht="798.75" customHeight="1">
      <c r="A796" s="124"/>
      <c r="B796" s="125"/>
      <c r="C796" s="113"/>
      <c r="D796" s="113"/>
      <c r="E796" s="126"/>
      <c r="F796" s="109"/>
    </row>
    <row r="797" ht="798.75" customHeight="1">
      <c r="A797" s="124"/>
      <c r="B797" s="125"/>
      <c r="C797" s="113"/>
      <c r="D797" s="113"/>
      <c r="E797" s="126"/>
      <c r="F797" s="109"/>
    </row>
    <row r="798" ht="798.75" customHeight="1">
      <c r="A798" s="124"/>
      <c r="B798" s="125"/>
      <c r="C798" s="113"/>
      <c r="D798" s="113"/>
      <c r="E798" s="126"/>
      <c r="F798" s="109"/>
    </row>
    <row r="799" ht="798.75" customHeight="1">
      <c r="A799" s="124"/>
      <c r="B799" s="125"/>
      <c r="C799" s="113"/>
      <c r="D799" s="113"/>
      <c r="E799" s="126"/>
      <c r="F799" s="109"/>
    </row>
    <row r="800" ht="798.75" customHeight="1">
      <c r="A800" s="124"/>
      <c r="B800" s="125"/>
      <c r="C800" s="113"/>
      <c r="D800" s="113"/>
      <c r="E800" s="126"/>
      <c r="F800" s="109"/>
    </row>
    <row r="801" ht="798.75" customHeight="1">
      <c r="A801" s="124"/>
      <c r="B801" s="125"/>
      <c r="C801" s="113"/>
      <c r="D801" s="113"/>
      <c r="E801" s="126"/>
      <c r="F801" s="109"/>
    </row>
    <row r="802" ht="798.75" customHeight="1">
      <c r="A802" s="124"/>
      <c r="B802" s="125"/>
      <c r="C802" s="113"/>
      <c r="D802" s="113"/>
      <c r="E802" s="126"/>
      <c r="F802" s="109"/>
    </row>
    <row r="803" ht="798.75" customHeight="1">
      <c r="A803" s="124"/>
      <c r="B803" s="125"/>
      <c r="C803" s="113"/>
      <c r="D803" s="113"/>
      <c r="E803" s="126"/>
      <c r="F803" s="109"/>
    </row>
    <row r="804" ht="798.75" customHeight="1">
      <c r="A804" s="124"/>
      <c r="B804" s="125"/>
      <c r="C804" s="113"/>
      <c r="D804" s="113"/>
      <c r="E804" s="126"/>
      <c r="F804" s="109"/>
    </row>
    <row r="805" ht="798.75" customHeight="1">
      <c r="A805" s="124"/>
      <c r="B805" s="125"/>
      <c r="C805" s="113"/>
      <c r="D805" s="113"/>
      <c r="E805" s="126"/>
      <c r="F805" s="109"/>
    </row>
    <row r="806" ht="798.75" customHeight="1">
      <c r="A806" s="124"/>
      <c r="B806" s="125"/>
      <c r="C806" s="113"/>
      <c r="D806" s="113"/>
      <c r="E806" s="126"/>
      <c r="F806" s="109"/>
    </row>
    <row r="807" ht="798.75" customHeight="1">
      <c r="A807" s="124"/>
      <c r="B807" s="125"/>
      <c r="C807" s="113"/>
      <c r="D807" s="113"/>
      <c r="E807" s="126"/>
      <c r="F807" s="109"/>
    </row>
    <row r="808" ht="798.75" customHeight="1">
      <c r="A808" s="124"/>
      <c r="B808" s="125"/>
      <c r="C808" s="113"/>
      <c r="D808" s="113"/>
      <c r="E808" s="126"/>
      <c r="F808" s="109"/>
    </row>
    <row r="809" ht="798.75" customHeight="1">
      <c r="A809" s="124"/>
      <c r="B809" s="125"/>
      <c r="C809" s="113"/>
      <c r="D809" s="113"/>
      <c r="E809" s="126"/>
      <c r="F809" s="109"/>
    </row>
    <row r="810" ht="798.75" customHeight="1">
      <c r="A810" s="124"/>
      <c r="B810" s="125"/>
      <c r="C810" s="113"/>
      <c r="D810" s="113"/>
      <c r="E810" s="126"/>
      <c r="F810" s="109"/>
    </row>
    <row r="811" ht="798.75" customHeight="1">
      <c r="A811" s="124"/>
      <c r="B811" s="125"/>
      <c r="C811" s="113"/>
      <c r="D811" s="113"/>
      <c r="E811" s="126"/>
      <c r="F811" s="109"/>
    </row>
    <row r="812" ht="798.75" customHeight="1">
      <c r="A812" s="124"/>
      <c r="B812" s="125"/>
      <c r="C812" s="113"/>
      <c r="D812" s="113"/>
      <c r="E812" s="126"/>
      <c r="F812" s="109"/>
    </row>
    <row r="813" ht="798.75" customHeight="1">
      <c r="A813" s="124"/>
      <c r="B813" s="125"/>
      <c r="C813" s="113"/>
      <c r="D813" s="113"/>
      <c r="E813" s="126"/>
      <c r="F813" s="109"/>
    </row>
    <row r="814" ht="798.75" customHeight="1">
      <c r="A814" s="124"/>
      <c r="B814" s="125"/>
      <c r="C814" s="113"/>
      <c r="D814" s="113"/>
      <c r="E814" s="126"/>
      <c r="F814" s="109"/>
    </row>
    <row r="815" ht="798.75" customHeight="1">
      <c r="A815" s="124"/>
      <c r="B815" s="125"/>
      <c r="C815" s="113"/>
      <c r="D815" s="113"/>
      <c r="E815" s="126"/>
      <c r="F815" s="109"/>
    </row>
    <row r="816" ht="798.75" customHeight="1">
      <c r="A816" s="124"/>
      <c r="B816" s="125"/>
      <c r="C816" s="113"/>
      <c r="D816" s="113"/>
      <c r="E816" s="126"/>
      <c r="F816" s="109"/>
    </row>
    <row r="817" ht="798.75" customHeight="1">
      <c r="A817" s="124"/>
      <c r="B817" s="125"/>
      <c r="C817" s="113"/>
      <c r="D817" s="113"/>
      <c r="E817" s="126"/>
      <c r="F817" s="109"/>
    </row>
    <row r="818" ht="798.75" customHeight="1">
      <c r="A818" s="124"/>
      <c r="B818" s="125"/>
      <c r="C818" s="113"/>
      <c r="D818" s="113"/>
      <c r="E818" s="126"/>
      <c r="F818" s="109"/>
    </row>
    <row r="819" ht="798.75" customHeight="1">
      <c r="A819" s="124"/>
      <c r="B819" s="125"/>
      <c r="C819" s="113"/>
      <c r="D819" s="113"/>
      <c r="E819" s="126"/>
      <c r="F819" s="109"/>
    </row>
    <row r="820" ht="798.75" customHeight="1">
      <c r="A820" s="124"/>
      <c r="B820" s="125"/>
      <c r="C820" s="113"/>
      <c r="D820" s="113"/>
      <c r="E820" s="126"/>
      <c r="F820" s="109"/>
    </row>
    <row r="821" ht="798.75" customHeight="1">
      <c r="A821" s="124"/>
      <c r="B821" s="125"/>
      <c r="C821" s="113"/>
      <c r="D821" s="113"/>
      <c r="E821" s="126"/>
      <c r="F821" s="109"/>
    </row>
    <row r="822" ht="798.75" customHeight="1">
      <c r="A822" s="124"/>
      <c r="B822" s="125"/>
      <c r="C822" s="113"/>
      <c r="D822" s="113"/>
      <c r="E822" s="126"/>
      <c r="F822" s="109"/>
    </row>
    <row r="823" ht="798.75" customHeight="1">
      <c r="A823" s="124"/>
      <c r="B823" s="125"/>
      <c r="C823" s="113"/>
      <c r="D823" s="113"/>
      <c r="E823" s="126"/>
      <c r="F823" s="109"/>
    </row>
    <row r="824" ht="798.75" customHeight="1">
      <c r="A824" s="124"/>
      <c r="B824" s="125"/>
      <c r="C824" s="113"/>
      <c r="D824" s="113"/>
      <c r="E824" s="126"/>
      <c r="F824" s="109"/>
    </row>
    <row r="825" ht="798.75" customHeight="1">
      <c r="A825" s="124"/>
      <c r="B825" s="125"/>
      <c r="C825" s="113"/>
      <c r="D825" s="113"/>
      <c r="E825" s="126"/>
      <c r="F825" s="109"/>
    </row>
    <row r="826" ht="798.75" customHeight="1">
      <c r="A826" s="124"/>
      <c r="B826" s="125"/>
      <c r="C826" s="113"/>
      <c r="D826" s="113"/>
      <c r="E826" s="126"/>
      <c r="F826" s="109"/>
    </row>
    <row r="827" ht="798.75" customHeight="1">
      <c r="A827" s="124"/>
      <c r="B827" s="125"/>
      <c r="C827" s="113"/>
      <c r="D827" s="113"/>
      <c r="E827" s="126"/>
      <c r="F827" s="109"/>
    </row>
    <row r="828" ht="798.75" customHeight="1">
      <c r="A828" s="124"/>
      <c r="B828" s="125"/>
      <c r="C828" s="113"/>
      <c r="D828" s="113"/>
      <c r="E828" s="126"/>
      <c r="F828" s="109"/>
    </row>
    <row r="829" ht="798.75" customHeight="1">
      <c r="A829" s="124"/>
      <c r="B829" s="125"/>
      <c r="C829" s="113"/>
      <c r="D829" s="113"/>
      <c r="E829" s="126"/>
      <c r="F829" s="109"/>
    </row>
    <row r="830" ht="798.75" customHeight="1">
      <c r="A830" s="124"/>
      <c r="B830" s="125"/>
      <c r="C830" s="113"/>
      <c r="D830" s="113"/>
      <c r="E830" s="126"/>
      <c r="F830" s="109"/>
    </row>
    <row r="831" ht="798.75" customHeight="1">
      <c r="A831" s="124"/>
      <c r="B831" s="125"/>
      <c r="C831" s="113"/>
      <c r="D831" s="113"/>
      <c r="E831" s="126"/>
      <c r="F831" s="109"/>
    </row>
    <row r="832" ht="798.75" customHeight="1">
      <c r="A832" s="124"/>
      <c r="B832" s="125"/>
      <c r="C832" s="113"/>
      <c r="D832" s="113"/>
      <c r="E832" s="126"/>
      <c r="F832" s="109"/>
    </row>
    <row r="833" ht="798.75" customHeight="1">
      <c r="A833" s="124"/>
      <c r="B833" s="125"/>
      <c r="C833" s="113"/>
      <c r="D833" s="113"/>
      <c r="E833" s="126"/>
      <c r="F833" s="109"/>
    </row>
    <row r="834" ht="798.75" customHeight="1">
      <c r="A834" s="124"/>
      <c r="B834" s="125"/>
      <c r="C834" s="113"/>
      <c r="D834" s="113"/>
      <c r="E834" s="126"/>
      <c r="F834" s="109"/>
    </row>
    <row r="835" ht="798.75" customHeight="1">
      <c r="A835" s="124"/>
      <c r="B835" s="125"/>
      <c r="C835" s="113"/>
      <c r="D835" s="113"/>
      <c r="E835" s="126"/>
      <c r="F835" s="109"/>
    </row>
    <row r="836" ht="798.75" customHeight="1">
      <c r="A836" s="124"/>
      <c r="B836" s="125"/>
      <c r="C836" s="113"/>
      <c r="D836" s="113"/>
      <c r="E836" s="126"/>
      <c r="F836" s="109"/>
    </row>
    <row r="837" ht="798.75" customHeight="1">
      <c r="A837" s="124"/>
      <c r="B837" s="125"/>
      <c r="C837" s="113"/>
      <c r="D837" s="113"/>
      <c r="E837" s="126"/>
      <c r="F837" s="109"/>
    </row>
    <row r="838" ht="798.75" customHeight="1">
      <c r="A838" s="124"/>
      <c r="B838" s="125"/>
      <c r="C838" s="113"/>
      <c r="D838" s="113"/>
      <c r="E838" s="126"/>
      <c r="F838" s="109"/>
    </row>
    <row r="839" ht="798.75" customHeight="1">
      <c r="A839" s="124"/>
      <c r="B839" s="125"/>
      <c r="C839" s="113"/>
      <c r="D839" s="113"/>
      <c r="E839" s="126"/>
      <c r="F839" s="109"/>
    </row>
    <row r="840" ht="798.75" customHeight="1">
      <c r="A840" s="124"/>
      <c r="B840" s="125"/>
      <c r="C840" s="113"/>
      <c r="D840" s="113"/>
      <c r="E840" s="126"/>
      <c r="F840" s="109"/>
    </row>
    <row r="841" ht="798.75" customHeight="1">
      <c r="A841" s="124"/>
      <c r="B841" s="125"/>
      <c r="C841" s="113"/>
      <c r="D841" s="113"/>
      <c r="E841" s="126"/>
      <c r="F841" s="109"/>
    </row>
    <row r="842" ht="798.75" customHeight="1">
      <c r="A842" s="124"/>
      <c r="B842" s="125"/>
      <c r="C842" s="113"/>
      <c r="D842" s="113"/>
      <c r="E842" s="126"/>
      <c r="F842" s="109"/>
    </row>
    <row r="843" ht="798.75" customHeight="1">
      <c r="A843" s="124"/>
      <c r="B843" s="125"/>
      <c r="C843" s="113"/>
      <c r="D843" s="113"/>
      <c r="E843" s="126"/>
      <c r="F843" s="109"/>
    </row>
    <row r="844" ht="798.75" customHeight="1">
      <c r="A844" s="124"/>
      <c r="B844" s="125"/>
      <c r="C844" s="113"/>
      <c r="D844" s="113"/>
      <c r="E844" s="126"/>
      <c r="F844" s="109"/>
    </row>
    <row r="845" ht="798.75" customHeight="1">
      <c r="A845" s="124"/>
      <c r="B845" s="125"/>
      <c r="C845" s="113"/>
      <c r="D845" s="113"/>
      <c r="E845" s="126"/>
      <c r="F845" s="109"/>
    </row>
    <row r="846" ht="798.75" customHeight="1">
      <c r="A846" s="124"/>
      <c r="B846" s="125"/>
      <c r="C846" s="113"/>
      <c r="D846" s="113"/>
      <c r="E846" s="126"/>
      <c r="F846" s="109"/>
    </row>
    <row r="847" ht="798.75" customHeight="1">
      <c r="A847" s="124"/>
      <c r="B847" s="125"/>
      <c r="C847" s="113"/>
      <c r="D847" s="113"/>
      <c r="E847" s="126"/>
      <c r="F847" s="109"/>
    </row>
    <row r="848" ht="798.75" customHeight="1">
      <c r="A848" s="124"/>
      <c r="B848" s="125"/>
      <c r="C848" s="113"/>
      <c r="D848" s="113"/>
      <c r="E848" s="126"/>
      <c r="F848" s="109"/>
    </row>
    <row r="849" ht="798.75" customHeight="1">
      <c r="A849" s="124"/>
      <c r="B849" s="125"/>
      <c r="C849" s="113"/>
      <c r="D849" s="113"/>
      <c r="E849" s="126"/>
      <c r="F849" s="109"/>
    </row>
    <row r="850" ht="798.75" customHeight="1">
      <c r="A850" s="124"/>
      <c r="B850" s="125"/>
      <c r="C850" s="113"/>
      <c r="D850" s="113"/>
      <c r="E850" s="126"/>
      <c r="F850" s="109"/>
    </row>
    <row r="851" ht="798.75" customHeight="1">
      <c r="A851" s="124"/>
      <c r="B851" s="125"/>
      <c r="C851" s="113"/>
      <c r="D851" s="113"/>
      <c r="E851" s="126"/>
      <c r="F851" s="109"/>
    </row>
    <row r="852" ht="798.75" customHeight="1">
      <c r="A852" s="124"/>
      <c r="B852" s="125"/>
      <c r="C852" s="113"/>
      <c r="D852" s="113"/>
      <c r="E852" s="126"/>
      <c r="F852" s="109"/>
    </row>
    <row r="853" ht="798.75" customHeight="1">
      <c r="A853" s="124"/>
      <c r="B853" s="125"/>
      <c r="C853" s="113"/>
      <c r="D853" s="113"/>
      <c r="E853" s="126"/>
      <c r="F853" s="109"/>
    </row>
    <row r="854" ht="798.75" customHeight="1">
      <c r="A854" s="124"/>
      <c r="B854" s="125"/>
      <c r="C854" s="113"/>
      <c r="D854" s="113"/>
      <c r="E854" s="126"/>
      <c r="F854" s="109"/>
    </row>
    <row r="855" ht="798.75" customHeight="1">
      <c r="A855" s="124"/>
      <c r="B855" s="125"/>
      <c r="C855" s="113"/>
      <c r="D855" s="113"/>
      <c r="E855" s="126"/>
      <c r="F855" s="109"/>
    </row>
    <row r="856" ht="798.75" customHeight="1">
      <c r="A856" s="124"/>
      <c r="B856" s="125"/>
      <c r="C856" s="113"/>
      <c r="D856" s="113"/>
      <c r="E856" s="126"/>
      <c r="F856" s="109"/>
    </row>
    <row r="857" ht="798.75" customHeight="1">
      <c r="A857" s="124"/>
      <c r="B857" s="125"/>
      <c r="C857" s="113"/>
      <c r="D857" s="113"/>
      <c r="E857" s="126"/>
      <c r="F857" s="109"/>
    </row>
    <row r="858" ht="798.75" customHeight="1">
      <c r="A858" s="124"/>
      <c r="B858" s="125"/>
      <c r="C858" s="113"/>
      <c r="D858" s="113"/>
      <c r="E858" s="126"/>
      <c r="F858" s="109"/>
    </row>
    <row r="859" ht="798.75" customHeight="1">
      <c r="A859" s="124"/>
      <c r="B859" s="125"/>
      <c r="C859" s="113"/>
      <c r="D859" s="113"/>
      <c r="E859" s="126"/>
      <c r="F859" s="109"/>
    </row>
    <row r="860" ht="798.75" customHeight="1">
      <c r="A860" s="124"/>
      <c r="B860" s="125"/>
      <c r="C860" s="113"/>
      <c r="D860" s="113"/>
      <c r="E860" s="126"/>
      <c r="F860" s="109"/>
    </row>
    <row r="861" ht="798.75" customHeight="1">
      <c r="A861" s="124"/>
      <c r="B861" s="125"/>
      <c r="C861" s="113"/>
      <c r="D861" s="113"/>
      <c r="E861" s="126"/>
      <c r="F861" s="109"/>
    </row>
    <row r="862" ht="798.75" customHeight="1">
      <c r="A862" s="124"/>
      <c r="B862" s="125"/>
      <c r="C862" s="113"/>
      <c r="D862" s="113"/>
      <c r="E862" s="126"/>
      <c r="F862" s="109"/>
    </row>
    <row r="863" ht="798.75" customHeight="1">
      <c r="A863" s="124"/>
      <c r="B863" s="125"/>
      <c r="C863" s="113"/>
      <c r="D863" s="113"/>
      <c r="E863" s="126"/>
      <c r="F863" s="109"/>
    </row>
    <row r="864" ht="798.75" customHeight="1">
      <c r="A864" s="124"/>
      <c r="B864" s="125"/>
      <c r="C864" s="113"/>
      <c r="D864" s="113"/>
      <c r="E864" s="126"/>
      <c r="F864" s="109"/>
    </row>
    <row r="865" ht="798.75" customHeight="1">
      <c r="A865" s="124"/>
      <c r="B865" s="125"/>
      <c r="C865" s="113"/>
      <c r="D865" s="113"/>
      <c r="E865" s="126"/>
      <c r="F865" s="109"/>
    </row>
    <row r="866" ht="798.75" customHeight="1">
      <c r="A866" s="124"/>
      <c r="B866" s="125"/>
      <c r="C866" s="113"/>
      <c r="D866" s="113"/>
      <c r="E866" s="126"/>
      <c r="F866" s="109"/>
    </row>
    <row r="867" ht="798.75" customHeight="1">
      <c r="A867" s="124"/>
      <c r="B867" s="125"/>
      <c r="C867" s="113"/>
      <c r="D867" s="113"/>
      <c r="E867" s="126"/>
      <c r="F867" s="109"/>
    </row>
    <row r="868" ht="798.75" customHeight="1">
      <c r="A868" s="124"/>
      <c r="B868" s="125"/>
      <c r="C868" s="113"/>
      <c r="D868" s="113"/>
      <c r="E868" s="126"/>
      <c r="F868" s="109"/>
    </row>
    <row r="869" ht="798.75" customHeight="1">
      <c r="A869" s="124"/>
      <c r="B869" s="125"/>
      <c r="C869" s="113"/>
      <c r="D869" s="113"/>
      <c r="E869" s="126"/>
      <c r="F869" s="109"/>
    </row>
    <row r="870" ht="798.75" customHeight="1">
      <c r="A870" s="124"/>
      <c r="B870" s="125"/>
      <c r="C870" s="113"/>
      <c r="D870" s="113"/>
      <c r="E870" s="126"/>
      <c r="F870" s="109"/>
    </row>
    <row r="871" ht="798.75" customHeight="1">
      <c r="A871" s="124"/>
      <c r="B871" s="125"/>
      <c r="C871" s="113"/>
      <c r="D871" s="113"/>
      <c r="E871" s="126"/>
      <c r="F871" s="109"/>
    </row>
    <row r="872" ht="798.75" customHeight="1">
      <c r="A872" s="124"/>
      <c r="B872" s="125"/>
      <c r="C872" s="113"/>
      <c r="D872" s="113"/>
      <c r="E872" s="126"/>
      <c r="F872" s="109"/>
    </row>
    <row r="873" ht="798.75" customHeight="1">
      <c r="A873" s="124"/>
      <c r="B873" s="125"/>
      <c r="C873" s="113"/>
      <c r="D873" s="113"/>
      <c r="E873" s="126"/>
      <c r="F873" s="109"/>
    </row>
    <row r="874" ht="798.75" customHeight="1">
      <c r="A874" s="124"/>
      <c r="B874" s="125"/>
      <c r="C874" s="113"/>
      <c r="D874" s="113"/>
      <c r="E874" s="126"/>
      <c r="F874" s="109"/>
    </row>
    <row r="875" ht="798.75" customHeight="1">
      <c r="A875" s="124"/>
      <c r="B875" s="125"/>
      <c r="C875" s="113"/>
      <c r="D875" s="113"/>
      <c r="E875" s="126"/>
      <c r="F875" s="109"/>
    </row>
    <row r="876" ht="798.75" customHeight="1">
      <c r="A876" s="124"/>
      <c r="B876" s="125"/>
      <c r="C876" s="113"/>
      <c r="D876" s="113"/>
      <c r="E876" s="126"/>
      <c r="F876" s="109"/>
    </row>
    <row r="877" ht="798.75" customHeight="1">
      <c r="A877" s="124"/>
      <c r="B877" s="125"/>
      <c r="C877" s="113"/>
      <c r="D877" s="113"/>
      <c r="E877" s="126"/>
      <c r="F877" s="109"/>
    </row>
    <row r="878" ht="798.75" customHeight="1">
      <c r="A878" s="124"/>
      <c r="B878" s="125"/>
      <c r="C878" s="113"/>
      <c r="D878" s="113"/>
      <c r="E878" s="126"/>
      <c r="F878" s="109"/>
    </row>
    <row r="879" ht="798.75" customHeight="1">
      <c r="A879" s="124"/>
      <c r="B879" s="125"/>
      <c r="C879" s="113"/>
      <c r="D879" s="113"/>
      <c r="E879" s="126"/>
      <c r="F879" s="109"/>
    </row>
    <row r="880" ht="798.75" customHeight="1">
      <c r="A880" s="124"/>
      <c r="B880" s="125"/>
      <c r="C880" s="113"/>
      <c r="D880" s="113"/>
      <c r="E880" s="126"/>
      <c r="F880" s="109"/>
    </row>
    <row r="881" ht="798.75" customHeight="1">
      <c r="A881" s="124"/>
      <c r="B881" s="125"/>
      <c r="C881" s="113"/>
      <c r="D881" s="113"/>
      <c r="E881" s="126"/>
      <c r="F881" s="109"/>
    </row>
    <row r="882" ht="798.75" customHeight="1">
      <c r="A882" s="124"/>
      <c r="B882" s="125"/>
      <c r="C882" s="113"/>
      <c r="D882" s="113"/>
      <c r="E882" s="126"/>
      <c r="F882" s="109"/>
    </row>
    <row r="883" ht="798.75" customHeight="1">
      <c r="A883" s="124"/>
      <c r="B883" s="125"/>
      <c r="C883" s="113"/>
      <c r="D883" s="113"/>
      <c r="E883" s="126"/>
      <c r="F883" s="109"/>
    </row>
    <row r="884" ht="798.75" customHeight="1">
      <c r="A884" s="124"/>
      <c r="B884" s="125"/>
      <c r="C884" s="113"/>
      <c r="D884" s="113"/>
      <c r="E884" s="126"/>
      <c r="F884" s="109"/>
    </row>
    <row r="885" ht="798.75" customHeight="1">
      <c r="A885" s="124"/>
      <c r="B885" s="125"/>
      <c r="C885" s="113"/>
      <c r="D885" s="113"/>
      <c r="E885" s="126"/>
      <c r="F885" s="109"/>
    </row>
    <row r="886" ht="798.75" customHeight="1">
      <c r="A886" s="124"/>
      <c r="B886" s="125"/>
      <c r="C886" s="113"/>
      <c r="D886" s="113"/>
      <c r="E886" s="126"/>
      <c r="F886" s="109"/>
    </row>
    <row r="887" ht="798.75" customHeight="1">
      <c r="A887" s="124"/>
      <c r="B887" s="125"/>
      <c r="C887" s="113"/>
      <c r="D887" s="113"/>
      <c r="E887" s="126"/>
      <c r="F887" s="109"/>
    </row>
    <row r="888" ht="798.75" customHeight="1">
      <c r="A888" s="124"/>
      <c r="B888" s="125"/>
      <c r="C888" s="113"/>
      <c r="D888" s="113"/>
      <c r="E888" s="126"/>
      <c r="F888" s="109"/>
    </row>
    <row r="889" ht="798.75" customHeight="1">
      <c r="A889" s="124"/>
      <c r="B889" s="125"/>
      <c r="C889" s="113"/>
      <c r="D889" s="113"/>
      <c r="E889" s="126"/>
      <c r="F889" s="109"/>
    </row>
    <row r="890" ht="798.75" customHeight="1">
      <c r="A890" s="124"/>
      <c r="B890" s="125"/>
      <c r="C890" s="113"/>
      <c r="D890" s="113"/>
      <c r="E890" s="126"/>
      <c r="F890" s="109"/>
    </row>
    <row r="891" ht="798.75" customHeight="1">
      <c r="A891" s="124"/>
      <c r="B891" s="125"/>
      <c r="C891" s="113"/>
      <c r="D891" s="113"/>
      <c r="E891" s="126"/>
      <c r="F891" s="109"/>
    </row>
    <row r="892" ht="798.75" customHeight="1">
      <c r="A892" s="124"/>
      <c r="B892" s="125"/>
      <c r="C892" s="113"/>
      <c r="D892" s="113"/>
      <c r="E892" s="126"/>
      <c r="F892" s="109"/>
    </row>
    <row r="893" ht="798.75" customHeight="1">
      <c r="A893" s="124"/>
      <c r="B893" s="125"/>
      <c r="C893" s="113"/>
      <c r="D893" s="113"/>
      <c r="E893" s="126"/>
      <c r="F893" s="109"/>
    </row>
    <row r="894" ht="798.75" customHeight="1">
      <c r="A894" s="124"/>
      <c r="B894" s="125"/>
      <c r="C894" s="113"/>
      <c r="D894" s="113"/>
      <c r="E894" s="126"/>
      <c r="F894" s="109"/>
    </row>
    <row r="895" ht="798.75" customHeight="1">
      <c r="A895" s="124"/>
      <c r="B895" s="125"/>
      <c r="C895" s="113"/>
      <c r="D895" s="113"/>
      <c r="E895" s="126"/>
      <c r="F895" s="109"/>
    </row>
    <row r="896" ht="798.75" customHeight="1">
      <c r="A896" s="124"/>
      <c r="B896" s="125"/>
      <c r="C896" s="113"/>
      <c r="D896" s="113"/>
      <c r="E896" s="126"/>
      <c r="F896" s="109"/>
    </row>
    <row r="897" ht="798.75" customHeight="1">
      <c r="A897" s="124"/>
      <c r="B897" s="125"/>
      <c r="C897" s="113"/>
      <c r="D897" s="113"/>
      <c r="E897" s="126"/>
      <c r="F897" s="109"/>
    </row>
    <row r="898" ht="798.75" customHeight="1">
      <c r="A898" s="124"/>
      <c r="B898" s="125"/>
      <c r="C898" s="113"/>
      <c r="D898" s="113"/>
      <c r="E898" s="126"/>
      <c r="F898" s="109"/>
    </row>
    <row r="899" ht="798.75" customHeight="1">
      <c r="A899" s="124"/>
      <c r="B899" s="125"/>
      <c r="C899" s="113"/>
      <c r="D899" s="113"/>
      <c r="E899" s="126"/>
      <c r="F899" s="109"/>
    </row>
    <row r="900" ht="798.75" customHeight="1">
      <c r="A900" s="124"/>
      <c r="B900" s="125"/>
      <c r="C900" s="113"/>
      <c r="D900" s="113"/>
      <c r="E900" s="126"/>
      <c r="F900" s="109"/>
    </row>
    <row r="901" ht="798.75" customHeight="1">
      <c r="A901" s="124"/>
      <c r="B901" s="125"/>
      <c r="C901" s="113"/>
      <c r="D901" s="113"/>
      <c r="E901" s="124"/>
      <c r="F901" s="109"/>
    </row>
    <row r="902" ht="798.75" customHeight="1">
      <c r="A902" s="124"/>
      <c r="B902" s="125"/>
      <c r="C902" s="113"/>
      <c r="D902" s="113"/>
      <c r="E902" s="124"/>
      <c r="F902" s="109"/>
    </row>
    <row r="903" ht="798.75" customHeight="1">
      <c r="A903" s="124"/>
      <c r="B903" s="125"/>
      <c r="C903" s="113"/>
      <c r="D903" s="113"/>
      <c r="E903" s="124"/>
      <c r="F903" s="109"/>
    </row>
    <row r="904" ht="798.75" customHeight="1">
      <c r="A904" s="124"/>
      <c r="B904" s="125"/>
      <c r="C904" s="113"/>
      <c r="D904" s="113"/>
      <c r="E904" s="124"/>
      <c r="F904" s="109"/>
    </row>
    <row r="905" ht="798.75" customHeight="1">
      <c r="A905" s="124"/>
      <c r="B905" s="125"/>
      <c r="C905" s="113"/>
      <c r="D905" s="113"/>
      <c r="E905" s="124"/>
      <c r="F905" s="109"/>
    </row>
    <row r="906" ht="798.75" customHeight="1">
      <c r="A906" s="124"/>
      <c r="B906" s="125"/>
      <c r="C906" s="113"/>
      <c r="D906" s="113"/>
      <c r="E906" s="124"/>
      <c r="F906" s="109"/>
    </row>
    <row r="907" ht="798.75" customHeight="1">
      <c r="A907" s="124"/>
      <c r="B907" s="125"/>
      <c r="C907" s="113"/>
      <c r="D907" s="113"/>
      <c r="E907" s="124"/>
      <c r="F907" s="109"/>
    </row>
    <row r="908" ht="798.75" customHeight="1">
      <c r="A908" s="124"/>
      <c r="B908" s="125"/>
      <c r="C908" s="113"/>
      <c r="D908" s="113"/>
      <c r="E908" s="124"/>
      <c r="F908" s="109"/>
    </row>
    <row r="909" ht="798.75" customHeight="1">
      <c r="A909" s="124"/>
      <c r="B909" s="125"/>
      <c r="C909" s="113"/>
      <c r="D909" s="113"/>
      <c r="E909" s="124"/>
      <c r="F909" s="109"/>
    </row>
    <row r="910" ht="798.75" customHeight="1">
      <c r="A910" s="124"/>
      <c r="B910" s="125"/>
      <c r="C910" s="113"/>
      <c r="D910" s="113"/>
      <c r="E910" s="124"/>
      <c r="F910" s="109"/>
    </row>
    <row r="911" ht="798.75" customHeight="1">
      <c r="A911" s="124"/>
      <c r="B911" s="125"/>
      <c r="C911" s="113"/>
      <c r="D911" s="113"/>
      <c r="E911" s="124"/>
      <c r="F911" s="109"/>
    </row>
    <row r="912" ht="798.75" customHeight="1">
      <c r="A912" s="124"/>
      <c r="B912" s="125"/>
      <c r="C912" s="113"/>
      <c r="D912" s="113"/>
      <c r="E912" s="124"/>
      <c r="F912" s="109"/>
    </row>
    <row r="913" ht="798.75" customHeight="1">
      <c r="A913" s="124"/>
      <c r="B913" s="125"/>
      <c r="C913" s="113"/>
      <c r="D913" s="113"/>
      <c r="E913" s="124"/>
      <c r="F913" s="109"/>
    </row>
    <row r="914" ht="798.75" customHeight="1">
      <c r="A914" s="124"/>
      <c r="B914" s="125"/>
      <c r="C914" s="113"/>
      <c r="D914" s="113"/>
      <c r="E914" s="124"/>
      <c r="F914" s="109"/>
    </row>
    <row r="915" ht="798.75" customHeight="1">
      <c r="A915" s="124"/>
      <c r="B915" s="125"/>
      <c r="C915" s="113"/>
      <c r="D915" s="113"/>
      <c r="E915" s="124"/>
      <c r="F915" s="109"/>
    </row>
    <row r="916" ht="798.75" customHeight="1">
      <c r="A916" s="124"/>
      <c r="B916" s="125"/>
      <c r="C916" s="113"/>
      <c r="D916" s="113"/>
      <c r="E916" s="124"/>
      <c r="F916" s="109"/>
    </row>
    <row r="917" ht="798.75" customHeight="1">
      <c r="A917" s="124"/>
      <c r="B917" s="125"/>
      <c r="C917" s="113"/>
      <c r="D917" s="113"/>
      <c r="E917" s="124"/>
      <c r="F917" s="109"/>
    </row>
    <row r="918" ht="798.75" customHeight="1">
      <c r="A918" s="124"/>
      <c r="B918" s="125"/>
      <c r="C918" s="113"/>
      <c r="D918" s="113"/>
      <c r="E918" s="124"/>
      <c r="F918" s="109"/>
    </row>
    <row r="919" ht="798.75" customHeight="1">
      <c r="A919" s="124"/>
      <c r="B919" s="125"/>
      <c r="C919" s="113"/>
      <c r="D919" s="113"/>
      <c r="E919" s="124"/>
      <c r="F919" s="109"/>
    </row>
    <row r="920" ht="798.75" customHeight="1">
      <c r="A920" s="124"/>
      <c r="B920" s="125"/>
      <c r="C920" s="113"/>
      <c r="D920" s="113"/>
      <c r="E920" s="124"/>
      <c r="F920" s="109"/>
    </row>
    <row r="921" ht="798.75" customHeight="1">
      <c r="A921" s="124"/>
      <c r="B921" s="125"/>
      <c r="C921" s="113"/>
      <c r="D921" s="113"/>
      <c r="E921" s="124"/>
      <c r="F921" s="109"/>
    </row>
    <row r="922" ht="798.75" customHeight="1">
      <c r="A922" s="124"/>
      <c r="B922" s="125"/>
      <c r="C922" s="113"/>
      <c r="D922" s="113"/>
      <c r="E922" s="124"/>
      <c r="F922" s="109"/>
    </row>
    <row r="923" ht="798.75" customHeight="1">
      <c r="A923" s="124"/>
      <c r="B923" s="125"/>
      <c r="C923" s="113"/>
      <c r="D923" s="113"/>
      <c r="E923" s="124"/>
      <c r="F923" s="109"/>
    </row>
    <row r="924" ht="798.75" customHeight="1">
      <c r="A924" s="124"/>
      <c r="B924" s="125"/>
      <c r="C924" s="113"/>
      <c r="D924" s="113"/>
      <c r="E924" s="124"/>
      <c r="F924" s="109"/>
    </row>
    <row r="925" ht="798.75" customHeight="1">
      <c r="A925" s="124"/>
      <c r="B925" s="125"/>
      <c r="C925" s="113"/>
      <c r="D925" s="113"/>
      <c r="E925" s="124"/>
      <c r="F925" s="109"/>
    </row>
    <row r="926" ht="798.75" customHeight="1">
      <c r="A926" s="124"/>
      <c r="B926" s="125"/>
      <c r="C926" s="113"/>
      <c r="D926" s="113"/>
      <c r="E926" s="124"/>
      <c r="F926" s="109"/>
    </row>
    <row r="927" ht="798.75" customHeight="1">
      <c r="A927" s="124"/>
      <c r="B927" s="125"/>
      <c r="C927" s="113"/>
      <c r="D927" s="113"/>
      <c r="E927" s="124"/>
      <c r="F927" s="109"/>
    </row>
    <row r="928" ht="798.75" customHeight="1">
      <c r="A928" s="124"/>
      <c r="B928" s="125"/>
      <c r="C928" s="113"/>
      <c r="D928" s="113"/>
      <c r="E928" s="124"/>
      <c r="F928" s="109"/>
    </row>
    <row r="929" ht="798.75" customHeight="1">
      <c r="A929" s="124"/>
      <c r="B929" s="125"/>
      <c r="C929" s="113"/>
      <c r="D929" s="113"/>
      <c r="E929" s="124"/>
      <c r="F929" s="109"/>
    </row>
    <row r="930" ht="798.75" customHeight="1">
      <c r="A930" s="124"/>
      <c r="B930" s="125"/>
      <c r="C930" s="113"/>
      <c r="D930" s="113"/>
      <c r="E930" s="124"/>
      <c r="F930" s="109"/>
    </row>
    <row r="931" ht="798.75" customHeight="1">
      <c r="A931" s="124"/>
      <c r="B931" s="125"/>
      <c r="C931" s="113"/>
      <c r="D931" s="113"/>
      <c r="E931" s="124"/>
      <c r="F931" s="109"/>
    </row>
    <row r="932" ht="798.75" customHeight="1">
      <c r="A932" s="124"/>
      <c r="B932" s="125"/>
      <c r="C932" s="113"/>
      <c r="D932" s="113"/>
      <c r="E932" s="124"/>
      <c r="F932" s="109"/>
    </row>
    <row r="933" ht="798.75" customHeight="1">
      <c r="A933" s="124"/>
      <c r="B933" s="125"/>
      <c r="C933" s="113"/>
      <c r="D933" s="113"/>
      <c r="E933" s="124"/>
      <c r="F933" s="109"/>
    </row>
    <row r="934" ht="798.75" customHeight="1">
      <c r="A934" s="124"/>
      <c r="B934" s="125"/>
      <c r="C934" s="113"/>
      <c r="D934" s="113"/>
      <c r="E934" s="124"/>
      <c r="F934" s="109"/>
    </row>
    <row r="935" ht="798.75" customHeight="1">
      <c r="A935" s="124"/>
      <c r="B935" s="125"/>
      <c r="C935" s="113"/>
      <c r="D935" s="113"/>
      <c r="E935" s="124"/>
      <c r="F935" s="109"/>
    </row>
    <row r="936" ht="798.75" customHeight="1">
      <c r="A936" s="124"/>
      <c r="B936" s="125"/>
      <c r="C936" s="113"/>
      <c r="D936" s="113"/>
      <c r="E936" s="124"/>
      <c r="F936" s="109"/>
    </row>
    <row r="937" ht="798.75" customHeight="1">
      <c r="A937" s="124"/>
      <c r="B937" s="125"/>
      <c r="C937" s="113"/>
      <c r="D937" s="113"/>
      <c r="E937" s="124"/>
      <c r="F937" s="109"/>
    </row>
    <row r="938" ht="798.75" customHeight="1">
      <c r="A938" s="124"/>
      <c r="B938" s="125"/>
      <c r="C938" s="113"/>
      <c r="D938" s="113"/>
      <c r="E938" s="124"/>
      <c r="F938" s="109"/>
    </row>
    <row r="939" ht="798.75" customHeight="1">
      <c r="A939" s="124"/>
      <c r="B939" s="125"/>
      <c r="C939" s="113"/>
      <c r="D939" s="113"/>
      <c r="E939" s="124"/>
      <c r="F939" s="109"/>
    </row>
    <row r="940" ht="798.75" customHeight="1">
      <c r="A940" s="124"/>
      <c r="B940" s="125"/>
      <c r="C940" s="113"/>
      <c r="D940" s="113"/>
      <c r="E940" s="124"/>
      <c r="F940" s="109"/>
    </row>
    <row r="941" ht="798.75" customHeight="1">
      <c r="A941" s="124"/>
      <c r="B941" s="125"/>
      <c r="C941" s="113"/>
      <c r="D941" s="113"/>
      <c r="E941" s="124"/>
      <c r="F941" s="109"/>
    </row>
    <row r="942" ht="798.75" customHeight="1">
      <c r="A942" s="124"/>
      <c r="B942" s="125"/>
      <c r="C942" s="113"/>
      <c r="D942" s="113"/>
      <c r="E942" s="124"/>
      <c r="F942" s="109"/>
    </row>
    <row r="943" ht="798.75" customHeight="1">
      <c r="A943" s="124"/>
      <c r="B943" s="125"/>
      <c r="C943" s="113"/>
      <c r="D943" s="113"/>
      <c r="E943" s="124"/>
      <c r="F943" s="109"/>
    </row>
    <row r="944" ht="798.75" customHeight="1">
      <c r="A944" s="124"/>
      <c r="B944" s="125"/>
      <c r="C944" s="113"/>
      <c r="D944" s="113"/>
      <c r="E944" s="124"/>
      <c r="F944" s="109"/>
    </row>
    <row r="945" ht="798.75" customHeight="1">
      <c r="A945" s="124"/>
      <c r="B945" s="125"/>
      <c r="C945" s="113"/>
      <c r="D945" s="113"/>
      <c r="E945" s="124"/>
      <c r="F945" s="109"/>
    </row>
    <row r="946" ht="798.75" customHeight="1">
      <c r="A946" s="124"/>
      <c r="B946" s="125"/>
      <c r="C946" s="113"/>
      <c r="D946" s="113"/>
      <c r="E946" s="124"/>
      <c r="F946" s="109"/>
    </row>
    <row r="947" ht="798.75" customHeight="1">
      <c r="A947" s="124"/>
      <c r="B947" s="125"/>
      <c r="C947" s="113"/>
      <c r="D947" s="113"/>
      <c r="E947" s="124"/>
      <c r="F947" s="109"/>
    </row>
    <row r="948" ht="798.75" customHeight="1">
      <c r="A948" s="124"/>
      <c r="B948" s="125"/>
      <c r="C948" s="113"/>
      <c r="D948" s="113"/>
      <c r="E948" s="124"/>
      <c r="F948" s="109"/>
    </row>
    <row r="949" ht="798.75" customHeight="1">
      <c r="A949" s="124"/>
      <c r="B949" s="125"/>
      <c r="C949" s="113"/>
      <c r="D949" s="113"/>
      <c r="E949" s="124"/>
      <c r="F949" s="109"/>
    </row>
    <row r="950" ht="798.75" customHeight="1">
      <c r="A950" s="124"/>
      <c r="B950" s="125"/>
      <c r="C950" s="113"/>
      <c r="D950" s="113"/>
      <c r="E950" s="124"/>
      <c r="F950" s="109"/>
    </row>
    <row r="951" ht="798.75" customHeight="1">
      <c r="A951" s="124"/>
      <c r="B951" s="125"/>
      <c r="C951" s="113"/>
      <c r="D951" s="113"/>
      <c r="E951" s="124"/>
      <c r="F951" s="109"/>
    </row>
    <row r="952" ht="798.75" customHeight="1">
      <c r="A952" s="124"/>
      <c r="B952" s="125"/>
      <c r="C952" s="113"/>
      <c r="D952" s="113"/>
      <c r="E952" s="124"/>
      <c r="F952" s="109"/>
    </row>
    <row r="953" ht="798.75" customHeight="1">
      <c r="A953" s="124"/>
      <c r="B953" s="125"/>
      <c r="C953" s="113"/>
      <c r="D953" s="113"/>
      <c r="E953" s="124"/>
      <c r="F953" s="109"/>
    </row>
    <row r="954" ht="798.75" customHeight="1">
      <c r="A954" s="124"/>
      <c r="B954" s="125"/>
      <c r="C954" s="113"/>
      <c r="D954" s="113"/>
      <c r="E954" s="124"/>
      <c r="F954" s="109"/>
    </row>
    <row r="955" ht="798.75" customHeight="1">
      <c r="A955" s="124"/>
      <c r="B955" s="125"/>
      <c r="C955" s="113"/>
      <c r="D955" s="113"/>
      <c r="E955" s="124"/>
      <c r="F955" s="109"/>
    </row>
    <row r="956" ht="798.75" customHeight="1">
      <c r="A956" s="124"/>
      <c r="B956" s="125"/>
      <c r="C956" s="113"/>
      <c r="D956" s="113"/>
      <c r="E956" s="124"/>
      <c r="F956" s="109"/>
    </row>
    <row r="957" ht="798.75" customHeight="1">
      <c r="A957" s="124"/>
      <c r="B957" s="125"/>
      <c r="C957" s="113"/>
      <c r="D957" s="113"/>
      <c r="E957" s="124"/>
      <c r="F957" s="109"/>
    </row>
    <row r="958" ht="798.75" customHeight="1">
      <c r="A958" s="124"/>
      <c r="B958" s="125"/>
      <c r="C958" s="113"/>
      <c r="D958" s="113"/>
      <c r="E958" s="124"/>
      <c r="F958" s="109"/>
    </row>
    <row r="959" ht="798.75" customHeight="1">
      <c r="A959" s="124"/>
      <c r="B959" s="125"/>
      <c r="C959" s="113"/>
      <c r="D959" s="113"/>
      <c r="E959" s="124"/>
      <c r="F959" s="109"/>
    </row>
    <row r="960" ht="798.75" customHeight="1">
      <c r="A960" s="124"/>
      <c r="B960" s="125"/>
      <c r="C960" s="113"/>
      <c r="D960" s="113"/>
      <c r="E960" s="124"/>
      <c r="F960" s="109"/>
    </row>
    <row r="961" ht="798.75" customHeight="1">
      <c r="A961" s="124"/>
      <c r="B961" s="125"/>
      <c r="C961" s="113"/>
      <c r="D961" s="113"/>
      <c r="E961" s="124"/>
      <c r="F961" s="109"/>
    </row>
    <row r="962" ht="798.75" customHeight="1">
      <c r="A962" s="124"/>
      <c r="B962" s="125"/>
      <c r="C962" s="113"/>
      <c r="D962" s="113"/>
      <c r="E962" s="124"/>
      <c r="F962" s="109"/>
    </row>
    <row r="963" ht="798.75" customHeight="1">
      <c r="A963" s="124"/>
      <c r="B963" s="125"/>
      <c r="C963" s="113"/>
      <c r="D963" s="113"/>
      <c r="E963" s="124"/>
      <c r="F963" s="109"/>
    </row>
    <row r="964" ht="798.75" customHeight="1">
      <c r="A964" s="124"/>
      <c r="B964" s="125"/>
      <c r="C964" s="113"/>
      <c r="D964" s="113"/>
      <c r="E964" s="124"/>
      <c r="F964" s="109"/>
    </row>
    <row r="965" ht="798.75" customHeight="1">
      <c r="A965" s="124"/>
      <c r="B965" s="125"/>
      <c r="C965" s="113"/>
      <c r="D965" s="113"/>
      <c r="E965" s="124"/>
      <c r="F965" s="109"/>
    </row>
    <row r="966" ht="798.75" customHeight="1">
      <c r="A966" s="124"/>
      <c r="B966" s="125"/>
      <c r="C966" s="113"/>
      <c r="D966" s="113"/>
      <c r="E966" s="124"/>
      <c r="F966" s="109"/>
    </row>
    <row r="967" ht="798.75" customHeight="1">
      <c r="A967" s="124"/>
      <c r="B967" s="125"/>
      <c r="C967" s="113"/>
      <c r="D967" s="113"/>
      <c r="E967" s="124"/>
      <c r="F967" s="109"/>
    </row>
    <row r="968" ht="798.75" customHeight="1">
      <c r="A968" s="124"/>
      <c r="B968" s="125"/>
      <c r="C968" s="113"/>
      <c r="D968" s="113"/>
      <c r="E968" s="124"/>
      <c r="F968" s="109"/>
    </row>
    <row r="969" ht="798.75" customHeight="1">
      <c r="A969" s="124"/>
      <c r="B969" s="125"/>
      <c r="C969" s="113"/>
      <c r="D969" s="113"/>
      <c r="E969" s="124"/>
      <c r="F969" s="109"/>
    </row>
    <row r="970" ht="798.75" customHeight="1">
      <c r="A970" s="124"/>
      <c r="B970" s="125"/>
      <c r="C970" s="113"/>
      <c r="D970" s="113"/>
      <c r="E970" s="124"/>
      <c r="F970" s="109"/>
    </row>
    <row r="971" ht="798.75" customHeight="1">
      <c r="A971" s="124"/>
      <c r="B971" s="125"/>
      <c r="C971" s="113"/>
      <c r="D971" s="113"/>
      <c r="E971" s="124"/>
      <c r="F971" s="109"/>
    </row>
    <row r="972" ht="798.75" customHeight="1">
      <c r="A972" s="124"/>
      <c r="B972" s="125"/>
      <c r="C972" s="113"/>
      <c r="D972" s="113"/>
      <c r="E972" s="124"/>
      <c r="F972" s="109"/>
    </row>
    <row r="973" ht="798.75" customHeight="1">
      <c r="A973" s="124"/>
      <c r="B973" s="125"/>
      <c r="C973" s="113"/>
      <c r="D973" s="113"/>
      <c r="E973" s="124"/>
      <c r="F973" s="109"/>
    </row>
    <row r="974" ht="798.75" customHeight="1">
      <c r="A974" s="124"/>
      <c r="B974" s="125"/>
      <c r="C974" s="113"/>
      <c r="D974" s="113"/>
      <c r="E974" s="124"/>
      <c r="F974" s="109"/>
    </row>
    <row r="975" ht="798.75" customHeight="1">
      <c r="A975" s="124"/>
      <c r="B975" s="125"/>
      <c r="C975" s="113"/>
      <c r="D975" s="113"/>
      <c r="E975" s="124"/>
      <c r="F975" s="109"/>
    </row>
    <row r="976" ht="798.75" customHeight="1">
      <c r="A976" s="124"/>
      <c r="B976" s="125"/>
      <c r="C976" s="113"/>
      <c r="D976" s="113"/>
      <c r="E976" s="124"/>
      <c r="F976" s="109"/>
    </row>
    <row r="977" ht="798.75" customHeight="1">
      <c r="A977" s="124"/>
      <c r="B977" s="125"/>
      <c r="C977" s="113"/>
      <c r="D977" s="113"/>
      <c r="E977" s="124"/>
      <c r="F977" s="109"/>
    </row>
    <row r="978" ht="798.75" customHeight="1">
      <c r="A978" s="124"/>
      <c r="B978" s="125"/>
      <c r="C978" s="113"/>
      <c r="D978" s="113"/>
      <c r="E978" s="124"/>
      <c r="F978" s="109"/>
    </row>
    <row r="979" ht="798.75" customHeight="1">
      <c r="A979" s="124"/>
      <c r="B979" s="125"/>
      <c r="C979" s="113"/>
      <c r="D979" s="113"/>
      <c r="E979" s="124"/>
      <c r="F979" s="109"/>
    </row>
    <row r="980" ht="798.75" customHeight="1">
      <c r="A980" s="124"/>
      <c r="B980" s="125"/>
      <c r="C980" s="113"/>
      <c r="D980" s="113"/>
      <c r="E980" s="124"/>
      <c r="F980" s="109"/>
    </row>
    <row r="981" ht="798.75" customHeight="1">
      <c r="A981" s="124"/>
      <c r="B981" s="125"/>
      <c r="C981" s="113"/>
      <c r="D981" s="113"/>
      <c r="E981" s="124"/>
      <c r="F981" s="109"/>
    </row>
    <row r="982" ht="798.75" customHeight="1">
      <c r="A982" s="124"/>
      <c r="B982" s="125"/>
      <c r="C982" s="113"/>
      <c r="D982" s="113"/>
      <c r="E982" s="124"/>
      <c r="F982" s="109"/>
    </row>
    <row r="983" ht="798.75" customHeight="1">
      <c r="A983" s="124"/>
      <c r="B983" s="125"/>
      <c r="C983" s="113"/>
      <c r="D983" s="113"/>
      <c r="E983" s="124"/>
      <c r="F983" s="109"/>
    </row>
    <row r="984" ht="798.75" customHeight="1">
      <c r="A984" s="124"/>
      <c r="B984" s="125"/>
      <c r="C984" s="113"/>
      <c r="D984" s="113"/>
      <c r="E984" s="124"/>
      <c r="F984" s="109"/>
    </row>
    <row r="985" ht="798.75" customHeight="1">
      <c r="A985" s="124"/>
      <c r="B985" s="125"/>
      <c r="C985" s="113"/>
      <c r="D985" s="113"/>
      <c r="E985" s="124"/>
      <c r="F985" s="109"/>
    </row>
    <row r="986" ht="798.75" customHeight="1">
      <c r="A986" s="124"/>
      <c r="B986" s="125"/>
      <c r="C986" s="113"/>
      <c r="D986" s="113"/>
      <c r="E986" s="124"/>
      <c r="F986" s="109"/>
    </row>
    <row r="987" ht="798.75" customHeight="1">
      <c r="A987" s="124"/>
      <c r="B987" s="125"/>
      <c r="C987" s="113"/>
      <c r="D987" s="113"/>
      <c r="E987" s="124"/>
      <c r="F987" s="109"/>
    </row>
    <row r="988" ht="798.75" customHeight="1">
      <c r="A988" s="124"/>
      <c r="B988" s="125"/>
      <c r="C988" s="113"/>
      <c r="D988" s="113"/>
      <c r="E988" s="124"/>
      <c r="F988" s="109"/>
    </row>
    <row r="989" ht="798.75" customHeight="1">
      <c r="A989" s="124"/>
      <c r="B989" s="125"/>
      <c r="C989" s="113"/>
      <c r="D989" s="113"/>
      <c r="E989" s="124"/>
      <c r="F989" s="109"/>
    </row>
    <row r="990" ht="798.75" customHeight="1">
      <c r="A990" s="124"/>
      <c r="B990" s="125"/>
      <c r="C990" s="113"/>
      <c r="D990" s="113"/>
      <c r="E990" s="124"/>
      <c r="F990" s="109"/>
    </row>
    <row r="991" ht="798.75" customHeight="1">
      <c r="A991" s="124"/>
      <c r="B991" s="125"/>
      <c r="C991" s="113"/>
      <c r="D991" s="113"/>
      <c r="E991" s="124"/>
      <c r="F991" s="109"/>
    </row>
    <row r="992" ht="798.75" customHeight="1">
      <c r="A992" s="124"/>
      <c r="B992" s="125"/>
      <c r="C992" s="113"/>
      <c r="D992" s="113"/>
      <c r="E992" s="124"/>
      <c r="F992" s="109"/>
    </row>
    <row r="993" ht="798.75" customHeight="1">
      <c r="A993" s="124"/>
      <c r="B993" s="125"/>
      <c r="C993" s="113"/>
      <c r="D993" s="113"/>
      <c r="E993" s="124"/>
      <c r="F993" s="109"/>
    </row>
    <row r="994" ht="798.75" customHeight="1">
      <c r="A994" s="124"/>
      <c r="B994" s="125"/>
      <c r="C994" s="113"/>
      <c r="D994" s="113"/>
      <c r="E994" s="124"/>
      <c r="F994" s="109"/>
    </row>
    <row r="995" ht="798.75" customHeight="1">
      <c r="A995" s="124"/>
      <c r="B995" s="125"/>
      <c r="C995" s="113"/>
      <c r="D995" s="113"/>
      <c r="E995" s="124"/>
      <c r="F995" s="109"/>
    </row>
    <row r="996" ht="798.75" customHeight="1">
      <c r="A996" s="124"/>
      <c r="B996" s="125"/>
      <c r="C996" s="113"/>
      <c r="D996" s="113"/>
      <c r="E996" s="124"/>
      <c r="F996" s="109"/>
    </row>
    <row r="997" ht="798.75" customHeight="1">
      <c r="A997" s="124"/>
      <c r="B997" s="125"/>
      <c r="C997" s="113"/>
      <c r="D997" s="113"/>
      <c r="E997" s="124"/>
      <c r="F997" s="109"/>
    </row>
    <row r="998" ht="798.75" customHeight="1">
      <c r="A998" s="124"/>
      <c r="B998" s="125"/>
      <c r="C998" s="113"/>
      <c r="D998" s="113"/>
      <c r="E998" s="124"/>
      <c r="F998" s="109"/>
    </row>
    <row r="999" ht="798.75" customHeight="1">
      <c r="A999" s="124"/>
      <c r="B999" s="125"/>
      <c r="C999" s="113"/>
      <c r="D999" s="113"/>
      <c r="E999" s="124"/>
      <c r="F999" s="109"/>
    </row>
    <row r="1000" ht="798.75" customHeight="1">
      <c r="A1000" s="124"/>
      <c r="B1000" s="125"/>
      <c r="C1000" s="113"/>
      <c r="D1000" s="113"/>
      <c r="E1000" s="124"/>
      <c r="F1000" s="109"/>
    </row>
    <row r="1001" ht="798.75" customHeight="1">
      <c r="A1001" s="124"/>
      <c r="B1001" s="125"/>
      <c r="C1001" s="113"/>
      <c r="D1001" s="113"/>
      <c r="E1001" s="124"/>
      <c r="F1001" s="109"/>
    </row>
    <row r="1002" ht="798.75" customHeight="1">
      <c r="A1002" s="124"/>
      <c r="B1002" s="125"/>
      <c r="C1002" s="113"/>
      <c r="D1002" s="113"/>
      <c r="E1002" s="124"/>
      <c r="F1002" s="109"/>
    </row>
    <row r="1003" ht="798.75" customHeight="1">
      <c r="A1003" s="124"/>
      <c r="B1003" s="125"/>
      <c r="C1003" s="113"/>
      <c r="D1003" s="113"/>
      <c r="E1003" s="124"/>
      <c r="F1003" s="109"/>
    </row>
    <row r="1004" ht="798.75" customHeight="1">
      <c r="A1004" s="124"/>
      <c r="B1004" s="125"/>
      <c r="C1004" s="113"/>
      <c r="D1004" s="113"/>
      <c r="E1004" s="124"/>
      <c r="F1004" s="109"/>
    </row>
    <row r="1005" ht="798.75" customHeight="1">
      <c r="A1005" s="124"/>
      <c r="B1005" s="125"/>
      <c r="C1005" s="113"/>
      <c r="D1005" s="113"/>
      <c r="E1005" s="124"/>
      <c r="F1005" s="109"/>
    </row>
    <row r="1006" ht="798.75" customHeight="1">
      <c r="A1006" s="124"/>
      <c r="B1006" s="125"/>
      <c r="C1006" s="113"/>
      <c r="D1006" s="113"/>
      <c r="E1006" s="124"/>
      <c r="F1006" s="109"/>
    </row>
    <row r="1007" ht="798.75" customHeight="1">
      <c r="A1007" s="124"/>
      <c r="B1007" s="125"/>
      <c r="C1007" s="113"/>
      <c r="D1007" s="113"/>
      <c r="E1007" s="124"/>
      <c r="F1007" s="109"/>
    </row>
    <row r="1008" ht="798.75" customHeight="1">
      <c r="A1008" s="124"/>
      <c r="B1008" s="125"/>
      <c r="C1008" s="113"/>
      <c r="D1008" s="113"/>
      <c r="E1008" s="124"/>
      <c r="F1008" s="109"/>
    </row>
    <row r="1009" ht="798.75" customHeight="1">
      <c r="A1009" s="124"/>
      <c r="B1009" s="125"/>
      <c r="C1009" s="113"/>
      <c r="D1009" s="113"/>
      <c r="E1009" s="124"/>
      <c r="F1009" s="109"/>
    </row>
    <row r="1010" ht="798.75" customHeight="1">
      <c r="A1010" s="124"/>
      <c r="B1010" s="125"/>
      <c r="C1010" s="113"/>
      <c r="D1010" s="113"/>
      <c r="E1010" s="124"/>
      <c r="F1010" s="109"/>
    </row>
    <row r="1011" ht="798.75" customHeight="1">
      <c r="A1011" s="124"/>
      <c r="B1011" s="125"/>
      <c r="C1011" s="113"/>
      <c r="D1011" s="113"/>
      <c r="E1011" s="124"/>
      <c r="F1011" s="109"/>
    </row>
    <row r="1012" ht="798.75" customHeight="1">
      <c r="A1012" s="124"/>
      <c r="B1012" s="125"/>
      <c r="C1012" s="113"/>
      <c r="D1012" s="113"/>
      <c r="E1012" s="124"/>
      <c r="F1012" s="109"/>
    </row>
    <row r="1013" ht="798.75" customHeight="1">
      <c r="A1013" s="124"/>
      <c r="B1013" s="125"/>
      <c r="C1013" s="113"/>
      <c r="D1013" s="113"/>
      <c r="E1013" s="124"/>
      <c r="F1013" s="109"/>
    </row>
    <row r="1014" ht="798.75" customHeight="1">
      <c r="A1014" s="124"/>
      <c r="B1014" s="125"/>
      <c r="C1014" s="113"/>
      <c r="D1014" s="113"/>
      <c r="E1014" s="124"/>
      <c r="F1014" s="109"/>
    </row>
    <row r="1015" ht="798.75" customHeight="1">
      <c r="A1015" s="124"/>
      <c r="B1015" s="125"/>
      <c r="C1015" s="113"/>
      <c r="D1015" s="113"/>
      <c r="E1015" s="124"/>
      <c r="F1015" s="109"/>
    </row>
    <row r="1016" ht="798.75" customHeight="1">
      <c r="A1016" s="124"/>
      <c r="B1016" s="125"/>
      <c r="C1016" s="113"/>
      <c r="D1016" s="113"/>
      <c r="E1016" s="124"/>
      <c r="F1016" s="109"/>
    </row>
    <row r="1017" ht="798.75" customHeight="1">
      <c r="A1017" s="124"/>
      <c r="B1017" s="125"/>
      <c r="C1017" s="113"/>
      <c r="D1017" s="113"/>
      <c r="E1017" s="124"/>
      <c r="F1017" s="109"/>
    </row>
    <row r="1018" ht="798.75" customHeight="1">
      <c r="A1018" s="124"/>
      <c r="B1018" s="125"/>
      <c r="C1018" s="113"/>
      <c r="D1018" s="113"/>
      <c r="E1018" s="124"/>
      <c r="F1018" s="109"/>
    </row>
    <row r="1019" ht="798.75" customHeight="1">
      <c r="A1019" s="124"/>
      <c r="B1019" s="125"/>
      <c r="C1019" s="113"/>
      <c r="D1019" s="113"/>
      <c r="E1019" s="124"/>
      <c r="F1019" s="109"/>
    </row>
    <row r="1020" ht="798.75" customHeight="1">
      <c r="A1020" s="124"/>
      <c r="B1020" s="125"/>
      <c r="C1020" s="113"/>
      <c r="D1020" s="113"/>
      <c r="E1020" s="124"/>
      <c r="F1020" s="109"/>
    </row>
    <row r="1021" ht="798.75" customHeight="1">
      <c r="A1021" s="124"/>
      <c r="B1021" s="125"/>
      <c r="C1021" s="113"/>
      <c r="D1021" s="113"/>
      <c r="E1021" s="124"/>
      <c r="F1021" s="109"/>
    </row>
    <row r="1022" ht="798.75" customHeight="1">
      <c r="A1022" s="124"/>
      <c r="B1022" s="125"/>
      <c r="C1022" s="113"/>
      <c r="D1022" s="113"/>
      <c r="E1022" s="124"/>
      <c r="F1022" s="109"/>
    </row>
    <row r="1023" ht="798.75" customHeight="1">
      <c r="A1023" s="124"/>
      <c r="B1023" s="125"/>
      <c r="C1023" s="113"/>
      <c r="D1023" s="113"/>
      <c r="E1023" s="124"/>
      <c r="F1023" s="109"/>
    </row>
    <row r="1024" ht="798.75" customHeight="1">
      <c r="A1024" s="124"/>
      <c r="B1024" s="125"/>
      <c r="C1024" s="113"/>
      <c r="D1024" s="113"/>
      <c r="E1024" s="124"/>
      <c r="F1024" s="109"/>
    </row>
    <row r="1025" ht="798.75" customHeight="1">
      <c r="A1025" s="124"/>
      <c r="B1025" s="125"/>
      <c r="C1025" s="113"/>
      <c r="D1025" s="113"/>
      <c r="E1025" s="124"/>
      <c r="F1025" s="109"/>
    </row>
    <row r="1026" ht="798.75" customHeight="1">
      <c r="A1026" s="124"/>
      <c r="B1026" s="125"/>
      <c r="C1026" s="113"/>
      <c r="D1026" s="113"/>
      <c r="E1026" s="124"/>
      <c r="F1026" s="109"/>
    </row>
    <row r="1027" ht="798.75" customHeight="1">
      <c r="A1027" s="124"/>
      <c r="B1027" s="125"/>
      <c r="C1027" s="113"/>
      <c r="D1027" s="113"/>
      <c r="E1027" s="124"/>
      <c r="F1027" s="109"/>
    </row>
    <row r="1028" ht="798.75" customHeight="1">
      <c r="A1028" s="124"/>
      <c r="B1028" s="125"/>
      <c r="C1028" s="113"/>
      <c r="D1028" s="113"/>
      <c r="E1028" s="124"/>
      <c r="F1028" s="109"/>
    </row>
    <row r="1029" ht="798.75" customHeight="1">
      <c r="A1029" s="124"/>
      <c r="B1029" s="125"/>
      <c r="C1029" s="113"/>
      <c r="D1029" s="113"/>
      <c r="E1029" s="124"/>
      <c r="F1029" s="109"/>
    </row>
    <row r="1030" ht="798.75" customHeight="1">
      <c r="A1030" s="124"/>
      <c r="B1030" s="125"/>
      <c r="C1030" s="113"/>
      <c r="D1030" s="113"/>
      <c r="E1030" s="124"/>
      <c r="F1030" s="109"/>
    </row>
    <row r="1031" ht="798.75" customHeight="1">
      <c r="A1031" s="124"/>
      <c r="B1031" s="125"/>
      <c r="C1031" s="113"/>
      <c r="D1031" s="113"/>
      <c r="E1031" s="124"/>
      <c r="F1031" s="109"/>
    </row>
    <row r="1032" ht="798.75" customHeight="1">
      <c r="A1032" s="124"/>
      <c r="B1032" s="125"/>
      <c r="C1032" s="113"/>
      <c r="D1032" s="113"/>
      <c r="E1032" s="124"/>
      <c r="F1032" s="109"/>
    </row>
    <row r="1033" ht="798.75" customHeight="1">
      <c r="A1033" s="124"/>
      <c r="B1033" s="125"/>
      <c r="C1033" s="113"/>
      <c r="D1033" s="113"/>
      <c r="E1033" s="124"/>
      <c r="F1033" s="109"/>
    </row>
    <row r="1034" ht="798.75" customHeight="1">
      <c r="A1034" s="124"/>
      <c r="B1034" s="125"/>
      <c r="C1034" s="113"/>
      <c r="D1034" s="113"/>
      <c r="E1034" s="124"/>
      <c r="F1034" s="109"/>
    </row>
    <row r="1035" ht="798.75" customHeight="1">
      <c r="A1035" s="124"/>
      <c r="B1035" s="125"/>
      <c r="C1035" s="113"/>
      <c r="D1035" s="113"/>
      <c r="E1035" s="124"/>
      <c r="F1035" s="109"/>
    </row>
    <row r="1036" ht="798.75" customHeight="1">
      <c r="A1036" s="124"/>
      <c r="B1036" s="125"/>
      <c r="C1036" s="113"/>
      <c r="D1036" s="113"/>
      <c r="E1036" s="124"/>
      <c r="F1036" s="109"/>
    </row>
    <row r="1037" ht="798.75" customHeight="1">
      <c r="A1037" s="124"/>
      <c r="B1037" s="125"/>
      <c r="C1037" s="113"/>
      <c r="D1037" s="113"/>
      <c r="E1037" s="124"/>
      <c r="F1037" s="109"/>
    </row>
    <row r="1038" ht="798.75" customHeight="1">
      <c r="A1038" s="124"/>
      <c r="B1038" s="125"/>
      <c r="C1038" s="113"/>
      <c r="D1038" s="113"/>
      <c r="E1038" s="124"/>
      <c r="F1038" s="109"/>
    </row>
    <row r="1039" ht="798.75" customHeight="1">
      <c r="A1039" s="124"/>
      <c r="B1039" s="125"/>
      <c r="C1039" s="113"/>
      <c r="D1039" s="113"/>
      <c r="E1039" s="124"/>
      <c r="F1039" s="109"/>
    </row>
    <row r="1040" ht="798.75" customHeight="1">
      <c r="A1040" s="124"/>
      <c r="B1040" s="125"/>
      <c r="C1040" s="113"/>
      <c r="D1040" s="113"/>
      <c r="E1040" s="124"/>
      <c r="F1040" s="109"/>
    </row>
    <row r="1041" ht="798.75" customHeight="1">
      <c r="A1041" s="124"/>
      <c r="B1041" s="125"/>
      <c r="C1041" s="113"/>
      <c r="D1041" s="113"/>
      <c r="E1041" s="124"/>
      <c r="F1041" s="109"/>
    </row>
    <row r="1042" ht="798.75" customHeight="1">
      <c r="A1042" s="124"/>
      <c r="B1042" s="125"/>
      <c r="C1042" s="113"/>
      <c r="D1042" s="113"/>
      <c r="E1042" s="124"/>
      <c r="F1042" s="109"/>
    </row>
    <row r="1043" ht="798.75" customHeight="1">
      <c r="A1043" s="124"/>
      <c r="B1043" s="125"/>
      <c r="C1043" s="113"/>
      <c r="D1043" s="113"/>
      <c r="E1043" s="124"/>
      <c r="F1043" s="109"/>
    </row>
    <row r="1044" ht="798.75" customHeight="1">
      <c r="A1044" s="124"/>
      <c r="B1044" s="125"/>
      <c r="C1044" s="113"/>
      <c r="D1044" s="113"/>
      <c r="E1044" s="124"/>
      <c r="F1044" s="109"/>
    </row>
    <row r="1045" ht="798.75" customHeight="1">
      <c r="A1045" s="124"/>
      <c r="B1045" s="125"/>
      <c r="C1045" s="113"/>
      <c r="D1045" s="113"/>
      <c r="E1045" s="124"/>
      <c r="F1045" s="109"/>
    </row>
    <row r="1046" ht="798.75" customHeight="1">
      <c r="A1046" s="124"/>
      <c r="B1046" s="125"/>
      <c r="C1046" s="113"/>
      <c r="D1046" s="113"/>
      <c r="E1046" s="124"/>
      <c r="F1046" s="109"/>
    </row>
    <row r="1047" ht="798.75" customHeight="1">
      <c r="A1047" s="124"/>
      <c r="B1047" s="125"/>
      <c r="C1047" s="113"/>
      <c r="D1047" s="113"/>
      <c r="E1047" s="124"/>
      <c r="F1047" s="109"/>
    </row>
    <row r="1048" ht="798.75" customHeight="1">
      <c r="A1048" s="124"/>
      <c r="B1048" s="125"/>
      <c r="C1048" s="113"/>
      <c r="D1048" s="113"/>
      <c r="E1048" s="124"/>
      <c r="F1048" s="109"/>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 r:id="rId174" ref="A175"/>
    <hyperlink r:id="rId175" ref="A176"/>
    <hyperlink r:id="rId176" ref="A177"/>
    <hyperlink r:id="rId177" ref="A178"/>
    <hyperlink r:id="rId178" ref="A179"/>
    <hyperlink r:id="rId179" ref="A180"/>
    <hyperlink r:id="rId180" ref="A181"/>
    <hyperlink r:id="rId181" ref="A182"/>
    <hyperlink r:id="rId182" ref="A183"/>
    <hyperlink r:id="rId183" ref="A184"/>
    <hyperlink r:id="rId184" ref="A185"/>
    <hyperlink r:id="rId185" ref="A186"/>
    <hyperlink r:id="rId186" ref="A187"/>
    <hyperlink r:id="rId187" ref="A188"/>
    <hyperlink r:id="rId188" ref="A189"/>
    <hyperlink r:id="rId189" ref="A190"/>
  </hyperlinks>
  <drawing r:id="rId190"/>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6" width="25.13"/>
    <col customWidth="1" min="8" max="8" width="11.13"/>
    <col customWidth="1" min="9" max="9" width="20.38"/>
    <col customWidth="1" min="26" max="26" width="56.13"/>
    <col customWidth="1" min="27" max="27" width="56.0"/>
    <col customWidth="1" min="28" max="28" width="66.38"/>
  </cols>
  <sheetData>
    <row r="1">
      <c r="A1" s="66" t="s">
        <v>8211</v>
      </c>
      <c r="I1" s="127"/>
      <c r="J1" s="127"/>
      <c r="K1" s="127"/>
      <c r="L1" s="127"/>
      <c r="M1" s="127"/>
      <c r="N1" s="127"/>
      <c r="O1" s="127"/>
      <c r="P1" s="127"/>
      <c r="Q1" s="127"/>
      <c r="R1" s="127"/>
      <c r="S1" s="127"/>
      <c r="T1" s="127"/>
      <c r="V1" s="128"/>
      <c r="W1" s="128"/>
      <c r="Y1" s="127"/>
      <c r="Z1" s="128"/>
    </row>
    <row r="2">
      <c r="B2" s="129" t="s">
        <v>8212</v>
      </c>
      <c r="C2" s="129" t="s">
        <v>8213</v>
      </c>
      <c r="D2" s="129" t="s">
        <v>8214</v>
      </c>
      <c r="E2" s="129" t="s">
        <v>8215</v>
      </c>
      <c r="F2" s="129" t="s">
        <v>8216</v>
      </c>
      <c r="I2" s="127"/>
      <c r="J2" s="127"/>
      <c r="K2" s="127"/>
      <c r="L2" s="127"/>
      <c r="M2" s="127"/>
      <c r="N2" s="127"/>
      <c r="O2" s="127"/>
      <c r="P2" s="127"/>
      <c r="Q2" s="127"/>
      <c r="R2" s="127"/>
      <c r="S2" s="127"/>
      <c r="T2" s="127"/>
      <c r="V2" s="128" t="s">
        <v>8217</v>
      </c>
      <c r="W2" s="128" t="s">
        <v>8218</v>
      </c>
      <c r="Y2" s="127"/>
      <c r="Z2" s="128" t="s">
        <v>8219</v>
      </c>
    </row>
    <row r="3" ht="30.75" customHeight="1">
      <c r="A3" s="129" t="s">
        <v>8220</v>
      </c>
      <c r="B3" s="130" t="s">
        <v>8221</v>
      </c>
      <c r="C3" s="130" t="s">
        <v>8221</v>
      </c>
      <c r="D3" s="130" t="s">
        <v>8221</v>
      </c>
      <c r="E3" s="130" t="s">
        <v>8221</v>
      </c>
      <c r="F3" s="130"/>
      <c r="I3" s="127"/>
      <c r="P3" s="131"/>
      <c r="Q3" s="131"/>
      <c r="R3" s="131"/>
      <c r="S3" s="131"/>
      <c r="V3" s="131" t="s">
        <v>8222</v>
      </c>
      <c r="W3" s="13" t="s">
        <v>8223</v>
      </c>
      <c r="X3" s="128" t="s">
        <v>8224</v>
      </c>
      <c r="Z3" s="20" t="str">
        <f>CONCATENATE(V3,U17,V17,W17,X17,Y17,X4)</f>
        <v>&lt;script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"Office Sale",
      "description": "25% off office items during July",
      "validFrom": "2026-07-01",
      "validThrough": "2026-07-31",
      "category": "Furniture Discount"
    },
    {
      "@type": "Offer",
      "name": "Entertainment Sale",
      "description": "25% off entertainment items during July",
      "validFrom": "2026-07-01",
      "validThrough": "2026-07-31",
      "category": "Furniture Discount"
    },
    {
      "@type": "Offer",
      "name": "Backroom Sale",
      "description": "50% off select items during July",
      "validFrom": "2026-07-01",
      "validThrough": "2026-07-31",
      "category": "Furniture Discount"
    },
    {
      "@type": "Offer",
      "name": "Outdoor Sale",
      "description": "15% off any outdoor furniture pieces during July",
      "validFrom": "2026-07-01",
      "validThrough": "2026-07-31",
      "category": "Furniture Discount"
    } 
 ]
}
&lt;/script&gt;</v>
      </c>
    </row>
    <row r="4">
      <c r="A4" s="129" t="s">
        <v>7697</v>
      </c>
      <c r="B4" s="130" t="s">
        <v>8225</v>
      </c>
      <c r="C4" s="130" t="s">
        <v>8226</v>
      </c>
      <c r="D4" s="130" t="s">
        <v>8227</v>
      </c>
      <c r="E4" s="130" t="s">
        <v>8228</v>
      </c>
      <c r="F4" s="130"/>
      <c r="I4" s="127"/>
      <c r="P4" s="131"/>
      <c r="Q4" s="131"/>
      <c r="R4" s="131"/>
      <c r="S4" s="131"/>
      <c r="W4" s="13" t="s">
        <v>8229</v>
      </c>
      <c r="X4" s="132" t="s">
        <v>8230</v>
      </c>
    </row>
    <row r="5">
      <c r="A5" s="129" t="s">
        <v>7</v>
      </c>
      <c r="B5" s="130" t="s">
        <v>8231</v>
      </c>
      <c r="C5" s="130" t="s">
        <v>8232</v>
      </c>
      <c r="D5" s="130" t="s">
        <v>8233</v>
      </c>
      <c r="E5" s="130" t="s">
        <v>8234</v>
      </c>
      <c r="F5" s="130"/>
      <c r="I5" s="127"/>
      <c r="P5" s="131"/>
      <c r="Q5" s="131"/>
      <c r="R5" s="131"/>
      <c r="S5" s="131"/>
      <c r="W5" s="13" t="s">
        <v>8235</v>
      </c>
    </row>
    <row r="6">
      <c r="A6" s="129" t="s">
        <v>8236</v>
      </c>
      <c r="B6" s="133">
        <v>46204.0</v>
      </c>
      <c r="C6" s="133">
        <v>46204.0</v>
      </c>
      <c r="D6" s="133">
        <v>46204.0</v>
      </c>
      <c r="E6" s="133">
        <v>46204.0</v>
      </c>
      <c r="F6" s="133"/>
      <c r="I6" s="127"/>
      <c r="P6" s="131"/>
      <c r="Q6" s="131"/>
      <c r="R6" s="131"/>
      <c r="S6" s="131"/>
      <c r="W6" s="13" t="s">
        <v>8237</v>
      </c>
    </row>
    <row r="7">
      <c r="A7" s="129" t="s">
        <v>8238</v>
      </c>
      <c r="B7" s="133">
        <v>46234.0</v>
      </c>
      <c r="C7" s="133">
        <v>46234.0</v>
      </c>
      <c r="D7" s="133">
        <v>46234.0</v>
      </c>
      <c r="E7" s="133">
        <v>46234.0</v>
      </c>
      <c r="F7" s="133"/>
      <c r="I7" s="127"/>
      <c r="P7" s="131"/>
      <c r="Q7" s="131"/>
      <c r="R7" s="131"/>
      <c r="S7" s="131"/>
      <c r="W7" s="13" t="s">
        <v>8239</v>
      </c>
    </row>
    <row r="8">
      <c r="A8" s="129" t="s">
        <v>108</v>
      </c>
      <c r="B8" s="130" t="s">
        <v>8240</v>
      </c>
      <c r="C8" s="130" t="s">
        <v>8240</v>
      </c>
      <c r="D8" s="130" t="s">
        <v>8240</v>
      </c>
      <c r="E8" s="130" t="s">
        <v>8240</v>
      </c>
      <c r="F8" s="130"/>
      <c r="I8" s="127"/>
      <c r="P8" s="131"/>
      <c r="Q8" s="131"/>
      <c r="R8" s="131"/>
      <c r="S8" s="131"/>
      <c r="W8" s="13" t="s">
        <v>8241</v>
      </c>
    </row>
    <row r="9">
      <c r="I9" s="127"/>
      <c r="P9" s="131"/>
      <c r="Q9" s="131"/>
      <c r="R9" s="131"/>
      <c r="S9" s="131"/>
      <c r="W9" s="13" t="s">
        <v>8242</v>
      </c>
    </row>
    <row r="10">
      <c r="A10" s="66" t="s">
        <v>8243</v>
      </c>
      <c r="I10" s="127"/>
      <c r="P10" s="131"/>
      <c r="Q10" s="131"/>
      <c r="R10" s="131"/>
      <c r="S10" s="131"/>
      <c r="W10" s="13" t="s">
        <v>8244</v>
      </c>
    </row>
    <row r="11">
      <c r="C11" s="13" t="s">
        <v>8245</v>
      </c>
      <c r="I11" s="127"/>
      <c r="P11" s="131"/>
      <c r="Q11" s="131"/>
      <c r="R11" s="131"/>
      <c r="S11" s="131"/>
      <c r="AB11" s="132"/>
    </row>
    <row r="12" ht="15.75" customHeight="1">
      <c r="B12" s="134" t="s">
        <v>8246</v>
      </c>
      <c r="C12" s="135" t="str">
        <f>Z3</f>
        <v>&lt;script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"Office Sale",
      "description": "25% off office items during July",
      "validFrom": "2026-07-01",
      "validThrough": "2026-07-31",
      "category": "Furniture Discount"
    },
    {
      "@type": "Offer",
      "name": "Entertainment Sale",
      "description": "25% off entertainment items during July",
      "validFrom": "2026-07-01",
      "validThrough": "2026-07-31",
      "category": "Furniture Discount"
    },
    {
      "@type": "Offer",
      "name": "Backroom Sale",
      "description": "50% off select items during July",
      "validFrom": "2026-07-01",
      "validThrough": "2026-07-31",
      "category": "Furniture Discount"
    },
    {
      "@type": "Offer",
      "name": "Outdoor Sale",
      "description": "15% off any outdoor furniture pieces during July",
      "validFrom": "2026-07-01",
      "validThrough": "2026-07-31",
      "category": "Furniture Discount"
    } 
 ]
}
&lt;/script&gt;</v>
      </c>
      <c r="I12" s="127"/>
      <c r="P12" s="131"/>
      <c r="Q12" s="131"/>
      <c r="R12" s="131"/>
      <c r="S12" s="131"/>
      <c r="AB12" s="132"/>
    </row>
    <row r="13">
      <c r="B13" s="134" t="s">
        <v>8247</v>
      </c>
      <c r="C13" s="136" t="s">
        <v>8248</v>
      </c>
      <c r="I13" s="127"/>
      <c r="P13" s="131"/>
      <c r="Q13" s="131"/>
      <c r="R13" s="131"/>
      <c r="S13" s="131"/>
      <c r="AB13" s="132"/>
    </row>
    <row r="14">
      <c r="I14" s="127"/>
      <c r="P14" s="131"/>
      <c r="Q14" s="131"/>
      <c r="R14" s="131"/>
      <c r="S14" s="131"/>
      <c r="U14" s="13" t="s">
        <v>8249</v>
      </c>
      <c r="V14" s="13" t="s">
        <v>8250</v>
      </c>
      <c r="W14" s="13" t="s">
        <v>8251</v>
      </c>
      <c r="X14" s="13" t="s">
        <v>8252</v>
      </c>
      <c r="Y14" s="13" t="s">
        <v>8253</v>
      </c>
      <c r="AB14" s="132"/>
    </row>
    <row r="15" ht="18.0" customHeight="1">
      <c r="H15" s="135"/>
      <c r="I15" s="127"/>
      <c r="P15" s="131"/>
      <c r="Q15" s="131"/>
      <c r="R15" s="131"/>
      <c r="S15" s="131"/>
      <c r="U15" s="20" t="str">
        <f t="shared" ref="U15:Y15" si="1">if(isblank(B6),"", TEXT(B6, "yyyy-mm-dd"))</f>
        <v>2026-07-01</v>
      </c>
      <c r="V15" s="20" t="str">
        <f t="shared" si="1"/>
        <v>2026-07-01</v>
      </c>
      <c r="W15" s="20" t="str">
        <f t="shared" si="1"/>
        <v>2026-07-01</v>
      </c>
      <c r="X15" s="20" t="str">
        <f t="shared" si="1"/>
        <v>2026-07-01</v>
      </c>
      <c r="Y15" s="20" t="str">
        <f t="shared" si="1"/>
        <v/>
      </c>
      <c r="AB15" s="132"/>
    </row>
    <row r="16" ht="18.0" customHeight="1">
      <c r="I16" s="127"/>
      <c r="P16" s="131"/>
      <c r="Q16" s="131"/>
      <c r="R16" s="131"/>
      <c r="S16" s="131"/>
      <c r="U16" s="20" t="str">
        <f t="shared" ref="U16:Y16" si="2">if(isblank(B7),"", TEXT(B7, "yyyy-mm-dd"))</f>
        <v>2026-07-31</v>
      </c>
      <c r="V16" s="20" t="str">
        <f t="shared" si="2"/>
        <v>2026-07-31</v>
      </c>
      <c r="W16" s="20" t="str">
        <f t="shared" si="2"/>
        <v>2026-07-31</v>
      </c>
      <c r="X16" s="20" t="str">
        <f t="shared" si="2"/>
        <v>2026-07-31</v>
      </c>
      <c r="Y16" s="20" t="str">
        <f t="shared" si="2"/>
        <v/>
      </c>
      <c r="AB16" s="132"/>
    </row>
    <row r="17" ht="102.0" customHeight="1">
      <c r="I17" s="127"/>
      <c r="P17" s="131"/>
      <c r="Q17" s="131"/>
      <c r="R17" s="131"/>
      <c r="S17" s="131"/>
      <c r="U17" s="20" t="str">
        <f t="shared" ref="U17:Y17" si="3">if(isblank(B3),"", if(isblank(C3),CONCATENATE($W$3,B4,$W$4,B5,$W$10,B3,$W$5,U15,$W$6,U16,$W$7,B8,$W$8),CONCATENATE($W$3,B4,$W$4,B5,$W$10,B3,$W$5,U15,$W$6,U16,$W$7,B8,$W$8,$W$9)))</f>
        <v>
    {
      "@type": "Offer",
      "name": "Office Sale",
      "description": "25% off office items during July",
      "validFrom": "2026-07-01",
      "validThrough": "2026-07-31",
      "category": "Furniture Discount"
    },</v>
      </c>
      <c r="V17" s="20" t="str">
        <f t="shared" si="3"/>
        <v>
    {
      "@type": "Offer",
      "name": "Entertainment Sale",
      "description": "25% off entertainment items during July",
      "validFrom": "2026-07-01",
      "validThrough": "2026-07-31",
      "category": "Furniture Discount"
    },</v>
      </c>
      <c r="W17" s="20" t="str">
        <f t="shared" si="3"/>
        <v>
    {
      "@type": "Offer",
      "name": "Backroom Sale",
      "description": "50% off select items during July",
      "validFrom": "2026-07-01",
      "validThrough": "2026-07-31",
      "category": "Furniture Discount"
    },</v>
      </c>
      <c r="X17" s="20" t="str">
        <f t="shared" si="3"/>
        <v>
    {
      "@type": "Offer",
      "name": "Outdoor Sale",
      "description": "15% off any outdoor furniture pieces during July",
      "validFrom": "2026-07-01",
      "validThrough": "2026-07-31",
      "category": "Furniture Discount"
    }</v>
      </c>
      <c r="Y17" s="20" t="str">
        <f t="shared" si="3"/>
        <v/>
      </c>
    </row>
    <row r="18" ht="717.0" customHeight="1">
      <c r="I18" s="127"/>
      <c r="P18" s="131"/>
      <c r="Q18" s="131"/>
      <c r="R18" s="131"/>
      <c r="S18" s="131"/>
    </row>
    <row r="19">
      <c r="I19" s="127"/>
      <c r="P19" s="131"/>
      <c r="Q19" s="131"/>
      <c r="R19" s="131"/>
      <c r="S19" s="131"/>
    </row>
    <row r="20">
      <c r="I20" s="127"/>
      <c r="P20" s="131"/>
      <c r="Q20" s="131"/>
      <c r="R20" s="131"/>
      <c r="S20" s="131"/>
    </row>
    <row r="21">
      <c r="I21" s="127"/>
      <c r="P21" s="131"/>
      <c r="Q21" s="131"/>
      <c r="R21" s="131"/>
      <c r="S21" s="131"/>
    </row>
    <row r="22">
      <c r="I22" s="127"/>
      <c r="P22" s="131"/>
      <c r="Q22" s="131"/>
      <c r="R22" s="131"/>
      <c r="S22" s="131"/>
    </row>
    <row r="23">
      <c r="I23" s="127"/>
      <c r="P23" s="131"/>
      <c r="Q23" s="131"/>
      <c r="R23" s="131"/>
      <c r="S23" s="131"/>
    </row>
    <row r="24">
      <c r="I24" s="127"/>
      <c r="P24" s="131"/>
      <c r="Q24" s="131"/>
      <c r="R24" s="131"/>
      <c r="S24" s="131"/>
    </row>
    <row r="25">
      <c r="I25" s="127"/>
      <c r="P25" s="131"/>
      <c r="Q25" s="131"/>
      <c r="R25" s="131"/>
      <c r="S25" s="131"/>
    </row>
    <row r="26">
      <c r="I26" s="127"/>
      <c r="P26" s="131"/>
      <c r="Q26" s="131"/>
      <c r="R26" s="131"/>
      <c r="S26" s="131"/>
    </row>
    <row r="27">
      <c r="I27" s="127"/>
      <c r="P27" s="131"/>
      <c r="Q27" s="131"/>
      <c r="R27" s="131"/>
      <c r="S27" s="131"/>
    </row>
    <row r="28">
      <c r="I28" s="127"/>
      <c r="P28" s="131"/>
      <c r="Q28" s="131"/>
      <c r="R28" s="131"/>
      <c r="S28" s="131"/>
    </row>
    <row r="29">
      <c r="I29" s="127"/>
      <c r="P29" s="131"/>
      <c r="Q29" s="131"/>
      <c r="R29" s="131"/>
      <c r="S29" s="131"/>
    </row>
    <row r="30">
      <c r="I30" s="127"/>
      <c r="P30" s="131"/>
      <c r="Q30" s="131"/>
      <c r="R30" s="131"/>
      <c r="S30" s="131"/>
    </row>
    <row r="31">
      <c r="I31" s="127"/>
      <c r="P31" s="131"/>
      <c r="Q31" s="131"/>
      <c r="R31" s="131"/>
      <c r="S31" s="131"/>
    </row>
    <row r="32">
      <c r="I32" s="127"/>
      <c r="P32" s="131"/>
      <c r="Q32" s="131"/>
      <c r="R32" s="131"/>
      <c r="S32" s="131"/>
    </row>
    <row r="33">
      <c r="I33" s="127"/>
      <c r="P33" s="131"/>
      <c r="Q33" s="131"/>
      <c r="R33" s="131"/>
      <c r="S33" s="131"/>
    </row>
    <row r="34">
      <c r="I34" s="127"/>
      <c r="P34" s="131"/>
      <c r="Q34" s="131"/>
      <c r="R34" s="131"/>
      <c r="S34" s="131"/>
    </row>
    <row r="35">
      <c r="I35" s="127"/>
      <c r="P35" s="131"/>
      <c r="Q35" s="131"/>
      <c r="R35" s="131"/>
      <c r="S35" s="131"/>
    </row>
    <row r="36">
      <c r="I36" s="127"/>
      <c r="P36" s="131"/>
      <c r="Q36" s="131"/>
      <c r="R36" s="131"/>
      <c r="S36" s="131"/>
    </row>
    <row r="37">
      <c r="I37" s="127"/>
      <c r="P37" s="131"/>
      <c r="Q37" s="131"/>
      <c r="R37" s="131"/>
      <c r="S37" s="131"/>
    </row>
    <row r="38">
      <c r="I38" s="127"/>
      <c r="P38" s="131"/>
      <c r="Q38" s="131"/>
      <c r="R38" s="131"/>
      <c r="S38" s="131"/>
    </row>
    <row r="39">
      <c r="I39" s="127"/>
      <c r="P39" s="131"/>
      <c r="Q39" s="131"/>
      <c r="R39" s="131"/>
      <c r="S39" s="131"/>
    </row>
    <row r="40">
      <c r="I40" s="127"/>
      <c r="P40" s="131"/>
      <c r="Q40" s="131"/>
      <c r="R40" s="131"/>
      <c r="S40" s="131"/>
    </row>
    <row r="41">
      <c r="I41" s="127"/>
      <c r="P41" s="131"/>
      <c r="Q41" s="131"/>
      <c r="R41" s="131"/>
      <c r="S41" s="131"/>
    </row>
    <row r="42">
      <c r="I42" s="127"/>
      <c r="P42" s="131"/>
      <c r="Q42" s="131"/>
      <c r="R42" s="131"/>
      <c r="S42" s="131"/>
    </row>
    <row r="43">
      <c r="I43" s="127"/>
      <c r="P43" s="131"/>
      <c r="Q43" s="131"/>
      <c r="R43" s="131"/>
      <c r="S43" s="131"/>
    </row>
    <row r="44">
      <c r="I44" s="127"/>
      <c r="P44" s="131"/>
      <c r="Q44" s="131"/>
      <c r="R44" s="131"/>
      <c r="S44" s="131"/>
    </row>
    <row r="45">
      <c r="I45" s="127"/>
      <c r="P45" s="131"/>
      <c r="Q45" s="131"/>
      <c r="R45" s="131"/>
      <c r="S45" s="131"/>
    </row>
    <row r="46">
      <c r="I46" s="127"/>
      <c r="P46" s="131"/>
      <c r="Q46" s="131"/>
      <c r="R46" s="131"/>
      <c r="S46" s="131"/>
    </row>
    <row r="47">
      <c r="I47" s="127"/>
      <c r="P47" s="131"/>
      <c r="Q47" s="131"/>
      <c r="R47" s="131"/>
      <c r="S47" s="131"/>
    </row>
    <row r="48">
      <c r="I48" s="127"/>
      <c r="P48" s="131"/>
      <c r="Q48" s="131"/>
      <c r="R48" s="131"/>
      <c r="S48" s="131"/>
    </row>
    <row r="49">
      <c r="I49" s="127"/>
      <c r="P49" s="131"/>
      <c r="Q49" s="131"/>
      <c r="R49" s="131"/>
      <c r="S49" s="131"/>
    </row>
    <row r="50">
      <c r="I50" s="127"/>
      <c r="P50" s="131"/>
      <c r="Q50" s="131"/>
      <c r="R50" s="131"/>
      <c r="S50" s="131"/>
    </row>
    <row r="51">
      <c r="I51" s="127"/>
      <c r="P51" s="131"/>
      <c r="Q51" s="131"/>
      <c r="R51" s="131"/>
      <c r="S51" s="131"/>
    </row>
    <row r="52">
      <c r="I52" s="127"/>
      <c r="P52" s="131"/>
      <c r="Q52" s="131"/>
      <c r="R52" s="131"/>
      <c r="S52" s="131"/>
    </row>
    <row r="53">
      <c r="I53" s="127"/>
      <c r="P53" s="131"/>
      <c r="Q53" s="131"/>
      <c r="R53" s="131"/>
      <c r="S53" s="131"/>
    </row>
    <row r="54">
      <c r="I54" s="127"/>
      <c r="P54" s="131"/>
      <c r="Q54" s="131"/>
      <c r="R54" s="131"/>
      <c r="S54" s="131"/>
    </row>
    <row r="55">
      <c r="I55" s="127"/>
      <c r="P55" s="131"/>
      <c r="Q55" s="131"/>
      <c r="R55" s="131"/>
      <c r="S55" s="131"/>
    </row>
    <row r="56">
      <c r="I56" s="127"/>
      <c r="P56" s="131"/>
      <c r="Q56" s="131"/>
      <c r="R56" s="131"/>
      <c r="S56" s="131"/>
    </row>
    <row r="57">
      <c r="I57" s="127"/>
    </row>
    <row r="58">
      <c r="I58" s="127"/>
    </row>
    <row r="59">
      <c r="I59" s="127"/>
    </row>
    <row r="60">
      <c r="I60" s="127"/>
    </row>
    <row r="61">
      <c r="I61" s="127"/>
    </row>
    <row r="62">
      <c r="I62" s="127"/>
    </row>
    <row r="63">
      <c r="I63" s="127"/>
    </row>
    <row r="64">
      <c r="I64" s="127"/>
    </row>
    <row r="65">
      <c r="I65" s="127"/>
    </row>
    <row r="66">
      <c r="I66" s="127"/>
    </row>
    <row r="67">
      <c r="I67" s="127"/>
    </row>
    <row r="68">
      <c r="I68" s="127"/>
    </row>
    <row r="69">
      <c r="I69" s="127"/>
    </row>
    <row r="70">
      <c r="I70" s="127"/>
    </row>
    <row r="71">
      <c r="I71" s="127"/>
    </row>
    <row r="72">
      <c r="I72" s="127"/>
    </row>
    <row r="73">
      <c r="I73" s="127"/>
    </row>
    <row r="74">
      <c r="I74" s="127"/>
    </row>
    <row r="75">
      <c r="I75" s="127"/>
    </row>
    <row r="76">
      <c r="I76" s="127"/>
    </row>
    <row r="77">
      <c r="I77" s="127"/>
    </row>
    <row r="78">
      <c r="I78" s="127"/>
    </row>
    <row r="79">
      <c r="I79" s="127"/>
    </row>
    <row r="80">
      <c r="I80" s="127"/>
    </row>
    <row r="81">
      <c r="I81" s="127"/>
    </row>
    <row r="82">
      <c r="I82" s="127"/>
    </row>
    <row r="83">
      <c r="I83" s="127"/>
    </row>
    <row r="84">
      <c r="I84" s="127"/>
    </row>
    <row r="85">
      <c r="I85" s="127"/>
    </row>
    <row r="86">
      <c r="I86" s="127"/>
    </row>
    <row r="87">
      <c r="I87" s="127"/>
    </row>
    <row r="88">
      <c r="I88" s="127"/>
    </row>
    <row r="89">
      <c r="I89" s="127"/>
    </row>
    <row r="90">
      <c r="I90" s="127"/>
    </row>
    <row r="91">
      <c r="I91" s="127"/>
    </row>
    <row r="92">
      <c r="I92" s="127"/>
    </row>
    <row r="93">
      <c r="I93" s="127"/>
    </row>
    <row r="94">
      <c r="I94" s="127"/>
    </row>
    <row r="95">
      <c r="I95" s="127"/>
    </row>
    <row r="96">
      <c r="I96" s="127"/>
    </row>
    <row r="97">
      <c r="I97" s="127"/>
    </row>
    <row r="98">
      <c r="I98" s="127"/>
    </row>
    <row r="99">
      <c r="I99" s="127"/>
    </row>
    <row r="100">
      <c r="I100" s="127"/>
    </row>
    <row r="101">
      <c r="I101" s="127"/>
    </row>
    <row r="102">
      <c r="I102" s="127"/>
    </row>
    <row r="103">
      <c r="I103" s="127"/>
    </row>
    <row r="104">
      <c r="I104" s="127"/>
    </row>
    <row r="105">
      <c r="I105" s="127"/>
    </row>
    <row r="106">
      <c r="I106" s="127"/>
    </row>
    <row r="107">
      <c r="I107" s="127"/>
    </row>
    <row r="108">
      <c r="I108" s="127"/>
    </row>
    <row r="109">
      <c r="I109" s="127"/>
    </row>
    <row r="110">
      <c r="I110" s="127"/>
    </row>
    <row r="111">
      <c r="I111" s="127"/>
    </row>
    <row r="112">
      <c r="I112" s="127"/>
    </row>
    <row r="113">
      <c r="I113" s="127"/>
    </row>
    <row r="114">
      <c r="I114" s="127"/>
    </row>
    <row r="115">
      <c r="I115" s="127"/>
    </row>
    <row r="116">
      <c r="I116" s="127"/>
    </row>
    <row r="117">
      <c r="I117" s="127"/>
    </row>
    <row r="118">
      <c r="I118" s="127"/>
    </row>
    <row r="119">
      <c r="I119" s="127"/>
    </row>
    <row r="120">
      <c r="I120" s="127"/>
    </row>
    <row r="121">
      <c r="I121" s="127"/>
    </row>
    <row r="122">
      <c r="I122" s="127"/>
    </row>
    <row r="123">
      <c r="I123" s="127"/>
    </row>
    <row r="124">
      <c r="I124" s="127"/>
    </row>
    <row r="125">
      <c r="I125" s="127"/>
    </row>
    <row r="126">
      <c r="I126" s="127"/>
    </row>
    <row r="127">
      <c r="I127" s="127"/>
    </row>
    <row r="128">
      <c r="I128" s="127"/>
    </row>
    <row r="129">
      <c r="I129" s="127"/>
    </row>
    <row r="130">
      <c r="I130" s="127"/>
    </row>
    <row r="131">
      <c r="I131" s="127"/>
    </row>
    <row r="132">
      <c r="I132" s="127"/>
    </row>
    <row r="133">
      <c r="I133" s="127"/>
    </row>
    <row r="134">
      <c r="I134" s="127"/>
    </row>
    <row r="135">
      <c r="I135" s="127"/>
    </row>
    <row r="136">
      <c r="I136" s="127"/>
    </row>
    <row r="137">
      <c r="I137" s="127"/>
    </row>
    <row r="138">
      <c r="I138" s="127"/>
    </row>
    <row r="139">
      <c r="I139" s="127"/>
    </row>
    <row r="140">
      <c r="I140" s="127"/>
    </row>
    <row r="141">
      <c r="I141" s="127"/>
    </row>
    <row r="142">
      <c r="I142" s="127"/>
    </row>
    <row r="143">
      <c r="I143" s="127"/>
    </row>
    <row r="144">
      <c r="I144" s="127"/>
    </row>
    <row r="145">
      <c r="I145" s="127"/>
    </row>
    <row r="146">
      <c r="I146" s="127"/>
    </row>
    <row r="147">
      <c r="I147" s="127"/>
    </row>
    <row r="148">
      <c r="I148" s="127"/>
    </row>
    <row r="149">
      <c r="I149" s="127"/>
    </row>
    <row r="150">
      <c r="I150" s="127"/>
    </row>
    <row r="151">
      <c r="I151" s="127"/>
    </row>
    <row r="152">
      <c r="I152" s="127"/>
    </row>
    <row r="153">
      <c r="I153" s="127"/>
    </row>
    <row r="154">
      <c r="I154" s="127"/>
    </row>
    <row r="155">
      <c r="I155" s="127"/>
    </row>
    <row r="156">
      <c r="I156" s="127"/>
    </row>
    <row r="157">
      <c r="I157" s="127"/>
    </row>
    <row r="158">
      <c r="I158" s="127"/>
    </row>
    <row r="159">
      <c r="I159" s="127"/>
    </row>
    <row r="160">
      <c r="I160" s="127"/>
    </row>
    <row r="161">
      <c r="I161" s="127"/>
    </row>
    <row r="162">
      <c r="I162" s="127"/>
    </row>
    <row r="163">
      <c r="I163" s="127"/>
    </row>
    <row r="164">
      <c r="I164" s="127"/>
    </row>
    <row r="165">
      <c r="I165" s="127"/>
    </row>
    <row r="166">
      <c r="I166" s="127"/>
    </row>
    <row r="167">
      <c r="I167" s="127"/>
    </row>
    <row r="168">
      <c r="I168" s="127"/>
    </row>
    <row r="169">
      <c r="I169" s="127"/>
    </row>
    <row r="170">
      <c r="I170" s="127"/>
    </row>
    <row r="171">
      <c r="I171" s="127"/>
    </row>
    <row r="172">
      <c r="I172" s="127"/>
    </row>
    <row r="173">
      <c r="I173" s="127"/>
    </row>
    <row r="174">
      <c r="I174" s="127"/>
    </row>
    <row r="175">
      <c r="I175" s="127"/>
    </row>
    <row r="176">
      <c r="I176" s="127"/>
    </row>
    <row r="177">
      <c r="I177" s="127"/>
    </row>
    <row r="178">
      <c r="I178" s="127"/>
    </row>
    <row r="179">
      <c r="I179" s="127"/>
    </row>
    <row r="180">
      <c r="I180" s="127"/>
    </row>
    <row r="181">
      <c r="I181" s="127"/>
    </row>
    <row r="182">
      <c r="I182" s="127"/>
    </row>
    <row r="183">
      <c r="I183" s="127"/>
    </row>
    <row r="184">
      <c r="I184" s="127"/>
    </row>
    <row r="185">
      <c r="I185" s="127"/>
    </row>
    <row r="186">
      <c r="I186" s="127"/>
    </row>
    <row r="187">
      <c r="I187" s="127"/>
    </row>
    <row r="188">
      <c r="I188" s="127"/>
    </row>
    <row r="189">
      <c r="I189" s="127"/>
    </row>
    <row r="190">
      <c r="I190" s="127"/>
    </row>
    <row r="191">
      <c r="I191" s="127"/>
    </row>
    <row r="192">
      <c r="I192" s="127"/>
    </row>
    <row r="193">
      <c r="I193" s="127"/>
    </row>
    <row r="194">
      <c r="I194" s="127"/>
    </row>
    <row r="195">
      <c r="I195" s="127"/>
    </row>
    <row r="196">
      <c r="I196" s="127"/>
    </row>
    <row r="197">
      <c r="I197" s="127"/>
    </row>
    <row r="198">
      <c r="I198" s="127"/>
    </row>
    <row r="199">
      <c r="I199" s="127"/>
    </row>
    <row r="200">
      <c r="I200" s="127"/>
    </row>
    <row r="201">
      <c r="I201" s="127"/>
    </row>
    <row r="202">
      <c r="I202" s="127"/>
    </row>
    <row r="203">
      <c r="I203" s="127"/>
    </row>
    <row r="204">
      <c r="I204" s="127"/>
    </row>
    <row r="205">
      <c r="I205" s="127"/>
    </row>
    <row r="206">
      <c r="I206" s="127"/>
    </row>
    <row r="207">
      <c r="I207" s="127"/>
    </row>
    <row r="208">
      <c r="I208" s="127"/>
    </row>
    <row r="209">
      <c r="I209" s="127"/>
    </row>
    <row r="210">
      <c r="I210" s="127"/>
    </row>
    <row r="211">
      <c r="I211" s="127"/>
    </row>
    <row r="212">
      <c r="I212" s="127"/>
    </row>
    <row r="213">
      <c r="I213" s="127"/>
    </row>
    <row r="214">
      <c r="I214" s="127"/>
    </row>
    <row r="215">
      <c r="I215" s="127"/>
    </row>
    <row r="216">
      <c r="I216" s="127"/>
    </row>
    <row r="217">
      <c r="I217" s="127"/>
    </row>
    <row r="218">
      <c r="I218" s="127"/>
    </row>
    <row r="219">
      <c r="I219" s="127"/>
    </row>
    <row r="220">
      <c r="I220" s="127"/>
    </row>
    <row r="221">
      <c r="I221" s="127"/>
    </row>
    <row r="222">
      <c r="I222" s="127"/>
    </row>
    <row r="223">
      <c r="I223" s="127"/>
    </row>
    <row r="224">
      <c r="I224" s="127"/>
    </row>
    <row r="225">
      <c r="I225" s="127"/>
    </row>
    <row r="226">
      <c r="I226" s="127"/>
    </row>
    <row r="227">
      <c r="I227" s="127"/>
    </row>
    <row r="228">
      <c r="I228" s="127"/>
    </row>
    <row r="229">
      <c r="I229" s="127"/>
    </row>
    <row r="230">
      <c r="I230" s="127"/>
    </row>
    <row r="231">
      <c r="I231" s="127"/>
    </row>
    <row r="232">
      <c r="I232" s="127"/>
    </row>
    <row r="233">
      <c r="I233" s="127"/>
    </row>
    <row r="234">
      <c r="I234" s="127"/>
    </row>
    <row r="235">
      <c r="I235" s="127"/>
    </row>
    <row r="236">
      <c r="I236" s="127"/>
    </row>
    <row r="237">
      <c r="I237" s="127"/>
    </row>
    <row r="238">
      <c r="I238" s="127"/>
    </row>
    <row r="239">
      <c r="I239" s="127"/>
    </row>
    <row r="240">
      <c r="I240" s="127"/>
    </row>
    <row r="241">
      <c r="I241" s="127"/>
    </row>
    <row r="242">
      <c r="I242" s="127"/>
    </row>
    <row r="243">
      <c r="I243" s="127"/>
    </row>
    <row r="244">
      <c r="I244" s="127"/>
    </row>
    <row r="245">
      <c r="I245" s="127"/>
    </row>
    <row r="246">
      <c r="I246" s="127"/>
    </row>
    <row r="247">
      <c r="I247" s="127"/>
    </row>
    <row r="248">
      <c r="I248" s="127"/>
    </row>
    <row r="249">
      <c r="I249" s="127"/>
    </row>
    <row r="250">
      <c r="I250" s="127"/>
    </row>
    <row r="251">
      <c r="I251" s="127"/>
    </row>
    <row r="252">
      <c r="I252" s="127"/>
    </row>
    <row r="253">
      <c r="I253" s="127"/>
    </row>
    <row r="254">
      <c r="I254" s="127"/>
    </row>
    <row r="255">
      <c r="I255" s="127"/>
    </row>
    <row r="256">
      <c r="I256" s="127"/>
    </row>
    <row r="257">
      <c r="I257" s="127"/>
    </row>
    <row r="258">
      <c r="I258" s="127"/>
    </row>
    <row r="259">
      <c r="I259" s="127"/>
    </row>
    <row r="260">
      <c r="I260" s="127"/>
    </row>
    <row r="261">
      <c r="I261" s="127"/>
    </row>
    <row r="262">
      <c r="I262" s="127"/>
    </row>
    <row r="263">
      <c r="I263" s="127"/>
    </row>
    <row r="264">
      <c r="I264" s="127"/>
    </row>
    <row r="265">
      <c r="I265" s="127"/>
    </row>
    <row r="266">
      <c r="I266" s="127"/>
    </row>
    <row r="267">
      <c r="I267" s="127"/>
    </row>
    <row r="268">
      <c r="I268" s="127"/>
    </row>
    <row r="269">
      <c r="I269" s="127"/>
    </row>
    <row r="270">
      <c r="I270" s="127"/>
    </row>
    <row r="271">
      <c r="I271" s="127"/>
    </row>
    <row r="272">
      <c r="I272" s="127"/>
    </row>
    <row r="273">
      <c r="I273" s="127"/>
    </row>
    <row r="274">
      <c r="I274" s="127"/>
    </row>
    <row r="275">
      <c r="I275" s="127"/>
    </row>
    <row r="276">
      <c r="I276" s="127"/>
    </row>
    <row r="277">
      <c r="I277" s="127"/>
    </row>
    <row r="278">
      <c r="I278" s="127"/>
    </row>
    <row r="279">
      <c r="I279" s="127"/>
    </row>
    <row r="280">
      <c r="I280" s="127"/>
    </row>
    <row r="281">
      <c r="I281" s="127"/>
    </row>
    <row r="282">
      <c r="I282" s="127"/>
    </row>
    <row r="283">
      <c r="I283" s="127"/>
    </row>
    <row r="284">
      <c r="I284" s="127"/>
    </row>
    <row r="285">
      <c r="I285" s="127"/>
    </row>
    <row r="286">
      <c r="I286" s="127"/>
    </row>
    <row r="287">
      <c r="I287" s="127"/>
    </row>
    <row r="288">
      <c r="I288" s="127"/>
    </row>
    <row r="289">
      <c r="I289" s="127"/>
    </row>
    <row r="290">
      <c r="I290" s="127"/>
    </row>
    <row r="291">
      <c r="I291" s="127"/>
    </row>
    <row r="292">
      <c r="I292" s="127"/>
    </row>
    <row r="293">
      <c r="I293" s="127"/>
    </row>
    <row r="294">
      <c r="I294" s="127"/>
    </row>
    <row r="295">
      <c r="I295" s="127"/>
    </row>
    <row r="296">
      <c r="I296" s="127"/>
    </row>
    <row r="297">
      <c r="I297" s="127"/>
    </row>
    <row r="298">
      <c r="I298" s="127"/>
    </row>
    <row r="299">
      <c r="I299" s="127"/>
    </row>
    <row r="300">
      <c r="I300" s="127"/>
    </row>
    <row r="301">
      <c r="I301" s="127"/>
    </row>
    <row r="302">
      <c r="I302" s="127"/>
    </row>
    <row r="303">
      <c r="I303" s="127"/>
    </row>
    <row r="304">
      <c r="I304" s="127"/>
    </row>
    <row r="305">
      <c r="I305" s="127"/>
    </row>
    <row r="306">
      <c r="I306" s="127"/>
    </row>
    <row r="307">
      <c r="I307" s="127"/>
    </row>
    <row r="308">
      <c r="I308" s="127"/>
    </row>
    <row r="309">
      <c r="I309" s="127"/>
    </row>
    <row r="310">
      <c r="I310" s="127"/>
    </row>
    <row r="311">
      <c r="I311" s="127"/>
    </row>
    <row r="312">
      <c r="I312" s="127"/>
    </row>
    <row r="313">
      <c r="I313" s="127"/>
    </row>
    <row r="314">
      <c r="I314" s="127"/>
    </row>
    <row r="315">
      <c r="I315" s="127"/>
    </row>
    <row r="316">
      <c r="I316" s="127"/>
    </row>
    <row r="317">
      <c r="I317" s="127"/>
    </row>
    <row r="318">
      <c r="I318" s="127"/>
    </row>
    <row r="319">
      <c r="I319" s="127"/>
    </row>
    <row r="320">
      <c r="I320" s="127"/>
    </row>
    <row r="321">
      <c r="I321" s="127"/>
    </row>
    <row r="322">
      <c r="I322" s="127"/>
    </row>
    <row r="323">
      <c r="I323" s="127"/>
    </row>
    <row r="324">
      <c r="I324" s="127"/>
    </row>
    <row r="325">
      <c r="I325" s="127"/>
    </row>
    <row r="326">
      <c r="I326" s="127"/>
    </row>
    <row r="327">
      <c r="I327" s="127"/>
    </row>
    <row r="328">
      <c r="I328" s="127"/>
    </row>
    <row r="329">
      <c r="I329" s="127"/>
    </row>
    <row r="330">
      <c r="I330" s="127"/>
    </row>
    <row r="331">
      <c r="I331" s="127"/>
    </row>
    <row r="332">
      <c r="I332" s="127"/>
    </row>
    <row r="333">
      <c r="I333" s="127"/>
    </row>
    <row r="334">
      <c r="I334" s="127"/>
    </row>
    <row r="335">
      <c r="I335" s="127"/>
    </row>
    <row r="336">
      <c r="I336" s="127"/>
    </row>
    <row r="337">
      <c r="I337" s="127"/>
    </row>
    <row r="338">
      <c r="I338" s="127"/>
    </row>
    <row r="339">
      <c r="I339" s="127"/>
    </row>
    <row r="340">
      <c r="I340" s="127"/>
    </row>
    <row r="341">
      <c r="I341" s="127"/>
    </row>
    <row r="342">
      <c r="I342" s="127"/>
    </row>
    <row r="343">
      <c r="I343" s="127"/>
    </row>
    <row r="344">
      <c r="I344" s="127"/>
    </row>
    <row r="345">
      <c r="I345" s="127"/>
    </row>
    <row r="346">
      <c r="I346" s="127"/>
    </row>
    <row r="347">
      <c r="I347" s="127"/>
    </row>
    <row r="348">
      <c r="I348" s="127"/>
    </row>
    <row r="349">
      <c r="I349" s="127"/>
    </row>
    <row r="350">
      <c r="I350" s="127"/>
    </row>
    <row r="351">
      <c r="I351" s="127"/>
    </row>
    <row r="352">
      <c r="I352" s="127"/>
    </row>
    <row r="353">
      <c r="I353" s="127"/>
    </row>
    <row r="354">
      <c r="I354" s="127"/>
    </row>
    <row r="355">
      <c r="I355" s="127"/>
    </row>
    <row r="356">
      <c r="I356" s="127"/>
    </row>
    <row r="357">
      <c r="I357" s="127"/>
    </row>
    <row r="358">
      <c r="I358" s="127"/>
    </row>
    <row r="359">
      <c r="I359" s="127"/>
    </row>
    <row r="360">
      <c r="I360" s="127"/>
    </row>
    <row r="361">
      <c r="I361" s="127"/>
    </row>
    <row r="362">
      <c r="I362" s="127"/>
    </row>
    <row r="363">
      <c r="I363" s="127"/>
    </row>
    <row r="364">
      <c r="I364" s="127"/>
    </row>
    <row r="365">
      <c r="I365" s="127"/>
    </row>
    <row r="366">
      <c r="I366" s="127"/>
    </row>
    <row r="367">
      <c r="I367" s="127"/>
    </row>
    <row r="368">
      <c r="I368" s="127"/>
    </row>
    <row r="369">
      <c r="I369" s="127"/>
    </row>
    <row r="370">
      <c r="I370" s="127"/>
    </row>
    <row r="371">
      <c r="I371" s="127"/>
    </row>
    <row r="372">
      <c r="I372" s="127"/>
    </row>
    <row r="373">
      <c r="I373" s="127"/>
    </row>
    <row r="374">
      <c r="I374" s="127"/>
    </row>
    <row r="375">
      <c r="I375" s="127"/>
    </row>
    <row r="376">
      <c r="I376" s="127"/>
    </row>
    <row r="377">
      <c r="I377" s="127"/>
    </row>
    <row r="378">
      <c r="I378" s="127"/>
    </row>
    <row r="379">
      <c r="I379" s="127"/>
    </row>
    <row r="380">
      <c r="I380" s="127"/>
    </row>
    <row r="381">
      <c r="I381" s="127"/>
    </row>
    <row r="382">
      <c r="I382" s="127"/>
    </row>
    <row r="383">
      <c r="I383" s="127"/>
    </row>
    <row r="384">
      <c r="I384" s="127"/>
    </row>
    <row r="385">
      <c r="I385" s="127"/>
    </row>
    <row r="386">
      <c r="I386" s="127"/>
    </row>
    <row r="387">
      <c r="I387" s="127"/>
    </row>
    <row r="388">
      <c r="I388" s="127"/>
    </row>
    <row r="389">
      <c r="I389" s="127"/>
    </row>
    <row r="390">
      <c r="I390" s="127"/>
    </row>
    <row r="391">
      <c r="I391" s="127"/>
    </row>
    <row r="392">
      <c r="I392" s="127"/>
    </row>
    <row r="393">
      <c r="I393" s="127"/>
    </row>
    <row r="394">
      <c r="I394" s="127"/>
    </row>
    <row r="395">
      <c r="I395" s="127"/>
    </row>
    <row r="396">
      <c r="I396" s="127"/>
    </row>
    <row r="397">
      <c r="I397" s="127"/>
    </row>
    <row r="398">
      <c r="I398" s="127"/>
    </row>
    <row r="399">
      <c r="I399" s="127"/>
    </row>
    <row r="400">
      <c r="I400" s="127"/>
    </row>
    <row r="401">
      <c r="I401" s="127"/>
    </row>
    <row r="402">
      <c r="I402" s="127"/>
    </row>
    <row r="403">
      <c r="I403" s="127"/>
    </row>
    <row r="404">
      <c r="I404" s="127"/>
    </row>
    <row r="405">
      <c r="I405" s="127"/>
    </row>
    <row r="406">
      <c r="I406" s="127"/>
    </row>
    <row r="407">
      <c r="I407" s="127"/>
    </row>
    <row r="408">
      <c r="I408" s="127"/>
    </row>
    <row r="409">
      <c r="I409" s="127"/>
    </row>
    <row r="410">
      <c r="I410" s="127"/>
    </row>
    <row r="411">
      <c r="I411" s="127"/>
    </row>
    <row r="412">
      <c r="I412" s="127"/>
    </row>
    <row r="413">
      <c r="I413" s="127"/>
    </row>
    <row r="414">
      <c r="I414" s="127"/>
    </row>
    <row r="415">
      <c r="I415" s="127"/>
    </row>
    <row r="416">
      <c r="I416" s="127"/>
    </row>
    <row r="417">
      <c r="I417" s="127"/>
    </row>
    <row r="418">
      <c r="I418" s="127"/>
    </row>
    <row r="419">
      <c r="I419" s="127"/>
    </row>
    <row r="420">
      <c r="I420" s="127"/>
    </row>
    <row r="421">
      <c r="I421" s="127"/>
    </row>
    <row r="422">
      <c r="I422" s="127"/>
    </row>
    <row r="423">
      <c r="I423" s="127"/>
    </row>
    <row r="424">
      <c r="I424" s="127"/>
    </row>
    <row r="425">
      <c r="I425" s="127"/>
    </row>
    <row r="426">
      <c r="I426" s="127"/>
    </row>
    <row r="427">
      <c r="I427" s="127"/>
    </row>
    <row r="428">
      <c r="I428" s="127"/>
    </row>
    <row r="429">
      <c r="I429" s="127"/>
    </row>
    <row r="430">
      <c r="I430" s="127"/>
    </row>
    <row r="431">
      <c r="I431" s="127"/>
    </row>
    <row r="432">
      <c r="I432" s="127"/>
    </row>
    <row r="433">
      <c r="I433" s="127"/>
    </row>
    <row r="434">
      <c r="I434" s="127"/>
    </row>
    <row r="435">
      <c r="I435" s="127"/>
    </row>
    <row r="436">
      <c r="I436" s="127"/>
    </row>
    <row r="437">
      <c r="I437" s="127"/>
    </row>
    <row r="438">
      <c r="I438" s="127"/>
    </row>
    <row r="439">
      <c r="I439" s="127"/>
    </row>
    <row r="440">
      <c r="I440" s="127"/>
    </row>
    <row r="441">
      <c r="I441" s="127"/>
    </row>
    <row r="442">
      <c r="I442" s="127"/>
    </row>
    <row r="443">
      <c r="I443" s="127"/>
    </row>
    <row r="444">
      <c r="I444" s="127"/>
    </row>
    <row r="445">
      <c r="I445" s="127"/>
    </row>
    <row r="446">
      <c r="I446" s="127"/>
    </row>
    <row r="447">
      <c r="I447" s="127"/>
    </row>
    <row r="448">
      <c r="I448" s="127"/>
    </row>
    <row r="449">
      <c r="I449" s="127"/>
    </row>
    <row r="450">
      <c r="I450" s="127"/>
    </row>
    <row r="451">
      <c r="I451" s="127"/>
    </row>
    <row r="452">
      <c r="I452" s="127"/>
    </row>
    <row r="453">
      <c r="I453" s="127"/>
    </row>
    <row r="454">
      <c r="I454" s="127"/>
    </row>
    <row r="455">
      <c r="I455" s="127"/>
    </row>
    <row r="456">
      <c r="I456" s="127"/>
    </row>
    <row r="457">
      <c r="I457" s="127"/>
    </row>
    <row r="458">
      <c r="I458" s="127"/>
    </row>
    <row r="459">
      <c r="I459" s="127"/>
    </row>
    <row r="460">
      <c r="I460" s="127"/>
    </row>
    <row r="461">
      <c r="I461" s="127"/>
    </row>
    <row r="462">
      <c r="I462" s="127"/>
    </row>
    <row r="463">
      <c r="I463" s="127"/>
    </row>
    <row r="464">
      <c r="I464" s="127"/>
    </row>
    <row r="465">
      <c r="I465" s="127"/>
    </row>
    <row r="466">
      <c r="I466" s="127"/>
    </row>
    <row r="467">
      <c r="I467" s="127"/>
    </row>
    <row r="468">
      <c r="I468" s="127"/>
    </row>
    <row r="469">
      <c r="I469" s="127"/>
    </row>
    <row r="470">
      <c r="I470" s="127"/>
    </row>
    <row r="471">
      <c r="I471" s="127"/>
    </row>
    <row r="472">
      <c r="I472" s="127"/>
    </row>
    <row r="473">
      <c r="I473" s="127"/>
    </row>
    <row r="474">
      <c r="I474" s="127"/>
    </row>
    <row r="475">
      <c r="I475" s="127"/>
    </row>
    <row r="476">
      <c r="I476" s="127"/>
    </row>
    <row r="477">
      <c r="I477" s="127"/>
    </row>
    <row r="478">
      <c r="I478" s="127"/>
    </row>
    <row r="479">
      <c r="I479" s="127"/>
    </row>
    <row r="480">
      <c r="I480" s="127"/>
    </row>
    <row r="481">
      <c r="I481" s="127"/>
    </row>
    <row r="482">
      <c r="I482" s="127"/>
    </row>
    <row r="483">
      <c r="I483" s="127"/>
    </row>
    <row r="484">
      <c r="I484" s="127"/>
    </row>
    <row r="485">
      <c r="I485" s="127"/>
    </row>
    <row r="486">
      <c r="I486" s="127"/>
    </row>
    <row r="487">
      <c r="I487" s="127"/>
    </row>
    <row r="488">
      <c r="I488" s="127"/>
    </row>
    <row r="489">
      <c r="I489" s="127"/>
    </row>
    <row r="490">
      <c r="I490" s="127"/>
    </row>
    <row r="491">
      <c r="I491" s="127"/>
    </row>
    <row r="492">
      <c r="I492" s="127"/>
    </row>
    <row r="493">
      <c r="I493" s="127"/>
    </row>
    <row r="494">
      <c r="I494" s="127"/>
    </row>
    <row r="495">
      <c r="I495" s="127"/>
    </row>
    <row r="496">
      <c r="I496" s="127"/>
    </row>
    <row r="497">
      <c r="I497" s="127"/>
    </row>
    <row r="498">
      <c r="I498" s="127"/>
    </row>
    <row r="499">
      <c r="I499" s="127"/>
    </row>
    <row r="500">
      <c r="I500" s="127"/>
    </row>
    <row r="501">
      <c r="I501" s="127"/>
    </row>
    <row r="502">
      <c r="I502" s="127"/>
    </row>
    <row r="503">
      <c r="I503" s="127"/>
    </row>
    <row r="504">
      <c r="I504" s="127"/>
    </row>
    <row r="505">
      <c r="I505" s="127"/>
    </row>
    <row r="506">
      <c r="I506" s="127"/>
    </row>
    <row r="507">
      <c r="I507" s="127"/>
    </row>
    <row r="508">
      <c r="I508" s="127"/>
    </row>
    <row r="509">
      <c r="I509" s="127"/>
    </row>
    <row r="510">
      <c r="I510" s="127"/>
    </row>
    <row r="511">
      <c r="I511" s="127"/>
    </row>
    <row r="512">
      <c r="I512" s="127"/>
    </row>
    <row r="513">
      <c r="I513" s="127"/>
    </row>
    <row r="514">
      <c r="I514" s="127"/>
    </row>
    <row r="515">
      <c r="I515" s="127"/>
    </row>
    <row r="516">
      <c r="I516" s="127"/>
    </row>
    <row r="517">
      <c r="I517" s="127"/>
    </row>
    <row r="518">
      <c r="I518" s="127"/>
    </row>
    <row r="519">
      <c r="I519" s="127"/>
    </row>
    <row r="520">
      <c r="I520" s="127"/>
    </row>
    <row r="521">
      <c r="I521" s="127"/>
    </row>
    <row r="522">
      <c r="I522" s="127"/>
    </row>
    <row r="523">
      <c r="I523" s="127"/>
    </row>
    <row r="524">
      <c r="I524" s="127"/>
    </row>
    <row r="525">
      <c r="I525" s="127"/>
    </row>
    <row r="526">
      <c r="I526" s="127"/>
    </row>
    <row r="527">
      <c r="I527" s="127"/>
    </row>
    <row r="528">
      <c r="I528" s="127"/>
    </row>
    <row r="529">
      <c r="I529" s="127"/>
    </row>
    <row r="530">
      <c r="I530" s="127"/>
    </row>
    <row r="531">
      <c r="I531" s="127"/>
    </row>
    <row r="532">
      <c r="I532" s="127"/>
    </row>
    <row r="533">
      <c r="I533" s="127"/>
    </row>
    <row r="534">
      <c r="I534" s="127"/>
    </row>
    <row r="535">
      <c r="I535" s="127"/>
    </row>
    <row r="536">
      <c r="I536" s="127"/>
    </row>
    <row r="537">
      <c r="I537" s="127"/>
    </row>
    <row r="538">
      <c r="I538" s="127"/>
    </row>
    <row r="539">
      <c r="I539" s="127"/>
    </row>
    <row r="540">
      <c r="I540" s="127"/>
    </row>
    <row r="541">
      <c r="I541" s="127"/>
    </row>
    <row r="542">
      <c r="I542" s="127"/>
    </row>
    <row r="543">
      <c r="I543" s="127"/>
    </row>
    <row r="544">
      <c r="I544" s="127"/>
    </row>
    <row r="545">
      <c r="I545" s="127"/>
    </row>
    <row r="546">
      <c r="I546" s="127"/>
    </row>
    <row r="547">
      <c r="I547" s="127"/>
    </row>
    <row r="548">
      <c r="I548" s="127"/>
    </row>
    <row r="549">
      <c r="I549" s="127"/>
    </row>
    <row r="550">
      <c r="I550" s="127"/>
    </row>
    <row r="551">
      <c r="I551" s="127"/>
    </row>
    <row r="552">
      <c r="I552" s="127"/>
    </row>
    <row r="553">
      <c r="I553" s="127"/>
    </row>
    <row r="554">
      <c r="I554" s="127"/>
    </row>
    <row r="555">
      <c r="I555" s="127"/>
    </row>
    <row r="556">
      <c r="I556" s="127"/>
    </row>
    <row r="557">
      <c r="I557" s="127"/>
    </row>
    <row r="558">
      <c r="I558" s="127"/>
    </row>
    <row r="559">
      <c r="I559" s="127"/>
    </row>
    <row r="560">
      <c r="I560" s="127"/>
    </row>
    <row r="561">
      <c r="I561" s="127"/>
    </row>
    <row r="562">
      <c r="I562" s="127"/>
    </row>
    <row r="563">
      <c r="I563" s="127"/>
    </row>
    <row r="564">
      <c r="I564" s="127"/>
    </row>
    <row r="565">
      <c r="I565" s="127"/>
    </row>
    <row r="566">
      <c r="I566" s="127"/>
    </row>
    <row r="567">
      <c r="I567" s="127"/>
    </row>
    <row r="568">
      <c r="I568" s="127"/>
    </row>
    <row r="569">
      <c r="I569" s="127"/>
    </row>
    <row r="570">
      <c r="I570" s="127"/>
    </row>
    <row r="571">
      <c r="I571" s="127"/>
    </row>
    <row r="572">
      <c r="I572" s="127"/>
    </row>
    <row r="573">
      <c r="I573" s="127"/>
    </row>
    <row r="574">
      <c r="I574" s="127"/>
    </row>
    <row r="575">
      <c r="I575" s="127"/>
    </row>
    <row r="576">
      <c r="I576" s="127"/>
    </row>
    <row r="577">
      <c r="I577" s="127"/>
    </row>
    <row r="578">
      <c r="I578" s="127"/>
    </row>
    <row r="579">
      <c r="I579" s="127"/>
    </row>
    <row r="580">
      <c r="I580" s="127"/>
    </row>
    <row r="581">
      <c r="I581" s="127"/>
    </row>
    <row r="582">
      <c r="I582" s="127"/>
    </row>
    <row r="583">
      <c r="I583" s="127"/>
    </row>
    <row r="584">
      <c r="I584" s="127"/>
    </row>
    <row r="585">
      <c r="I585" s="127"/>
    </row>
    <row r="586">
      <c r="I586" s="127"/>
    </row>
    <row r="587">
      <c r="I587" s="127"/>
    </row>
    <row r="588">
      <c r="I588" s="127"/>
    </row>
    <row r="589">
      <c r="I589" s="127"/>
    </row>
    <row r="590">
      <c r="I590" s="127"/>
    </row>
    <row r="591">
      <c r="I591" s="127"/>
    </row>
    <row r="592">
      <c r="I592" s="127"/>
    </row>
    <row r="593">
      <c r="I593" s="127"/>
    </row>
    <row r="594">
      <c r="I594" s="127"/>
    </row>
    <row r="595">
      <c r="I595" s="127"/>
    </row>
    <row r="596">
      <c r="I596" s="127"/>
    </row>
    <row r="597">
      <c r="I597" s="127"/>
    </row>
    <row r="598">
      <c r="I598" s="127"/>
    </row>
    <row r="599">
      <c r="I599" s="127"/>
    </row>
    <row r="600">
      <c r="I600" s="127"/>
    </row>
    <row r="601">
      <c r="I601" s="127"/>
    </row>
    <row r="602">
      <c r="I602" s="127"/>
    </row>
    <row r="603">
      <c r="I603" s="127"/>
    </row>
    <row r="604">
      <c r="I604" s="127"/>
    </row>
    <row r="605">
      <c r="I605" s="127"/>
    </row>
    <row r="606">
      <c r="I606" s="127"/>
    </row>
    <row r="607">
      <c r="I607" s="127"/>
    </row>
    <row r="608">
      <c r="I608" s="127"/>
    </row>
    <row r="609">
      <c r="I609" s="127"/>
    </row>
    <row r="610">
      <c r="I610" s="127"/>
    </row>
    <row r="611">
      <c r="I611" s="127"/>
    </row>
    <row r="612">
      <c r="I612" s="127"/>
    </row>
    <row r="613">
      <c r="I613" s="127"/>
    </row>
    <row r="614">
      <c r="I614" s="127"/>
    </row>
    <row r="615">
      <c r="I615" s="127"/>
    </row>
    <row r="616">
      <c r="I616" s="127"/>
    </row>
    <row r="617">
      <c r="I617" s="127"/>
    </row>
    <row r="618">
      <c r="I618" s="127"/>
    </row>
    <row r="619">
      <c r="I619" s="127"/>
    </row>
    <row r="620">
      <c r="I620" s="127"/>
    </row>
    <row r="621">
      <c r="I621" s="127"/>
    </row>
    <row r="622">
      <c r="I622" s="127"/>
    </row>
    <row r="623">
      <c r="I623" s="127"/>
    </row>
    <row r="624">
      <c r="I624" s="127"/>
    </row>
    <row r="625">
      <c r="I625" s="127"/>
    </row>
    <row r="626">
      <c r="I626" s="127"/>
    </row>
    <row r="627">
      <c r="I627" s="127"/>
    </row>
    <row r="628">
      <c r="I628" s="127"/>
    </row>
    <row r="629">
      <c r="I629" s="127"/>
    </row>
    <row r="630">
      <c r="I630" s="127"/>
    </row>
    <row r="631">
      <c r="I631" s="127"/>
    </row>
    <row r="632">
      <c r="I632" s="127"/>
    </row>
    <row r="633">
      <c r="I633" s="127"/>
    </row>
    <row r="634">
      <c r="I634" s="127"/>
    </row>
    <row r="635">
      <c r="I635" s="127"/>
    </row>
    <row r="636">
      <c r="I636" s="127"/>
    </row>
    <row r="637">
      <c r="I637" s="127"/>
    </row>
    <row r="638">
      <c r="I638" s="127"/>
    </row>
    <row r="639">
      <c r="I639" s="127"/>
    </row>
    <row r="640">
      <c r="I640" s="127"/>
    </row>
    <row r="641">
      <c r="I641" s="127"/>
    </row>
    <row r="642">
      <c r="I642" s="127"/>
    </row>
    <row r="643">
      <c r="I643" s="127"/>
    </row>
    <row r="644">
      <c r="I644" s="127"/>
    </row>
    <row r="645">
      <c r="I645" s="127"/>
    </row>
    <row r="646">
      <c r="I646" s="127"/>
    </row>
    <row r="647">
      <c r="I647" s="127"/>
    </row>
    <row r="648">
      <c r="I648" s="127"/>
    </row>
    <row r="649">
      <c r="I649" s="127"/>
    </row>
    <row r="650">
      <c r="I650" s="127"/>
    </row>
    <row r="651">
      <c r="I651" s="127"/>
    </row>
    <row r="652">
      <c r="I652" s="127"/>
    </row>
    <row r="653">
      <c r="I653" s="127"/>
    </row>
    <row r="654">
      <c r="I654" s="127"/>
    </row>
    <row r="655">
      <c r="I655" s="127"/>
    </row>
    <row r="656">
      <c r="I656" s="127"/>
    </row>
    <row r="657">
      <c r="I657" s="127"/>
    </row>
    <row r="658">
      <c r="I658" s="127"/>
    </row>
    <row r="659">
      <c r="I659" s="127"/>
    </row>
    <row r="660">
      <c r="I660" s="127"/>
    </row>
    <row r="661">
      <c r="I661" s="127"/>
    </row>
    <row r="662">
      <c r="I662" s="127"/>
    </row>
    <row r="663">
      <c r="I663" s="127"/>
    </row>
    <row r="664">
      <c r="I664" s="127"/>
    </row>
    <row r="665">
      <c r="I665" s="127"/>
    </row>
    <row r="666">
      <c r="I666" s="127"/>
    </row>
    <row r="667">
      <c r="I667" s="127"/>
    </row>
    <row r="668">
      <c r="I668" s="127"/>
    </row>
    <row r="669">
      <c r="I669" s="127"/>
    </row>
    <row r="670">
      <c r="I670" s="127"/>
    </row>
    <row r="671">
      <c r="I671" s="127"/>
    </row>
    <row r="672">
      <c r="I672" s="127"/>
    </row>
    <row r="673">
      <c r="I673" s="127"/>
    </row>
    <row r="674">
      <c r="I674" s="127"/>
    </row>
    <row r="675">
      <c r="I675" s="127"/>
    </row>
    <row r="676">
      <c r="I676" s="127"/>
    </row>
    <row r="677">
      <c r="I677" s="127"/>
    </row>
    <row r="678">
      <c r="I678" s="127"/>
    </row>
    <row r="679">
      <c r="I679" s="127"/>
    </row>
    <row r="680">
      <c r="I680" s="127"/>
    </row>
    <row r="681">
      <c r="I681" s="127"/>
    </row>
    <row r="682">
      <c r="I682" s="127"/>
    </row>
    <row r="683">
      <c r="I683" s="127"/>
    </row>
    <row r="684">
      <c r="I684" s="127"/>
    </row>
    <row r="685">
      <c r="I685" s="127"/>
    </row>
    <row r="686">
      <c r="I686" s="127"/>
    </row>
    <row r="687">
      <c r="I687" s="127"/>
    </row>
    <row r="688">
      <c r="I688" s="127"/>
    </row>
    <row r="689">
      <c r="I689" s="127"/>
    </row>
    <row r="690">
      <c r="I690" s="127"/>
    </row>
    <row r="691">
      <c r="I691" s="127"/>
    </row>
    <row r="692">
      <c r="I692" s="127"/>
    </row>
    <row r="693">
      <c r="I693" s="127"/>
    </row>
    <row r="694">
      <c r="I694" s="127"/>
    </row>
    <row r="695">
      <c r="I695" s="127"/>
    </row>
    <row r="696">
      <c r="I696" s="127"/>
    </row>
    <row r="697">
      <c r="I697" s="127"/>
    </row>
    <row r="698">
      <c r="I698" s="127"/>
    </row>
    <row r="699">
      <c r="I699" s="127"/>
    </row>
    <row r="700">
      <c r="I700" s="127"/>
    </row>
    <row r="701">
      <c r="I701" s="127"/>
    </row>
    <row r="702">
      <c r="I702" s="127"/>
    </row>
    <row r="703">
      <c r="I703" s="127"/>
    </row>
    <row r="704">
      <c r="I704" s="127"/>
    </row>
    <row r="705">
      <c r="I705" s="127"/>
    </row>
    <row r="706">
      <c r="I706" s="127"/>
    </row>
    <row r="707">
      <c r="I707" s="127"/>
    </row>
    <row r="708">
      <c r="I708" s="127"/>
    </row>
    <row r="709">
      <c r="I709" s="127"/>
    </row>
    <row r="710">
      <c r="I710" s="127"/>
    </row>
    <row r="711">
      <c r="I711" s="127"/>
    </row>
    <row r="712">
      <c r="I712" s="127"/>
    </row>
    <row r="713">
      <c r="I713" s="127"/>
    </row>
    <row r="714">
      <c r="I714" s="127"/>
    </row>
    <row r="715">
      <c r="I715" s="127"/>
    </row>
    <row r="716">
      <c r="I716" s="127"/>
    </row>
    <row r="717">
      <c r="I717" s="127"/>
    </row>
    <row r="718">
      <c r="I718" s="127"/>
    </row>
    <row r="719">
      <c r="I719" s="127"/>
    </row>
    <row r="720">
      <c r="I720" s="127"/>
    </row>
    <row r="721">
      <c r="I721" s="127"/>
    </row>
    <row r="722">
      <c r="I722" s="127"/>
    </row>
    <row r="723">
      <c r="I723" s="127"/>
    </row>
    <row r="724">
      <c r="I724" s="127"/>
    </row>
    <row r="725">
      <c r="I725" s="127"/>
    </row>
    <row r="726">
      <c r="I726" s="127"/>
    </row>
    <row r="727">
      <c r="I727" s="127"/>
    </row>
    <row r="728">
      <c r="I728" s="127"/>
    </row>
    <row r="729">
      <c r="I729" s="127"/>
    </row>
    <row r="730">
      <c r="I730" s="127"/>
    </row>
    <row r="731">
      <c r="I731" s="127"/>
    </row>
    <row r="732">
      <c r="I732" s="127"/>
    </row>
    <row r="733">
      <c r="I733" s="127"/>
    </row>
    <row r="734">
      <c r="I734" s="127"/>
    </row>
    <row r="735">
      <c r="I735" s="127"/>
    </row>
    <row r="736">
      <c r="I736" s="127"/>
    </row>
    <row r="737">
      <c r="I737" s="127"/>
    </row>
    <row r="738">
      <c r="I738" s="127"/>
    </row>
    <row r="739">
      <c r="I739" s="127"/>
    </row>
    <row r="740">
      <c r="I740" s="127"/>
    </row>
    <row r="741">
      <c r="I741" s="127"/>
    </row>
    <row r="742">
      <c r="I742" s="127"/>
    </row>
    <row r="743">
      <c r="I743" s="127"/>
    </row>
    <row r="744">
      <c r="I744" s="127"/>
    </row>
    <row r="745">
      <c r="I745" s="127"/>
    </row>
    <row r="746">
      <c r="I746" s="127"/>
    </row>
    <row r="747">
      <c r="I747" s="127"/>
    </row>
    <row r="748">
      <c r="I748" s="127"/>
    </row>
    <row r="749">
      <c r="I749" s="127"/>
    </row>
    <row r="750">
      <c r="I750" s="127"/>
    </row>
    <row r="751">
      <c r="I751" s="127"/>
    </row>
    <row r="752">
      <c r="I752" s="127"/>
    </row>
    <row r="753">
      <c r="I753" s="127"/>
    </row>
    <row r="754">
      <c r="I754" s="127"/>
    </row>
    <row r="755">
      <c r="I755" s="127"/>
    </row>
    <row r="756">
      <c r="I756" s="127"/>
    </row>
    <row r="757">
      <c r="I757" s="127"/>
    </row>
    <row r="758">
      <c r="I758" s="127"/>
    </row>
    <row r="759">
      <c r="I759" s="127"/>
    </row>
    <row r="760">
      <c r="I760" s="127"/>
    </row>
    <row r="761">
      <c r="I761" s="127"/>
    </row>
    <row r="762">
      <c r="I762" s="127"/>
    </row>
    <row r="763">
      <c r="I763" s="127"/>
    </row>
    <row r="764">
      <c r="I764" s="127"/>
    </row>
    <row r="765">
      <c r="I765" s="127"/>
    </row>
    <row r="766">
      <c r="I766" s="127"/>
    </row>
    <row r="767">
      <c r="I767" s="127"/>
    </row>
    <row r="768">
      <c r="I768" s="127"/>
    </row>
    <row r="769">
      <c r="I769" s="127"/>
    </row>
    <row r="770">
      <c r="I770" s="127"/>
    </row>
    <row r="771">
      <c r="I771" s="127"/>
    </row>
    <row r="772">
      <c r="I772" s="127"/>
    </row>
    <row r="773">
      <c r="I773" s="127"/>
    </row>
    <row r="774">
      <c r="I774" s="127"/>
    </row>
    <row r="775">
      <c r="I775" s="127"/>
    </row>
    <row r="776">
      <c r="I776" s="127"/>
    </row>
    <row r="777">
      <c r="I777" s="127"/>
    </row>
    <row r="778">
      <c r="I778" s="127"/>
    </row>
    <row r="779">
      <c r="I779" s="127"/>
    </row>
    <row r="780">
      <c r="I780" s="127"/>
    </row>
    <row r="781">
      <c r="I781" s="127"/>
    </row>
    <row r="782">
      <c r="I782" s="127"/>
    </row>
    <row r="783">
      <c r="I783" s="127"/>
    </row>
    <row r="784">
      <c r="I784" s="127"/>
    </row>
    <row r="785">
      <c r="I785" s="127"/>
    </row>
    <row r="786">
      <c r="I786" s="127"/>
    </row>
    <row r="787">
      <c r="I787" s="127"/>
    </row>
    <row r="788">
      <c r="I788" s="127"/>
    </row>
    <row r="789">
      <c r="I789" s="127"/>
    </row>
    <row r="790">
      <c r="I790" s="127"/>
    </row>
    <row r="791">
      <c r="I791" s="127"/>
    </row>
    <row r="792">
      <c r="I792" s="127"/>
    </row>
    <row r="793">
      <c r="I793" s="127"/>
    </row>
    <row r="794">
      <c r="I794" s="127"/>
    </row>
    <row r="795">
      <c r="I795" s="127"/>
    </row>
    <row r="796">
      <c r="I796" s="127"/>
    </row>
    <row r="797">
      <c r="I797" s="127"/>
    </row>
    <row r="798">
      <c r="I798" s="127"/>
    </row>
    <row r="799">
      <c r="I799" s="127"/>
    </row>
    <row r="800">
      <c r="I800" s="127"/>
    </row>
    <row r="801">
      <c r="I801" s="127"/>
    </row>
    <row r="802">
      <c r="I802" s="127"/>
    </row>
    <row r="803">
      <c r="I803" s="127"/>
    </row>
    <row r="804">
      <c r="I804" s="127"/>
    </row>
    <row r="805">
      <c r="I805" s="127"/>
    </row>
    <row r="806">
      <c r="I806" s="127"/>
    </row>
    <row r="807">
      <c r="I807" s="127"/>
    </row>
    <row r="808">
      <c r="I808" s="127"/>
    </row>
    <row r="809">
      <c r="I809" s="127"/>
    </row>
    <row r="810">
      <c r="I810" s="127"/>
    </row>
    <row r="811">
      <c r="I811" s="127"/>
    </row>
    <row r="812">
      <c r="I812" s="127"/>
    </row>
    <row r="813">
      <c r="I813" s="127"/>
    </row>
    <row r="814">
      <c r="I814" s="127"/>
    </row>
    <row r="815">
      <c r="I815" s="127"/>
    </row>
    <row r="816">
      <c r="I816" s="127"/>
    </row>
    <row r="817">
      <c r="I817" s="127"/>
    </row>
    <row r="818">
      <c r="I818" s="127"/>
    </row>
    <row r="819">
      <c r="I819" s="127"/>
    </row>
    <row r="820">
      <c r="I820" s="127"/>
    </row>
    <row r="821">
      <c r="I821" s="127"/>
    </row>
    <row r="822">
      <c r="I822" s="127"/>
    </row>
    <row r="823">
      <c r="I823" s="127"/>
    </row>
    <row r="824">
      <c r="I824" s="127"/>
    </row>
    <row r="825">
      <c r="I825" s="127"/>
    </row>
    <row r="826">
      <c r="I826" s="127"/>
    </row>
    <row r="827">
      <c r="I827" s="127"/>
    </row>
    <row r="828">
      <c r="I828" s="127"/>
    </row>
    <row r="829">
      <c r="I829" s="127"/>
    </row>
    <row r="830">
      <c r="I830" s="127"/>
    </row>
    <row r="831">
      <c r="I831" s="127"/>
    </row>
    <row r="832">
      <c r="I832" s="127"/>
    </row>
    <row r="833">
      <c r="I833" s="127"/>
    </row>
    <row r="834">
      <c r="I834" s="127"/>
    </row>
    <row r="835">
      <c r="I835" s="127"/>
    </row>
    <row r="836">
      <c r="I836" s="127"/>
    </row>
    <row r="837">
      <c r="I837" s="127"/>
    </row>
    <row r="838">
      <c r="I838" s="127"/>
    </row>
    <row r="839">
      <c r="I839" s="127"/>
    </row>
    <row r="840">
      <c r="I840" s="127"/>
    </row>
    <row r="841">
      <c r="I841" s="127"/>
    </row>
    <row r="842">
      <c r="I842" s="127"/>
    </row>
    <row r="843">
      <c r="I843" s="127"/>
    </row>
    <row r="844">
      <c r="I844" s="127"/>
    </row>
    <row r="845">
      <c r="I845" s="127"/>
    </row>
    <row r="846">
      <c r="I846" s="127"/>
    </row>
    <row r="847">
      <c r="I847" s="127"/>
    </row>
    <row r="848">
      <c r="I848" s="127"/>
    </row>
    <row r="849">
      <c r="I849" s="127"/>
    </row>
    <row r="850">
      <c r="I850" s="127"/>
    </row>
    <row r="851">
      <c r="I851" s="127"/>
    </row>
    <row r="852">
      <c r="I852" s="127"/>
    </row>
    <row r="853">
      <c r="I853" s="127"/>
    </row>
    <row r="854">
      <c r="I854" s="127"/>
    </row>
    <row r="855">
      <c r="I855" s="127"/>
    </row>
    <row r="856">
      <c r="I856" s="127"/>
    </row>
    <row r="857">
      <c r="I857" s="127"/>
    </row>
    <row r="858">
      <c r="I858" s="127"/>
    </row>
    <row r="859">
      <c r="I859" s="127"/>
    </row>
    <row r="860">
      <c r="I860" s="127"/>
    </row>
    <row r="861">
      <c r="I861" s="127"/>
    </row>
    <row r="862">
      <c r="I862" s="127"/>
    </row>
    <row r="863">
      <c r="I863" s="127"/>
    </row>
    <row r="864">
      <c r="I864" s="127"/>
    </row>
    <row r="865">
      <c r="I865" s="127"/>
    </row>
    <row r="866">
      <c r="I866" s="127"/>
    </row>
    <row r="867">
      <c r="I867" s="127"/>
    </row>
    <row r="868">
      <c r="I868" s="127"/>
    </row>
    <row r="869">
      <c r="I869" s="127"/>
    </row>
    <row r="870">
      <c r="I870" s="127"/>
    </row>
    <row r="871">
      <c r="I871" s="127"/>
    </row>
    <row r="872">
      <c r="I872" s="127"/>
    </row>
    <row r="873">
      <c r="I873" s="127"/>
    </row>
    <row r="874">
      <c r="I874" s="127"/>
    </row>
    <row r="875">
      <c r="I875" s="127"/>
    </row>
    <row r="876">
      <c r="I876" s="127"/>
    </row>
    <row r="877">
      <c r="I877" s="127"/>
    </row>
    <row r="878">
      <c r="I878" s="127"/>
    </row>
    <row r="879">
      <c r="I879" s="127"/>
    </row>
    <row r="880">
      <c r="I880" s="127"/>
    </row>
    <row r="881">
      <c r="I881" s="127"/>
    </row>
    <row r="882">
      <c r="I882" s="127"/>
    </row>
    <row r="883">
      <c r="I883" s="127"/>
    </row>
    <row r="884">
      <c r="I884" s="127"/>
    </row>
    <row r="885">
      <c r="I885" s="127"/>
    </row>
    <row r="886">
      <c r="I886" s="127"/>
    </row>
    <row r="887">
      <c r="I887" s="127"/>
    </row>
    <row r="888">
      <c r="I888" s="127"/>
    </row>
    <row r="889">
      <c r="I889" s="127"/>
    </row>
    <row r="890">
      <c r="I890" s="127"/>
    </row>
    <row r="891">
      <c r="I891" s="127"/>
    </row>
    <row r="892">
      <c r="I892" s="127"/>
    </row>
    <row r="893">
      <c r="I893" s="127"/>
    </row>
    <row r="894">
      <c r="I894" s="127"/>
    </row>
    <row r="895">
      <c r="I895" s="127"/>
    </row>
    <row r="896">
      <c r="I896" s="127"/>
    </row>
    <row r="897">
      <c r="I897" s="127"/>
    </row>
    <row r="898">
      <c r="I898" s="127"/>
    </row>
    <row r="899">
      <c r="I899" s="127"/>
    </row>
    <row r="900">
      <c r="I900" s="127"/>
    </row>
    <row r="901">
      <c r="I901" s="127"/>
    </row>
    <row r="902">
      <c r="I902" s="127"/>
    </row>
    <row r="903">
      <c r="I903" s="127"/>
    </row>
    <row r="904">
      <c r="I904" s="127"/>
    </row>
    <row r="905">
      <c r="I905" s="127"/>
    </row>
    <row r="906">
      <c r="I906" s="127"/>
    </row>
    <row r="907">
      <c r="I907" s="127"/>
    </row>
    <row r="908">
      <c r="I908" s="127"/>
    </row>
    <row r="909">
      <c r="I909" s="127"/>
    </row>
    <row r="910">
      <c r="I910" s="127"/>
    </row>
    <row r="911">
      <c r="I911" s="127"/>
    </row>
    <row r="912">
      <c r="I912" s="127"/>
    </row>
    <row r="913">
      <c r="I913" s="127"/>
    </row>
    <row r="914">
      <c r="I914" s="127"/>
    </row>
    <row r="915">
      <c r="I915" s="127"/>
    </row>
    <row r="916">
      <c r="I916" s="127"/>
    </row>
    <row r="917">
      <c r="I917" s="127"/>
    </row>
    <row r="918">
      <c r="I918" s="127"/>
    </row>
    <row r="919">
      <c r="I919" s="127"/>
    </row>
    <row r="920">
      <c r="I920" s="127"/>
    </row>
    <row r="921">
      <c r="I921" s="127"/>
    </row>
    <row r="922">
      <c r="I922" s="127"/>
    </row>
    <row r="923">
      <c r="I923" s="127"/>
    </row>
    <row r="924">
      <c r="I924" s="127"/>
    </row>
    <row r="925">
      <c r="I925" s="127"/>
    </row>
    <row r="926">
      <c r="I926" s="127"/>
    </row>
    <row r="927">
      <c r="I927" s="127"/>
    </row>
    <row r="928">
      <c r="I928" s="127"/>
    </row>
    <row r="929">
      <c r="I929" s="127"/>
    </row>
    <row r="930">
      <c r="I930" s="127"/>
    </row>
    <row r="931">
      <c r="I931" s="127"/>
    </row>
    <row r="932">
      <c r="I932" s="127"/>
    </row>
    <row r="933">
      <c r="I933" s="127"/>
    </row>
    <row r="934">
      <c r="I934" s="127"/>
    </row>
    <row r="935">
      <c r="I935" s="127"/>
    </row>
    <row r="936">
      <c r="I936" s="127"/>
    </row>
    <row r="937">
      <c r="I937" s="127"/>
    </row>
    <row r="938">
      <c r="I938" s="127"/>
    </row>
    <row r="939">
      <c r="I939" s="127"/>
    </row>
    <row r="940">
      <c r="I940" s="127"/>
    </row>
    <row r="941">
      <c r="I941" s="127"/>
    </row>
    <row r="942">
      <c r="I942" s="127"/>
    </row>
    <row r="943">
      <c r="I943" s="127"/>
    </row>
    <row r="944">
      <c r="I944" s="127"/>
    </row>
    <row r="945">
      <c r="I945" s="127"/>
    </row>
    <row r="946">
      <c r="I946" s="127"/>
    </row>
    <row r="947">
      <c r="I947" s="127"/>
    </row>
    <row r="948">
      <c r="I948" s="127"/>
    </row>
    <row r="949">
      <c r="I949" s="127"/>
    </row>
    <row r="950">
      <c r="I950" s="127"/>
    </row>
    <row r="951">
      <c r="I951" s="127"/>
    </row>
    <row r="952">
      <c r="I952" s="127"/>
    </row>
    <row r="953">
      <c r="I953" s="127"/>
    </row>
    <row r="954">
      <c r="I954" s="127"/>
    </row>
    <row r="955">
      <c r="I955" s="127"/>
    </row>
    <row r="956">
      <c r="I956" s="127"/>
    </row>
    <row r="957">
      <c r="I957" s="127"/>
    </row>
    <row r="958">
      <c r="I958" s="127"/>
    </row>
    <row r="959">
      <c r="I959" s="127"/>
    </row>
    <row r="960">
      <c r="I960" s="127"/>
    </row>
    <row r="961">
      <c r="I961" s="127"/>
    </row>
    <row r="962">
      <c r="I962" s="127"/>
    </row>
    <row r="963">
      <c r="I963" s="127"/>
    </row>
    <row r="964">
      <c r="I964" s="127"/>
    </row>
    <row r="965">
      <c r="I965" s="127"/>
    </row>
    <row r="966">
      <c r="I966" s="127"/>
    </row>
    <row r="967">
      <c r="I967" s="127"/>
    </row>
    <row r="968">
      <c r="I968" s="127"/>
    </row>
    <row r="969">
      <c r="I969" s="127"/>
    </row>
    <row r="970">
      <c r="I970" s="127"/>
    </row>
    <row r="971">
      <c r="I971" s="127"/>
    </row>
    <row r="972">
      <c r="I972" s="127"/>
    </row>
    <row r="973">
      <c r="I973" s="127"/>
    </row>
    <row r="974">
      <c r="I974" s="127"/>
    </row>
    <row r="975">
      <c r="I975" s="127"/>
    </row>
    <row r="976">
      <c r="I976" s="127"/>
    </row>
    <row r="977">
      <c r="I977" s="127"/>
    </row>
    <row r="978">
      <c r="I978" s="127"/>
    </row>
    <row r="979">
      <c r="I979" s="127"/>
    </row>
    <row r="980">
      <c r="I980" s="127"/>
    </row>
    <row r="981">
      <c r="I981" s="127"/>
    </row>
    <row r="982">
      <c r="I982" s="127"/>
    </row>
    <row r="983">
      <c r="I983" s="127"/>
    </row>
    <row r="984">
      <c r="I984" s="127"/>
    </row>
    <row r="985">
      <c r="I985" s="127"/>
    </row>
    <row r="986">
      <c r="I986" s="127"/>
    </row>
    <row r="987">
      <c r="I987" s="127"/>
    </row>
    <row r="988">
      <c r="I988" s="127"/>
    </row>
    <row r="989">
      <c r="I989" s="127"/>
    </row>
    <row r="990">
      <c r="I990" s="127"/>
    </row>
    <row r="991">
      <c r="I991" s="127"/>
    </row>
    <row r="992">
      <c r="I992" s="127"/>
    </row>
    <row r="993">
      <c r="I993" s="127"/>
    </row>
    <row r="994">
      <c r="I994" s="127"/>
    </row>
    <row r="995">
      <c r="I995" s="127"/>
    </row>
    <row r="996">
      <c r="I996" s="127"/>
    </row>
    <row r="997">
      <c r="I997" s="127"/>
    </row>
    <row r="998">
      <c r="I998" s="127"/>
    </row>
    <row r="999">
      <c r="I999" s="127"/>
    </row>
    <row r="1000">
      <c r="I1000" s="127"/>
    </row>
    <row r="1001">
      <c r="I1001" s="127"/>
    </row>
  </sheetData>
  <mergeCells count="1">
    <mergeCell ref="Z3:Z18"/>
  </mergeCells>
  <hyperlinks>
    <hyperlink display="Schema!B44" location="Schema!B44" ref="C13"/>
  </hyperlink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75"/>
    <col customWidth="1" min="2" max="2" width="38.63"/>
    <col customWidth="1" min="6" max="6" width="29.75"/>
  </cols>
  <sheetData>
    <row r="1">
      <c r="A1" s="137" t="s">
        <v>8254</v>
      </c>
      <c r="B1" s="137" t="s">
        <v>8255</v>
      </c>
      <c r="C1" s="137" t="s">
        <v>8256</v>
      </c>
      <c r="D1" s="137" t="s">
        <v>8257</v>
      </c>
      <c r="E1" s="137" t="s">
        <v>8258</v>
      </c>
      <c r="F1" s="138"/>
      <c r="G1" s="138"/>
      <c r="H1" s="138"/>
      <c r="I1" s="138"/>
      <c r="J1" s="138"/>
      <c r="K1" s="138"/>
      <c r="L1" s="138"/>
      <c r="M1" s="138"/>
      <c r="N1" s="138"/>
      <c r="O1" s="138"/>
      <c r="P1" s="138"/>
      <c r="Q1" s="138"/>
      <c r="R1" s="138"/>
      <c r="S1" s="138"/>
      <c r="T1" s="138"/>
      <c r="U1" s="138"/>
      <c r="V1" s="138"/>
      <c r="W1" s="138"/>
      <c r="X1" s="138"/>
      <c r="Y1" s="138"/>
      <c r="Z1" s="138"/>
    </row>
    <row r="2">
      <c r="A2" s="13" t="s">
        <v>8259</v>
      </c>
      <c r="B2" s="139" t="s">
        <v>8260</v>
      </c>
      <c r="C2" s="13">
        <v>0.0</v>
      </c>
      <c r="D2" s="13">
        <v>1.0</v>
      </c>
    </row>
    <row r="3">
      <c r="A3" s="13" t="s">
        <v>8261</v>
      </c>
      <c r="B3" s="13" t="s">
        <v>8262</v>
      </c>
      <c r="C3" s="13" t="s">
        <v>8263</v>
      </c>
      <c r="D3" s="13">
        <v>2.0</v>
      </c>
      <c r="F3" s="13" t="s">
        <v>8264</v>
      </c>
    </row>
    <row r="4">
      <c r="A4" s="13" t="s">
        <v>8265</v>
      </c>
      <c r="B4" s="13" t="s">
        <v>8266</v>
      </c>
      <c r="C4" s="13">
        <v>399.0</v>
      </c>
      <c r="D4" s="13">
        <v>3.0</v>
      </c>
    </row>
    <row r="5">
      <c r="A5" s="13" t="s">
        <v>8267</v>
      </c>
      <c r="B5" s="13" t="s">
        <v>8268</v>
      </c>
      <c r="C5" s="13">
        <v>249.0</v>
      </c>
      <c r="D5" s="13">
        <v>4.0</v>
      </c>
      <c r="F5" s="13" t="s">
        <v>8269</v>
      </c>
    </row>
    <row r="6">
      <c r="A6" s="13" t="s">
        <v>8270</v>
      </c>
      <c r="B6" s="13" t="s">
        <v>8271</v>
      </c>
      <c r="C6" s="13">
        <v>0.0</v>
      </c>
      <c r="D6" s="13">
        <v>5.0</v>
      </c>
    </row>
    <row r="9">
      <c r="A9" s="13" t="s">
        <v>8272</v>
      </c>
      <c r="B9" s="13" t="s">
        <v>8273</v>
      </c>
      <c r="C9" s="140">
        <v>0.25</v>
      </c>
      <c r="E9" s="141">
        <v>200.0</v>
      </c>
    </row>
    <row r="10">
      <c r="C10" s="140">
        <v>0.2</v>
      </c>
      <c r="E10" s="141">
        <v>150.0</v>
      </c>
    </row>
    <row r="12">
      <c r="B12" s="13" t="s">
        <v>8274</v>
      </c>
      <c r="C12" s="13">
        <v>69.0</v>
      </c>
      <c r="D12" s="13">
        <v>43064.0</v>
      </c>
    </row>
    <row r="13">
      <c r="C13" s="13">
        <v>99.0</v>
      </c>
      <c r="D13" s="13" t="s">
        <v>8275</v>
      </c>
    </row>
    <row r="14">
      <c r="C14" s="13">
        <v>119.0</v>
      </c>
      <c r="D14" s="13" t="s">
        <v>8276</v>
      </c>
    </row>
    <row r="15">
      <c r="C15" s="13">
        <v>2.69</v>
      </c>
      <c r="D15" s="13" t="s">
        <v>8277</v>
      </c>
    </row>
    <row r="16">
      <c r="A16" s="142" t="s">
        <v>8278</v>
      </c>
    </row>
    <row r="17">
      <c r="A17" s="142" t="s">
        <v>8279</v>
      </c>
    </row>
    <row r="18">
      <c r="A18" s="142" t="s">
        <v>8280</v>
      </c>
    </row>
    <row r="19">
      <c r="A19" s="13" t="s">
        <v>8281</v>
      </c>
      <c r="B19" s="13" t="s">
        <v>8282</v>
      </c>
    </row>
    <row r="20">
      <c r="B20" s="13" t="s">
        <v>8283</v>
      </c>
    </row>
    <row r="21">
      <c r="B21" s="13" t="s">
        <v>8284</v>
      </c>
    </row>
    <row r="23">
      <c r="B23" s="13" t="s">
        <v>8285</v>
      </c>
    </row>
  </sheetData>
  <drawing r:id="rId1"/>
</worksheet>
</file>